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135" windowWidth="19425" windowHeight="8505" firstSheet="6" activeTab="11"/>
  </bookViews>
  <sheets>
    <sheet name="parametres articles" sheetId="1" r:id="rId1"/>
    <sheet name="Feuil1" sheetId="6" r:id="rId2"/>
    <sheet name="Achats" sheetId="9" r:id="rId3"/>
    <sheet name="Stock" sheetId="7" r:id="rId4"/>
    <sheet name="Inventaire" sheetId="11" r:id="rId5"/>
    <sheet name="simulation graphique" sheetId="3" r:id="rId6"/>
    <sheet name="base article" sheetId="4" r:id="rId7"/>
    <sheet name="simulation commandes" sheetId="2" r:id="rId8"/>
    <sheet name="profil planification" sheetId="5" r:id="rId9"/>
    <sheet name="Mvmt stock" sheetId="12" r:id="rId10"/>
    <sheet name="Simulation commande F" sheetId="10" r:id="rId11"/>
    <sheet name="Feuil5" sheetId="13" r:id="rId12"/>
  </sheets>
  <definedNames>
    <definedName name="_xlnm._FilterDatabase" localSheetId="2" hidden="1">Achats!$B$1:$F$36</definedName>
    <definedName name="_xlnm._FilterDatabase" localSheetId="6" hidden="1">'base article'!$A$1:$H$1</definedName>
    <definedName name="_xlnm._FilterDatabase" localSheetId="7" hidden="1">'simulation commandes'!$A$4:$AJ$260</definedName>
    <definedName name="_xlnm._FilterDatabase" localSheetId="3" hidden="1">Stock!$B$1:$F$257</definedName>
  </definedNames>
  <calcPr calcId="145621"/>
  <pivotCaches>
    <pivotCache cacheId="0" r:id="rId13"/>
    <pivotCache cacheId="1" r:id="rId14"/>
    <pivotCache cacheId="2" r:id="rId15"/>
  </pivotCaches>
</workbook>
</file>

<file path=xl/calcChain.xml><?xml version="1.0" encoding="utf-8"?>
<calcChain xmlns="http://schemas.openxmlformats.org/spreadsheetml/2006/main">
  <c r="F2" i="13" l="1"/>
  <c r="B2" i="13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D201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16" i="10"/>
  <c r="D217" i="10"/>
  <c r="D218" i="10"/>
  <c r="D219" i="10"/>
  <c r="D220" i="10"/>
  <c r="D221" i="10"/>
  <c r="D222" i="10"/>
  <c r="D223" i="10"/>
  <c r="D224" i="10"/>
  <c r="D225" i="10"/>
  <c r="D226" i="10"/>
  <c r="D227" i="10"/>
  <c r="D228" i="10"/>
  <c r="D229" i="10"/>
  <c r="D230" i="10"/>
  <c r="D231" i="10"/>
  <c r="D232" i="10"/>
  <c r="D233" i="10"/>
  <c r="D234" i="10"/>
  <c r="D235" i="10"/>
  <c r="D236" i="10"/>
  <c r="D237" i="10"/>
  <c r="D238" i="10"/>
  <c r="D239" i="10"/>
  <c r="D240" i="10"/>
  <c r="D241" i="10"/>
  <c r="D242" i="10"/>
  <c r="D243" i="10"/>
  <c r="D244" i="10"/>
  <c r="D245" i="10"/>
  <c r="D246" i="10"/>
  <c r="D247" i="10"/>
  <c r="D248" i="10"/>
  <c r="D249" i="10"/>
  <c r="D250" i="10"/>
  <c r="D251" i="10"/>
  <c r="D252" i="10"/>
  <c r="D253" i="10"/>
  <c r="D254" i="10"/>
  <c r="D255" i="10"/>
  <c r="D256" i="10"/>
  <c r="D257" i="10"/>
  <c r="D2" i="10"/>
  <c r="H6" i="10"/>
  <c r="H7" i="10"/>
  <c r="H8" i="10"/>
  <c r="H9" i="10"/>
  <c r="H10" i="10"/>
  <c r="H11" i="10"/>
  <c r="H12" i="10" s="1"/>
  <c r="H13" i="10"/>
  <c r="H14" i="10"/>
  <c r="H15" i="10"/>
  <c r="H16" i="10"/>
  <c r="H17" i="10"/>
  <c r="H18" i="10" s="1"/>
  <c r="H19" i="10" s="1"/>
  <c r="H20" i="10"/>
  <c r="H21" i="10"/>
  <c r="H22" i="10"/>
  <c r="H23" i="10"/>
  <c r="H24" i="10"/>
  <c r="H25" i="10"/>
  <c r="H26" i="10" s="1"/>
  <c r="H27" i="10"/>
  <c r="H28" i="10"/>
  <c r="H29" i="10"/>
  <c r="H30" i="10"/>
  <c r="H31" i="10"/>
  <c r="H32" i="10"/>
  <c r="H33" i="10" s="1"/>
  <c r="H34" i="10"/>
  <c r="H35" i="10"/>
  <c r="H36" i="10"/>
  <c r="H37" i="10"/>
  <c r="H38" i="10"/>
  <c r="H39" i="10" s="1"/>
  <c r="H40" i="10" s="1"/>
  <c r="H41" i="10"/>
  <c r="H42" i="10"/>
  <c r="H43" i="10"/>
  <c r="H44" i="10"/>
  <c r="H45" i="10"/>
  <c r="H46" i="10" s="1"/>
  <c r="H47" i="10" s="1"/>
  <c r="H48" i="10"/>
  <c r="H49" i="10"/>
  <c r="H50" i="10"/>
  <c r="H51" i="10"/>
  <c r="H52" i="10"/>
  <c r="H53" i="10" s="1"/>
  <c r="H54" i="10" s="1"/>
  <c r="H55" i="10"/>
  <c r="H56" i="10"/>
  <c r="H57" i="10"/>
  <c r="H58" i="10"/>
  <c r="H59" i="10"/>
  <c r="H60" i="10"/>
  <c r="H61" i="10" s="1"/>
  <c r="H62" i="10"/>
  <c r="H63" i="10"/>
  <c r="H64" i="10"/>
  <c r="H65" i="10"/>
  <c r="H66" i="10"/>
  <c r="H67" i="10" s="1"/>
  <c r="H68" i="10" s="1"/>
  <c r="H69" i="10"/>
  <c r="H70" i="10"/>
  <c r="H71" i="10"/>
  <c r="H72" i="10"/>
  <c r="H73" i="10"/>
  <c r="H74" i="10"/>
  <c r="H75" i="10" s="1"/>
  <c r="H76" i="10"/>
  <c r="H77" i="10"/>
  <c r="H78" i="10"/>
  <c r="H79" i="10"/>
  <c r="H80" i="10"/>
  <c r="H81" i="10" s="1"/>
  <c r="H82" i="10" s="1"/>
  <c r="H83" i="10"/>
  <c r="H84" i="10"/>
  <c r="H85" i="10"/>
  <c r="H86" i="10"/>
  <c r="H87" i="10"/>
  <c r="H88" i="10"/>
  <c r="H89" i="10" s="1"/>
  <c r="H90" i="10"/>
  <c r="H91" i="10"/>
  <c r="H92" i="10"/>
  <c r="H93" i="10"/>
  <c r="H94" i="10"/>
  <c r="H95" i="10"/>
  <c r="H96" i="10" s="1"/>
  <c r="H97" i="10" s="1"/>
  <c r="H98" i="10"/>
  <c r="H99" i="10"/>
  <c r="H100" i="10"/>
  <c r="H101" i="10"/>
  <c r="H102" i="10" s="1"/>
  <c r="H103" i="10" s="1"/>
  <c r="H104" i="10"/>
  <c r="H105" i="10"/>
  <c r="H106" i="10"/>
  <c r="H107" i="10"/>
  <c r="H108" i="10"/>
  <c r="H109" i="10" s="1"/>
  <c r="H110" i="10" s="1"/>
  <c r="H111" i="10"/>
  <c r="H112" i="10"/>
  <c r="H113" i="10"/>
  <c r="H114" i="10"/>
  <c r="H115" i="10"/>
  <c r="H116" i="10" s="1"/>
  <c r="H117" i="10" s="1"/>
  <c r="H118" i="10"/>
  <c r="H119" i="10"/>
  <c r="H120" i="10"/>
  <c r="H121" i="10"/>
  <c r="H122" i="10" s="1"/>
  <c r="H123" i="10" s="1"/>
  <c r="H124" i="10" s="1"/>
  <c r="H125" i="10"/>
  <c r="H126" i="10"/>
  <c r="H127" i="10"/>
  <c r="H128" i="10"/>
  <c r="H129" i="10" s="1"/>
  <c r="H130" i="10" s="1"/>
  <c r="H131" i="10" s="1"/>
  <c r="H132" i="10"/>
  <c r="H133" i="10"/>
  <c r="H134" i="10"/>
  <c r="H135" i="10" s="1"/>
  <c r="H136" i="10"/>
  <c r="H137" i="10" s="1"/>
  <c r="H138" i="10" s="1"/>
  <c r="H139" i="10"/>
  <c r="H140" i="10"/>
  <c r="H141" i="10"/>
  <c r="H142" i="10"/>
  <c r="H143" i="10"/>
  <c r="H144" i="10" s="1"/>
  <c r="H145" i="10" s="1"/>
  <c r="H146" i="10"/>
  <c r="H147" i="10"/>
  <c r="H148" i="10"/>
  <c r="H149" i="10"/>
  <c r="H150" i="10"/>
  <c r="H151" i="10"/>
  <c r="H152" i="10" s="1"/>
  <c r="H153" i="10"/>
  <c r="H154" i="10"/>
  <c r="H155" i="10"/>
  <c r="H156" i="10"/>
  <c r="H157" i="10"/>
  <c r="H158" i="10" s="1"/>
  <c r="H159" i="10" s="1"/>
  <c r="H160" i="10"/>
  <c r="H161" i="10"/>
  <c r="H162" i="10"/>
  <c r="H163" i="10"/>
  <c r="H164" i="10"/>
  <c r="H165" i="10"/>
  <c r="H166" i="10" s="1"/>
  <c r="H167" i="10"/>
  <c r="H168" i="10"/>
  <c r="H169" i="10"/>
  <c r="H170" i="10"/>
  <c r="H171" i="10"/>
  <c r="H172" i="10"/>
  <c r="H173" i="10" s="1"/>
  <c r="H174" i="10"/>
  <c r="H175" i="10"/>
  <c r="H176" i="10"/>
  <c r="H177" i="10"/>
  <c r="H178" i="10"/>
  <c r="H179" i="10" s="1"/>
  <c r="H180" i="10" s="1"/>
  <c r="H181" i="10"/>
  <c r="H182" i="10"/>
  <c r="H183" i="10"/>
  <c r="H184" i="10"/>
  <c r="H185" i="10"/>
  <c r="H186" i="10" s="1"/>
  <c r="H187" i="10" s="1"/>
  <c r="H188" i="10"/>
  <c r="H189" i="10"/>
  <c r="H190" i="10"/>
  <c r="H191" i="10"/>
  <c r="H192" i="10"/>
  <c r="H193" i="10" s="1"/>
  <c r="H194" i="10" s="1"/>
  <c r="H195" i="10"/>
  <c r="H196" i="10" s="1"/>
  <c r="H197" i="10"/>
  <c r="H198" i="10"/>
  <c r="H199" i="10"/>
  <c r="H200" i="10" s="1"/>
  <c r="H201" i="10" s="1"/>
  <c r="H202" i="10"/>
  <c r="H203" i="10"/>
  <c r="H204" i="10"/>
  <c r="H205" i="10"/>
  <c r="H206" i="10"/>
  <c r="H207" i="10"/>
  <c r="H208" i="10" s="1"/>
  <c r="H209" i="10"/>
  <c r="H210" i="10"/>
  <c r="H211" i="10"/>
  <c r="H212" i="10"/>
  <c r="H213" i="10"/>
  <c r="H214" i="10" s="1"/>
  <c r="H215" i="10" s="1"/>
  <c r="H216" i="10"/>
  <c r="H217" i="10"/>
  <c r="H218" i="10"/>
  <c r="H219" i="10"/>
  <c r="H220" i="10"/>
  <c r="H221" i="10"/>
  <c r="H222" i="10" s="1"/>
  <c r="H223" i="10"/>
  <c r="H224" i="10"/>
  <c r="H225" i="10"/>
  <c r="H226" i="10"/>
  <c r="H227" i="10"/>
  <c r="H228" i="10"/>
  <c r="H229" i="10" s="1"/>
  <c r="H230" i="10"/>
  <c r="H231" i="10"/>
  <c r="H232" i="10"/>
  <c r="H233" i="10"/>
  <c r="H234" i="10"/>
  <c r="H235" i="10" s="1"/>
  <c r="H236" i="10" s="1"/>
  <c r="H237" i="10"/>
  <c r="H238" i="10"/>
  <c r="H239" i="10"/>
  <c r="H240" i="10"/>
  <c r="H241" i="10"/>
  <c r="H242" i="10"/>
  <c r="H243" i="10" s="1"/>
  <c r="H244" i="10"/>
  <c r="H245" i="10"/>
  <c r="H246" i="10"/>
  <c r="H247" i="10"/>
  <c r="H248" i="10"/>
  <c r="H249" i="10"/>
  <c r="H250" i="10" s="1"/>
  <c r="H251" i="10"/>
  <c r="H252" i="10"/>
  <c r="H253" i="10"/>
  <c r="H254" i="10"/>
  <c r="H255" i="10"/>
  <c r="H256" i="10" s="1"/>
  <c r="H257" i="10" s="1"/>
  <c r="H3" i="10"/>
  <c r="H4" i="10" s="1"/>
  <c r="H5" i="10" s="1"/>
  <c r="H2" i="10"/>
  <c r="P257" i="10"/>
  <c r="Q257" i="10" s="1"/>
  <c r="O257" i="10"/>
  <c r="N257" i="10"/>
  <c r="M257" i="10"/>
  <c r="L257" i="10"/>
  <c r="K257" i="10"/>
  <c r="P256" i="10"/>
  <c r="Q256" i="10" s="1"/>
  <c r="O256" i="10"/>
  <c r="N256" i="10"/>
  <c r="M256" i="10"/>
  <c r="L256" i="10"/>
  <c r="K256" i="10"/>
  <c r="P255" i="10"/>
  <c r="Q255" i="10" s="1"/>
  <c r="O255" i="10"/>
  <c r="N255" i="10"/>
  <c r="M255" i="10"/>
  <c r="L255" i="10"/>
  <c r="K255" i="10"/>
  <c r="P254" i="10"/>
  <c r="Q254" i="10" s="1"/>
  <c r="O254" i="10"/>
  <c r="N254" i="10"/>
  <c r="M254" i="10"/>
  <c r="L254" i="10"/>
  <c r="K254" i="10"/>
  <c r="P253" i="10"/>
  <c r="Q253" i="10" s="1"/>
  <c r="O253" i="10"/>
  <c r="N253" i="10"/>
  <c r="M253" i="10"/>
  <c r="L253" i="10"/>
  <c r="K253" i="10"/>
  <c r="P252" i="10"/>
  <c r="Q252" i="10" s="1"/>
  <c r="O252" i="10"/>
  <c r="N252" i="10"/>
  <c r="M252" i="10"/>
  <c r="L252" i="10"/>
  <c r="K252" i="10"/>
  <c r="P251" i="10"/>
  <c r="Q251" i="10" s="1"/>
  <c r="O251" i="10"/>
  <c r="N251" i="10"/>
  <c r="M251" i="10"/>
  <c r="L251" i="10"/>
  <c r="K251" i="10"/>
  <c r="P250" i="10"/>
  <c r="Q250" i="10" s="1"/>
  <c r="O250" i="10"/>
  <c r="N250" i="10"/>
  <c r="M250" i="10"/>
  <c r="L250" i="10"/>
  <c r="K250" i="10"/>
  <c r="P249" i="10"/>
  <c r="Q249" i="10" s="1"/>
  <c r="O249" i="10"/>
  <c r="N249" i="10"/>
  <c r="M249" i="10"/>
  <c r="L249" i="10"/>
  <c r="K249" i="10"/>
  <c r="P248" i="10"/>
  <c r="Q248" i="10" s="1"/>
  <c r="O248" i="10"/>
  <c r="N248" i="10"/>
  <c r="M248" i="10"/>
  <c r="L248" i="10"/>
  <c r="K248" i="10"/>
  <c r="P247" i="10"/>
  <c r="Q247" i="10" s="1"/>
  <c r="O247" i="10"/>
  <c r="N247" i="10"/>
  <c r="M247" i="10"/>
  <c r="L247" i="10"/>
  <c r="K247" i="10"/>
  <c r="P246" i="10"/>
  <c r="Q246" i="10" s="1"/>
  <c r="O246" i="10"/>
  <c r="N246" i="10"/>
  <c r="M246" i="10"/>
  <c r="L246" i="10"/>
  <c r="K246" i="10"/>
  <c r="P245" i="10"/>
  <c r="Q245" i="10" s="1"/>
  <c r="O245" i="10"/>
  <c r="N245" i="10"/>
  <c r="M245" i="10"/>
  <c r="L245" i="10"/>
  <c r="K245" i="10"/>
  <c r="P244" i="10"/>
  <c r="Q244" i="10" s="1"/>
  <c r="O244" i="10"/>
  <c r="N244" i="10"/>
  <c r="M244" i="10"/>
  <c r="L244" i="10"/>
  <c r="K244" i="10"/>
  <c r="P243" i="10"/>
  <c r="Q243" i="10" s="1"/>
  <c r="O243" i="10"/>
  <c r="N243" i="10"/>
  <c r="M243" i="10"/>
  <c r="L243" i="10"/>
  <c r="K243" i="10"/>
  <c r="P242" i="10"/>
  <c r="Q242" i="10" s="1"/>
  <c r="O242" i="10"/>
  <c r="N242" i="10"/>
  <c r="M242" i="10"/>
  <c r="L242" i="10"/>
  <c r="K242" i="10"/>
  <c r="P241" i="10"/>
  <c r="Q241" i="10" s="1"/>
  <c r="O241" i="10"/>
  <c r="N241" i="10"/>
  <c r="M241" i="10"/>
  <c r="L241" i="10"/>
  <c r="K241" i="10"/>
  <c r="P240" i="10"/>
  <c r="Q240" i="10" s="1"/>
  <c r="O240" i="10"/>
  <c r="N240" i="10"/>
  <c r="M240" i="10"/>
  <c r="L240" i="10"/>
  <c r="K240" i="10"/>
  <c r="P239" i="10"/>
  <c r="Q239" i="10" s="1"/>
  <c r="O239" i="10"/>
  <c r="N239" i="10"/>
  <c r="M239" i="10"/>
  <c r="L239" i="10"/>
  <c r="K239" i="10"/>
  <c r="P238" i="10"/>
  <c r="Q238" i="10" s="1"/>
  <c r="O238" i="10"/>
  <c r="N238" i="10"/>
  <c r="M238" i="10"/>
  <c r="L238" i="10"/>
  <c r="K238" i="10"/>
  <c r="P237" i="10"/>
  <c r="Q237" i="10" s="1"/>
  <c r="O237" i="10"/>
  <c r="N237" i="10"/>
  <c r="M237" i="10"/>
  <c r="L237" i="10"/>
  <c r="K237" i="10"/>
  <c r="P236" i="10"/>
  <c r="Q236" i="10" s="1"/>
  <c r="O236" i="10"/>
  <c r="N236" i="10"/>
  <c r="M236" i="10"/>
  <c r="L236" i="10"/>
  <c r="K236" i="10"/>
  <c r="P235" i="10"/>
  <c r="Q235" i="10" s="1"/>
  <c r="O235" i="10"/>
  <c r="N235" i="10"/>
  <c r="M235" i="10"/>
  <c r="L235" i="10"/>
  <c r="K235" i="10"/>
  <c r="P234" i="10"/>
  <c r="Q234" i="10" s="1"/>
  <c r="O234" i="10"/>
  <c r="N234" i="10"/>
  <c r="M234" i="10"/>
  <c r="L234" i="10"/>
  <c r="K234" i="10"/>
  <c r="P233" i="10"/>
  <c r="Q233" i="10" s="1"/>
  <c r="O233" i="10"/>
  <c r="N233" i="10"/>
  <c r="M233" i="10"/>
  <c r="L233" i="10"/>
  <c r="K233" i="10"/>
  <c r="P232" i="10"/>
  <c r="Q232" i="10" s="1"/>
  <c r="O232" i="10"/>
  <c r="N232" i="10"/>
  <c r="M232" i="10"/>
  <c r="L232" i="10"/>
  <c r="K232" i="10"/>
  <c r="P231" i="10"/>
  <c r="Q231" i="10" s="1"/>
  <c r="O231" i="10"/>
  <c r="N231" i="10"/>
  <c r="M231" i="10"/>
  <c r="L231" i="10"/>
  <c r="K231" i="10"/>
  <c r="P230" i="10"/>
  <c r="Q230" i="10" s="1"/>
  <c r="O230" i="10"/>
  <c r="N230" i="10"/>
  <c r="M230" i="10"/>
  <c r="L230" i="10"/>
  <c r="K230" i="10"/>
  <c r="P229" i="10"/>
  <c r="Q229" i="10" s="1"/>
  <c r="O229" i="10"/>
  <c r="N229" i="10"/>
  <c r="M229" i="10"/>
  <c r="L229" i="10"/>
  <c r="K229" i="10"/>
  <c r="P228" i="10"/>
  <c r="Q228" i="10" s="1"/>
  <c r="O228" i="10"/>
  <c r="N228" i="10"/>
  <c r="M228" i="10"/>
  <c r="L228" i="10"/>
  <c r="K228" i="10"/>
  <c r="P227" i="10"/>
  <c r="Q227" i="10" s="1"/>
  <c r="O227" i="10"/>
  <c r="N227" i="10"/>
  <c r="M227" i="10"/>
  <c r="L227" i="10"/>
  <c r="K227" i="10"/>
  <c r="P226" i="10"/>
  <c r="Q226" i="10" s="1"/>
  <c r="O226" i="10"/>
  <c r="N226" i="10"/>
  <c r="M226" i="10"/>
  <c r="L226" i="10"/>
  <c r="K226" i="10"/>
  <c r="P225" i="10"/>
  <c r="Q225" i="10" s="1"/>
  <c r="O225" i="10"/>
  <c r="N225" i="10"/>
  <c r="M225" i="10"/>
  <c r="L225" i="10"/>
  <c r="K225" i="10"/>
  <c r="P224" i="10"/>
  <c r="Q224" i="10" s="1"/>
  <c r="O224" i="10"/>
  <c r="N224" i="10"/>
  <c r="M224" i="10"/>
  <c r="L224" i="10"/>
  <c r="K224" i="10"/>
  <c r="P223" i="10"/>
  <c r="Q223" i="10" s="1"/>
  <c r="O223" i="10"/>
  <c r="N223" i="10"/>
  <c r="M223" i="10"/>
  <c r="L223" i="10"/>
  <c r="K223" i="10"/>
  <c r="P222" i="10"/>
  <c r="Q222" i="10" s="1"/>
  <c r="O222" i="10"/>
  <c r="N222" i="10"/>
  <c r="M222" i="10"/>
  <c r="L222" i="10"/>
  <c r="K222" i="10"/>
  <c r="P221" i="10"/>
  <c r="Q221" i="10" s="1"/>
  <c r="O221" i="10"/>
  <c r="N221" i="10"/>
  <c r="M221" i="10"/>
  <c r="L221" i="10"/>
  <c r="K221" i="10"/>
  <c r="P220" i="10"/>
  <c r="Q220" i="10" s="1"/>
  <c r="O220" i="10"/>
  <c r="N220" i="10"/>
  <c r="M220" i="10"/>
  <c r="L220" i="10"/>
  <c r="K220" i="10"/>
  <c r="P219" i="10"/>
  <c r="Q219" i="10" s="1"/>
  <c r="W219" i="10" s="1"/>
  <c r="O219" i="10"/>
  <c r="N219" i="10"/>
  <c r="M219" i="10"/>
  <c r="L219" i="10"/>
  <c r="K219" i="10"/>
  <c r="P218" i="10"/>
  <c r="Q218" i="10" s="1"/>
  <c r="W218" i="10" s="1"/>
  <c r="O218" i="10"/>
  <c r="N218" i="10"/>
  <c r="M218" i="10"/>
  <c r="L218" i="10"/>
  <c r="K218" i="10"/>
  <c r="P217" i="10"/>
  <c r="Q217" i="10" s="1"/>
  <c r="W217" i="10" s="1"/>
  <c r="O217" i="10"/>
  <c r="N217" i="10"/>
  <c r="M217" i="10"/>
  <c r="L217" i="10"/>
  <c r="K217" i="10"/>
  <c r="P216" i="10"/>
  <c r="Q216" i="10" s="1"/>
  <c r="W216" i="10" s="1"/>
  <c r="O216" i="10"/>
  <c r="N216" i="10"/>
  <c r="M216" i="10"/>
  <c r="L216" i="10"/>
  <c r="K216" i="10"/>
  <c r="P215" i="10"/>
  <c r="Q215" i="10" s="1"/>
  <c r="W215" i="10" s="1"/>
  <c r="O215" i="10"/>
  <c r="N215" i="10"/>
  <c r="M215" i="10"/>
  <c r="L215" i="10"/>
  <c r="K215" i="10"/>
  <c r="P214" i="10"/>
  <c r="Q214" i="10" s="1"/>
  <c r="W214" i="10" s="1"/>
  <c r="O214" i="10"/>
  <c r="N214" i="10"/>
  <c r="M214" i="10"/>
  <c r="L214" i="10"/>
  <c r="K214" i="10"/>
  <c r="P213" i="10"/>
  <c r="Q213" i="10" s="1"/>
  <c r="W213" i="10" s="1"/>
  <c r="O213" i="10"/>
  <c r="N213" i="10"/>
  <c r="M213" i="10"/>
  <c r="L213" i="10"/>
  <c r="K213" i="10"/>
  <c r="P212" i="10"/>
  <c r="Q212" i="10" s="1"/>
  <c r="O212" i="10"/>
  <c r="N212" i="10"/>
  <c r="M212" i="10"/>
  <c r="L212" i="10"/>
  <c r="K212" i="10"/>
  <c r="P211" i="10"/>
  <c r="Q211" i="10" s="1"/>
  <c r="O211" i="10"/>
  <c r="N211" i="10"/>
  <c r="M211" i="10"/>
  <c r="L211" i="10"/>
  <c r="K211" i="10"/>
  <c r="P210" i="10"/>
  <c r="Q210" i="10" s="1"/>
  <c r="O210" i="10"/>
  <c r="N210" i="10"/>
  <c r="M210" i="10"/>
  <c r="L210" i="10"/>
  <c r="K210" i="10"/>
  <c r="P209" i="10"/>
  <c r="Q209" i="10" s="1"/>
  <c r="O209" i="10"/>
  <c r="N209" i="10"/>
  <c r="M209" i="10"/>
  <c r="L209" i="10"/>
  <c r="K209" i="10"/>
  <c r="Q208" i="10"/>
  <c r="P208" i="10"/>
  <c r="O208" i="10"/>
  <c r="N208" i="10"/>
  <c r="M208" i="10"/>
  <c r="L208" i="10"/>
  <c r="K208" i="10"/>
  <c r="P207" i="10"/>
  <c r="Q207" i="10" s="1"/>
  <c r="O207" i="10"/>
  <c r="N207" i="10"/>
  <c r="M207" i="10"/>
  <c r="L207" i="10"/>
  <c r="K207" i="10"/>
  <c r="P206" i="10"/>
  <c r="Q206" i="10" s="1"/>
  <c r="O206" i="10"/>
  <c r="N206" i="10"/>
  <c r="M206" i="10"/>
  <c r="L206" i="10"/>
  <c r="K206" i="10"/>
  <c r="P205" i="10"/>
  <c r="Q205" i="10" s="1"/>
  <c r="O205" i="10"/>
  <c r="N205" i="10"/>
  <c r="M205" i="10"/>
  <c r="L205" i="10"/>
  <c r="K205" i="10"/>
  <c r="P204" i="10"/>
  <c r="Q204" i="10" s="1"/>
  <c r="O204" i="10"/>
  <c r="N204" i="10"/>
  <c r="M204" i="10"/>
  <c r="L204" i="10"/>
  <c r="K204" i="10"/>
  <c r="P203" i="10"/>
  <c r="Q203" i="10" s="1"/>
  <c r="O203" i="10"/>
  <c r="N203" i="10"/>
  <c r="M203" i="10"/>
  <c r="L203" i="10"/>
  <c r="K203" i="10"/>
  <c r="P202" i="10"/>
  <c r="Q202" i="10" s="1"/>
  <c r="O202" i="10"/>
  <c r="N202" i="10"/>
  <c r="M202" i="10"/>
  <c r="L202" i="10"/>
  <c r="K202" i="10"/>
  <c r="P201" i="10"/>
  <c r="Q201" i="10" s="1"/>
  <c r="O201" i="10"/>
  <c r="N201" i="10"/>
  <c r="M201" i="10"/>
  <c r="L201" i="10"/>
  <c r="K201" i="10"/>
  <c r="P200" i="10"/>
  <c r="Q200" i="10" s="1"/>
  <c r="O200" i="10"/>
  <c r="N200" i="10"/>
  <c r="M200" i="10"/>
  <c r="L200" i="10"/>
  <c r="K200" i="10"/>
  <c r="P199" i="10"/>
  <c r="Q199" i="10" s="1"/>
  <c r="O199" i="10"/>
  <c r="N199" i="10"/>
  <c r="M199" i="10"/>
  <c r="L199" i="10"/>
  <c r="K199" i="10"/>
  <c r="P198" i="10"/>
  <c r="Q198" i="10" s="1"/>
  <c r="O198" i="10"/>
  <c r="N198" i="10"/>
  <c r="M198" i="10"/>
  <c r="L198" i="10"/>
  <c r="K198" i="10"/>
  <c r="P197" i="10"/>
  <c r="Q197" i="10" s="1"/>
  <c r="O197" i="10"/>
  <c r="N197" i="10"/>
  <c r="M197" i="10"/>
  <c r="L197" i="10"/>
  <c r="K197" i="10"/>
  <c r="P196" i="10"/>
  <c r="Q196" i="10" s="1"/>
  <c r="O196" i="10"/>
  <c r="N196" i="10"/>
  <c r="M196" i="10"/>
  <c r="L196" i="10"/>
  <c r="K196" i="10"/>
  <c r="P195" i="10"/>
  <c r="Q195" i="10" s="1"/>
  <c r="O195" i="10"/>
  <c r="N195" i="10"/>
  <c r="M195" i="10"/>
  <c r="L195" i="10"/>
  <c r="K195" i="10"/>
  <c r="P194" i="10"/>
  <c r="Q194" i="10" s="1"/>
  <c r="O194" i="10"/>
  <c r="N194" i="10"/>
  <c r="M194" i="10"/>
  <c r="L194" i="10"/>
  <c r="K194" i="10"/>
  <c r="P193" i="10"/>
  <c r="Q193" i="10" s="1"/>
  <c r="O193" i="10"/>
  <c r="N193" i="10"/>
  <c r="M193" i="10"/>
  <c r="L193" i="10"/>
  <c r="K193" i="10"/>
  <c r="P192" i="10"/>
  <c r="Q192" i="10" s="1"/>
  <c r="O192" i="10"/>
  <c r="N192" i="10"/>
  <c r="M192" i="10"/>
  <c r="L192" i="10"/>
  <c r="K192" i="10"/>
  <c r="P191" i="10"/>
  <c r="Q191" i="10" s="1"/>
  <c r="O191" i="10"/>
  <c r="N191" i="10"/>
  <c r="M191" i="10"/>
  <c r="L191" i="10"/>
  <c r="K191" i="10"/>
  <c r="P190" i="10"/>
  <c r="Q190" i="10" s="1"/>
  <c r="O190" i="10"/>
  <c r="N190" i="10"/>
  <c r="M190" i="10"/>
  <c r="L190" i="10"/>
  <c r="K190" i="10"/>
  <c r="P189" i="10"/>
  <c r="Q189" i="10" s="1"/>
  <c r="O189" i="10"/>
  <c r="N189" i="10"/>
  <c r="M189" i="10"/>
  <c r="L189" i="10"/>
  <c r="K189" i="10"/>
  <c r="P188" i="10"/>
  <c r="Q188" i="10" s="1"/>
  <c r="O188" i="10"/>
  <c r="N188" i="10"/>
  <c r="M188" i="10"/>
  <c r="L188" i="10"/>
  <c r="K188" i="10"/>
  <c r="P187" i="10"/>
  <c r="Q187" i="10" s="1"/>
  <c r="O187" i="10"/>
  <c r="N187" i="10"/>
  <c r="M187" i="10"/>
  <c r="L187" i="10"/>
  <c r="K187" i="10"/>
  <c r="P186" i="10"/>
  <c r="Q186" i="10" s="1"/>
  <c r="O186" i="10"/>
  <c r="N186" i="10"/>
  <c r="M186" i="10"/>
  <c r="L186" i="10"/>
  <c r="K186" i="10"/>
  <c r="P185" i="10"/>
  <c r="Q185" i="10" s="1"/>
  <c r="O185" i="10"/>
  <c r="N185" i="10"/>
  <c r="M185" i="10"/>
  <c r="L185" i="10"/>
  <c r="K185" i="10"/>
  <c r="P184" i="10"/>
  <c r="Q184" i="10" s="1"/>
  <c r="O184" i="10"/>
  <c r="N184" i="10"/>
  <c r="M184" i="10"/>
  <c r="L184" i="10"/>
  <c r="K184" i="10"/>
  <c r="P183" i="10"/>
  <c r="Q183" i="10" s="1"/>
  <c r="O183" i="10"/>
  <c r="N183" i="10"/>
  <c r="M183" i="10"/>
  <c r="L183" i="10"/>
  <c r="K183" i="10"/>
  <c r="P182" i="10"/>
  <c r="Q182" i="10" s="1"/>
  <c r="O182" i="10"/>
  <c r="N182" i="10"/>
  <c r="M182" i="10"/>
  <c r="L182" i="10"/>
  <c r="K182" i="10"/>
  <c r="P181" i="10"/>
  <c r="Q181" i="10" s="1"/>
  <c r="O181" i="10"/>
  <c r="N181" i="10"/>
  <c r="M181" i="10"/>
  <c r="L181" i="10"/>
  <c r="K181" i="10"/>
  <c r="P180" i="10"/>
  <c r="Q180" i="10" s="1"/>
  <c r="O180" i="10"/>
  <c r="N180" i="10"/>
  <c r="M180" i="10"/>
  <c r="L180" i="10"/>
  <c r="K180" i="10"/>
  <c r="P179" i="10"/>
  <c r="Q179" i="10" s="1"/>
  <c r="O179" i="10"/>
  <c r="N179" i="10"/>
  <c r="M179" i="10"/>
  <c r="L179" i="10"/>
  <c r="K179" i="10"/>
  <c r="P178" i="10"/>
  <c r="Q178" i="10" s="1"/>
  <c r="O178" i="10"/>
  <c r="N178" i="10"/>
  <c r="M178" i="10"/>
  <c r="L178" i="10"/>
  <c r="K178" i="10"/>
  <c r="P177" i="10"/>
  <c r="Q177" i="10" s="1"/>
  <c r="O177" i="10"/>
  <c r="N177" i="10"/>
  <c r="M177" i="10"/>
  <c r="L177" i="10"/>
  <c r="K177" i="10"/>
  <c r="P176" i="10"/>
  <c r="Q176" i="10" s="1"/>
  <c r="O176" i="10"/>
  <c r="N176" i="10"/>
  <c r="M176" i="10"/>
  <c r="L176" i="10"/>
  <c r="K176" i="10"/>
  <c r="P175" i="10"/>
  <c r="Q175" i="10" s="1"/>
  <c r="O175" i="10"/>
  <c r="N175" i="10"/>
  <c r="M175" i="10"/>
  <c r="L175" i="10"/>
  <c r="K175" i="10"/>
  <c r="P174" i="10"/>
  <c r="Q174" i="10" s="1"/>
  <c r="O174" i="10"/>
  <c r="N174" i="10"/>
  <c r="M174" i="10"/>
  <c r="L174" i="10"/>
  <c r="K174" i="10"/>
  <c r="P173" i="10"/>
  <c r="Q173" i="10" s="1"/>
  <c r="O173" i="10"/>
  <c r="N173" i="10"/>
  <c r="M173" i="10"/>
  <c r="L173" i="10"/>
  <c r="K173" i="10"/>
  <c r="P172" i="10"/>
  <c r="Q172" i="10" s="1"/>
  <c r="O172" i="10"/>
  <c r="N172" i="10"/>
  <c r="M172" i="10"/>
  <c r="L172" i="10"/>
  <c r="K172" i="10"/>
  <c r="P171" i="10"/>
  <c r="Q171" i="10" s="1"/>
  <c r="O171" i="10"/>
  <c r="N171" i="10"/>
  <c r="M171" i="10"/>
  <c r="L171" i="10"/>
  <c r="K171" i="10"/>
  <c r="P170" i="10"/>
  <c r="Q170" i="10" s="1"/>
  <c r="O170" i="10"/>
  <c r="N170" i="10"/>
  <c r="M170" i="10"/>
  <c r="L170" i="10"/>
  <c r="K170" i="10"/>
  <c r="P169" i="10"/>
  <c r="Q169" i="10" s="1"/>
  <c r="O169" i="10"/>
  <c r="N169" i="10"/>
  <c r="M169" i="10"/>
  <c r="L169" i="10"/>
  <c r="K169" i="10"/>
  <c r="P168" i="10"/>
  <c r="Q168" i="10" s="1"/>
  <c r="O168" i="10"/>
  <c r="N168" i="10"/>
  <c r="M168" i="10"/>
  <c r="L168" i="10"/>
  <c r="K168" i="10"/>
  <c r="P167" i="10"/>
  <c r="Q167" i="10" s="1"/>
  <c r="O167" i="10"/>
  <c r="N167" i="10"/>
  <c r="M167" i="10"/>
  <c r="L167" i="10"/>
  <c r="K167" i="10"/>
  <c r="P166" i="10"/>
  <c r="Q166" i="10" s="1"/>
  <c r="O166" i="10"/>
  <c r="N166" i="10"/>
  <c r="M166" i="10"/>
  <c r="L166" i="10"/>
  <c r="K166" i="10"/>
  <c r="P165" i="10"/>
  <c r="Q165" i="10" s="1"/>
  <c r="O165" i="10"/>
  <c r="N165" i="10"/>
  <c r="M165" i="10"/>
  <c r="L165" i="10"/>
  <c r="K165" i="10"/>
  <c r="P164" i="10"/>
  <c r="Q164" i="10" s="1"/>
  <c r="O164" i="10"/>
  <c r="N164" i="10"/>
  <c r="M164" i="10"/>
  <c r="L164" i="10"/>
  <c r="K164" i="10"/>
  <c r="P163" i="10"/>
  <c r="Q163" i="10" s="1"/>
  <c r="O163" i="10"/>
  <c r="N163" i="10"/>
  <c r="M163" i="10"/>
  <c r="L163" i="10"/>
  <c r="K163" i="10"/>
  <c r="P162" i="10"/>
  <c r="Q162" i="10" s="1"/>
  <c r="O162" i="10"/>
  <c r="N162" i="10"/>
  <c r="M162" i="10"/>
  <c r="L162" i="10"/>
  <c r="K162" i="10"/>
  <c r="P161" i="10"/>
  <c r="Q161" i="10" s="1"/>
  <c r="O161" i="10"/>
  <c r="N161" i="10"/>
  <c r="M161" i="10"/>
  <c r="L161" i="10"/>
  <c r="K161" i="10"/>
  <c r="P160" i="10"/>
  <c r="Q160" i="10" s="1"/>
  <c r="O160" i="10"/>
  <c r="N160" i="10"/>
  <c r="M160" i="10"/>
  <c r="L160" i="10"/>
  <c r="K160" i="10"/>
  <c r="P159" i="10"/>
  <c r="Q159" i="10" s="1"/>
  <c r="O159" i="10"/>
  <c r="N159" i="10"/>
  <c r="M159" i="10"/>
  <c r="L159" i="10"/>
  <c r="K159" i="10"/>
  <c r="P158" i="10"/>
  <c r="Q158" i="10" s="1"/>
  <c r="O158" i="10"/>
  <c r="N158" i="10"/>
  <c r="M158" i="10"/>
  <c r="L158" i="10"/>
  <c r="K158" i="10"/>
  <c r="P157" i="10"/>
  <c r="Q157" i="10" s="1"/>
  <c r="O157" i="10"/>
  <c r="N157" i="10"/>
  <c r="M157" i="10"/>
  <c r="L157" i="10"/>
  <c r="K157" i="10"/>
  <c r="P156" i="10"/>
  <c r="Q156" i="10" s="1"/>
  <c r="O156" i="10"/>
  <c r="N156" i="10"/>
  <c r="M156" i="10"/>
  <c r="L156" i="10"/>
  <c r="K156" i="10"/>
  <c r="P155" i="10"/>
  <c r="Q155" i="10" s="1"/>
  <c r="O155" i="10"/>
  <c r="N155" i="10"/>
  <c r="M155" i="10"/>
  <c r="L155" i="10"/>
  <c r="K155" i="10"/>
  <c r="P154" i="10"/>
  <c r="Q154" i="10" s="1"/>
  <c r="O154" i="10"/>
  <c r="N154" i="10"/>
  <c r="M154" i="10"/>
  <c r="L154" i="10"/>
  <c r="K154" i="10"/>
  <c r="P153" i="10"/>
  <c r="Q153" i="10" s="1"/>
  <c r="O153" i="10"/>
  <c r="N153" i="10"/>
  <c r="M153" i="10"/>
  <c r="L153" i="10"/>
  <c r="K153" i="10"/>
  <c r="P152" i="10"/>
  <c r="Q152" i="10" s="1"/>
  <c r="O152" i="10"/>
  <c r="N152" i="10"/>
  <c r="M152" i="10"/>
  <c r="L152" i="10"/>
  <c r="K152" i="10"/>
  <c r="P151" i="10"/>
  <c r="Q151" i="10" s="1"/>
  <c r="O151" i="10"/>
  <c r="N151" i="10"/>
  <c r="M151" i="10"/>
  <c r="L151" i="10"/>
  <c r="K151" i="10"/>
  <c r="P150" i="10"/>
  <c r="Q150" i="10" s="1"/>
  <c r="O150" i="10"/>
  <c r="N150" i="10"/>
  <c r="M150" i="10"/>
  <c r="L150" i="10"/>
  <c r="K150" i="10"/>
  <c r="P149" i="10"/>
  <c r="Q149" i="10" s="1"/>
  <c r="O149" i="10"/>
  <c r="N149" i="10"/>
  <c r="M149" i="10"/>
  <c r="L149" i="10"/>
  <c r="K149" i="10"/>
  <c r="P148" i="10"/>
  <c r="Q148" i="10" s="1"/>
  <c r="O148" i="10"/>
  <c r="N148" i="10"/>
  <c r="M148" i="10"/>
  <c r="L148" i="10"/>
  <c r="K148" i="10"/>
  <c r="P147" i="10"/>
  <c r="Q147" i="10" s="1"/>
  <c r="O147" i="10"/>
  <c r="N147" i="10"/>
  <c r="M147" i="10"/>
  <c r="L147" i="10"/>
  <c r="K147" i="10"/>
  <c r="P146" i="10"/>
  <c r="Q146" i="10" s="1"/>
  <c r="O146" i="10"/>
  <c r="N146" i="10"/>
  <c r="M146" i="10"/>
  <c r="L146" i="10"/>
  <c r="K146" i="10"/>
  <c r="P145" i="10"/>
  <c r="Q145" i="10" s="1"/>
  <c r="O145" i="10"/>
  <c r="N145" i="10"/>
  <c r="M145" i="10"/>
  <c r="L145" i="10"/>
  <c r="K145" i="10"/>
  <c r="P144" i="10"/>
  <c r="Q144" i="10" s="1"/>
  <c r="O144" i="10"/>
  <c r="N144" i="10"/>
  <c r="M144" i="10"/>
  <c r="L144" i="10"/>
  <c r="K144" i="10"/>
  <c r="P143" i="10"/>
  <c r="Q143" i="10" s="1"/>
  <c r="O143" i="10"/>
  <c r="N143" i="10"/>
  <c r="M143" i="10"/>
  <c r="L143" i="10"/>
  <c r="K143" i="10"/>
  <c r="P142" i="10"/>
  <c r="Q142" i="10" s="1"/>
  <c r="O142" i="10"/>
  <c r="N142" i="10"/>
  <c r="M142" i="10"/>
  <c r="L142" i="10"/>
  <c r="K142" i="10"/>
  <c r="P141" i="10"/>
  <c r="Q141" i="10" s="1"/>
  <c r="O141" i="10"/>
  <c r="N141" i="10"/>
  <c r="M141" i="10"/>
  <c r="L141" i="10"/>
  <c r="K141" i="10"/>
  <c r="P140" i="10"/>
  <c r="Q140" i="10" s="1"/>
  <c r="O140" i="10"/>
  <c r="N140" i="10"/>
  <c r="M140" i="10"/>
  <c r="L140" i="10"/>
  <c r="K140" i="10"/>
  <c r="P139" i="10"/>
  <c r="Q139" i="10" s="1"/>
  <c r="O139" i="10"/>
  <c r="N139" i="10"/>
  <c r="M139" i="10"/>
  <c r="L139" i="10"/>
  <c r="K139" i="10"/>
  <c r="P138" i="10"/>
  <c r="Q138" i="10" s="1"/>
  <c r="O138" i="10"/>
  <c r="N138" i="10"/>
  <c r="M138" i="10"/>
  <c r="L138" i="10"/>
  <c r="K138" i="10"/>
  <c r="P137" i="10"/>
  <c r="Q137" i="10" s="1"/>
  <c r="O137" i="10"/>
  <c r="N137" i="10"/>
  <c r="M137" i="10"/>
  <c r="L137" i="10"/>
  <c r="K137" i="10"/>
  <c r="P136" i="10"/>
  <c r="Q136" i="10" s="1"/>
  <c r="O136" i="10"/>
  <c r="N136" i="10"/>
  <c r="M136" i="10"/>
  <c r="L136" i="10"/>
  <c r="K136" i="10"/>
  <c r="P135" i="10"/>
  <c r="Q135" i="10" s="1"/>
  <c r="O135" i="10"/>
  <c r="N135" i="10"/>
  <c r="M135" i="10"/>
  <c r="L135" i="10"/>
  <c r="K135" i="10"/>
  <c r="P134" i="10"/>
  <c r="Q134" i="10" s="1"/>
  <c r="O134" i="10"/>
  <c r="N134" i="10"/>
  <c r="M134" i="10"/>
  <c r="L134" i="10"/>
  <c r="K134" i="10"/>
  <c r="P133" i="10"/>
  <c r="Q133" i="10" s="1"/>
  <c r="O133" i="10"/>
  <c r="N133" i="10"/>
  <c r="M133" i="10"/>
  <c r="L133" i="10"/>
  <c r="K133" i="10"/>
  <c r="P132" i="10"/>
  <c r="Q132" i="10" s="1"/>
  <c r="O132" i="10"/>
  <c r="N132" i="10"/>
  <c r="M132" i="10"/>
  <c r="L132" i="10"/>
  <c r="K132" i="10"/>
  <c r="P131" i="10"/>
  <c r="Q131" i="10" s="1"/>
  <c r="W131" i="10" s="1"/>
  <c r="O131" i="10"/>
  <c r="N131" i="10"/>
  <c r="M131" i="10"/>
  <c r="L131" i="10"/>
  <c r="K131" i="10"/>
  <c r="P130" i="10"/>
  <c r="Q130" i="10" s="1"/>
  <c r="O130" i="10"/>
  <c r="N130" i="10"/>
  <c r="M130" i="10"/>
  <c r="L130" i="10"/>
  <c r="K130" i="10"/>
  <c r="P129" i="10"/>
  <c r="Q129" i="10" s="1"/>
  <c r="O129" i="10"/>
  <c r="N129" i="10"/>
  <c r="M129" i="10"/>
  <c r="L129" i="10"/>
  <c r="K129" i="10"/>
  <c r="P128" i="10"/>
  <c r="Q128" i="10" s="1"/>
  <c r="O128" i="10"/>
  <c r="N128" i="10"/>
  <c r="M128" i="10"/>
  <c r="L128" i="10"/>
  <c r="K128" i="10"/>
  <c r="P127" i="10"/>
  <c r="Q127" i="10" s="1"/>
  <c r="O127" i="10"/>
  <c r="N127" i="10"/>
  <c r="M127" i="10"/>
  <c r="L127" i="10"/>
  <c r="K127" i="10"/>
  <c r="P126" i="10"/>
  <c r="Q126" i="10" s="1"/>
  <c r="O126" i="10"/>
  <c r="N126" i="10"/>
  <c r="M126" i="10"/>
  <c r="L126" i="10"/>
  <c r="K126" i="10"/>
  <c r="P125" i="10"/>
  <c r="Q125" i="10" s="1"/>
  <c r="O125" i="10"/>
  <c r="N125" i="10"/>
  <c r="M125" i="10"/>
  <c r="L125" i="10"/>
  <c r="K125" i="10"/>
  <c r="P124" i="10"/>
  <c r="Q124" i="10" s="1"/>
  <c r="O124" i="10"/>
  <c r="N124" i="10"/>
  <c r="M124" i="10"/>
  <c r="L124" i="10"/>
  <c r="K124" i="10"/>
  <c r="P123" i="10"/>
  <c r="Q123" i="10" s="1"/>
  <c r="O123" i="10"/>
  <c r="N123" i="10"/>
  <c r="M123" i="10"/>
  <c r="L123" i="10"/>
  <c r="K123" i="10"/>
  <c r="P122" i="10"/>
  <c r="Q122" i="10" s="1"/>
  <c r="O122" i="10"/>
  <c r="N122" i="10"/>
  <c r="M122" i="10"/>
  <c r="L122" i="10"/>
  <c r="K122" i="10"/>
  <c r="P121" i="10"/>
  <c r="Q121" i="10" s="1"/>
  <c r="O121" i="10"/>
  <c r="N121" i="10"/>
  <c r="M121" i="10"/>
  <c r="L121" i="10"/>
  <c r="K121" i="10"/>
  <c r="P120" i="10"/>
  <c r="Q120" i="10" s="1"/>
  <c r="O120" i="10"/>
  <c r="N120" i="10"/>
  <c r="M120" i="10"/>
  <c r="L120" i="10"/>
  <c r="K120" i="10"/>
  <c r="P119" i="10"/>
  <c r="Q119" i="10" s="1"/>
  <c r="O119" i="10"/>
  <c r="N119" i="10"/>
  <c r="M119" i="10"/>
  <c r="L119" i="10"/>
  <c r="K119" i="10"/>
  <c r="P118" i="10"/>
  <c r="Q118" i="10" s="1"/>
  <c r="O118" i="10"/>
  <c r="N118" i="10"/>
  <c r="M118" i="10"/>
  <c r="L118" i="10"/>
  <c r="K118" i="10"/>
  <c r="P117" i="10"/>
  <c r="Q117" i="10" s="1"/>
  <c r="O117" i="10"/>
  <c r="N117" i="10"/>
  <c r="M117" i="10"/>
  <c r="L117" i="10"/>
  <c r="K117" i="10"/>
  <c r="P116" i="10"/>
  <c r="Q116" i="10" s="1"/>
  <c r="O116" i="10"/>
  <c r="N116" i="10"/>
  <c r="M116" i="10"/>
  <c r="L116" i="10"/>
  <c r="K116" i="10"/>
  <c r="P115" i="10"/>
  <c r="Q115" i="10" s="1"/>
  <c r="O115" i="10"/>
  <c r="N115" i="10"/>
  <c r="M115" i="10"/>
  <c r="L115" i="10"/>
  <c r="K115" i="10"/>
  <c r="Q114" i="10"/>
  <c r="P114" i="10"/>
  <c r="O114" i="10"/>
  <c r="N114" i="10"/>
  <c r="M114" i="10"/>
  <c r="L114" i="10"/>
  <c r="K114" i="10"/>
  <c r="P113" i="10"/>
  <c r="Q113" i="10" s="1"/>
  <c r="O113" i="10"/>
  <c r="N113" i="10"/>
  <c r="M113" i="10"/>
  <c r="L113" i="10"/>
  <c r="K113" i="10"/>
  <c r="R113" i="10" s="1"/>
  <c r="P112" i="10"/>
  <c r="Q112" i="10" s="1"/>
  <c r="O112" i="10"/>
  <c r="N112" i="10"/>
  <c r="M112" i="10"/>
  <c r="L112" i="10"/>
  <c r="K112" i="10"/>
  <c r="P111" i="10"/>
  <c r="Q111" i="10" s="1"/>
  <c r="O111" i="10"/>
  <c r="N111" i="10"/>
  <c r="M111" i="10"/>
  <c r="L111" i="10"/>
  <c r="K111" i="10"/>
  <c r="P110" i="10"/>
  <c r="Q110" i="10" s="1"/>
  <c r="O110" i="10"/>
  <c r="N110" i="10"/>
  <c r="M110" i="10"/>
  <c r="L110" i="10"/>
  <c r="K110" i="10"/>
  <c r="P109" i="10"/>
  <c r="Q109" i="10" s="1"/>
  <c r="O109" i="10"/>
  <c r="N109" i="10"/>
  <c r="M109" i="10"/>
  <c r="L109" i="10"/>
  <c r="K109" i="10"/>
  <c r="P108" i="10"/>
  <c r="Q108" i="10" s="1"/>
  <c r="O108" i="10"/>
  <c r="N108" i="10"/>
  <c r="M108" i="10"/>
  <c r="L108" i="10"/>
  <c r="K108" i="10"/>
  <c r="P107" i="10"/>
  <c r="Q107" i="10" s="1"/>
  <c r="O107" i="10"/>
  <c r="N107" i="10"/>
  <c r="M107" i="10"/>
  <c r="L107" i="10"/>
  <c r="K107" i="10"/>
  <c r="P106" i="10"/>
  <c r="Q106" i="10" s="1"/>
  <c r="O106" i="10"/>
  <c r="N106" i="10"/>
  <c r="M106" i="10"/>
  <c r="L106" i="10"/>
  <c r="K106" i="10"/>
  <c r="P105" i="10"/>
  <c r="Q105" i="10" s="1"/>
  <c r="O105" i="10"/>
  <c r="N105" i="10"/>
  <c r="M105" i="10"/>
  <c r="L105" i="10"/>
  <c r="K105" i="10"/>
  <c r="P104" i="10"/>
  <c r="Q104" i="10" s="1"/>
  <c r="O104" i="10"/>
  <c r="N104" i="10"/>
  <c r="M104" i="10"/>
  <c r="L104" i="10"/>
  <c r="K104" i="10"/>
  <c r="P103" i="10"/>
  <c r="Q103" i="10" s="1"/>
  <c r="O103" i="10"/>
  <c r="N103" i="10"/>
  <c r="M103" i="10"/>
  <c r="L103" i="10"/>
  <c r="K103" i="10"/>
  <c r="P102" i="10"/>
  <c r="Q102" i="10" s="1"/>
  <c r="O102" i="10"/>
  <c r="N102" i="10"/>
  <c r="M102" i="10"/>
  <c r="L102" i="10"/>
  <c r="K102" i="10"/>
  <c r="P101" i="10"/>
  <c r="Q101" i="10" s="1"/>
  <c r="O101" i="10"/>
  <c r="N101" i="10"/>
  <c r="M101" i="10"/>
  <c r="L101" i="10"/>
  <c r="K101" i="10"/>
  <c r="P100" i="10"/>
  <c r="Q100" i="10" s="1"/>
  <c r="O100" i="10"/>
  <c r="N100" i="10"/>
  <c r="M100" i="10"/>
  <c r="L100" i="10"/>
  <c r="K100" i="10"/>
  <c r="P99" i="10"/>
  <c r="Q99" i="10" s="1"/>
  <c r="O99" i="10"/>
  <c r="N99" i="10"/>
  <c r="M99" i="10"/>
  <c r="L99" i="10"/>
  <c r="K99" i="10"/>
  <c r="P98" i="10"/>
  <c r="Q98" i="10" s="1"/>
  <c r="O98" i="10"/>
  <c r="N98" i="10"/>
  <c r="M98" i="10"/>
  <c r="L98" i="10"/>
  <c r="K98" i="10"/>
  <c r="P97" i="10"/>
  <c r="Q97" i="10" s="1"/>
  <c r="O97" i="10"/>
  <c r="N97" i="10"/>
  <c r="M97" i="10"/>
  <c r="L97" i="10"/>
  <c r="K97" i="10"/>
  <c r="P96" i="10"/>
  <c r="Q96" i="10" s="1"/>
  <c r="O96" i="10"/>
  <c r="N96" i="10"/>
  <c r="M96" i="10"/>
  <c r="L96" i="10"/>
  <c r="K96" i="10"/>
  <c r="P95" i="10"/>
  <c r="Q95" i="10" s="1"/>
  <c r="O95" i="10"/>
  <c r="N95" i="10"/>
  <c r="M95" i="10"/>
  <c r="L95" i="10"/>
  <c r="K95" i="10"/>
  <c r="P94" i="10"/>
  <c r="Q94" i="10" s="1"/>
  <c r="O94" i="10"/>
  <c r="N94" i="10"/>
  <c r="M94" i="10"/>
  <c r="L94" i="10"/>
  <c r="K94" i="10"/>
  <c r="P93" i="10"/>
  <c r="Q93" i="10" s="1"/>
  <c r="O93" i="10"/>
  <c r="N93" i="10"/>
  <c r="M93" i="10"/>
  <c r="L93" i="10"/>
  <c r="K93" i="10"/>
  <c r="P92" i="10"/>
  <c r="Q92" i="10" s="1"/>
  <c r="O92" i="10"/>
  <c r="N92" i="10"/>
  <c r="M92" i="10"/>
  <c r="L92" i="10"/>
  <c r="K92" i="10"/>
  <c r="P91" i="10"/>
  <c r="Q91" i="10" s="1"/>
  <c r="O91" i="10"/>
  <c r="N91" i="10"/>
  <c r="M91" i="10"/>
  <c r="L91" i="10"/>
  <c r="K91" i="10"/>
  <c r="P90" i="10"/>
  <c r="Q90" i="10" s="1"/>
  <c r="O90" i="10"/>
  <c r="N90" i="10"/>
  <c r="M90" i="10"/>
  <c r="L90" i="10"/>
  <c r="K90" i="10"/>
  <c r="P89" i="10"/>
  <c r="Q89" i="10" s="1"/>
  <c r="O89" i="10"/>
  <c r="N89" i="10"/>
  <c r="M89" i="10"/>
  <c r="L89" i="10"/>
  <c r="K89" i="10"/>
  <c r="P88" i="10"/>
  <c r="Q88" i="10" s="1"/>
  <c r="O88" i="10"/>
  <c r="N88" i="10"/>
  <c r="M88" i="10"/>
  <c r="L88" i="10"/>
  <c r="K88" i="10"/>
  <c r="P87" i="10"/>
  <c r="Q87" i="10" s="1"/>
  <c r="O87" i="10"/>
  <c r="N87" i="10"/>
  <c r="M87" i="10"/>
  <c r="L87" i="10"/>
  <c r="K87" i="10"/>
  <c r="P86" i="10"/>
  <c r="Q86" i="10" s="1"/>
  <c r="O86" i="10"/>
  <c r="N86" i="10"/>
  <c r="M86" i="10"/>
  <c r="L86" i="10"/>
  <c r="K86" i="10"/>
  <c r="P85" i="10"/>
  <c r="Q85" i="10" s="1"/>
  <c r="O85" i="10"/>
  <c r="N85" i="10"/>
  <c r="M85" i="10"/>
  <c r="L85" i="10"/>
  <c r="K85" i="10"/>
  <c r="P84" i="10"/>
  <c r="Q84" i="10" s="1"/>
  <c r="O84" i="10"/>
  <c r="N84" i="10"/>
  <c r="M84" i="10"/>
  <c r="L84" i="10"/>
  <c r="K84" i="10"/>
  <c r="P83" i="10"/>
  <c r="Q83" i="10" s="1"/>
  <c r="O83" i="10"/>
  <c r="N83" i="10"/>
  <c r="M83" i="10"/>
  <c r="L83" i="10"/>
  <c r="K83" i="10"/>
  <c r="P82" i="10"/>
  <c r="Q82" i="10" s="1"/>
  <c r="O82" i="10"/>
  <c r="N82" i="10"/>
  <c r="M82" i="10"/>
  <c r="L82" i="10"/>
  <c r="K82" i="10"/>
  <c r="P81" i="10"/>
  <c r="Q81" i="10" s="1"/>
  <c r="O81" i="10"/>
  <c r="N81" i="10"/>
  <c r="M81" i="10"/>
  <c r="L81" i="10"/>
  <c r="K81" i="10"/>
  <c r="P80" i="10"/>
  <c r="Q80" i="10" s="1"/>
  <c r="O80" i="10"/>
  <c r="N80" i="10"/>
  <c r="M80" i="10"/>
  <c r="L80" i="10"/>
  <c r="K80" i="10"/>
  <c r="P79" i="10"/>
  <c r="Q79" i="10" s="1"/>
  <c r="O79" i="10"/>
  <c r="N79" i="10"/>
  <c r="M79" i="10"/>
  <c r="L79" i="10"/>
  <c r="K79" i="10"/>
  <c r="P78" i="10"/>
  <c r="Q78" i="10" s="1"/>
  <c r="O78" i="10"/>
  <c r="N78" i="10"/>
  <c r="M78" i="10"/>
  <c r="L78" i="10"/>
  <c r="K78" i="10"/>
  <c r="P77" i="10"/>
  <c r="Q77" i="10" s="1"/>
  <c r="O77" i="10"/>
  <c r="N77" i="10"/>
  <c r="M77" i="10"/>
  <c r="L77" i="10"/>
  <c r="K77" i="10"/>
  <c r="P76" i="10"/>
  <c r="Q76" i="10" s="1"/>
  <c r="O76" i="10"/>
  <c r="N76" i="10"/>
  <c r="M76" i="10"/>
  <c r="L76" i="10"/>
  <c r="K76" i="10"/>
  <c r="P75" i="10"/>
  <c r="Q75" i="10" s="1"/>
  <c r="O75" i="10"/>
  <c r="N75" i="10"/>
  <c r="M75" i="10"/>
  <c r="L75" i="10"/>
  <c r="K75" i="10"/>
  <c r="P74" i="10"/>
  <c r="Q74" i="10" s="1"/>
  <c r="O74" i="10"/>
  <c r="N74" i="10"/>
  <c r="M74" i="10"/>
  <c r="L74" i="10"/>
  <c r="K74" i="10"/>
  <c r="P73" i="10"/>
  <c r="Q73" i="10" s="1"/>
  <c r="O73" i="10"/>
  <c r="N73" i="10"/>
  <c r="M73" i="10"/>
  <c r="L73" i="10"/>
  <c r="K73" i="10"/>
  <c r="P72" i="10"/>
  <c r="Q72" i="10" s="1"/>
  <c r="O72" i="10"/>
  <c r="N72" i="10"/>
  <c r="M72" i="10"/>
  <c r="L72" i="10"/>
  <c r="K72" i="10"/>
  <c r="P71" i="10"/>
  <c r="Q71" i="10" s="1"/>
  <c r="O71" i="10"/>
  <c r="N71" i="10"/>
  <c r="M71" i="10"/>
  <c r="L71" i="10"/>
  <c r="K71" i="10"/>
  <c r="P70" i="10"/>
  <c r="Q70" i="10" s="1"/>
  <c r="O70" i="10"/>
  <c r="N70" i="10"/>
  <c r="M70" i="10"/>
  <c r="L70" i="10"/>
  <c r="K70" i="10"/>
  <c r="P69" i="10"/>
  <c r="Q69" i="10" s="1"/>
  <c r="O69" i="10"/>
  <c r="N69" i="10"/>
  <c r="M69" i="10"/>
  <c r="L69" i="10"/>
  <c r="K69" i="10"/>
  <c r="P68" i="10"/>
  <c r="Q68" i="10" s="1"/>
  <c r="O68" i="10"/>
  <c r="N68" i="10"/>
  <c r="M68" i="10"/>
  <c r="L68" i="10"/>
  <c r="K68" i="10"/>
  <c r="P67" i="10"/>
  <c r="Q67" i="10" s="1"/>
  <c r="O67" i="10"/>
  <c r="N67" i="10"/>
  <c r="M67" i="10"/>
  <c r="L67" i="10"/>
  <c r="K67" i="10"/>
  <c r="P66" i="10"/>
  <c r="Q66" i="10" s="1"/>
  <c r="O66" i="10"/>
  <c r="N66" i="10"/>
  <c r="M66" i="10"/>
  <c r="L66" i="10"/>
  <c r="K66" i="10"/>
  <c r="P65" i="10"/>
  <c r="Q65" i="10" s="1"/>
  <c r="O65" i="10"/>
  <c r="N65" i="10"/>
  <c r="M65" i="10"/>
  <c r="L65" i="10"/>
  <c r="K65" i="10"/>
  <c r="P64" i="10"/>
  <c r="Q64" i="10" s="1"/>
  <c r="O64" i="10"/>
  <c r="N64" i="10"/>
  <c r="M64" i="10"/>
  <c r="L64" i="10"/>
  <c r="K64" i="10"/>
  <c r="P63" i="10"/>
  <c r="Q63" i="10" s="1"/>
  <c r="O63" i="10"/>
  <c r="N63" i="10"/>
  <c r="M63" i="10"/>
  <c r="L63" i="10"/>
  <c r="K63" i="10"/>
  <c r="P62" i="10"/>
  <c r="Q62" i="10" s="1"/>
  <c r="O62" i="10"/>
  <c r="N62" i="10"/>
  <c r="M62" i="10"/>
  <c r="L62" i="10"/>
  <c r="K62" i="10"/>
  <c r="P61" i="10"/>
  <c r="Q61" i="10" s="1"/>
  <c r="O61" i="10"/>
  <c r="N61" i="10"/>
  <c r="M61" i="10"/>
  <c r="L61" i="10"/>
  <c r="K61" i="10"/>
  <c r="P60" i="10"/>
  <c r="Q60" i="10" s="1"/>
  <c r="O60" i="10"/>
  <c r="N60" i="10"/>
  <c r="M60" i="10"/>
  <c r="L60" i="10"/>
  <c r="K60" i="10"/>
  <c r="P59" i="10"/>
  <c r="Q59" i="10" s="1"/>
  <c r="O59" i="10"/>
  <c r="N59" i="10"/>
  <c r="M59" i="10"/>
  <c r="L59" i="10"/>
  <c r="K59" i="10"/>
  <c r="P58" i="10"/>
  <c r="Q58" i="10" s="1"/>
  <c r="O58" i="10"/>
  <c r="N58" i="10"/>
  <c r="M58" i="10"/>
  <c r="L58" i="10"/>
  <c r="K58" i="10"/>
  <c r="Q57" i="10"/>
  <c r="P57" i="10"/>
  <c r="O57" i="10"/>
  <c r="N57" i="10"/>
  <c r="M57" i="10"/>
  <c r="L57" i="10"/>
  <c r="K57" i="10"/>
  <c r="P56" i="10"/>
  <c r="Q56" i="10" s="1"/>
  <c r="O56" i="10"/>
  <c r="N56" i="10"/>
  <c r="M56" i="10"/>
  <c r="L56" i="10"/>
  <c r="K56" i="10"/>
  <c r="P55" i="10"/>
  <c r="Q55" i="10" s="1"/>
  <c r="O55" i="10"/>
  <c r="N55" i="10"/>
  <c r="M55" i="10"/>
  <c r="L55" i="10"/>
  <c r="K55" i="10"/>
  <c r="P54" i="10"/>
  <c r="Q54" i="10" s="1"/>
  <c r="O54" i="10"/>
  <c r="N54" i="10"/>
  <c r="M54" i="10"/>
  <c r="L54" i="10"/>
  <c r="K54" i="10"/>
  <c r="P53" i="10"/>
  <c r="Q53" i="10" s="1"/>
  <c r="O53" i="10"/>
  <c r="N53" i="10"/>
  <c r="M53" i="10"/>
  <c r="L53" i="10"/>
  <c r="K53" i="10"/>
  <c r="P52" i="10"/>
  <c r="Q52" i="10" s="1"/>
  <c r="O52" i="10"/>
  <c r="N52" i="10"/>
  <c r="M52" i="10"/>
  <c r="L52" i="10"/>
  <c r="K52" i="10"/>
  <c r="P51" i="10"/>
  <c r="Q51" i="10" s="1"/>
  <c r="O51" i="10"/>
  <c r="N51" i="10"/>
  <c r="M51" i="10"/>
  <c r="L51" i="10"/>
  <c r="K51" i="10"/>
  <c r="P50" i="10"/>
  <c r="Q50" i="10" s="1"/>
  <c r="O50" i="10"/>
  <c r="N50" i="10"/>
  <c r="M50" i="10"/>
  <c r="L50" i="10"/>
  <c r="K50" i="10"/>
  <c r="P49" i="10"/>
  <c r="Q49" i="10" s="1"/>
  <c r="O49" i="10"/>
  <c r="N49" i="10"/>
  <c r="M49" i="10"/>
  <c r="L49" i="10"/>
  <c r="K49" i="10"/>
  <c r="P48" i="10"/>
  <c r="Q48" i="10" s="1"/>
  <c r="O48" i="10"/>
  <c r="N48" i="10"/>
  <c r="M48" i="10"/>
  <c r="L48" i="10"/>
  <c r="K48" i="10"/>
  <c r="P47" i="10"/>
  <c r="Q47" i="10" s="1"/>
  <c r="O47" i="10"/>
  <c r="N47" i="10"/>
  <c r="M47" i="10"/>
  <c r="L47" i="10"/>
  <c r="K47" i="10"/>
  <c r="P46" i="10"/>
  <c r="Q46" i="10" s="1"/>
  <c r="O46" i="10"/>
  <c r="N46" i="10"/>
  <c r="M46" i="10"/>
  <c r="L46" i="10"/>
  <c r="K46" i="10"/>
  <c r="P45" i="10"/>
  <c r="Q45" i="10" s="1"/>
  <c r="O45" i="10"/>
  <c r="N45" i="10"/>
  <c r="M45" i="10"/>
  <c r="L45" i="10"/>
  <c r="K45" i="10"/>
  <c r="P44" i="10"/>
  <c r="Q44" i="10" s="1"/>
  <c r="O44" i="10"/>
  <c r="N44" i="10"/>
  <c r="M44" i="10"/>
  <c r="L44" i="10"/>
  <c r="K44" i="10"/>
  <c r="P43" i="10"/>
  <c r="Q43" i="10" s="1"/>
  <c r="O43" i="10"/>
  <c r="N43" i="10"/>
  <c r="M43" i="10"/>
  <c r="L43" i="10"/>
  <c r="K43" i="10"/>
  <c r="P42" i="10"/>
  <c r="Q42" i="10" s="1"/>
  <c r="O42" i="10"/>
  <c r="N42" i="10"/>
  <c r="M42" i="10"/>
  <c r="L42" i="10"/>
  <c r="K42" i="10"/>
  <c r="P41" i="10"/>
  <c r="Q41" i="10" s="1"/>
  <c r="O41" i="10"/>
  <c r="N41" i="10"/>
  <c r="M41" i="10"/>
  <c r="L41" i="10"/>
  <c r="K41" i="10"/>
  <c r="P40" i="10"/>
  <c r="Q40" i="10" s="1"/>
  <c r="O40" i="10"/>
  <c r="N40" i="10"/>
  <c r="M40" i="10"/>
  <c r="L40" i="10"/>
  <c r="K40" i="10"/>
  <c r="P39" i="10"/>
  <c r="Q39" i="10" s="1"/>
  <c r="O39" i="10"/>
  <c r="N39" i="10"/>
  <c r="M39" i="10"/>
  <c r="L39" i="10"/>
  <c r="K39" i="10"/>
  <c r="P38" i="10"/>
  <c r="Q38" i="10" s="1"/>
  <c r="O38" i="10"/>
  <c r="N38" i="10"/>
  <c r="M38" i="10"/>
  <c r="L38" i="10"/>
  <c r="K38" i="10"/>
  <c r="P37" i="10"/>
  <c r="Q37" i="10" s="1"/>
  <c r="O37" i="10"/>
  <c r="N37" i="10"/>
  <c r="M37" i="10"/>
  <c r="L37" i="10"/>
  <c r="K37" i="10"/>
  <c r="P36" i="10"/>
  <c r="Q36" i="10" s="1"/>
  <c r="O36" i="10"/>
  <c r="N36" i="10"/>
  <c r="M36" i="10"/>
  <c r="L36" i="10"/>
  <c r="K36" i="10"/>
  <c r="P35" i="10"/>
  <c r="Q35" i="10" s="1"/>
  <c r="O35" i="10"/>
  <c r="N35" i="10"/>
  <c r="M35" i="10"/>
  <c r="L35" i="10"/>
  <c r="K35" i="10"/>
  <c r="P34" i="10"/>
  <c r="Q34" i="10" s="1"/>
  <c r="O34" i="10"/>
  <c r="N34" i="10"/>
  <c r="M34" i="10"/>
  <c r="L34" i="10"/>
  <c r="K34" i="10"/>
  <c r="P33" i="10"/>
  <c r="Q33" i="10" s="1"/>
  <c r="O33" i="10"/>
  <c r="N33" i="10"/>
  <c r="M33" i="10"/>
  <c r="L33" i="10"/>
  <c r="K33" i="10"/>
  <c r="P32" i="10"/>
  <c r="Q32" i="10" s="1"/>
  <c r="O32" i="10"/>
  <c r="N32" i="10"/>
  <c r="M32" i="10"/>
  <c r="L32" i="10"/>
  <c r="K32" i="10"/>
  <c r="P31" i="10"/>
  <c r="Q31" i="10" s="1"/>
  <c r="O31" i="10"/>
  <c r="N31" i="10"/>
  <c r="M31" i="10"/>
  <c r="L31" i="10"/>
  <c r="K31" i="10"/>
  <c r="P30" i="10"/>
  <c r="Q30" i="10" s="1"/>
  <c r="O30" i="10"/>
  <c r="N30" i="10"/>
  <c r="M30" i="10"/>
  <c r="L30" i="10"/>
  <c r="K30" i="10"/>
  <c r="P29" i="10"/>
  <c r="Q29" i="10" s="1"/>
  <c r="O29" i="10"/>
  <c r="N29" i="10"/>
  <c r="M29" i="10"/>
  <c r="L29" i="10"/>
  <c r="K29" i="10"/>
  <c r="P28" i="10"/>
  <c r="Q28" i="10" s="1"/>
  <c r="O28" i="10"/>
  <c r="N28" i="10"/>
  <c r="M28" i="10"/>
  <c r="L28" i="10"/>
  <c r="K28" i="10"/>
  <c r="P27" i="10"/>
  <c r="Q27" i="10" s="1"/>
  <c r="O27" i="10"/>
  <c r="N27" i="10"/>
  <c r="M27" i="10"/>
  <c r="L27" i="10"/>
  <c r="K27" i="10"/>
  <c r="P26" i="10"/>
  <c r="Q26" i="10" s="1"/>
  <c r="O26" i="10"/>
  <c r="N26" i="10"/>
  <c r="M26" i="10"/>
  <c r="L26" i="10"/>
  <c r="K26" i="10"/>
  <c r="P25" i="10"/>
  <c r="Q25" i="10" s="1"/>
  <c r="O25" i="10"/>
  <c r="N25" i="10"/>
  <c r="M25" i="10"/>
  <c r="L25" i="10"/>
  <c r="K25" i="10"/>
  <c r="P24" i="10"/>
  <c r="Q24" i="10" s="1"/>
  <c r="O24" i="10"/>
  <c r="N24" i="10"/>
  <c r="M24" i="10"/>
  <c r="L24" i="10"/>
  <c r="K24" i="10"/>
  <c r="P23" i="10"/>
  <c r="Q23" i="10" s="1"/>
  <c r="O23" i="10"/>
  <c r="N23" i="10"/>
  <c r="M23" i="10"/>
  <c r="L23" i="10"/>
  <c r="K23" i="10"/>
  <c r="P22" i="10"/>
  <c r="Q22" i="10" s="1"/>
  <c r="O22" i="10"/>
  <c r="N22" i="10"/>
  <c r="M22" i="10"/>
  <c r="L22" i="10"/>
  <c r="K22" i="10"/>
  <c r="P21" i="10"/>
  <c r="Q21" i="10" s="1"/>
  <c r="O21" i="10"/>
  <c r="N21" i="10"/>
  <c r="M21" i="10"/>
  <c r="L21" i="10"/>
  <c r="K21" i="10"/>
  <c r="P20" i="10"/>
  <c r="Q20" i="10" s="1"/>
  <c r="O20" i="10"/>
  <c r="N20" i="10"/>
  <c r="M20" i="10"/>
  <c r="L20" i="10"/>
  <c r="K20" i="10"/>
  <c r="P19" i="10"/>
  <c r="Q19" i="10" s="1"/>
  <c r="O19" i="10"/>
  <c r="N19" i="10"/>
  <c r="M19" i="10"/>
  <c r="L19" i="10"/>
  <c r="K19" i="10"/>
  <c r="P18" i="10"/>
  <c r="Q18" i="10" s="1"/>
  <c r="O18" i="10"/>
  <c r="N18" i="10"/>
  <c r="M18" i="10"/>
  <c r="L18" i="10"/>
  <c r="K18" i="10"/>
  <c r="P17" i="10"/>
  <c r="Q17" i="10" s="1"/>
  <c r="O17" i="10"/>
  <c r="N17" i="10"/>
  <c r="M17" i="10"/>
  <c r="L17" i="10"/>
  <c r="K17" i="10"/>
  <c r="P16" i="10"/>
  <c r="Q16" i="10" s="1"/>
  <c r="O16" i="10"/>
  <c r="N16" i="10"/>
  <c r="M16" i="10"/>
  <c r="L16" i="10"/>
  <c r="K16" i="10"/>
  <c r="P15" i="10"/>
  <c r="Q15" i="10" s="1"/>
  <c r="O15" i="10"/>
  <c r="N15" i="10"/>
  <c r="M15" i="10"/>
  <c r="L15" i="10"/>
  <c r="K15" i="10"/>
  <c r="P14" i="10"/>
  <c r="Q14" i="10" s="1"/>
  <c r="O14" i="10"/>
  <c r="N14" i="10"/>
  <c r="M14" i="10"/>
  <c r="L14" i="10"/>
  <c r="K14" i="10"/>
  <c r="P13" i="10"/>
  <c r="Q13" i="10" s="1"/>
  <c r="O13" i="10"/>
  <c r="N13" i="10"/>
  <c r="M13" i="10"/>
  <c r="L13" i="10"/>
  <c r="K13" i="10"/>
  <c r="P12" i="10"/>
  <c r="Q12" i="10" s="1"/>
  <c r="O12" i="10"/>
  <c r="N12" i="10"/>
  <c r="M12" i="10"/>
  <c r="L12" i="10"/>
  <c r="K12" i="10"/>
  <c r="P11" i="10"/>
  <c r="Q11" i="10" s="1"/>
  <c r="O11" i="10"/>
  <c r="N11" i="10"/>
  <c r="M11" i="10"/>
  <c r="L11" i="10"/>
  <c r="K11" i="10"/>
  <c r="P10" i="10"/>
  <c r="Q10" i="10" s="1"/>
  <c r="O10" i="10"/>
  <c r="N10" i="10"/>
  <c r="M10" i="10"/>
  <c r="L10" i="10"/>
  <c r="K10" i="10"/>
  <c r="P9" i="10"/>
  <c r="Q9" i="10" s="1"/>
  <c r="O9" i="10"/>
  <c r="N9" i="10"/>
  <c r="M9" i="10"/>
  <c r="L9" i="10"/>
  <c r="K9" i="10"/>
  <c r="P8" i="10"/>
  <c r="Q8" i="10" s="1"/>
  <c r="O8" i="10"/>
  <c r="N8" i="10"/>
  <c r="M8" i="10"/>
  <c r="L8" i="10"/>
  <c r="K8" i="10"/>
  <c r="P7" i="10"/>
  <c r="Q7" i="10" s="1"/>
  <c r="O7" i="10"/>
  <c r="N7" i="10"/>
  <c r="M7" i="10"/>
  <c r="L7" i="10"/>
  <c r="K7" i="10"/>
  <c r="AD6" i="10"/>
  <c r="P6" i="10"/>
  <c r="Q6" i="10" s="1"/>
  <c r="O6" i="10"/>
  <c r="N6" i="10"/>
  <c r="M6" i="10"/>
  <c r="L6" i="10"/>
  <c r="K6" i="10"/>
  <c r="AD5" i="10"/>
  <c r="P5" i="10"/>
  <c r="Q5" i="10" s="1"/>
  <c r="O5" i="10"/>
  <c r="N5" i="10"/>
  <c r="M5" i="10"/>
  <c r="L5" i="10"/>
  <c r="K5" i="10"/>
  <c r="AD4" i="10"/>
  <c r="P4" i="10"/>
  <c r="Q4" i="10" s="1"/>
  <c r="O4" i="10"/>
  <c r="N4" i="10"/>
  <c r="M4" i="10"/>
  <c r="L4" i="10"/>
  <c r="K4" i="10"/>
  <c r="AD3" i="10"/>
  <c r="P3" i="10"/>
  <c r="Q3" i="10" s="1"/>
  <c r="O3" i="10"/>
  <c r="N3" i="10"/>
  <c r="M3" i="10"/>
  <c r="L3" i="10"/>
  <c r="K3" i="10"/>
  <c r="AD2" i="10"/>
  <c r="AA2" i="10"/>
  <c r="AB2" i="10" s="1"/>
  <c r="P2" i="10"/>
  <c r="Q2" i="10" s="1"/>
  <c r="O2" i="10"/>
  <c r="N2" i="10"/>
  <c r="M2" i="10"/>
  <c r="L2" i="10"/>
  <c r="K2" i="10"/>
  <c r="V29" i="10" l="1"/>
  <c r="V31" i="10"/>
  <c r="W83" i="10"/>
  <c r="W249" i="10"/>
  <c r="W102" i="10"/>
  <c r="W256" i="10"/>
  <c r="C6" i="10"/>
  <c r="W101" i="10"/>
  <c r="W103" i="10"/>
  <c r="W193" i="10"/>
  <c r="W255" i="10"/>
  <c r="W37" i="10"/>
  <c r="R107" i="10"/>
  <c r="W54" i="10"/>
  <c r="W84" i="10"/>
  <c r="V38" i="10"/>
  <c r="V40" i="10"/>
  <c r="V66" i="10"/>
  <c r="W125" i="10"/>
  <c r="W135" i="10"/>
  <c r="S197" i="10"/>
  <c r="T197" i="10" s="1"/>
  <c r="W248" i="10"/>
  <c r="W91" i="10"/>
  <c r="V169" i="10"/>
  <c r="W184" i="10"/>
  <c r="W205" i="10"/>
  <c r="W224" i="10"/>
  <c r="C4" i="10"/>
  <c r="W234" i="10"/>
  <c r="W92" i="10"/>
  <c r="V109" i="10"/>
  <c r="V111" i="10"/>
  <c r="W183" i="10"/>
  <c r="W185" i="10"/>
  <c r="W187" i="10"/>
  <c r="S225" i="10"/>
  <c r="T225" i="10" s="1"/>
  <c r="W3" i="10"/>
  <c r="C5" i="10"/>
  <c r="W8" i="10"/>
  <c r="V10" i="10"/>
  <c r="W12" i="10"/>
  <c r="V14" i="10"/>
  <c r="W16" i="10"/>
  <c r="X27" i="10"/>
  <c r="W33" i="10"/>
  <c r="V34" i="10"/>
  <c r="V36" i="10"/>
  <c r="V43" i="10"/>
  <c r="W47" i="10"/>
  <c r="W63" i="10"/>
  <c r="W69" i="10"/>
  <c r="W71" i="10"/>
  <c r="W76" i="10"/>
  <c r="W85" i="10"/>
  <c r="V107" i="10"/>
  <c r="R109" i="10"/>
  <c r="W126" i="10"/>
  <c r="W134" i="10"/>
  <c r="W189" i="10"/>
  <c r="W191" i="10"/>
  <c r="V198" i="10"/>
  <c r="V202" i="10"/>
  <c r="W207" i="10"/>
  <c r="W236" i="10"/>
  <c r="W241" i="10"/>
  <c r="W252" i="10"/>
  <c r="W133" i="10"/>
  <c r="W171" i="10"/>
  <c r="V247" i="10"/>
  <c r="W7" i="10"/>
  <c r="X22" i="10"/>
  <c r="V35" i="10"/>
  <c r="V42" i="10"/>
  <c r="V44" i="10"/>
  <c r="W56" i="10"/>
  <c r="R66" i="10"/>
  <c r="S70" i="10"/>
  <c r="T70" i="10" s="1"/>
  <c r="W93" i="10"/>
  <c r="R111" i="10"/>
  <c r="V113" i="10"/>
  <c r="W127" i="10"/>
  <c r="W130" i="10"/>
  <c r="X148" i="10"/>
  <c r="X150" i="10"/>
  <c r="S173" i="10"/>
  <c r="T173" i="10" s="1"/>
  <c r="W176" i="10"/>
  <c r="R178" i="10"/>
  <c r="W186" i="10"/>
  <c r="W188" i="10"/>
  <c r="W190" i="10"/>
  <c r="V199" i="10"/>
  <c r="R201" i="10"/>
  <c r="W221" i="10"/>
  <c r="W226" i="10"/>
  <c r="W235" i="10"/>
  <c r="W242" i="10"/>
  <c r="W251" i="10"/>
  <c r="W253" i="10"/>
  <c r="V5" i="10"/>
  <c r="W18" i="10"/>
  <c r="V19" i="10"/>
  <c r="V24" i="10"/>
  <c r="V26" i="10"/>
  <c r="V30" i="10"/>
  <c r="V32" i="10"/>
  <c r="V39" i="10"/>
  <c r="W45" i="10"/>
  <c r="V46" i="10"/>
  <c r="W129" i="10"/>
  <c r="V141" i="10"/>
  <c r="R143" i="10"/>
  <c r="W175" i="10"/>
  <c r="S223" i="10"/>
  <c r="T223" i="10" s="1"/>
  <c r="C3" i="10"/>
  <c r="X3" i="10"/>
  <c r="S68" i="10"/>
  <c r="T68" i="10" s="1"/>
  <c r="W68" i="10"/>
  <c r="W203" i="10"/>
  <c r="S203" i="10"/>
  <c r="T203" i="10" s="1"/>
  <c r="W115" i="10"/>
  <c r="S115" i="10"/>
  <c r="T115" i="10" s="1"/>
  <c r="W117" i="10"/>
  <c r="S117" i="10"/>
  <c r="T117" i="10" s="1"/>
  <c r="X8" i="10"/>
  <c r="X16" i="10"/>
  <c r="W19" i="10"/>
  <c r="X19" i="10"/>
  <c r="R24" i="10"/>
  <c r="W31" i="10"/>
  <c r="X31" i="10"/>
  <c r="Y31" i="10" s="1"/>
  <c r="V33" i="10"/>
  <c r="W35" i="10"/>
  <c r="X35" i="10"/>
  <c r="Y35" i="10" s="1"/>
  <c r="V37" i="10"/>
  <c r="W39" i="10"/>
  <c r="X39" i="10"/>
  <c r="Y39" i="10" s="1"/>
  <c r="V41" i="10"/>
  <c r="W43" i="10"/>
  <c r="X43" i="10"/>
  <c r="Y43" i="10" s="1"/>
  <c r="V45" i="10"/>
  <c r="X47" i="10"/>
  <c r="X54" i="10"/>
  <c r="V63" i="10"/>
  <c r="W70" i="10"/>
  <c r="X75" i="10"/>
  <c r="X82" i="10"/>
  <c r="X86" i="10"/>
  <c r="X94" i="10"/>
  <c r="X118" i="10"/>
  <c r="X128" i="10"/>
  <c r="X132" i="10"/>
  <c r="X136" i="10"/>
  <c r="V142" i="10"/>
  <c r="V143" i="10"/>
  <c r="X170" i="10"/>
  <c r="W172" i="10"/>
  <c r="V177" i="10"/>
  <c r="V178" i="10"/>
  <c r="X184" i="10"/>
  <c r="X188" i="10"/>
  <c r="X192" i="10"/>
  <c r="W197" i="10"/>
  <c r="V200" i="10"/>
  <c r="V201" i="10"/>
  <c r="X204" i="10"/>
  <c r="W206" i="10"/>
  <c r="X208" i="10"/>
  <c r="X216" i="10"/>
  <c r="X220" i="10"/>
  <c r="W223" i="10"/>
  <c r="W225" i="10"/>
  <c r="X227" i="10"/>
  <c r="X234" i="10"/>
  <c r="X241" i="10"/>
  <c r="X250" i="10"/>
  <c r="X254" i="10"/>
  <c r="W5" i="10"/>
  <c r="X5" i="10"/>
  <c r="Y5" i="10" s="1"/>
  <c r="X7" i="10"/>
  <c r="W10" i="10"/>
  <c r="X10" i="10"/>
  <c r="X18" i="10"/>
  <c r="X23" i="10"/>
  <c r="W30" i="10"/>
  <c r="X30" i="10"/>
  <c r="W34" i="10"/>
  <c r="X34" i="10"/>
  <c r="W38" i="10"/>
  <c r="X38" i="10"/>
  <c r="W42" i="10"/>
  <c r="X42" i="10"/>
  <c r="W46" i="10"/>
  <c r="X46" i="10"/>
  <c r="X53" i="10"/>
  <c r="W55" i="10"/>
  <c r="X57" i="10"/>
  <c r="S64" i="10"/>
  <c r="T64" i="10" s="1"/>
  <c r="U64" i="10" s="1"/>
  <c r="X64" i="10"/>
  <c r="V65" i="10"/>
  <c r="S72" i="10"/>
  <c r="T72" i="10" s="1"/>
  <c r="X74" i="10"/>
  <c r="X85" i="10"/>
  <c r="X93" i="10"/>
  <c r="X103" i="10"/>
  <c r="V106" i="10"/>
  <c r="V110" i="10"/>
  <c r="X127" i="10"/>
  <c r="X131" i="10"/>
  <c r="X135" i="10"/>
  <c r="R141" i="10"/>
  <c r="W169" i="10"/>
  <c r="X169" i="10"/>
  <c r="Y169" i="10" s="1"/>
  <c r="S176" i="10"/>
  <c r="T176" i="10" s="1"/>
  <c r="X183" i="10"/>
  <c r="X187" i="10"/>
  <c r="X191" i="10"/>
  <c r="R199" i="10"/>
  <c r="X207" i="10"/>
  <c r="X215" i="10"/>
  <c r="X219" i="10"/>
  <c r="X226" i="10"/>
  <c r="X233" i="10"/>
  <c r="X237" i="10"/>
  <c r="X249" i="10"/>
  <c r="X253" i="10"/>
  <c r="X12" i="10"/>
  <c r="R26" i="10"/>
  <c r="W29" i="10"/>
  <c r="X29" i="10"/>
  <c r="Y29" i="10" s="1"/>
  <c r="X33" i="10"/>
  <c r="X37" i="10"/>
  <c r="W41" i="10"/>
  <c r="X41" i="10"/>
  <c r="X45" i="10"/>
  <c r="V47" i="10"/>
  <c r="Y47" i="10" s="1"/>
  <c r="X56" i="10"/>
  <c r="X63" i="10"/>
  <c r="X73" i="10"/>
  <c r="W75" i="10"/>
  <c r="W82" i="10"/>
  <c r="X84" i="10"/>
  <c r="W86" i="10"/>
  <c r="X92" i="10"/>
  <c r="W94" i="10"/>
  <c r="X102" i="10"/>
  <c r="W114" i="10"/>
  <c r="W116" i="10"/>
  <c r="W118" i="10"/>
  <c r="X126" i="10"/>
  <c r="W128" i="10"/>
  <c r="X130" i="10"/>
  <c r="W132" i="10"/>
  <c r="X134" i="10"/>
  <c r="W136" i="10"/>
  <c r="V144" i="10"/>
  <c r="W170" i="10"/>
  <c r="X172" i="10"/>
  <c r="V179" i="10"/>
  <c r="X186" i="10"/>
  <c r="X190" i="10"/>
  <c r="W192" i="10"/>
  <c r="W204" i="10"/>
  <c r="X206" i="10"/>
  <c r="W208" i="10"/>
  <c r="X214" i="10"/>
  <c r="X218" i="10"/>
  <c r="W220" i="10"/>
  <c r="W227" i="10"/>
  <c r="X236" i="10"/>
  <c r="X239" i="10"/>
  <c r="V246" i="10"/>
  <c r="X248" i="10"/>
  <c r="W250" i="10"/>
  <c r="X252" i="10"/>
  <c r="W254" i="10"/>
  <c r="X256" i="10"/>
  <c r="W14" i="10"/>
  <c r="X14" i="10"/>
  <c r="V18" i="10"/>
  <c r="X20" i="10"/>
  <c r="X21" i="10"/>
  <c r="V25" i="10"/>
  <c r="W32" i="10"/>
  <c r="X32" i="10"/>
  <c r="Y32" i="10" s="1"/>
  <c r="W36" i="10"/>
  <c r="X36" i="10"/>
  <c r="Y36" i="10" s="1"/>
  <c r="W40" i="10"/>
  <c r="X40" i="10"/>
  <c r="Y40" i="10" s="1"/>
  <c r="W44" i="10"/>
  <c r="X44" i="10"/>
  <c r="Y44" i="10" s="1"/>
  <c r="W53" i="10"/>
  <c r="X55" i="10"/>
  <c r="W57" i="10"/>
  <c r="V67" i="10"/>
  <c r="X76" i="10"/>
  <c r="X83" i="10"/>
  <c r="X91" i="10"/>
  <c r="X101" i="10"/>
  <c r="V108" i="10"/>
  <c r="V112" i="10"/>
  <c r="X125" i="10"/>
  <c r="X129" i="10"/>
  <c r="X133" i="10"/>
  <c r="X171" i="10"/>
  <c r="X185" i="10"/>
  <c r="X189" i="10"/>
  <c r="X193" i="10"/>
  <c r="X205" i="10"/>
  <c r="X213" i="10"/>
  <c r="X217" i="10"/>
  <c r="X221" i="10"/>
  <c r="V222" i="10"/>
  <c r="W233" i="10"/>
  <c r="X235" i="10"/>
  <c r="W237" i="10"/>
  <c r="X242" i="10"/>
  <c r="X251" i="10"/>
  <c r="X255" i="10"/>
  <c r="I2" i="10"/>
  <c r="F3" i="10" s="1"/>
  <c r="V9" i="10"/>
  <c r="R9" i="10"/>
  <c r="X9" i="10"/>
  <c r="W9" i="10"/>
  <c r="S9" i="10"/>
  <c r="T9" i="10" s="1"/>
  <c r="W2" i="10"/>
  <c r="S2" i="10"/>
  <c r="T2" i="10" s="1"/>
  <c r="V2" i="10"/>
  <c r="R2" i="10"/>
  <c r="X2" i="10"/>
  <c r="X11" i="10"/>
  <c r="W11" i="10"/>
  <c r="S11" i="10"/>
  <c r="T11" i="10" s="1"/>
  <c r="V11" i="10"/>
  <c r="R11" i="10"/>
  <c r="Y14" i="10"/>
  <c r="V20" i="10"/>
  <c r="Y20" i="10" s="1"/>
  <c r="R20" i="10"/>
  <c r="S20" i="10"/>
  <c r="T20" i="10" s="1"/>
  <c r="U20" i="10" s="1"/>
  <c r="W20" i="10"/>
  <c r="V13" i="10"/>
  <c r="R13" i="10"/>
  <c r="X13" i="10"/>
  <c r="W13" i="10"/>
  <c r="S13" i="10"/>
  <c r="T13" i="10" s="1"/>
  <c r="V4" i="10"/>
  <c r="X4" i="10"/>
  <c r="W4" i="10"/>
  <c r="S4" i="10"/>
  <c r="T4" i="10" s="1"/>
  <c r="R4" i="10"/>
  <c r="X6" i="10"/>
  <c r="W6" i="10"/>
  <c r="S6" i="10"/>
  <c r="T6" i="10" s="1"/>
  <c r="V6" i="10"/>
  <c r="R6" i="10"/>
  <c r="I3" i="10"/>
  <c r="F4" i="10" s="1"/>
  <c r="Y10" i="10"/>
  <c r="X15" i="10"/>
  <c r="W15" i="10"/>
  <c r="S15" i="10"/>
  <c r="T15" i="10" s="1"/>
  <c r="V15" i="10"/>
  <c r="R15" i="10"/>
  <c r="Y18" i="10"/>
  <c r="Y19" i="10"/>
  <c r="V17" i="10"/>
  <c r="R17" i="10"/>
  <c r="X17" i="10"/>
  <c r="W17" i="10"/>
  <c r="S17" i="10"/>
  <c r="T17" i="10" s="1"/>
  <c r="AC2" i="10"/>
  <c r="S5" i="10"/>
  <c r="T5" i="10" s="1"/>
  <c r="U5" i="10" s="1"/>
  <c r="C2" i="10"/>
  <c r="R3" i="10"/>
  <c r="V3" i="10"/>
  <c r="Y3" i="10" s="1"/>
  <c r="AA3" i="10"/>
  <c r="R7" i="10"/>
  <c r="V7" i="10"/>
  <c r="Y7" i="10" s="1"/>
  <c r="R8" i="10"/>
  <c r="V8" i="10"/>
  <c r="Y8" i="10" s="1"/>
  <c r="R12" i="10"/>
  <c r="V12" i="10"/>
  <c r="Y12" i="10" s="1"/>
  <c r="R16" i="10"/>
  <c r="V16" i="10"/>
  <c r="Y16" i="10" s="1"/>
  <c r="R21" i="10"/>
  <c r="R22" i="10"/>
  <c r="R23" i="10"/>
  <c r="W26" i="10"/>
  <c r="S26" i="10"/>
  <c r="T26" i="10" s="1"/>
  <c r="X26" i="10"/>
  <c r="W28" i="10"/>
  <c r="S28" i="10"/>
  <c r="T28" i="10" s="1"/>
  <c r="X28" i="10"/>
  <c r="Y30" i="10"/>
  <c r="Y34" i="10"/>
  <c r="Y38" i="10"/>
  <c r="Y42" i="10"/>
  <c r="Y46" i="10"/>
  <c r="V49" i="10"/>
  <c r="R49" i="10"/>
  <c r="X49" i="10"/>
  <c r="W49" i="10"/>
  <c r="S49" i="10"/>
  <c r="T49" i="10" s="1"/>
  <c r="U49" i="10" s="1"/>
  <c r="V51" i="10"/>
  <c r="R51" i="10"/>
  <c r="X51" i="10"/>
  <c r="W51" i="10"/>
  <c r="S51" i="10"/>
  <c r="T51" i="10" s="1"/>
  <c r="S7" i="10"/>
  <c r="T7" i="10" s="1"/>
  <c r="U7" i="10" s="1"/>
  <c r="S8" i="10"/>
  <c r="T8" i="10" s="1"/>
  <c r="U8" i="10" s="1"/>
  <c r="S12" i="10"/>
  <c r="T12" i="10" s="1"/>
  <c r="U12" i="10" s="1"/>
  <c r="S16" i="10"/>
  <c r="T16" i="10" s="1"/>
  <c r="U16" i="10" s="1"/>
  <c r="W25" i="10"/>
  <c r="S25" i="10"/>
  <c r="T25" i="10" s="1"/>
  <c r="X25" i="10"/>
  <c r="Y25" i="10" s="1"/>
  <c r="Y45" i="10"/>
  <c r="X58" i="10"/>
  <c r="W58" i="10"/>
  <c r="S58" i="10"/>
  <c r="T58" i="10" s="1"/>
  <c r="V58" i="10"/>
  <c r="R58" i="10"/>
  <c r="X60" i="10"/>
  <c r="W60" i="10"/>
  <c r="S60" i="10"/>
  <c r="T60" i="10" s="1"/>
  <c r="V60" i="10"/>
  <c r="R60" i="10"/>
  <c r="X62" i="10"/>
  <c r="W62" i="10"/>
  <c r="S62" i="10"/>
  <c r="T62" i="10" s="1"/>
  <c r="V62" i="10"/>
  <c r="R62" i="10"/>
  <c r="Y63" i="10"/>
  <c r="AF2" i="10"/>
  <c r="S3" i="10"/>
  <c r="T3" i="10" s="1"/>
  <c r="U3" i="10" s="1"/>
  <c r="R5" i="10"/>
  <c r="R10" i="10"/>
  <c r="R14" i="10"/>
  <c r="R18" i="10"/>
  <c r="R19" i="10"/>
  <c r="W24" i="10"/>
  <c r="S24" i="10"/>
  <c r="T24" i="10" s="1"/>
  <c r="U24" i="10" s="1"/>
  <c r="X24" i="10"/>
  <c r="Y24" i="10" s="1"/>
  <c r="R25" i="10"/>
  <c r="W27" i="10"/>
  <c r="S27" i="10"/>
  <c r="T27" i="10" s="1"/>
  <c r="U27" i="10" s="1"/>
  <c r="V27" i="10"/>
  <c r="Y27" i="10" s="1"/>
  <c r="R27" i="10"/>
  <c r="V28" i="10"/>
  <c r="Y28" i="10" s="1"/>
  <c r="V48" i="10"/>
  <c r="Y48" i="10" s="1"/>
  <c r="R48" i="10"/>
  <c r="X48" i="10"/>
  <c r="W48" i="10"/>
  <c r="S48" i="10"/>
  <c r="T48" i="10" s="1"/>
  <c r="U48" i="10" s="1"/>
  <c r="V50" i="10"/>
  <c r="R50" i="10"/>
  <c r="X50" i="10"/>
  <c r="W50" i="10"/>
  <c r="S50" i="10"/>
  <c r="T50" i="10" s="1"/>
  <c r="V52" i="10"/>
  <c r="R52" i="10"/>
  <c r="X52" i="10"/>
  <c r="W52" i="10"/>
  <c r="S52" i="10"/>
  <c r="T52" i="10" s="1"/>
  <c r="S10" i="10"/>
  <c r="T10" i="10" s="1"/>
  <c r="U10" i="10" s="1"/>
  <c r="S14" i="10"/>
  <c r="T14" i="10" s="1"/>
  <c r="U14" i="10" s="1"/>
  <c r="S18" i="10"/>
  <c r="T18" i="10" s="1"/>
  <c r="U18" i="10" s="1"/>
  <c r="S19" i="10"/>
  <c r="T19" i="10" s="1"/>
  <c r="U19" i="10" s="1"/>
  <c r="W21" i="10"/>
  <c r="S21" i="10"/>
  <c r="T21" i="10" s="1"/>
  <c r="U21" i="10" s="1"/>
  <c r="V21" i="10"/>
  <c r="Y21" i="10" s="1"/>
  <c r="W22" i="10"/>
  <c r="S22" i="10"/>
  <c r="T22" i="10" s="1"/>
  <c r="U22" i="10" s="1"/>
  <c r="V22" i="10"/>
  <c r="Y22" i="10" s="1"/>
  <c r="W23" i="10"/>
  <c r="S23" i="10"/>
  <c r="T23" i="10" s="1"/>
  <c r="U23" i="10" s="1"/>
  <c r="V23" i="10"/>
  <c r="Y23" i="10" s="1"/>
  <c r="Y26" i="10"/>
  <c r="X59" i="10"/>
  <c r="W59" i="10"/>
  <c r="S59" i="10"/>
  <c r="T59" i="10" s="1"/>
  <c r="V59" i="10"/>
  <c r="Y59" i="10" s="1"/>
  <c r="R59" i="10"/>
  <c r="X61" i="10"/>
  <c r="W61" i="10"/>
  <c r="S61" i="10"/>
  <c r="T61" i="10" s="1"/>
  <c r="U61" i="10" s="1"/>
  <c r="V61" i="10"/>
  <c r="R61" i="10"/>
  <c r="R53" i="10"/>
  <c r="V53" i="10"/>
  <c r="Y53" i="10" s="1"/>
  <c r="R54" i="10"/>
  <c r="V54" i="10"/>
  <c r="Y54" i="10" s="1"/>
  <c r="R55" i="10"/>
  <c r="V55" i="10"/>
  <c r="Y55" i="10" s="1"/>
  <c r="R56" i="10"/>
  <c r="V56" i="10"/>
  <c r="Y56" i="10" s="1"/>
  <c r="R57" i="10"/>
  <c r="V57" i="10"/>
  <c r="Y57" i="10" s="1"/>
  <c r="W66" i="10"/>
  <c r="S66" i="10"/>
  <c r="T66" i="10" s="1"/>
  <c r="X66" i="10"/>
  <c r="R67" i="10"/>
  <c r="V68" i="10"/>
  <c r="R68" i="10"/>
  <c r="S69" i="10"/>
  <c r="T69" i="10" s="1"/>
  <c r="X70" i="10"/>
  <c r="U70" i="10" s="1"/>
  <c r="W72" i="10"/>
  <c r="V72" i="10"/>
  <c r="R72" i="10"/>
  <c r="W73" i="10"/>
  <c r="S73" i="10"/>
  <c r="T73" i="10" s="1"/>
  <c r="U73" i="10" s="1"/>
  <c r="V73" i="10"/>
  <c r="Y73" i="10" s="1"/>
  <c r="R73" i="10"/>
  <c r="X78" i="10"/>
  <c r="W78" i="10"/>
  <c r="S78" i="10"/>
  <c r="T78" i="10" s="1"/>
  <c r="V78" i="10"/>
  <c r="R78" i="10"/>
  <c r="X80" i="10"/>
  <c r="W80" i="10"/>
  <c r="S80" i="10"/>
  <c r="T80" i="10" s="1"/>
  <c r="V80" i="10"/>
  <c r="Y80" i="10" s="1"/>
  <c r="R80" i="10"/>
  <c r="W105" i="10"/>
  <c r="S105" i="10"/>
  <c r="T105" i="10" s="1"/>
  <c r="X105" i="10"/>
  <c r="R105" i="10"/>
  <c r="V105" i="10"/>
  <c r="S53" i="10"/>
  <c r="T53" i="10" s="1"/>
  <c r="U53" i="10" s="1"/>
  <c r="S54" i="10"/>
  <c r="T54" i="10" s="1"/>
  <c r="U54" i="10" s="1"/>
  <c r="S55" i="10"/>
  <c r="T55" i="10" s="1"/>
  <c r="U55" i="10" s="1"/>
  <c r="S56" i="10"/>
  <c r="T56" i="10" s="1"/>
  <c r="U56" i="10" s="1"/>
  <c r="S57" i="10"/>
  <c r="T57" i="10" s="1"/>
  <c r="U57" i="10" s="1"/>
  <c r="W64" i="10"/>
  <c r="W65" i="10"/>
  <c r="S65" i="10"/>
  <c r="T65" i="10" s="1"/>
  <c r="X65" i="10"/>
  <c r="Y65" i="10" s="1"/>
  <c r="X69" i="10"/>
  <c r="V71" i="10"/>
  <c r="R71" i="10"/>
  <c r="V87" i="10"/>
  <c r="R87" i="10"/>
  <c r="X87" i="10"/>
  <c r="W87" i="10"/>
  <c r="S87" i="10"/>
  <c r="T87" i="10" s="1"/>
  <c r="V89" i="10"/>
  <c r="R89" i="10"/>
  <c r="X89" i="10"/>
  <c r="W89" i="10"/>
  <c r="S89" i="10"/>
  <c r="T89" i="10" s="1"/>
  <c r="X96" i="10"/>
  <c r="W96" i="10"/>
  <c r="S96" i="10"/>
  <c r="T96" i="10" s="1"/>
  <c r="V96" i="10"/>
  <c r="Y96" i="10" s="1"/>
  <c r="R96" i="10"/>
  <c r="X98" i="10"/>
  <c r="W98" i="10"/>
  <c r="S98" i="10"/>
  <c r="T98" i="10" s="1"/>
  <c r="V98" i="10"/>
  <c r="R98" i="10"/>
  <c r="X100" i="10"/>
  <c r="W100" i="10"/>
  <c r="S100" i="10"/>
  <c r="T100" i="10" s="1"/>
  <c r="V100" i="10"/>
  <c r="R100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46" i="10"/>
  <c r="R47" i="10"/>
  <c r="R63" i="10"/>
  <c r="R64" i="10"/>
  <c r="V64" i="10"/>
  <c r="Y64" i="10" s="1"/>
  <c r="R65" i="10"/>
  <c r="X68" i="10"/>
  <c r="U68" i="10" s="1"/>
  <c r="V70" i="10"/>
  <c r="R70" i="10"/>
  <c r="S71" i="10"/>
  <c r="T71" i="10" s="1"/>
  <c r="X72" i="10"/>
  <c r="U72" i="10" s="1"/>
  <c r="X77" i="10"/>
  <c r="W77" i="10"/>
  <c r="S77" i="10"/>
  <c r="T77" i="10" s="1"/>
  <c r="V77" i="10"/>
  <c r="Y77" i="10" s="1"/>
  <c r="R77" i="10"/>
  <c r="X79" i="10"/>
  <c r="W79" i="10"/>
  <c r="S79" i="10"/>
  <c r="T79" i="10" s="1"/>
  <c r="V79" i="10"/>
  <c r="R79" i="10"/>
  <c r="X81" i="10"/>
  <c r="W81" i="10"/>
  <c r="S81" i="10"/>
  <c r="T81" i="10" s="1"/>
  <c r="V81" i="10"/>
  <c r="R81" i="10"/>
  <c r="V104" i="10"/>
  <c r="R104" i="10"/>
  <c r="X104" i="10"/>
  <c r="W104" i="10"/>
  <c r="S104" i="10"/>
  <c r="T104" i="10" s="1"/>
  <c r="S29" i="10"/>
  <c r="T29" i="10" s="1"/>
  <c r="U29" i="10" s="1"/>
  <c r="S30" i="10"/>
  <c r="T30" i="10" s="1"/>
  <c r="U30" i="10" s="1"/>
  <c r="S31" i="10"/>
  <c r="T31" i="10" s="1"/>
  <c r="U31" i="10" s="1"/>
  <c r="S32" i="10"/>
  <c r="T32" i="10" s="1"/>
  <c r="U32" i="10" s="1"/>
  <c r="S33" i="10"/>
  <c r="T33" i="10" s="1"/>
  <c r="U33" i="10" s="1"/>
  <c r="S34" i="10"/>
  <c r="T34" i="10" s="1"/>
  <c r="U34" i="10" s="1"/>
  <c r="S35" i="10"/>
  <c r="T35" i="10" s="1"/>
  <c r="U35" i="10" s="1"/>
  <c r="S36" i="10"/>
  <c r="T36" i="10" s="1"/>
  <c r="U36" i="10" s="1"/>
  <c r="S37" i="10"/>
  <c r="T37" i="10" s="1"/>
  <c r="U37" i="10" s="1"/>
  <c r="S38" i="10"/>
  <c r="T38" i="10" s="1"/>
  <c r="U38" i="10" s="1"/>
  <c r="S39" i="10"/>
  <c r="T39" i="10" s="1"/>
  <c r="U39" i="10" s="1"/>
  <c r="S40" i="10"/>
  <c r="T40" i="10" s="1"/>
  <c r="U40" i="10" s="1"/>
  <c r="S41" i="10"/>
  <c r="T41" i="10" s="1"/>
  <c r="U41" i="10" s="1"/>
  <c r="S42" i="10"/>
  <c r="T42" i="10" s="1"/>
  <c r="U42" i="10" s="1"/>
  <c r="S43" i="10"/>
  <c r="T43" i="10" s="1"/>
  <c r="U43" i="10" s="1"/>
  <c r="S44" i="10"/>
  <c r="T44" i="10" s="1"/>
  <c r="U44" i="10" s="1"/>
  <c r="S45" i="10"/>
  <c r="T45" i="10" s="1"/>
  <c r="U45" i="10" s="1"/>
  <c r="S46" i="10"/>
  <c r="T46" i="10" s="1"/>
  <c r="U46" i="10" s="1"/>
  <c r="S47" i="10"/>
  <c r="T47" i="10" s="1"/>
  <c r="U47" i="10" s="1"/>
  <c r="S63" i="10"/>
  <c r="T63" i="10" s="1"/>
  <c r="U63" i="10" s="1"/>
  <c r="Y66" i="10"/>
  <c r="W67" i="10"/>
  <c r="S67" i="10"/>
  <c r="T67" i="10" s="1"/>
  <c r="X67" i="10"/>
  <c r="Y67" i="10" s="1"/>
  <c r="V69" i="10"/>
  <c r="R69" i="10"/>
  <c r="X71" i="10"/>
  <c r="W74" i="10"/>
  <c r="S74" i="10"/>
  <c r="T74" i="10" s="1"/>
  <c r="U74" i="10" s="1"/>
  <c r="V74" i="10"/>
  <c r="Y74" i="10" s="1"/>
  <c r="R74" i="10"/>
  <c r="V88" i="10"/>
  <c r="Y88" i="10" s="1"/>
  <c r="R88" i="10"/>
  <c r="X88" i="10"/>
  <c r="W88" i="10"/>
  <c r="S88" i="10"/>
  <c r="T88" i="10" s="1"/>
  <c r="U88" i="10" s="1"/>
  <c r="V90" i="10"/>
  <c r="R90" i="10"/>
  <c r="X90" i="10"/>
  <c r="W90" i="10"/>
  <c r="S90" i="10"/>
  <c r="T90" i="10" s="1"/>
  <c r="X95" i="10"/>
  <c r="W95" i="10"/>
  <c r="S95" i="10"/>
  <c r="T95" i="10" s="1"/>
  <c r="U95" i="10" s="1"/>
  <c r="V95" i="10"/>
  <c r="R95" i="10"/>
  <c r="X97" i="10"/>
  <c r="W97" i="10"/>
  <c r="S97" i="10"/>
  <c r="T97" i="10" s="1"/>
  <c r="V97" i="10"/>
  <c r="R97" i="10"/>
  <c r="X99" i="10"/>
  <c r="W99" i="10"/>
  <c r="S99" i="10"/>
  <c r="T99" i="10" s="1"/>
  <c r="V99" i="10"/>
  <c r="R99" i="10"/>
  <c r="R75" i="10"/>
  <c r="V75" i="10"/>
  <c r="Y75" i="10" s="1"/>
  <c r="R76" i="10"/>
  <c r="V76" i="10"/>
  <c r="Y76" i="10" s="1"/>
  <c r="R91" i="10"/>
  <c r="V91" i="10"/>
  <c r="Y91" i="10" s="1"/>
  <c r="R92" i="10"/>
  <c r="V92" i="10"/>
  <c r="Y92" i="10" s="1"/>
  <c r="R93" i="10"/>
  <c r="V93" i="10"/>
  <c r="Y93" i="10" s="1"/>
  <c r="R94" i="10"/>
  <c r="V94" i="10"/>
  <c r="Y94" i="10" s="1"/>
  <c r="R106" i="10"/>
  <c r="W109" i="10"/>
  <c r="S109" i="10"/>
  <c r="T109" i="10" s="1"/>
  <c r="X109" i="10"/>
  <c r="Y109" i="10" s="1"/>
  <c r="R110" i="10"/>
  <c r="W113" i="10"/>
  <c r="S113" i="10"/>
  <c r="T113" i="10" s="1"/>
  <c r="X113" i="10"/>
  <c r="Y113" i="10" s="1"/>
  <c r="V115" i="10"/>
  <c r="R115" i="10"/>
  <c r="S116" i="10"/>
  <c r="T116" i="10" s="1"/>
  <c r="X117" i="10"/>
  <c r="U117" i="10" s="1"/>
  <c r="S75" i="10"/>
  <c r="T75" i="10" s="1"/>
  <c r="U75" i="10" s="1"/>
  <c r="S76" i="10"/>
  <c r="T76" i="10" s="1"/>
  <c r="U76" i="10" s="1"/>
  <c r="S91" i="10"/>
  <c r="T91" i="10" s="1"/>
  <c r="U91" i="10" s="1"/>
  <c r="S92" i="10"/>
  <c r="T92" i="10" s="1"/>
  <c r="U92" i="10" s="1"/>
  <c r="S93" i="10"/>
  <c r="T93" i="10" s="1"/>
  <c r="U93" i="10" s="1"/>
  <c r="S94" i="10"/>
  <c r="T94" i="10" s="1"/>
  <c r="U94" i="10" s="1"/>
  <c r="W108" i="10"/>
  <c r="S108" i="10"/>
  <c r="T108" i="10" s="1"/>
  <c r="U108" i="10" s="1"/>
  <c r="X108" i="10"/>
  <c r="Y108" i="10" s="1"/>
  <c r="W112" i="10"/>
  <c r="S112" i="10"/>
  <c r="T112" i="10" s="1"/>
  <c r="X112" i="10"/>
  <c r="Y112" i="10" s="1"/>
  <c r="V114" i="10"/>
  <c r="R114" i="10"/>
  <c r="X116" i="10"/>
  <c r="V120" i="10"/>
  <c r="R120" i="10"/>
  <c r="X120" i="10"/>
  <c r="W120" i="10"/>
  <c r="S120" i="10"/>
  <c r="T120" i="10" s="1"/>
  <c r="V122" i="10"/>
  <c r="R122" i="10"/>
  <c r="X122" i="10"/>
  <c r="W122" i="10"/>
  <c r="S122" i="10"/>
  <c r="T122" i="10" s="1"/>
  <c r="V124" i="10"/>
  <c r="R124" i="10"/>
  <c r="X124" i="10"/>
  <c r="W124" i="10"/>
  <c r="S124" i="10"/>
  <c r="T124" i="10" s="1"/>
  <c r="X137" i="10"/>
  <c r="W137" i="10"/>
  <c r="S137" i="10"/>
  <c r="T137" i="10" s="1"/>
  <c r="V137" i="10"/>
  <c r="R137" i="10"/>
  <c r="X139" i="10"/>
  <c r="W139" i="10"/>
  <c r="S139" i="10"/>
  <c r="T139" i="10" s="1"/>
  <c r="V139" i="10"/>
  <c r="R139" i="10"/>
  <c r="R82" i="10"/>
  <c r="V82" i="10"/>
  <c r="Y82" i="10" s="1"/>
  <c r="R83" i="10"/>
  <c r="V83" i="10"/>
  <c r="Y83" i="10" s="1"/>
  <c r="R84" i="10"/>
  <c r="V84" i="10"/>
  <c r="Y84" i="10" s="1"/>
  <c r="R85" i="10"/>
  <c r="V85" i="10"/>
  <c r="Y85" i="10" s="1"/>
  <c r="R86" i="10"/>
  <c r="V86" i="10"/>
  <c r="Y86" i="10" s="1"/>
  <c r="R101" i="10"/>
  <c r="V101" i="10"/>
  <c r="Y101" i="10" s="1"/>
  <c r="R102" i="10"/>
  <c r="V102" i="10"/>
  <c r="Y102" i="10" s="1"/>
  <c r="R103" i="10"/>
  <c r="V103" i="10"/>
  <c r="Y103" i="10" s="1"/>
  <c r="W107" i="10"/>
  <c r="S107" i="10"/>
  <c r="T107" i="10" s="1"/>
  <c r="X107" i="10"/>
  <c r="Y107" i="10" s="1"/>
  <c r="R108" i="10"/>
  <c r="W111" i="10"/>
  <c r="S111" i="10"/>
  <c r="T111" i="10" s="1"/>
  <c r="X111" i="10"/>
  <c r="Y111" i="10" s="1"/>
  <c r="R112" i="10"/>
  <c r="S114" i="10"/>
  <c r="T114" i="10" s="1"/>
  <c r="X115" i="10"/>
  <c r="U115" i="10" s="1"/>
  <c r="V117" i="10"/>
  <c r="R117" i="10"/>
  <c r="X140" i="10"/>
  <c r="S82" i="10"/>
  <c r="T82" i="10" s="1"/>
  <c r="U82" i="10" s="1"/>
  <c r="S83" i="10"/>
  <c r="T83" i="10" s="1"/>
  <c r="U83" i="10" s="1"/>
  <c r="S84" i="10"/>
  <c r="T84" i="10" s="1"/>
  <c r="U84" i="10" s="1"/>
  <c r="S85" i="10"/>
  <c r="T85" i="10" s="1"/>
  <c r="U85" i="10" s="1"/>
  <c r="S86" i="10"/>
  <c r="T86" i="10" s="1"/>
  <c r="U86" i="10" s="1"/>
  <c r="S101" i="10"/>
  <c r="T101" i="10" s="1"/>
  <c r="U101" i="10" s="1"/>
  <c r="S102" i="10"/>
  <c r="T102" i="10" s="1"/>
  <c r="U102" i="10" s="1"/>
  <c r="S103" i="10"/>
  <c r="T103" i="10" s="1"/>
  <c r="U103" i="10" s="1"/>
  <c r="W106" i="10"/>
  <c r="S106" i="10"/>
  <c r="T106" i="10" s="1"/>
  <c r="X106" i="10"/>
  <c r="Y106" i="10" s="1"/>
  <c r="W110" i="10"/>
  <c r="S110" i="10"/>
  <c r="T110" i="10" s="1"/>
  <c r="X110" i="10"/>
  <c r="Y110" i="10" s="1"/>
  <c r="X114" i="10"/>
  <c r="V116" i="10"/>
  <c r="Y116" i="10" s="1"/>
  <c r="R116" i="10"/>
  <c r="V119" i="10"/>
  <c r="R119" i="10"/>
  <c r="X119" i="10"/>
  <c r="W119" i="10"/>
  <c r="S119" i="10"/>
  <c r="T119" i="10" s="1"/>
  <c r="V121" i="10"/>
  <c r="R121" i="10"/>
  <c r="X121" i="10"/>
  <c r="W121" i="10"/>
  <c r="S121" i="10"/>
  <c r="T121" i="10" s="1"/>
  <c r="V123" i="10"/>
  <c r="R123" i="10"/>
  <c r="X123" i="10"/>
  <c r="W123" i="10"/>
  <c r="S123" i="10"/>
  <c r="T123" i="10" s="1"/>
  <c r="X138" i="10"/>
  <c r="W138" i="10"/>
  <c r="S138" i="10"/>
  <c r="T138" i="10" s="1"/>
  <c r="V138" i="10"/>
  <c r="R138" i="10"/>
  <c r="W140" i="10"/>
  <c r="S140" i="10"/>
  <c r="T140" i="10" s="1"/>
  <c r="U140" i="10" s="1"/>
  <c r="V140" i="10"/>
  <c r="Y140" i="10" s="1"/>
  <c r="R140" i="10"/>
  <c r="R125" i="10"/>
  <c r="V125" i="10"/>
  <c r="Y125" i="10" s="1"/>
  <c r="R126" i="10"/>
  <c r="V126" i="10"/>
  <c r="Y126" i="10" s="1"/>
  <c r="R127" i="10"/>
  <c r="V127" i="10"/>
  <c r="Y127" i="10" s="1"/>
  <c r="R128" i="10"/>
  <c r="V128" i="10"/>
  <c r="Y128" i="10" s="1"/>
  <c r="R129" i="10"/>
  <c r="V129" i="10"/>
  <c r="Y129" i="10" s="1"/>
  <c r="R130" i="10"/>
  <c r="V130" i="10"/>
  <c r="Y130" i="10" s="1"/>
  <c r="R131" i="10"/>
  <c r="V131" i="10"/>
  <c r="Y131" i="10" s="1"/>
  <c r="R132" i="10"/>
  <c r="V132" i="10"/>
  <c r="Y132" i="10" s="1"/>
  <c r="R133" i="10"/>
  <c r="V133" i="10"/>
  <c r="Y133" i="10" s="1"/>
  <c r="R134" i="10"/>
  <c r="V134" i="10"/>
  <c r="Y134" i="10" s="1"/>
  <c r="R135" i="10"/>
  <c r="V135" i="10"/>
  <c r="Y135" i="10" s="1"/>
  <c r="R136" i="10"/>
  <c r="V136" i="10"/>
  <c r="Y136" i="10" s="1"/>
  <c r="W143" i="10"/>
  <c r="S143" i="10"/>
  <c r="T143" i="10" s="1"/>
  <c r="X143" i="10"/>
  <c r="R144" i="10"/>
  <c r="W145" i="10"/>
  <c r="S145" i="10"/>
  <c r="T145" i="10" s="1"/>
  <c r="V145" i="10"/>
  <c r="R145" i="10"/>
  <c r="S125" i="10"/>
  <c r="T125" i="10" s="1"/>
  <c r="U125" i="10" s="1"/>
  <c r="S126" i="10"/>
  <c r="T126" i="10" s="1"/>
  <c r="U126" i="10" s="1"/>
  <c r="S127" i="10"/>
  <c r="T127" i="10" s="1"/>
  <c r="U127" i="10" s="1"/>
  <c r="S128" i="10"/>
  <c r="T128" i="10" s="1"/>
  <c r="U128" i="10" s="1"/>
  <c r="S129" i="10"/>
  <c r="T129" i="10" s="1"/>
  <c r="U129" i="10" s="1"/>
  <c r="S130" i="10"/>
  <c r="T130" i="10" s="1"/>
  <c r="U130" i="10" s="1"/>
  <c r="S131" i="10"/>
  <c r="T131" i="10" s="1"/>
  <c r="U131" i="10" s="1"/>
  <c r="S132" i="10"/>
  <c r="T132" i="10" s="1"/>
  <c r="U132" i="10" s="1"/>
  <c r="S133" i="10"/>
  <c r="T133" i="10" s="1"/>
  <c r="U133" i="10" s="1"/>
  <c r="S134" i="10"/>
  <c r="T134" i="10" s="1"/>
  <c r="U134" i="10" s="1"/>
  <c r="S135" i="10"/>
  <c r="T135" i="10" s="1"/>
  <c r="U135" i="10" s="1"/>
  <c r="S136" i="10"/>
  <c r="T136" i="10" s="1"/>
  <c r="U136" i="10" s="1"/>
  <c r="W142" i="10"/>
  <c r="S142" i="10"/>
  <c r="T142" i="10" s="1"/>
  <c r="X142" i="10"/>
  <c r="Y142" i="10" s="1"/>
  <c r="X146" i="10"/>
  <c r="W147" i="10"/>
  <c r="S147" i="10"/>
  <c r="T147" i="10" s="1"/>
  <c r="V147" i="10"/>
  <c r="R147" i="10"/>
  <c r="W149" i="10"/>
  <c r="S149" i="10"/>
  <c r="T149" i="10" s="1"/>
  <c r="V149" i="10"/>
  <c r="R149" i="10"/>
  <c r="W151" i="10"/>
  <c r="S151" i="10"/>
  <c r="T151" i="10" s="1"/>
  <c r="V151" i="10"/>
  <c r="R151" i="10"/>
  <c r="X153" i="10"/>
  <c r="W153" i="10"/>
  <c r="S153" i="10"/>
  <c r="T153" i="10" s="1"/>
  <c r="V153" i="10"/>
  <c r="R153" i="10"/>
  <c r="X155" i="10"/>
  <c r="W155" i="10"/>
  <c r="S155" i="10"/>
  <c r="T155" i="10" s="1"/>
  <c r="V155" i="10"/>
  <c r="R155" i="10"/>
  <c r="X157" i="10"/>
  <c r="W157" i="10"/>
  <c r="S157" i="10"/>
  <c r="T157" i="10" s="1"/>
  <c r="V157" i="10"/>
  <c r="R157" i="10"/>
  <c r="X159" i="10"/>
  <c r="W159" i="10"/>
  <c r="S159" i="10"/>
  <c r="T159" i="10" s="1"/>
  <c r="V159" i="10"/>
  <c r="R159" i="10"/>
  <c r="X161" i="10"/>
  <c r="W161" i="10"/>
  <c r="S161" i="10"/>
  <c r="T161" i="10" s="1"/>
  <c r="V161" i="10"/>
  <c r="R161" i="10"/>
  <c r="X163" i="10"/>
  <c r="W163" i="10"/>
  <c r="S163" i="10"/>
  <c r="T163" i="10" s="1"/>
  <c r="V163" i="10"/>
  <c r="R163" i="10"/>
  <c r="X165" i="10"/>
  <c r="W165" i="10"/>
  <c r="S165" i="10"/>
  <c r="T165" i="10" s="1"/>
  <c r="V165" i="10"/>
  <c r="R165" i="10"/>
  <c r="X167" i="10"/>
  <c r="W167" i="10"/>
  <c r="S167" i="10"/>
  <c r="T167" i="10" s="1"/>
  <c r="V167" i="10"/>
  <c r="R167" i="10"/>
  <c r="R118" i="10"/>
  <c r="V118" i="10"/>
  <c r="Y118" i="10" s="1"/>
  <c r="W141" i="10"/>
  <c r="S141" i="10"/>
  <c r="T141" i="10" s="1"/>
  <c r="X141" i="10"/>
  <c r="Y141" i="10" s="1"/>
  <c r="R142" i="10"/>
  <c r="X145" i="10"/>
  <c r="S118" i="10"/>
  <c r="T118" i="10" s="1"/>
  <c r="U118" i="10" s="1"/>
  <c r="Y143" i="10"/>
  <c r="X144" i="10"/>
  <c r="Y144" i="10" s="1"/>
  <c r="W144" i="10"/>
  <c r="S144" i="10"/>
  <c r="T144" i="10" s="1"/>
  <c r="W146" i="10"/>
  <c r="S146" i="10"/>
  <c r="T146" i="10" s="1"/>
  <c r="U146" i="10" s="1"/>
  <c r="V146" i="10"/>
  <c r="R146" i="10"/>
  <c r="X147" i="10"/>
  <c r="W148" i="10"/>
  <c r="S148" i="10"/>
  <c r="T148" i="10" s="1"/>
  <c r="U148" i="10" s="1"/>
  <c r="V148" i="10"/>
  <c r="Y148" i="10" s="1"/>
  <c r="R148" i="10"/>
  <c r="X149" i="10"/>
  <c r="W150" i="10"/>
  <c r="S150" i="10"/>
  <c r="T150" i="10" s="1"/>
  <c r="U150" i="10" s="1"/>
  <c r="V150" i="10"/>
  <c r="Y150" i="10" s="1"/>
  <c r="R150" i="10"/>
  <c r="X151" i="10"/>
  <c r="X152" i="10"/>
  <c r="W152" i="10"/>
  <c r="S152" i="10"/>
  <c r="T152" i="10" s="1"/>
  <c r="V152" i="10"/>
  <c r="R152" i="10"/>
  <c r="X154" i="10"/>
  <c r="W154" i="10"/>
  <c r="S154" i="10"/>
  <c r="T154" i="10" s="1"/>
  <c r="V154" i="10"/>
  <c r="R154" i="10"/>
  <c r="X156" i="10"/>
  <c r="W156" i="10"/>
  <c r="S156" i="10"/>
  <c r="T156" i="10" s="1"/>
  <c r="V156" i="10"/>
  <c r="R156" i="10"/>
  <c r="X158" i="10"/>
  <c r="W158" i="10"/>
  <c r="S158" i="10"/>
  <c r="T158" i="10" s="1"/>
  <c r="V158" i="10"/>
  <c r="R158" i="10"/>
  <c r="X160" i="10"/>
  <c r="W160" i="10"/>
  <c r="S160" i="10"/>
  <c r="T160" i="10" s="1"/>
  <c r="V160" i="10"/>
  <c r="R160" i="10"/>
  <c r="X162" i="10"/>
  <c r="W162" i="10"/>
  <c r="S162" i="10"/>
  <c r="T162" i="10" s="1"/>
  <c r="V162" i="10"/>
  <c r="R162" i="10"/>
  <c r="X164" i="10"/>
  <c r="W164" i="10"/>
  <c r="S164" i="10"/>
  <c r="T164" i="10" s="1"/>
  <c r="V164" i="10"/>
  <c r="R164" i="10"/>
  <c r="X166" i="10"/>
  <c r="W166" i="10"/>
  <c r="S166" i="10"/>
  <c r="T166" i="10" s="1"/>
  <c r="V166" i="10"/>
  <c r="R166" i="10"/>
  <c r="X168" i="10"/>
  <c r="W168" i="10"/>
  <c r="S168" i="10"/>
  <c r="T168" i="10" s="1"/>
  <c r="V168" i="10"/>
  <c r="R168" i="10"/>
  <c r="V176" i="10"/>
  <c r="R176" i="10"/>
  <c r="R177" i="10"/>
  <c r="V195" i="10"/>
  <c r="R195" i="10"/>
  <c r="X195" i="10"/>
  <c r="W195" i="10"/>
  <c r="S195" i="10"/>
  <c r="T195" i="10" s="1"/>
  <c r="V173" i="10"/>
  <c r="V174" i="10"/>
  <c r="W174" i="10"/>
  <c r="V175" i="10"/>
  <c r="R175" i="10"/>
  <c r="W179" i="10"/>
  <c r="S179" i="10"/>
  <c r="T179" i="10" s="1"/>
  <c r="X179" i="10"/>
  <c r="Y179" i="10" s="1"/>
  <c r="X180" i="10"/>
  <c r="W180" i="10"/>
  <c r="S180" i="10"/>
  <c r="T180" i="10" s="1"/>
  <c r="V180" i="10"/>
  <c r="R180" i="10"/>
  <c r="X182" i="10"/>
  <c r="W182" i="10"/>
  <c r="S182" i="10"/>
  <c r="T182" i="10" s="1"/>
  <c r="V182" i="10"/>
  <c r="R182" i="10"/>
  <c r="R169" i="10"/>
  <c r="R170" i="10"/>
  <c r="V170" i="10"/>
  <c r="Y170" i="10" s="1"/>
  <c r="R171" i="10"/>
  <c r="V171" i="10"/>
  <c r="Y171" i="10" s="1"/>
  <c r="R172" i="10"/>
  <c r="V172" i="10"/>
  <c r="Y172" i="10" s="1"/>
  <c r="R173" i="10"/>
  <c r="W173" i="10"/>
  <c r="R174" i="10"/>
  <c r="S175" i="10"/>
  <c r="T175" i="10" s="1"/>
  <c r="X176" i="10"/>
  <c r="U176" i="10" s="1"/>
  <c r="W178" i="10"/>
  <c r="S178" i="10"/>
  <c r="T178" i="10" s="1"/>
  <c r="X178" i="10"/>
  <c r="Y178" i="10" s="1"/>
  <c r="R179" i="10"/>
  <c r="V194" i="10"/>
  <c r="R194" i="10"/>
  <c r="X194" i="10"/>
  <c r="W194" i="10"/>
  <c r="S194" i="10"/>
  <c r="T194" i="10" s="1"/>
  <c r="V196" i="10"/>
  <c r="R196" i="10"/>
  <c r="X196" i="10"/>
  <c r="W196" i="10"/>
  <c r="S196" i="10"/>
  <c r="T196" i="10" s="1"/>
  <c r="S169" i="10"/>
  <c r="T169" i="10" s="1"/>
  <c r="U169" i="10" s="1"/>
  <c r="S170" i="10"/>
  <c r="T170" i="10" s="1"/>
  <c r="U170" i="10" s="1"/>
  <c r="S171" i="10"/>
  <c r="T171" i="10" s="1"/>
  <c r="U171" i="10" s="1"/>
  <c r="S172" i="10"/>
  <c r="T172" i="10" s="1"/>
  <c r="U172" i="10" s="1"/>
  <c r="X173" i="10"/>
  <c r="U173" i="10" s="1"/>
  <c r="X174" i="10"/>
  <c r="S174" i="10"/>
  <c r="T174" i="10" s="1"/>
  <c r="X175" i="10"/>
  <c r="W177" i="10"/>
  <c r="S177" i="10"/>
  <c r="T177" i="10" s="1"/>
  <c r="U177" i="10" s="1"/>
  <c r="X177" i="10"/>
  <c r="Y177" i="10" s="1"/>
  <c r="X181" i="10"/>
  <c r="W181" i="10"/>
  <c r="S181" i="10"/>
  <c r="T181" i="10" s="1"/>
  <c r="V181" i="10"/>
  <c r="R181" i="10"/>
  <c r="X197" i="10"/>
  <c r="U197" i="10" s="1"/>
  <c r="W199" i="10"/>
  <c r="S199" i="10"/>
  <c r="T199" i="10" s="1"/>
  <c r="X199" i="10"/>
  <c r="Y199" i="10" s="1"/>
  <c r="R200" i="10"/>
  <c r="X203" i="10"/>
  <c r="U203" i="10" s="1"/>
  <c r="V210" i="10"/>
  <c r="R210" i="10"/>
  <c r="X210" i="10"/>
  <c r="W210" i="10"/>
  <c r="S210" i="10"/>
  <c r="T210" i="10" s="1"/>
  <c r="V212" i="10"/>
  <c r="R212" i="10"/>
  <c r="X212" i="10"/>
  <c r="W212" i="10"/>
  <c r="S212" i="10"/>
  <c r="T212" i="10" s="1"/>
  <c r="W198" i="10"/>
  <c r="S198" i="10"/>
  <c r="T198" i="10" s="1"/>
  <c r="X198" i="10"/>
  <c r="Y198" i="10" s="1"/>
  <c r="W202" i="10"/>
  <c r="S202" i="10"/>
  <c r="T202" i="10" s="1"/>
  <c r="X202" i="10"/>
  <c r="Y202" i="10" s="1"/>
  <c r="R183" i="10"/>
  <c r="V183" i="10"/>
  <c r="Y183" i="10" s="1"/>
  <c r="R184" i="10"/>
  <c r="V184" i="10"/>
  <c r="Y184" i="10" s="1"/>
  <c r="R185" i="10"/>
  <c r="V185" i="10"/>
  <c r="Y185" i="10" s="1"/>
  <c r="R186" i="10"/>
  <c r="V186" i="10"/>
  <c r="Y186" i="10" s="1"/>
  <c r="R187" i="10"/>
  <c r="V187" i="10"/>
  <c r="Y187" i="10" s="1"/>
  <c r="R188" i="10"/>
  <c r="V188" i="10"/>
  <c r="Y188" i="10" s="1"/>
  <c r="R189" i="10"/>
  <c r="V189" i="10"/>
  <c r="Y189" i="10" s="1"/>
  <c r="R190" i="10"/>
  <c r="V190" i="10"/>
  <c r="Y190" i="10" s="1"/>
  <c r="R191" i="10"/>
  <c r="V191" i="10"/>
  <c r="Y191" i="10" s="1"/>
  <c r="R192" i="10"/>
  <c r="V192" i="10"/>
  <c r="Y192" i="10" s="1"/>
  <c r="R193" i="10"/>
  <c r="V193" i="10"/>
  <c r="Y193" i="10" s="1"/>
  <c r="V197" i="10"/>
  <c r="Y197" i="10" s="1"/>
  <c r="R197" i="10"/>
  <c r="R198" i="10"/>
  <c r="W201" i="10"/>
  <c r="S201" i="10"/>
  <c r="T201" i="10" s="1"/>
  <c r="X201" i="10"/>
  <c r="Y201" i="10" s="1"/>
  <c r="R202" i="10"/>
  <c r="V203" i="10"/>
  <c r="R203" i="10"/>
  <c r="V209" i="10"/>
  <c r="R209" i="10"/>
  <c r="X209" i="10"/>
  <c r="W209" i="10"/>
  <c r="S209" i="10"/>
  <c r="T209" i="10" s="1"/>
  <c r="V211" i="10"/>
  <c r="R211" i="10"/>
  <c r="X211" i="10"/>
  <c r="W211" i="10"/>
  <c r="S211" i="10"/>
  <c r="T211" i="10" s="1"/>
  <c r="S183" i="10"/>
  <c r="T183" i="10" s="1"/>
  <c r="U183" i="10" s="1"/>
  <c r="S184" i="10"/>
  <c r="T184" i="10" s="1"/>
  <c r="U184" i="10" s="1"/>
  <c r="S185" i="10"/>
  <c r="T185" i="10" s="1"/>
  <c r="U185" i="10" s="1"/>
  <c r="S186" i="10"/>
  <c r="T186" i="10" s="1"/>
  <c r="U186" i="10" s="1"/>
  <c r="S187" i="10"/>
  <c r="T187" i="10" s="1"/>
  <c r="U187" i="10" s="1"/>
  <c r="S188" i="10"/>
  <c r="T188" i="10" s="1"/>
  <c r="U188" i="10" s="1"/>
  <c r="S189" i="10"/>
  <c r="T189" i="10" s="1"/>
  <c r="U189" i="10" s="1"/>
  <c r="S190" i="10"/>
  <c r="T190" i="10" s="1"/>
  <c r="U190" i="10" s="1"/>
  <c r="S191" i="10"/>
  <c r="T191" i="10" s="1"/>
  <c r="U191" i="10" s="1"/>
  <c r="S192" i="10"/>
  <c r="T192" i="10" s="1"/>
  <c r="U192" i="10" s="1"/>
  <c r="S193" i="10"/>
  <c r="T193" i="10" s="1"/>
  <c r="U193" i="10" s="1"/>
  <c r="W200" i="10"/>
  <c r="S200" i="10"/>
  <c r="T200" i="10" s="1"/>
  <c r="X200" i="10"/>
  <c r="Y200" i="10" s="1"/>
  <c r="R213" i="10"/>
  <c r="V213" i="10"/>
  <c r="Y213" i="10" s="1"/>
  <c r="R214" i="10"/>
  <c r="V214" i="10"/>
  <c r="Y214" i="10" s="1"/>
  <c r="R215" i="10"/>
  <c r="V215" i="10"/>
  <c r="Y215" i="10" s="1"/>
  <c r="R216" i="10"/>
  <c r="V216" i="10"/>
  <c r="Y216" i="10" s="1"/>
  <c r="R217" i="10"/>
  <c r="V217" i="10"/>
  <c r="Y217" i="10" s="1"/>
  <c r="R218" i="10"/>
  <c r="V218" i="10"/>
  <c r="Y218" i="10" s="1"/>
  <c r="R219" i="10"/>
  <c r="V219" i="10"/>
  <c r="Y219" i="10" s="1"/>
  <c r="R220" i="10"/>
  <c r="V220" i="10"/>
  <c r="Y220" i="10" s="1"/>
  <c r="R221" i="10"/>
  <c r="V221" i="10"/>
  <c r="Y221" i="10" s="1"/>
  <c r="R222" i="10"/>
  <c r="V223" i="10"/>
  <c r="R223" i="10"/>
  <c r="S224" i="10"/>
  <c r="T224" i="10" s="1"/>
  <c r="X225" i="10"/>
  <c r="U225" i="10" s="1"/>
  <c r="X238" i="10"/>
  <c r="W238" i="10"/>
  <c r="S238" i="10"/>
  <c r="T238" i="10" s="1"/>
  <c r="V238" i="10"/>
  <c r="R238" i="10"/>
  <c r="S213" i="10"/>
  <c r="T213" i="10" s="1"/>
  <c r="U213" i="10" s="1"/>
  <c r="S214" i="10"/>
  <c r="T214" i="10" s="1"/>
  <c r="U214" i="10" s="1"/>
  <c r="S215" i="10"/>
  <c r="T215" i="10" s="1"/>
  <c r="U215" i="10" s="1"/>
  <c r="S216" i="10"/>
  <c r="T216" i="10" s="1"/>
  <c r="U216" i="10" s="1"/>
  <c r="S217" i="10"/>
  <c r="T217" i="10" s="1"/>
  <c r="U217" i="10" s="1"/>
  <c r="S218" i="10"/>
  <c r="T218" i="10" s="1"/>
  <c r="U218" i="10" s="1"/>
  <c r="S219" i="10"/>
  <c r="T219" i="10" s="1"/>
  <c r="U219" i="10" s="1"/>
  <c r="S220" i="10"/>
  <c r="T220" i="10" s="1"/>
  <c r="U220" i="10" s="1"/>
  <c r="S221" i="10"/>
  <c r="T221" i="10" s="1"/>
  <c r="U221" i="10" s="1"/>
  <c r="X224" i="10"/>
  <c r="V228" i="10"/>
  <c r="R228" i="10"/>
  <c r="X228" i="10"/>
  <c r="W228" i="10"/>
  <c r="S228" i="10"/>
  <c r="T228" i="10" s="1"/>
  <c r="V230" i="10"/>
  <c r="R230" i="10"/>
  <c r="X230" i="10"/>
  <c r="W230" i="10"/>
  <c r="S230" i="10"/>
  <c r="T230" i="10" s="1"/>
  <c r="V232" i="10"/>
  <c r="R232" i="10"/>
  <c r="X232" i="10"/>
  <c r="W232" i="10"/>
  <c r="S232" i="10"/>
  <c r="T232" i="10" s="1"/>
  <c r="R204" i="10"/>
  <c r="V204" i="10"/>
  <c r="Y204" i="10" s="1"/>
  <c r="R205" i="10"/>
  <c r="V205" i="10"/>
  <c r="Y205" i="10" s="1"/>
  <c r="R206" i="10"/>
  <c r="V206" i="10"/>
  <c r="Y206" i="10" s="1"/>
  <c r="R207" i="10"/>
  <c r="V207" i="10"/>
  <c r="Y207" i="10" s="1"/>
  <c r="R208" i="10"/>
  <c r="V208" i="10"/>
  <c r="Y208" i="10" s="1"/>
  <c r="X223" i="10"/>
  <c r="U223" i="10" s="1"/>
  <c r="V225" i="10"/>
  <c r="Y225" i="10" s="1"/>
  <c r="R225" i="10"/>
  <c r="S204" i="10"/>
  <c r="T204" i="10" s="1"/>
  <c r="U204" i="10" s="1"/>
  <c r="S205" i="10"/>
  <c r="T205" i="10" s="1"/>
  <c r="U205" i="10" s="1"/>
  <c r="S206" i="10"/>
  <c r="T206" i="10" s="1"/>
  <c r="U206" i="10" s="1"/>
  <c r="S207" i="10"/>
  <c r="T207" i="10" s="1"/>
  <c r="U207" i="10" s="1"/>
  <c r="S208" i="10"/>
  <c r="T208" i="10" s="1"/>
  <c r="U208" i="10" s="1"/>
  <c r="W222" i="10"/>
  <c r="S222" i="10"/>
  <c r="T222" i="10" s="1"/>
  <c r="X222" i="10"/>
  <c r="Y222" i="10" s="1"/>
  <c r="V224" i="10"/>
  <c r="R224" i="10"/>
  <c r="V229" i="10"/>
  <c r="R229" i="10"/>
  <c r="X229" i="10"/>
  <c r="W229" i="10"/>
  <c r="S229" i="10"/>
  <c r="T229" i="10" s="1"/>
  <c r="V231" i="10"/>
  <c r="R231" i="10"/>
  <c r="X231" i="10"/>
  <c r="W231" i="10"/>
  <c r="S231" i="10"/>
  <c r="T231" i="10" s="1"/>
  <c r="R233" i="10"/>
  <c r="V233" i="10"/>
  <c r="Y233" i="10" s="1"/>
  <c r="R234" i="10"/>
  <c r="V234" i="10"/>
  <c r="Y234" i="10" s="1"/>
  <c r="R235" i="10"/>
  <c r="V235" i="10"/>
  <c r="Y235" i="10" s="1"/>
  <c r="R236" i="10"/>
  <c r="V236" i="10"/>
  <c r="Y236" i="10" s="1"/>
  <c r="R237" i="10"/>
  <c r="V237" i="10"/>
  <c r="Y237" i="10" s="1"/>
  <c r="X240" i="10"/>
  <c r="S233" i="10"/>
  <c r="T233" i="10" s="1"/>
  <c r="U233" i="10" s="1"/>
  <c r="S234" i="10"/>
  <c r="T234" i="10" s="1"/>
  <c r="U234" i="10" s="1"/>
  <c r="S235" i="10"/>
  <c r="T235" i="10" s="1"/>
  <c r="U235" i="10" s="1"/>
  <c r="S236" i="10"/>
  <c r="T236" i="10" s="1"/>
  <c r="U236" i="10" s="1"/>
  <c r="S237" i="10"/>
  <c r="T237" i="10" s="1"/>
  <c r="U237" i="10" s="1"/>
  <c r="V244" i="10"/>
  <c r="R244" i="10"/>
  <c r="X244" i="10"/>
  <c r="W244" i="10"/>
  <c r="S244" i="10"/>
  <c r="T244" i="10" s="1"/>
  <c r="R226" i="10"/>
  <c r="V226" i="10"/>
  <c r="Y226" i="10" s="1"/>
  <c r="R227" i="10"/>
  <c r="V227" i="10"/>
  <c r="Y227" i="10" s="1"/>
  <c r="W240" i="10"/>
  <c r="S240" i="10"/>
  <c r="T240" i="10" s="1"/>
  <c r="V240" i="10"/>
  <c r="R240" i="10"/>
  <c r="X257" i="10"/>
  <c r="S226" i="10"/>
  <c r="T226" i="10" s="1"/>
  <c r="U226" i="10" s="1"/>
  <c r="S227" i="10"/>
  <c r="T227" i="10" s="1"/>
  <c r="U227" i="10" s="1"/>
  <c r="W239" i="10"/>
  <c r="S239" i="10"/>
  <c r="T239" i="10" s="1"/>
  <c r="U239" i="10" s="1"/>
  <c r="V239" i="10"/>
  <c r="Y239" i="10" s="1"/>
  <c r="R239" i="10"/>
  <c r="V243" i="10"/>
  <c r="R243" i="10"/>
  <c r="X243" i="10"/>
  <c r="W243" i="10"/>
  <c r="S243" i="10"/>
  <c r="T243" i="10" s="1"/>
  <c r="V245" i="10"/>
  <c r="R245" i="10"/>
  <c r="X245" i="10"/>
  <c r="W245" i="10"/>
  <c r="S245" i="10"/>
  <c r="T245" i="10" s="1"/>
  <c r="V257" i="10"/>
  <c r="R257" i="10"/>
  <c r="W257" i="10"/>
  <c r="S257" i="10"/>
  <c r="T257" i="10" s="1"/>
  <c r="U257" i="10" s="1"/>
  <c r="S246" i="10"/>
  <c r="T246" i="10" s="1"/>
  <c r="W246" i="10"/>
  <c r="S247" i="10"/>
  <c r="T247" i="10" s="1"/>
  <c r="W247" i="10"/>
  <c r="R248" i="10"/>
  <c r="V248" i="10"/>
  <c r="Y248" i="10" s="1"/>
  <c r="R249" i="10"/>
  <c r="V249" i="10"/>
  <c r="Y249" i="10" s="1"/>
  <c r="R250" i="10"/>
  <c r="V250" i="10"/>
  <c r="Y250" i="10" s="1"/>
  <c r="R251" i="10"/>
  <c r="V251" i="10"/>
  <c r="Y251" i="10" s="1"/>
  <c r="R252" i="10"/>
  <c r="V252" i="10"/>
  <c r="Y252" i="10" s="1"/>
  <c r="R253" i="10"/>
  <c r="V253" i="10"/>
  <c r="Y253" i="10" s="1"/>
  <c r="R254" i="10"/>
  <c r="V254" i="10"/>
  <c r="Y254" i="10" s="1"/>
  <c r="R255" i="10"/>
  <c r="V255" i="10"/>
  <c r="Y255" i="10" s="1"/>
  <c r="R256" i="10"/>
  <c r="V256" i="10"/>
  <c r="Y256" i="10" s="1"/>
  <c r="X246" i="10"/>
  <c r="Y246" i="10" s="1"/>
  <c r="X247" i="10"/>
  <c r="Y247" i="10" s="1"/>
  <c r="S248" i="10"/>
  <c r="T248" i="10" s="1"/>
  <c r="U248" i="10" s="1"/>
  <c r="S249" i="10"/>
  <c r="T249" i="10" s="1"/>
  <c r="U249" i="10" s="1"/>
  <c r="S250" i="10"/>
  <c r="T250" i="10" s="1"/>
  <c r="U250" i="10" s="1"/>
  <c r="S251" i="10"/>
  <c r="T251" i="10" s="1"/>
  <c r="U251" i="10" s="1"/>
  <c r="S252" i="10"/>
  <c r="T252" i="10" s="1"/>
  <c r="U252" i="10" s="1"/>
  <c r="S253" i="10"/>
  <c r="T253" i="10" s="1"/>
  <c r="U253" i="10" s="1"/>
  <c r="S254" i="10"/>
  <c r="T254" i="10" s="1"/>
  <c r="U254" i="10" s="1"/>
  <c r="S255" i="10"/>
  <c r="T255" i="10" s="1"/>
  <c r="U255" i="10" s="1"/>
  <c r="S256" i="10"/>
  <c r="T256" i="10" s="1"/>
  <c r="U256" i="10" s="1"/>
  <c r="R241" i="10"/>
  <c r="V241" i="10"/>
  <c r="Y241" i="10" s="1"/>
  <c r="R242" i="10"/>
  <c r="V242" i="10"/>
  <c r="Y242" i="10" s="1"/>
  <c r="S241" i="10"/>
  <c r="T241" i="10" s="1"/>
  <c r="U241" i="10" s="1"/>
  <c r="S242" i="10"/>
  <c r="T242" i="10" s="1"/>
  <c r="U242" i="10" s="1"/>
  <c r="R246" i="10"/>
  <c r="R247" i="10"/>
  <c r="C14" i="9"/>
  <c r="C13" i="9"/>
  <c r="C22" i="9"/>
  <c r="C12" i="9"/>
  <c r="C15" i="9"/>
  <c r="C17" i="9"/>
  <c r="C32" i="9"/>
  <c r="C20" i="9"/>
  <c r="C19" i="9"/>
  <c r="C6" i="9"/>
  <c r="C31" i="9"/>
  <c r="C28" i="9"/>
  <c r="C30" i="9"/>
  <c r="C7" i="9"/>
  <c r="C29" i="9"/>
  <c r="C27" i="9"/>
  <c r="C16" i="9"/>
  <c r="C34" i="9"/>
  <c r="C26" i="9"/>
  <c r="C25" i="9"/>
  <c r="C18" i="9"/>
  <c r="C36" i="9"/>
  <c r="C4" i="9"/>
  <c r="C11" i="9"/>
  <c r="C35" i="9"/>
  <c r="C3" i="9"/>
  <c r="C23" i="9"/>
  <c r="C9" i="9"/>
  <c r="C2" i="9"/>
  <c r="C8" i="9"/>
  <c r="C33" i="9"/>
  <c r="C21" i="9"/>
  <c r="C10" i="9"/>
  <c r="C5" i="9"/>
  <c r="C24" i="9"/>
  <c r="Y69" i="10" l="1"/>
  <c r="Y58" i="10"/>
  <c r="U161" i="10"/>
  <c r="U153" i="10"/>
  <c r="U6" i="10"/>
  <c r="U96" i="10"/>
  <c r="U87" i="10"/>
  <c r="Y87" i="10"/>
  <c r="U80" i="10"/>
  <c r="U59" i="10"/>
  <c r="U51" i="10"/>
  <c r="U163" i="10"/>
  <c r="U155" i="10"/>
  <c r="Y117" i="10"/>
  <c r="U77" i="10"/>
  <c r="U28" i="10"/>
  <c r="U230" i="10"/>
  <c r="U181" i="10"/>
  <c r="Y49" i="10"/>
  <c r="Y70" i="10"/>
  <c r="Y224" i="10"/>
  <c r="Y95" i="10"/>
  <c r="Y62" i="10"/>
  <c r="U246" i="10"/>
  <c r="Y257" i="10"/>
  <c r="U222" i="10"/>
  <c r="U199" i="10"/>
  <c r="Y181" i="10"/>
  <c r="U179" i="10"/>
  <c r="Y168" i="10"/>
  <c r="Y160" i="10"/>
  <c r="Y152" i="10"/>
  <c r="Y146" i="10"/>
  <c r="Y167" i="10"/>
  <c r="Y159" i="10"/>
  <c r="Y138" i="10"/>
  <c r="Y51" i="10"/>
  <c r="Y230" i="10"/>
  <c r="U110" i="10"/>
  <c r="U106" i="10"/>
  <c r="Y139" i="10"/>
  <c r="U112" i="10"/>
  <c r="U105" i="10"/>
  <c r="Y78" i="10"/>
  <c r="U2" i="10"/>
  <c r="Y37" i="10"/>
  <c r="U244" i="10"/>
  <c r="Y244" i="10"/>
  <c r="U228" i="10"/>
  <c r="Y228" i="10"/>
  <c r="Y238" i="10"/>
  <c r="U200" i="10"/>
  <c r="Y182" i="10"/>
  <c r="U168" i="10"/>
  <c r="Y166" i="10"/>
  <c r="U160" i="10"/>
  <c r="U152" i="10"/>
  <c r="U143" i="10"/>
  <c r="U138" i="10"/>
  <c r="U121" i="10"/>
  <c r="Y121" i="10"/>
  <c r="U111" i="10"/>
  <c r="U107" i="10"/>
  <c r="U139" i="10"/>
  <c r="Y137" i="10"/>
  <c r="U124" i="10"/>
  <c r="Y124" i="10"/>
  <c r="Y97" i="10"/>
  <c r="Y81" i="10"/>
  <c r="Y100" i="10"/>
  <c r="U65" i="10"/>
  <c r="Y105" i="10"/>
  <c r="U78" i="10"/>
  <c r="U66" i="10"/>
  <c r="Y41" i="10"/>
  <c r="Y240" i="10"/>
  <c r="Y203" i="10"/>
  <c r="U195" i="10"/>
  <c r="Y195" i="10"/>
  <c r="U166" i="10"/>
  <c r="Y164" i="10"/>
  <c r="U158" i="10"/>
  <c r="Y156" i="10"/>
  <c r="Y163" i="10"/>
  <c r="Y155" i="10"/>
  <c r="U119" i="10"/>
  <c r="Y119" i="10"/>
  <c r="U97" i="10"/>
  <c r="U90" i="10"/>
  <c r="Y90" i="10"/>
  <c r="U50" i="10"/>
  <c r="Y50" i="10"/>
  <c r="U25" i="10"/>
  <c r="U4" i="10"/>
  <c r="U13" i="10"/>
  <c r="Y13" i="10"/>
  <c r="U11" i="10"/>
  <c r="U9" i="10"/>
  <c r="U62" i="10"/>
  <c r="Y33" i="10"/>
  <c r="U175" i="10"/>
  <c r="Y174" i="10"/>
  <c r="Y151" i="10"/>
  <c r="Y149" i="10"/>
  <c r="Y147" i="10"/>
  <c r="U114" i="10"/>
  <c r="Y72" i="10"/>
  <c r="U58" i="10"/>
  <c r="U26" i="10"/>
  <c r="U17" i="10"/>
  <c r="Y17" i="10"/>
  <c r="Y15" i="10"/>
  <c r="Y2" i="10"/>
  <c r="U245" i="10"/>
  <c r="Y245" i="10"/>
  <c r="U240" i="10"/>
  <c r="U231" i="10"/>
  <c r="Y231" i="10"/>
  <c r="U238" i="10"/>
  <c r="U224" i="10"/>
  <c r="U211" i="10"/>
  <c r="Y211" i="10"/>
  <c r="U212" i="10"/>
  <c r="Y212" i="10"/>
  <c r="U196" i="10"/>
  <c r="Y196" i="10"/>
  <c r="U178" i="10"/>
  <c r="U182" i="10"/>
  <c r="Y180" i="10"/>
  <c r="Y173" i="10"/>
  <c r="U164" i="10"/>
  <c r="Y162" i="10"/>
  <c r="U156" i="10"/>
  <c r="Y154" i="10"/>
  <c r="U144" i="10"/>
  <c r="U141" i="10"/>
  <c r="U167" i="10"/>
  <c r="Y165" i="10"/>
  <c r="U159" i="10"/>
  <c r="Y157" i="10"/>
  <c r="U151" i="10"/>
  <c r="U149" i="10"/>
  <c r="U147" i="10"/>
  <c r="U142" i="10"/>
  <c r="Y145" i="10"/>
  <c r="U137" i="10"/>
  <c r="U122" i="10"/>
  <c r="Y122" i="10"/>
  <c r="Y114" i="10"/>
  <c r="U116" i="10"/>
  <c r="U113" i="10"/>
  <c r="U109" i="10"/>
  <c r="Y99" i="10"/>
  <c r="U67" i="10"/>
  <c r="U81" i="10"/>
  <c r="Y79" i="10"/>
  <c r="U100" i="10"/>
  <c r="Y98" i="10"/>
  <c r="Y71" i="10"/>
  <c r="Y68" i="10"/>
  <c r="AC3" i="10"/>
  <c r="AB3" i="10"/>
  <c r="AF3" i="10"/>
  <c r="AA4" i="10"/>
  <c r="U15" i="10"/>
  <c r="I4" i="10"/>
  <c r="F5" i="10" s="1"/>
  <c r="U247" i="10"/>
  <c r="U243" i="10"/>
  <c r="Y243" i="10"/>
  <c r="U229" i="10"/>
  <c r="Y229" i="10"/>
  <c r="U232" i="10"/>
  <c r="Y232" i="10"/>
  <c r="U209" i="10"/>
  <c r="Y209" i="10"/>
  <c r="U210" i="10"/>
  <c r="Y210" i="10"/>
  <c r="U194" i="10"/>
  <c r="Y194" i="10"/>
  <c r="U180" i="10"/>
  <c r="Y175" i="10"/>
  <c r="Y176" i="10"/>
  <c r="U162" i="10"/>
  <c r="U154" i="10"/>
  <c r="U165" i="10"/>
  <c r="U157" i="10"/>
  <c r="U145" i="10"/>
  <c r="U123" i="10"/>
  <c r="Y123" i="10"/>
  <c r="U120" i="10"/>
  <c r="Y120" i="10"/>
  <c r="U99" i="10"/>
  <c r="U104" i="10"/>
  <c r="Y104" i="10"/>
  <c r="U79" i="10"/>
  <c r="U98" i="10"/>
  <c r="U89" i="10"/>
  <c r="Y89" i="10"/>
  <c r="Y61" i="10"/>
  <c r="U52" i="10"/>
  <c r="Y52" i="10"/>
  <c r="Y60" i="10"/>
  <c r="Y6" i="10"/>
  <c r="Y4" i="10"/>
  <c r="Y11" i="10"/>
  <c r="Y223" i="10"/>
  <c r="U201" i="10"/>
  <c r="U202" i="10"/>
  <c r="U198" i="10"/>
  <c r="U174" i="10"/>
  <c r="Y158" i="10"/>
  <c r="Y161" i="10"/>
  <c r="Y153" i="10"/>
  <c r="Y115" i="10"/>
  <c r="U71" i="10"/>
  <c r="U69" i="10"/>
  <c r="U60" i="10"/>
  <c r="Y9" i="10"/>
  <c r="E7" i="2"/>
  <c r="E6" i="2"/>
  <c r="F11" i="2"/>
  <c r="F22" i="2"/>
  <c r="F31" i="2"/>
  <c r="F51" i="2"/>
  <c r="F56" i="2"/>
  <c r="F61" i="2"/>
  <c r="F66" i="2"/>
  <c r="F71" i="2"/>
  <c r="F80" i="2"/>
  <c r="F85" i="2"/>
  <c r="F90" i="2"/>
  <c r="F94" i="2"/>
  <c r="F98" i="2"/>
  <c r="F104" i="2"/>
  <c r="F107" i="2"/>
  <c r="F117" i="2"/>
  <c r="F122" i="2"/>
  <c r="F128" i="2"/>
  <c r="F140" i="2"/>
  <c r="F148" i="2"/>
  <c r="F150" i="2"/>
  <c r="F172" i="2"/>
  <c r="F180" i="2"/>
  <c r="F186" i="2"/>
  <c r="F197" i="2"/>
  <c r="F201" i="2"/>
  <c r="F206" i="2"/>
  <c r="F212" i="2"/>
  <c r="F216" i="2"/>
  <c r="F226" i="2"/>
  <c r="F231" i="2"/>
  <c r="F236" i="2"/>
  <c r="F241" i="2"/>
  <c r="F246" i="2"/>
  <c r="F251" i="2"/>
  <c r="H1" i="6"/>
  <c r="E1" i="6"/>
  <c r="B1" i="6"/>
  <c r="F1" i="6" s="1"/>
  <c r="I5" i="10" l="1"/>
  <c r="F6" i="10" s="1"/>
  <c r="AA5" i="10"/>
  <c r="AC4" i="10"/>
  <c r="AB4" i="10"/>
  <c r="AF4" i="10"/>
  <c r="I1" i="6"/>
  <c r="I6" i="10" l="1"/>
  <c r="F7" i="10" s="1"/>
  <c r="AB5" i="10"/>
  <c r="AF5" i="10"/>
  <c r="AA6" i="10"/>
  <c r="AC5" i="10"/>
  <c r="C28" i="1"/>
  <c r="D28" i="1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AC6" i="10" l="1"/>
  <c r="AB6" i="10"/>
  <c r="AF6" i="10"/>
  <c r="AA7" i="10"/>
  <c r="I7" i="10"/>
  <c r="F8" i="10" s="1"/>
  <c r="D29" i="1"/>
  <c r="C29" i="1"/>
  <c r="AD7" i="10" l="1"/>
  <c r="AC7" i="10"/>
  <c r="AB7" i="10"/>
  <c r="AA8" i="10"/>
  <c r="AF7" i="10"/>
  <c r="I8" i="10"/>
  <c r="F9" i="10" s="1"/>
  <c r="G3" i="4"/>
  <c r="H3" i="4"/>
  <c r="G4" i="4"/>
  <c r="H4" i="4"/>
  <c r="G5" i="4"/>
  <c r="H5" i="4"/>
  <c r="G6" i="4"/>
  <c r="H6" i="4"/>
  <c r="G7" i="4"/>
  <c r="H7" i="4"/>
  <c r="G8" i="4"/>
  <c r="H8" i="4"/>
  <c r="G9" i="4"/>
  <c r="H9" i="4"/>
  <c r="G10" i="4"/>
  <c r="H10" i="4"/>
  <c r="G11" i="4"/>
  <c r="H11" i="4"/>
  <c r="G12" i="4"/>
  <c r="H12" i="4"/>
  <c r="G13" i="4"/>
  <c r="H13" i="4"/>
  <c r="G14" i="4"/>
  <c r="H14" i="4"/>
  <c r="G15" i="4"/>
  <c r="H15" i="4"/>
  <c r="G16" i="4"/>
  <c r="H16" i="4"/>
  <c r="G17" i="4"/>
  <c r="H17" i="4"/>
  <c r="G18" i="4"/>
  <c r="H18" i="4"/>
  <c r="G19" i="4"/>
  <c r="H19" i="4"/>
  <c r="G20" i="4"/>
  <c r="H20" i="4"/>
  <c r="G21" i="4"/>
  <c r="H21" i="4"/>
  <c r="G22" i="4"/>
  <c r="H22" i="4"/>
  <c r="G23" i="4"/>
  <c r="H23" i="4"/>
  <c r="G24" i="4"/>
  <c r="H24" i="4"/>
  <c r="G25" i="4"/>
  <c r="H25" i="4"/>
  <c r="G26" i="4"/>
  <c r="H26" i="4"/>
  <c r="G27" i="4"/>
  <c r="H27" i="4"/>
  <c r="G28" i="4"/>
  <c r="H28" i="4"/>
  <c r="C7" i="10"/>
  <c r="AA9" i="10" l="1"/>
  <c r="AD8" i="10"/>
  <c r="AC8" i="10"/>
  <c r="AB8" i="10"/>
  <c r="AF8" i="10"/>
  <c r="I9" i="10"/>
  <c r="F10" i="10" s="1"/>
  <c r="AD5" i="2"/>
  <c r="C8" i="10"/>
  <c r="I10" i="10" l="1"/>
  <c r="F11" i="10" s="1"/>
  <c r="AF9" i="10"/>
  <c r="AA10" i="10"/>
  <c r="AD9" i="10"/>
  <c r="AC9" i="10"/>
  <c r="AB9" i="10"/>
  <c r="C4" i="1"/>
  <c r="C12" i="1"/>
  <c r="C9" i="1"/>
  <c r="C8" i="1"/>
  <c r="C2" i="1"/>
  <c r="F2" i="3" s="1"/>
  <c r="C10" i="1"/>
  <c r="C11" i="1"/>
  <c r="C9" i="10"/>
  <c r="AB10" i="10" l="1"/>
  <c r="AF10" i="10"/>
  <c r="AA11" i="10"/>
  <c r="AD10" i="10"/>
  <c r="AC10" i="10"/>
  <c r="I11" i="10"/>
  <c r="F12" i="10" s="1"/>
  <c r="O228" i="2"/>
  <c r="O232" i="2"/>
  <c r="O236" i="2"/>
  <c r="O240" i="2"/>
  <c r="O244" i="2"/>
  <c r="O248" i="2"/>
  <c r="O252" i="2"/>
  <c r="O256" i="2"/>
  <c r="O260" i="2"/>
  <c r="O225" i="2"/>
  <c r="O229" i="2"/>
  <c r="O233" i="2"/>
  <c r="O237" i="2"/>
  <c r="O241" i="2"/>
  <c r="O245" i="2"/>
  <c r="O249" i="2"/>
  <c r="O253" i="2"/>
  <c r="O257" i="2"/>
  <c r="O226" i="2"/>
  <c r="O230" i="2"/>
  <c r="O234" i="2"/>
  <c r="O238" i="2"/>
  <c r="O242" i="2"/>
  <c r="O246" i="2"/>
  <c r="O250" i="2"/>
  <c r="O254" i="2"/>
  <c r="O258" i="2"/>
  <c r="O227" i="2"/>
  <c r="O231" i="2"/>
  <c r="O235" i="2"/>
  <c r="O239" i="2"/>
  <c r="O243" i="2"/>
  <c r="O247" i="2"/>
  <c r="O251" i="2"/>
  <c r="O255" i="2"/>
  <c r="O259" i="2"/>
  <c r="P227" i="2"/>
  <c r="Q227" i="2" s="1"/>
  <c r="P231" i="2"/>
  <c r="Q231" i="2" s="1"/>
  <c r="P235" i="2"/>
  <c r="Q235" i="2" s="1"/>
  <c r="P239" i="2"/>
  <c r="Q239" i="2" s="1"/>
  <c r="P243" i="2"/>
  <c r="Q243" i="2" s="1"/>
  <c r="P247" i="2"/>
  <c r="Q247" i="2" s="1"/>
  <c r="P251" i="2"/>
  <c r="Q251" i="2" s="1"/>
  <c r="P255" i="2"/>
  <c r="Q255" i="2" s="1"/>
  <c r="P259" i="2"/>
  <c r="Q259" i="2" s="1"/>
  <c r="P228" i="2"/>
  <c r="Q228" i="2" s="1"/>
  <c r="P232" i="2"/>
  <c r="Q232" i="2" s="1"/>
  <c r="P236" i="2"/>
  <c r="Q236" i="2" s="1"/>
  <c r="P240" i="2"/>
  <c r="Q240" i="2" s="1"/>
  <c r="P244" i="2"/>
  <c r="Q244" i="2" s="1"/>
  <c r="P248" i="2"/>
  <c r="Q248" i="2" s="1"/>
  <c r="P252" i="2"/>
  <c r="Q252" i="2" s="1"/>
  <c r="P256" i="2"/>
  <c r="Q256" i="2" s="1"/>
  <c r="P260" i="2"/>
  <c r="Q260" i="2" s="1"/>
  <c r="P225" i="2"/>
  <c r="Q225" i="2" s="1"/>
  <c r="P229" i="2"/>
  <c r="Q229" i="2" s="1"/>
  <c r="P233" i="2"/>
  <c r="Q233" i="2" s="1"/>
  <c r="P237" i="2"/>
  <c r="Q237" i="2" s="1"/>
  <c r="P241" i="2"/>
  <c r="Q241" i="2" s="1"/>
  <c r="P245" i="2"/>
  <c r="Q245" i="2" s="1"/>
  <c r="P249" i="2"/>
  <c r="Q249" i="2" s="1"/>
  <c r="P253" i="2"/>
  <c r="Q253" i="2" s="1"/>
  <c r="P257" i="2"/>
  <c r="Q257" i="2" s="1"/>
  <c r="P226" i="2"/>
  <c r="Q226" i="2" s="1"/>
  <c r="P230" i="2"/>
  <c r="Q230" i="2" s="1"/>
  <c r="P234" i="2"/>
  <c r="Q234" i="2" s="1"/>
  <c r="P238" i="2"/>
  <c r="Q238" i="2" s="1"/>
  <c r="P242" i="2"/>
  <c r="Q242" i="2" s="1"/>
  <c r="P246" i="2"/>
  <c r="Q246" i="2" s="1"/>
  <c r="P250" i="2"/>
  <c r="Q250" i="2" s="1"/>
  <c r="P254" i="2"/>
  <c r="Q254" i="2" s="1"/>
  <c r="P258" i="2"/>
  <c r="Q258" i="2" s="1"/>
  <c r="N225" i="2"/>
  <c r="N229" i="2"/>
  <c r="N233" i="2"/>
  <c r="N237" i="2"/>
  <c r="N241" i="2"/>
  <c r="N245" i="2"/>
  <c r="N249" i="2"/>
  <c r="N253" i="2"/>
  <c r="N257" i="2"/>
  <c r="N226" i="2"/>
  <c r="N230" i="2"/>
  <c r="N234" i="2"/>
  <c r="N238" i="2"/>
  <c r="N242" i="2"/>
  <c r="N246" i="2"/>
  <c r="N250" i="2"/>
  <c r="N254" i="2"/>
  <c r="N258" i="2"/>
  <c r="N227" i="2"/>
  <c r="N231" i="2"/>
  <c r="N235" i="2"/>
  <c r="N239" i="2"/>
  <c r="N243" i="2"/>
  <c r="N247" i="2"/>
  <c r="N251" i="2"/>
  <c r="N255" i="2"/>
  <c r="N259" i="2"/>
  <c r="N228" i="2"/>
  <c r="N232" i="2"/>
  <c r="N236" i="2"/>
  <c r="N240" i="2"/>
  <c r="N244" i="2"/>
  <c r="N248" i="2"/>
  <c r="N252" i="2"/>
  <c r="N256" i="2"/>
  <c r="N260" i="2"/>
  <c r="M226" i="2"/>
  <c r="M230" i="2"/>
  <c r="M234" i="2"/>
  <c r="M238" i="2"/>
  <c r="M242" i="2"/>
  <c r="M246" i="2"/>
  <c r="M250" i="2"/>
  <c r="M254" i="2"/>
  <c r="M258" i="2"/>
  <c r="M227" i="2"/>
  <c r="M231" i="2"/>
  <c r="M235" i="2"/>
  <c r="M239" i="2"/>
  <c r="M243" i="2"/>
  <c r="M247" i="2"/>
  <c r="M251" i="2"/>
  <c r="M255" i="2"/>
  <c r="M259" i="2"/>
  <c r="M228" i="2"/>
  <c r="M232" i="2"/>
  <c r="M236" i="2"/>
  <c r="M240" i="2"/>
  <c r="M244" i="2"/>
  <c r="M248" i="2"/>
  <c r="M252" i="2"/>
  <c r="M256" i="2"/>
  <c r="M260" i="2"/>
  <c r="M225" i="2"/>
  <c r="M229" i="2"/>
  <c r="M233" i="2"/>
  <c r="M237" i="2"/>
  <c r="M241" i="2"/>
  <c r="M245" i="2"/>
  <c r="M249" i="2"/>
  <c r="M253" i="2"/>
  <c r="M257" i="2"/>
  <c r="P6" i="2"/>
  <c r="P10" i="2"/>
  <c r="P14" i="2"/>
  <c r="P18" i="2"/>
  <c r="P22" i="2"/>
  <c r="P26" i="2"/>
  <c r="P30" i="2"/>
  <c r="P34" i="2"/>
  <c r="P38" i="2"/>
  <c r="P42" i="2"/>
  <c r="P46" i="2"/>
  <c r="P50" i="2"/>
  <c r="P54" i="2"/>
  <c r="P58" i="2"/>
  <c r="P62" i="2"/>
  <c r="P66" i="2"/>
  <c r="P70" i="2"/>
  <c r="P74" i="2"/>
  <c r="P78" i="2"/>
  <c r="P82" i="2"/>
  <c r="P86" i="2"/>
  <c r="P90" i="2"/>
  <c r="P94" i="2"/>
  <c r="P98" i="2"/>
  <c r="P102" i="2"/>
  <c r="P106" i="2"/>
  <c r="P110" i="2"/>
  <c r="P114" i="2"/>
  <c r="P118" i="2"/>
  <c r="P122" i="2"/>
  <c r="P126" i="2"/>
  <c r="P130" i="2"/>
  <c r="P134" i="2"/>
  <c r="P138" i="2"/>
  <c r="P142" i="2"/>
  <c r="P146" i="2"/>
  <c r="P150" i="2"/>
  <c r="P154" i="2"/>
  <c r="P158" i="2"/>
  <c r="P162" i="2"/>
  <c r="P166" i="2"/>
  <c r="P170" i="2"/>
  <c r="P174" i="2"/>
  <c r="P178" i="2"/>
  <c r="P182" i="2"/>
  <c r="P186" i="2"/>
  <c r="P190" i="2"/>
  <c r="P194" i="2"/>
  <c r="P198" i="2"/>
  <c r="P202" i="2"/>
  <c r="P206" i="2"/>
  <c r="P210" i="2"/>
  <c r="P214" i="2"/>
  <c r="P218" i="2"/>
  <c r="P222" i="2"/>
  <c r="P7" i="2"/>
  <c r="P11" i="2"/>
  <c r="P15" i="2"/>
  <c r="P19" i="2"/>
  <c r="P23" i="2"/>
  <c r="P27" i="2"/>
  <c r="P31" i="2"/>
  <c r="P35" i="2"/>
  <c r="P39" i="2"/>
  <c r="P43" i="2"/>
  <c r="P47" i="2"/>
  <c r="P51" i="2"/>
  <c r="P55" i="2"/>
  <c r="P59" i="2"/>
  <c r="P63" i="2"/>
  <c r="P67" i="2"/>
  <c r="P71" i="2"/>
  <c r="P75" i="2"/>
  <c r="P79" i="2"/>
  <c r="P83" i="2"/>
  <c r="P87" i="2"/>
  <c r="P91" i="2"/>
  <c r="P95" i="2"/>
  <c r="P99" i="2"/>
  <c r="P103" i="2"/>
  <c r="P107" i="2"/>
  <c r="P111" i="2"/>
  <c r="P115" i="2"/>
  <c r="P119" i="2"/>
  <c r="P123" i="2"/>
  <c r="P127" i="2"/>
  <c r="P131" i="2"/>
  <c r="P135" i="2"/>
  <c r="P139" i="2"/>
  <c r="P143" i="2"/>
  <c r="P147" i="2"/>
  <c r="P151" i="2"/>
  <c r="P155" i="2"/>
  <c r="P159" i="2"/>
  <c r="P163" i="2"/>
  <c r="P167" i="2"/>
  <c r="P171" i="2"/>
  <c r="P175" i="2"/>
  <c r="P179" i="2"/>
  <c r="P183" i="2"/>
  <c r="P187" i="2"/>
  <c r="P191" i="2"/>
  <c r="P195" i="2"/>
  <c r="P199" i="2"/>
  <c r="P203" i="2"/>
  <c r="P207" i="2"/>
  <c r="P211" i="2"/>
  <c r="P215" i="2"/>
  <c r="P219" i="2"/>
  <c r="P223" i="2"/>
  <c r="P8" i="2"/>
  <c r="P12" i="2"/>
  <c r="P16" i="2"/>
  <c r="P20" i="2"/>
  <c r="P24" i="2"/>
  <c r="P28" i="2"/>
  <c r="P32" i="2"/>
  <c r="P36" i="2"/>
  <c r="P40" i="2"/>
  <c r="P44" i="2"/>
  <c r="P48" i="2"/>
  <c r="P52" i="2"/>
  <c r="P56" i="2"/>
  <c r="P60" i="2"/>
  <c r="P64" i="2"/>
  <c r="P68" i="2"/>
  <c r="P72" i="2"/>
  <c r="P76" i="2"/>
  <c r="P80" i="2"/>
  <c r="P84" i="2"/>
  <c r="P88" i="2"/>
  <c r="P92" i="2"/>
  <c r="P96" i="2"/>
  <c r="P100" i="2"/>
  <c r="P104" i="2"/>
  <c r="P108" i="2"/>
  <c r="P112" i="2"/>
  <c r="P116" i="2"/>
  <c r="P120" i="2"/>
  <c r="P124" i="2"/>
  <c r="P128" i="2"/>
  <c r="P132" i="2"/>
  <c r="P136" i="2"/>
  <c r="P140" i="2"/>
  <c r="P144" i="2"/>
  <c r="P148" i="2"/>
  <c r="P152" i="2"/>
  <c r="P156" i="2"/>
  <c r="P160" i="2"/>
  <c r="P164" i="2"/>
  <c r="P168" i="2"/>
  <c r="P172" i="2"/>
  <c r="P176" i="2"/>
  <c r="P180" i="2"/>
  <c r="P184" i="2"/>
  <c r="P188" i="2"/>
  <c r="P192" i="2"/>
  <c r="P196" i="2"/>
  <c r="P200" i="2"/>
  <c r="P204" i="2"/>
  <c r="P208" i="2"/>
  <c r="P212" i="2"/>
  <c r="P216" i="2"/>
  <c r="P220" i="2"/>
  <c r="P224" i="2"/>
  <c r="P9" i="2"/>
  <c r="P13" i="2"/>
  <c r="P17" i="2"/>
  <c r="P21" i="2"/>
  <c r="P25" i="2"/>
  <c r="P29" i="2"/>
  <c r="P33" i="2"/>
  <c r="P37" i="2"/>
  <c r="P41" i="2"/>
  <c r="P45" i="2"/>
  <c r="P49" i="2"/>
  <c r="P53" i="2"/>
  <c r="P57" i="2"/>
  <c r="P61" i="2"/>
  <c r="P65" i="2"/>
  <c r="P69" i="2"/>
  <c r="P73" i="2"/>
  <c r="P77" i="2"/>
  <c r="P81" i="2"/>
  <c r="P85" i="2"/>
  <c r="P89" i="2"/>
  <c r="P93" i="2"/>
  <c r="P97" i="2"/>
  <c r="P101" i="2"/>
  <c r="P105" i="2"/>
  <c r="P109" i="2"/>
  <c r="P113" i="2"/>
  <c r="P117" i="2"/>
  <c r="P121" i="2"/>
  <c r="P125" i="2"/>
  <c r="P129" i="2"/>
  <c r="P133" i="2"/>
  <c r="P137" i="2"/>
  <c r="P141" i="2"/>
  <c r="P145" i="2"/>
  <c r="P149" i="2"/>
  <c r="P153" i="2"/>
  <c r="P157" i="2"/>
  <c r="P161" i="2"/>
  <c r="P165" i="2"/>
  <c r="P169" i="2"/>
  <c r="P173" i="2"/>
  <c r="P177" i="2"/>
  <c r="P181" i="2"/>
  <c r="P185" i="2"/>
  <c r="P189" i="2"/>
  <c r="P193" i="2"/>
  <c r="P197" i="2"/>
  <c r="P201" i="2"/>
  <c r="P205" i="2"/>
  <c r="P209" i="2"/>
  <c r="P213" i="2"/>
  <c r="P217" i="2"/>
  <c r="P221" i="2"/>
  <c r="P5" i="2"/>
  <c r="D5" i="2" s="1"/>
  <c r="M7" i="2"/>
  <c r="M6" i="2"/>
  <c r="M10" i="2"/>
  <c r="M14" i="2"/>
  <c r="M18" i="2"/>
  <c r="M22" i="2"/>
  <c r="M26" i="2"/>
  <c r="M30" i="2"/>
  <c r="M34" i="2"/>
  <c r="M38" i="2"/>
  <c r="M42" i="2"/>
  <c r="M9" i="2"/>
  <c r="M13" i="2"/>
  <c r="M17" i="2"/>
  <c r="M21" i="2"/>
  <c r="M25" i="2"/>
  <c r="M29" i="2"/>
  <c r="M33" i="2"/>
  <c r="M37" i="2"/>
  <c r="M41" i="2"/>
  <c r="M45" i="2"/>
  <c r="M8" i="2"/>
  <c r="M16" i="2"/>
  <c r="M24" i="2"/>
  <c r="M32" i="2"/>
  <c r="M40" i="2"/>
  <c r="M48" i="2"/>
  <c r="M52" i="2"/>
  <c r="M56" i="2"/>
  <c r="M60" i="2"/>
  <c r="M64" i="2"/>
  <c r="M68" i="2"/>
  <c r="M72" i="2"/>
  <c r="M76" i="2"/>
  <c r="M80" i="2"/>
  <c r="M84" i="2"/>
  <c r="M88" i="2"/>
  <c r="M92" i="2"/>
  <c r="M96" i="2"/>
  <c r="M100" i="2"/>
  <c r="M104" i="2"/>
  <c r="M108" i="2"/>
  <c r="M112" i="2"/>
  <c r="M116" i="2"/>
  <c r="M120" i="2"/>
  <c r="M124" i="2"/>
  <c r="M11" i="2"/>
  <c r="M19" i="2"/>
  <c r="M27" i="2"/>
  <c r="M35" i="2"/>
  <c r="M43" i="2"/>
  <c r="M47" i="2"/>
  <c r="M51" i="2"/>
  <c r="M55" i="2"/>
  <c r="M59" i="2"/>
  <c r="M63" i="2"/>
  <c r="M67" i="2"/>
  <c r="M71" i="2"/>
  <c r="M75" i="2"/>
  <c r="M79" i="2"/>
  <c r="M83" i="2"/>
  <c r="M87" i="2"/>
  <c r="M91" i="2"/>
  <c r="M95" i="2"/>
  <c r="M99" i="2"/>
  <c r="M103" i="2"/>
  <c r="M107" i="2"/>
  <c r="M111" i="2"/>
  <c r="M115" i="2"/>
  <c r="M119" i="2"/>
  <c r="M123" i="2"/>
  <c r="M127" i="2"/>
  <c r="M131" i="2"/>
  <c r="M135" i="2"/>
  <c r="M139" i="2"/>
  <c r="M12" i="2"/>
  <c r="M20" i="2"/>
  <c r="M28" i="2"/>
  <c r="M36" i="2"/>
  <c r="M44" i="2"/>
  <c r="M46" i="2"/>
  <c r="M50" i="2"/>
  <c r="M54" i="2"/>
  <c r="M58" i="2"/>
  <c r="M62" i="2"/>
  <c r="M66" i="2"/>
  <c r="M70" i="2"/>
  <c r="M74" i="2"/>
  <c r="M78" i="2"/>
  <c r="M82" i="2"/>
  <c r="M86" i="2"/>
  <c r="M90" i="2"/>
  <c r="M94" i="2"/>
  <c r="M98" i="2"/>
  <c r="M102" i="2"/>
  <c r="M106" i="2"/>
  <c r="M110" i="2"/>
  <c r="M114" i="2"/>
  <c r="M118" i="2"/>
  <c r="M122" i="2"/>
  <c r="M15" i="2"/>
  <c r="M23" i="2"/>
  <c r="M31" i="2"/>
  <c r="M39" i="2"/>
  <c r="M49" i="2"/>
  <c r="M53" i="2"/>
  <c r="M57" i="2"/>
  <c r="M61" i="2"/>
  <c r="M65" i="2"/>
  <c r="M69" i="2"/>
  <c r="M73" i="2"/>
  <c r="M77" i="2"/>
  <c r="M81" i="2"/>
  <c r="M85" i="2"/>
  <c r="M89" i="2"/>
  <c r="M93" i="2"/>
  <c r="M97" i="2"/>
  <c r="M101" i="2"/>
  <c r="M105" i="2"/>
  <c r="M109" i="2"/>
  <c r="M113" i="2"/>
  <c r="M117" i="2"/>
  <c r="M121" i="2"/>
  <c r="M125" i="2"/>
  <c r="M129" i="2"/>
  <c r="M133" i="2"/>
  <c r="M137" i="2"/>
  <c r="M141" i="2"/>
  <c r="M130" i="2"/>
  <c r="M138" i="2"/>
  <c r="M145" i="2"/>
  <c r="M149" i="2"/>
  <c r="M153" i="2"/>
  <c r="M157" i="2"/>
  <c r="M161" i="2"/>
  <c r="M165" i="2"/>
  <c r="M169" i="2"/>
  <c r="M173" i="2"/>
  <c r="M177" i="2"/>
  <c r="M181" i="2"/>
  <c r="M185" i="2"/>
  <c r="M189" i="2"/>
  <c r="M193" i="2"/>
  <c r="M197" i="2"/>
  <c r="M201" i="2"/>
  <c r="M209" i="2"/>
  <c r="M217" i="2"/>
  <c r="M5" i="2"/>
  <c r="M128" i="2"/>
  <c r="M136" i="2"/>
  <c r="M144" i="2"/>
  <c r="M148" i="2"/>
  <c r="M152" i="2"/>
  <c r="M156" i="2"/>
  <c r="M160" i="2"/>
  <c r="M164" i="2"/>
  <c r="M168" i="2"/>
  <c r="M172" i="2"/>
  <c r="M176" i="2"/>
  <c r="M180" i="2"/>
  <c r="M184" i="2"/>
  <c r="M188" i="2"/>
  <c r="M192" i="2"/>
  <c r="M196" i="2"/>
  <c r="M200" i="2"/>
  <c r="M204" i="2"/>
  <c r="M208" i="2"/>
  <c r="M212" i="2"/>
  <c r="M216" i="2"/>
  <c r="M220" i="2"/>
  <c r="M224" i="2"/>
  <c r="M203" i="2"/>
  <c r="M211" i="2"/>
  <c r="M219" i="2"/>
  <c r="M126" i="2"/>
  <c r="M134" i="2"/>
  <c r="M143" i="2"/>
  <c r="M147" i="2"/>
  <c r="M151" i="2"/>
  <c r="M155" i="2"/>
  <c r="M159" i="2"/>
  <c r="M163" i="2"/>
  <c r="M167" i="2"/>
  <c r="M171" i="2"/>
  <c r="M175" i="2"/>
  <c r="M179" i="2"/>
  <c r="M183" i="2"/>
  <c r="M187" i="2"/>
  <c r="M191" i="2"/>
  <c r="M195" i="2"/>
  <c r="M199" i="2"/>
  <c r="M207" i="2"/>
  <c r="M215" i="2"/>
  <c r="M223" i="2"/>
  <c r="M132" i="2"/>
  <c r="M140" i="2"/>
  <c r="M142" i="2"/>
  <c r="M146" i="2"/>
  <c r="M150" i="2"/>
  <c r="M154" i="2"/>
  <c r="M158" i="2"/>
  <c r="M162" i="2"/>
  <c r="M166" i="2"/>
  <c r="M170" i="2"/>
  <c r="M174" i="2"/>
  <c r="M178" i="2"/>
  <c r="M182" i="2"/>
  <c r="M186" i="2"/>
  <c r="M190" i="2"/>
  <c r="M194" i="2"/>
  <c r="M198" i="2"/>
  <c r="M202" i="2"/>
  <c r="M206" i="2"/>
  <c r="M210" i="2"/>
  <c r="M214" i="2"/>
  <c r="M218" i="2"/>
  <c r="M222" i="2"/>
  <c r="M205" i="2"/>
  <c r="M213" i="2"/>
  <c r="M221" i="2"/>
  <c r="D9" i="1"/>
  <c r="G9" i="1"/>
  <c r="N8" i="2"/>
  <c r="N7" i="2"/>
  <c r="N11" i="2"/>
  <c r="N15" i="2"/>
  <c r="N19" i="2"/>
  <c r="N23" i="2"/>
  <c r="N27" i="2"/>
  <c r="N31" i="2"/>
  <c r="N35" i="2"/>
  <c r="N39" i="2"/>
  <c r="N43" i="2"/>
  <c r="N6" i="2"/>
  <c r="N10" i="2"/>
  <c r="N14" i="2"/>
  <c r="N18" i="2"/>
  <c r="N22" i="2"/>
  <c r="N26" i="2"/>
  <c r="N30" i="2"/>
  <c r="N34" i="2"/>
  <c r="N38" i="2"/>
  <c r="N42" i="2"/>
  <c r="N9" i="2"/>
  <c r="N13" i="2"/>
  <c r="N21" i="2"/>
  <c r="N29" i="2"/>
  <c r="N37" i="2"/>
  <c r="N45" i="2"/>
  <c r="N49" i="2"/>
  <c r="N53" i="2"/>
  <c r="N57" i="2"/>
  <c r="N61" i="2"/>
  <c r="N65" i="2"/>
  <c r="N69" i="2"/>
  <c r="N73" i="2"/>
  <c r="N77" i="2"/>
  <c r="N81" i="2"/>
  <c r="N85" i="2"/>
  <c r="N89" i="2"/>
  <c r="N93" i="2"/>
  <c r="N97" i="2"/>
  <c r="N101" i="2"/>
  <c r="N105" i="2"/>
  <c r="N109" i="2"/>
  <c r="N113" i="2"/>
  <c r="N117" i="2"/>
  <c r="N121" i="2"/>
  <c r="N16" i="2"/>
  <c r="N24" i="2"/>
  <c r="N32" i="2"/>
  <c r="N40" i="2"/>
  <c r="N48" i="2"/>
  <c r="N52" i="2"/>
  <c r="N56" i="2"/>
  <c r="N60" i="2"/>
  <c r="N64" i="2"/>
  <c r="N68" i="2"/>
  <c r="N72" i="2"/>
  <c r="N76" i="2"/>
  <c r="N80" i="2"/>
  <c r="N84" i="2"/>
  <c r="N88" i="2"/>
  <c r="N92" i="2"/>
  <c r="N96" i="2"/>
  <c r="N100" i="2"/>
  <c r="N104" i="2"/>
  <c r="N108" i="2"/>
  <c r="N112" i="2"/>
  <c r="N116" i="2"/>
  <c r="N120" i="2"/>
  <c r="N124" i="2"/>
  <c r="N128" i="2"/>
  <c r="N132" i="2"/>
  <c r="N136" i="2"/>
  <c r="N140" i="2"/>
  <c r="N17" i="2"/>
  <c r="N25" i="2"/>
  <c r="N33" i="2"/>
  <c r="N41" i="2"/>
  <c r="N47" i="2"/>
  <c r="N51" i="2"/>
  <c r="N55" i="2"/>
  <c r="N59" i="2"/>
  <c r="N63" i="2"/>
  <c r="N67" i="2"/>
  <c r="N71" i="2"/>
  <c r="N75" i="2"/>
  <c r="N79" i="2"/>
  <c r="N83" i="2"/>
  <c r="N87" i="2"/>
  <c r="N91" i="2"/>
  <c r="N95" i="2"/>
  <c r="N99" i="2"/>
  <c r="N103" i="2"/>
  <c r="N107" i="2"/>
  <c r="N111" i="2"/>
  <c r="N115" i="2"/>
  <c r="N119" i="2"/>
  <c r="N123" i="2"/>
  <c r="N12" i="2"/>
  <c r="N20" i="2"/>
  <c r="N28" i="2"/>
  <c r="N36" i="2"/>
  <c r="N44" i="2"/>
  <c r="N46" i="2"/>
  <c r="N50" i="2"/>
  <c r="N54" i="2"/>
  <c r="N58" i="2"/>
  <c r="N62" i="2"/>
  <c r="N66" i="2"/>
  <c r="N70" i="2"/>
  <c r="N74" i="2"/>
  <c r="N78" i="2"/>
  <c r="N82" i="2"/>
  <c r="N86" i="2"/>
  <c r="N90" i="2"/>
  <c r="N94" i="2"/>
  <c r="N98" i="2"/>
  <c r="N102" i="2"/>
  <c r="N106" i="2"/>
  <c r="N110" i="2"/>
  <c r="N114" i="2"/>
  <c r="N118" i="2"/>
  <c r="N122" i="2"/>
  <c r="N126" i="2"/>
  <c r="N130" i="2"/>
  <c r="N134" i="2"/>
  <c r="N138" i="2"/>
  <c r="N127" i="2"/>
  <c r="N135" i="2"/>
  <c r="N142" i="2"/>
  <c r="N146" i="2"/>
  <c r="N150" i="2"/>
  <c r="N154" i="2"/>
  <c r="N158" i="2"/>
  <c r="N162" i="2"/>
  <c r="N166" i="2"/>
  <c r="N170" i="2"/>
  <c r="N174" i="2"/>
  <c r="N178" i="2"/>
  <c r="N182" i="2"/>
  <c r="N186" i="2"/>
  <c r="N190" i="2"/>
  <c r="N194" i="2"/>
  <c r="N198" i="2"/>
  <c r="N206" i="2"/>
  <c r="N214" i="2"/>
  <c r="N222" i="2"/>
  <c r="N125" i="2"/>
  <c r="N133" i="2"/>
  <c r="N141" i="2"/>
  <c r="N145" i="2"/>
  <c r="N149" i="2"/>
  <c r="N153" i="2"/>
  <c r="N157" i="2"/>
  <c r="N161" i="2"/>
  <c r="N165" i="2"/>
  <c r="N169" i="2"/>
  <c r="N173" i="2"/>
  <c r="N177" i="2"/>
  <c r="N181" i="2"/>
  <c r="N185" i="2"/>
  <c r="N189" i="2"/>
  <c r="N193" i="2"/>
  <c r="N197" i="2"/>
  <c r="N201" i="2"/>
  <c r="N205" i="2"/>
  <c r="N209" i="2"/>
  <c r="N213" i="2"/>
  <c r="N217" i="2"/>
  <c r="N221" i="2"/>
  <c r="N5" i="2"/>
  <c r="N208" i="2"/>
  <c r="N216" i="2"/>
  <c r="N224" i="2"/>
  <c r="N131" i="2"/>
  <c r="N139" i="2"/>
  <c r="N144" i="2"/>
  <c r="N148" i="2"/>
  <c r="N152" i="2"/>
  <c r="N156" i="2"/>
  <c r="N160" i="2"/>
  <c r="N164" i="2"/>
  <c r="N168" i="2"/>
  <c r="N172" i="2"/>
  <c r="N176" i="2"/>
  <c r="N180" i="2"/>
  <c r="N184" i="2"/>
  <c r="N188" i="2"/>
  <c r="N192" i="2"/>
  <c r="N196" i="2"/>
  <c r="N200" i="2"/>
  <c r="N204" i="2"/>
  <c r="N212" i="2"/>
  <c r="N220" i="2"/>
  <c r="N129" i="2"/>
  <c r="N137" i="2"/>
  <c r="N143" i="2"/>
  <c r="N147" i="2"/>
  <c r="N151" i="2"/>
  <c r="N155" i="2"/>
  <c r="N159" i="2"/>
  <c r="N163" i="2"/>
  <c r="N167" i="2"/>
  <c r="N171" i="2"/>
  <c r="N175" i="2"/>
  <c r="N179" i="2"/>
  <c r="N183" i="2"/>
  <c r="N187" i="2"/>
  <c r="N191" i="2"/>
  <c r="N195" i="2"/>
  <c r="N199" i="2"/>
  <c r="N203" i="2"/>
  <c r="N207" i="2"/>
  <c r="N211" i="2"/>
  <c r="N215" i="2"/>
  <c r="N219" i="2"/>
  <c r="N223" i="2"/>
  <c r="N202" i="2"/>
  <c r="N210" i="2"/>
  <c r="N218" i="2"/>
  <c r="O9" i="2"/>
  <c r="O8" i="2"/>
  <c r="O12" i="2"/>
  <c r="O16" i="2"/>
  <c r="O20" i="2"/>
  <c r="O24" i="2"/>
  <c r="O28" i="2"/>
  <c r="O32" i="2"/>
  <c r="O36" i="2"/>
  <c r="O40" i="2"/>
  <c r="O44" i="2"/>
  <c r="O7" i="2"/>
  <c r="O11" i="2"/>
  <c r="O15" i="2"/>
  <c r="O19" i="2"/>
  <c r="O23" i="2"/>
  <c r="O27" i="2"/>
  <c r="O31" i="2"/>
  <c r="O35" i="2"/>
  <c r="O39" i="2"/>
  <c r="O43" i="2"/>
  <c r="O6" i="2"/>
  <c r="O10" i="2"/>
  <c r="O18" i="2"/>
  <c r="O26" i="2"/>
  <c r="O34" i="2"/>
  <c r="O42" i="2"/>
  <c r="O46" i="2"/>
  <c r="O50" i="2"/>
  <c r="O54" i="2"/>
  <c r="O58" i="2"/>
  <c r="O62" i="2"/>
  <c r="O66" i="2"/>
  <c r="O70" i="2"/>
  <c r="O74" i="2"/>
  <c r="O78" i="2"/>
  <c r="O82" i="2"/>
  <c r="O86" i="2"/>
  <c r="O90" i="2"/>
  <c r="O94" i="2"/>
  <c r="O98" i="2"/>
  <c r="O102" i="2"/>
  <c r="O106" i="2"/>
  <c r="O110" i="2"/>
  <c r="O114" i="2"/>
  <c r="O118" i="2"/>
  <c r="O122" i="2"/>
  <c r="O13" i="2"/>
  <c r="O21" i="2"/>
  <c r="O29" i="2"/>
  <c r="O37" i="2"/>
  <c r="O45" i="2"/>
  <c r="O49" i="2"/>
  <c r="O53" i="2"/>
  <c r="O57" i="2"/>
  <c r="O61" i="2"/>
  <c r="O65" i="2"/>
  <c r="O69" i="2"/>
  <c r="O73" i="2"/>
  <c r="O77" i="2"/>
  <c r="O81" i="2"/>
  <c r="O85" i="2"/>
  <c r="O89" i="2"/>
  <c r="O93" i="2"/>
  <c r="O97" i="2"/>
  <c r="O101" i="2"/>
  <c r="O105" i="2"/>
  <c r="O109" i="2"/>
  <c r="O113" i="2"/>
  <c r="O117" i="2"/>
  <c r="O121" i="2"/>
  <c r="O125" i="2"/>
  <c r="O129" i="2"/>
  <c r="O133" i="2"/>
  <c r="O137" i="2"/>
  <c r="O14" i="2"/>
  <c r="O22" i="2"/>
  <c r="O30" i="2"/>
  <c r="O38" i="2"/>
  <c r="O48" i="2"/>
  <c r="O52" i="2"/>
  <c r="O56" i="2"/>
  <c r="O60" i="2"/>
  <c r="O64" i="2"/>
  <c r="O68" i="2"/>
  <c r="O72" i="2"/>
  <c r="O76" i="2"/>
  <c r="O80" i="2"/>
  <c r="O84" i="2"/>
  <c r="O88" i="2"/>
  <c r="O92" i="2"/>
  <c r="O96" i="2"/>
  <c r="O100" i="2"/>
  <c r="O104" i="2"/>
  <c r="O108" i="2"/>
  <c r="O112" i="2"/>
  <c r="O116" i="2"/>
  <c r="O120" i="2"/>
  <c r="O17" i="2"/>
  <c r="O25" i="2"/>
  <c r="O33" i="2"/>
  <c r="O41" i="2"/>
  <c r="O47" i="2"/>
  <c r="O51" i="2"/>
  <c r="O55" i="2"/>
  <c r="O59" i="2"/>
  <c r="O63" i="2"/>
  <c r="O67" i="2"/>
  <c r="O71" i="2"/>
  <c r="O75" i="2"/>
  <c r="O79" i="2"/>
  <c r="O83" i="2"/>
  <c r="O87" i="2"/>
  <c r="O91" i="2"/>
  <c r="O95" i="2"/>
  <c r="O99" i="2"/>
  <c r="O103" i="2"/>
  <c r="O107" i="2"/>
  <c r="O111" i="2"/>
  <c r="O115" i="2"/>
  <c r="O119" i="2"/>
  <c r="O123" i="2"/>
  <c r="O127" i="2"/>
  <c r="O131" i="2"/>
  <c r="O135" i="2"/>
  <c r="O139" i="2"/>
  <c r="O124" i="2"/>
  <c r="O132" i="2"/>
  <c r="O140" i="2"/>
  <c r="O143" i="2"/>
  <c r="O147" i="2"/>
  <c r="O151" i="2"/>
  <c r="O155" i="2"/>
  <c r="O159" i="2"/>
  <c r="O163" i="2"/>
  <c r="O167" i="2"/>
  <c r="O171" i="2"/>
  <c r="O175" i="2"/>
  <c r="O179" i="2"/>
  <c r="O183" i="2"/>
  <c r="O187" i="2"/>
  <c r="O191" i="2"/>
  <c r="O195" i="2"/>
  <c r="O199" i="2"/>
  <c r="O203" i="2"/>
  <c r="O211" i="2"/>
  <c r="O219" i="2"/>
  <c r="O130" i="2"/>
  <c r="O138" i="2"/>
  <c r="O142" i="2"/>
  <c r="O146" i="2"/>
  <c r="O150" i="2"/>
  <c r="O154" i="2"/>
  <c r="O158" i="2"/>
  <c r="O162" i="2"/>
  <c r="O166" i="2"/>
  <c r="O170" i="2"/>
  <c r="O174" i="2"/>
  <c r="O178" i="2"/>
  <c r="O182" i="2"/>
  <c r="O186" i="2"/>
  <c r="O190" i="2"/>
  <c r="O194" i="2"/>
  <c r="O198" i="2"/>
  <c r="O202" i="2"/>
  <c r="O206" i="2"/>
  <c r="O210" i="2"/>
  <c r="O214" i="2"/>
  <c r="O218" i="2"/>
  <c r="O222" i="2"/>
  <c r="O205" i="2"/>
  <c r="O213" i="2"/>
  <c r="O221" i="2"/>
  <c r="O128" i="2"/>
  <c r="O136" i="2"/>
  <c r="O141" i="2"/>
  <c r="O145" i="2"/>
  <c r="O149" i="2"/>
  <c r="O153" i="2"/>
  <c r="O157" i="2"/>
  <c r="O161" i="2"/>
  <c r="O165" i="2"/>
  <c r="O169" i="2"/>
  <c r="O173" i="2"/>
  <c r="O177" i="2"/>
  <c r="O181" i="2"/>
  <c r="O185" i="2"/>
  <c r="O189" i="2"/>
  <c r="O193" i="2"/>
  <c r="O197" i="2"/>
  <c r="O201" i="2"/>
  <c r="O209" i="2"/>
  <c r="O217" i="2"/>
  <c r="O5" i="2"/>
  <c r="O126" i="2"/>
  <c r="O134" i="2"/>
  <c r="O144" i="2"/>
  <c r="O148" i="2"/>
  <c r="O152" i="2"/>
  <c r="O156" i="2"/>
  <c r="O160" i="2"/>
  <c r="O164" i="2"/>
  <c r="O168" i="2"/>
  <c r="O172" i="2"/>
  <c r="O176" i="2"/>
  <c r="O180" i="2"/>
  <c r="O184" i="2"/>
  <c r="O188" i="2"/>
  <c r="O192" i="2"/>
  <c r="O196" i="2"/>
  <c r="O200" i="2"/>
  <c r="O204" i="2"/>
  <c r="O208" i="2"/>
  <c r="O212" i="2"/>
  <c r="O216" i="2"/>
  <c r="O220" i="2"/>
  <c r="O224" i="2"/>
  <c r="O207" i="2"/>
  <c r="O215" i="2"/>
  <c r="O223" i="2"/>
  <c r="C14" i="1"/>
  <c r="F9" i="1"/>
  <c r="E9" i="1"/>
  <c r="C10" i="10"/>
  <c r="I12" i="10" l="1"/>
  <c r="F13" i="10" s="1"/>
  <c r="AC11" i="10"/>
  <c r="AB11" i="10"/>
  <c r="AF11" i="10"/>
  <c r="AA12" i="10"/>
  <c r="AD11" i="10"/>
  <c r="K226" i="2"/>
  <c r="K228" i="2"/>
  <c r="K230" i="2"/>
  <c r="K232" i="2"/>
  <c r="K234" i="2"/>
  <c r="K236" i="2"/>
  <c r="K238" i="2"/>
  <c r="K240" i="2"/>
  <c r="K242" i="2"/>
  <c r="K244" i="2"/>
  <c r="K246" i="2"/>
  <c r="K248" i="2"/>
  <c r="K250" i="2"/>
  <c r="K252" i="2"/>
  <c r="K254" i="2"/>
  <c r="K256" i="2"/>
  <c r="K258" i="2"/>
  <c r="K260" i="2"/>
  <c r="K227" i="2"/>
  <c r="K229" i="2"/>
  <c r="K233" i="2"/>
  <c r="K237" i="2"/>
  <c r="K241" i="2"/>
  <c r="K245" i="2"/>
  <c r="K249" i="2"/>
  <c r="K255" i="2"/>
  <c r="K225" i="2"/>
  <c r="K231" i="2"/>
  <c r="K235" i="2"/>
  <c r="K239" i="2"/>
  <c r="K243" i="2"/>
  <c r="K247" i="2"/>
  <c r="K251" i="2"/>
  <c r="K253" i="2"/>
  <c r="K257" i="2"/>
  <c r="K259" i="2"/>
  <c r="L57" i="5"/>
  <c r="K57" i="5"/>
  <c r="L56" i="5"/>
  <c r="K56" i="5"/>
  <c r="L55" i="5"/>
  <c r="K55" i="5"/>
  <c r="L54" i="5"/>
  <c r="K54" i="5"/>
  <c r="L53" i="5"/>
  <c r="K53" i="5"/>
  <c r="L52" i="5"/>
  <c r="K52" i="5"/>
  <c r="L51" i="5"/>
  <c r="K51" i="5"/>
  <c r="L50" i="5"/>
  <c r="K50" i="5"/>
  <c r="L49" i="5"/>
  <c r="K49" i="5"/>
  <c r="L39" i="5"/>
  <c r="K39" i="5"/>
  <c r="L38" i="5"/>
  <c r="K38" i="5"/>
  <c r="L37" i="5"/>
  <c r="K37" i="5"/>
  <c r="L36" i="5"/>
  <c r="K36" i="5"/>
  <c r="L35" i="5"/>
  <c r="K35" i="5"/>
  <c r="L34" i="5"/>
  <c r="K34" i="5"/>
  <c r="L33" i="5"/>
  <c r="K33" i="5"/>
  <c r="L32" i="5"/>
  <c r="K32" i="5"/>
  <c r="L31" i="5"/>
  <c r="K31" i="5"/>
  <c r="K14" i="5"/>
  <c r="L14" i="5"/>
  <c r="K15" i="5"/>
  <c r="L15" i="5"/>
  <c r="K16" i="5"/>
  <c r="L16" i="5"/>
  <c r="K17" i="5"/>
  <c r="L17" i="5"/>
  <c r="K18" i="5"/>
  <c r="L18" i="5"/>
  <c r="K19" i="5"/>
  <c r="L19" i="5"/>
  <c r="K20" i="5"/>
  <c r="L20" i="5"/>
  <c r="K21" i="5"/>
  <c r="L21" i="5"/>
  <c r="L13" i="5"/>
  <c r="K13" i="5"/>
  <c r="C11" i="10"/>
  <c r="AA13" i="10" l="1"/>
  <c r="AD12" i="10"/>
  <c r="AC12" i="10"/>
  <c r="AB12" i="10"/>
  <c r="AF12" i="10"/>
  <c r="I13" i="10"/>
  <c r="F14" i="10" s="1"/>
  <c r="X251" i="2"/>
  <c r="S251" i="2"/>
  <c r="T251" i="2" s="1"/>
  <c r="R251" i="2"/>
  <c r="V251" i="2"/>
  <c r="W251" i="2"/>
  <c r="R235" i="2"/>
  <c r="S235" i="2"/>
  <c r="T235" i="2" s="1"/>
  <c r="V235" i="2"/>
  <c r="X235" i="2"/>
  <c r="W235" i="2"/>
  <c r="R255" i="2"/>
  <c r="V255" i="2"/>
  <c r="S255" i="2"/>
  <c r="T255" i="2" s="1"/>
  <c r="X255" i="2"/>
  <c r="W255" i="2"/>
  <c r="R237" i="2"/>
  <c r="X237" i="2"/>
  <c r="W237" i="2"/>
  <c r="S237" i="2"/>
  <c r="T237" i="2" s="1"/>
  <c r="V237" i="2"/>
  <c r="X256" i="2"/>
  <c r="S256" i="2"/>
  <c r="T256" i="2" s="1"/>
  <c r="W256" i="2"/>
  <c r="R256" i="2"/>
  <c r="V256" i="2"/>
  <c r="Y256" i="2" s="1"/>
  <c r="R248" i="2"/>
  <c r="V248" i="2"/>
  <c r="X248" i="2"/>
  <c r="S248" i="2"/>
  <c r="T248" i="2" s="1"/>
  <c r="W248" i="2"/>
  <c r="R240" i="2"/>
  <c r="S240" i="2"/>
  <c r="T240" i="2" s="1"/>
  <c r="X240" i="2"/>
  <c r="W240" i="2"/>
  <c r="V240" i="2"/>
  <c r="S232" i="2"/>
  <c r="T232" i="2" s="1"/>
  <c r="R232" i="2"/>
  <c r="W232" i="2"/>
  <c r="X232" i="2"/>
  <c r="V232" i="2"/>
  <c r="V259" i="2"/>
  <c r="S259" i="2"/>
  <c r="T259" i="2" s="1"/>
  <c r="X259" i="2"/>
  <c r="W259" i="2"/>
  <c r="R259" i="2"/>
  <c r="X247" i="2"/>
  <c r="R247" i="2"/>
  <c r="V247" i="2"/>
  <c r="S247" i="2"/>
  <c r="T247" i="2" s="1"/>
  <c r="W247" i="2"/>
  <c r="R231" i="2"/>
  <c r="S231" i="2"/>
  <c r="T231" i="2" s="1"/>
  <c r="X231" i="2"/>
  <c r="V231" i="2"/>
  <c r="W231" i="2"/>
  <c r="W249" i="2"/>
  <c r="X249" i="2"/>
  <c r="S249" i="2"/>
  <c r="T249" i="2" s="1"/>
  <c r="R249" i="2"/>
  <c r="V249" i="2"/>
  <c r="R233" i="2"/>
  <c r="X233" i="2"/>
  <c r="V233" i="2"/>
  <c r="W233" i="2"/>
  <c r="S233" i="2"/>
  <c r="T233" i="2" s="1"/>
  <c r="X254" i="2"/>
  <c r="W254" i="2"/>
  <c r="R254" i="2"/>
  <c r="V254" i="2"/>
  <c r="S254" i="2"/>
  <c r="T254" i="2" s="1"/>
  <c r="U254" i="2" s="1"/>
  <c r="X246" i="2"/>
  <c r="R246" i="2"/>
  <c r="W246" i="2"/>
  <c r="V246" i="2"/>
  <c r="S246" i="2"/>
  <c r="T246" i="2" s="1"/>
  <c r="U246" i="2" s="1"/>
  <c r="R238" i="2"/>
  <c r="S238" i="2"/>
  <c r="T238" i="2" s="1"/>
  <c r="W238" i="2"/>
  <c r="X238" i="2"/>
  <c r="V238" i="2"/>
  <c r="S230" i="2"/>
  <c r="T230" i="2" s="1"/>
  <c r="X230" i="2"/>
  <c r="W230" i="2"/>
  <c r="R230" i="2"/>
  <c r="V230" i="2"/>
  <c r="R257" i="2"/>
  <c r="X257" i="2"/>
  <c r="W257" i="2"/>
  <c r="S257" i="2"/>
  <c r="T257" i="2" s="1"/>
  <c r="V257" i="2"/>
  <c r="W243" i="2"/>
  <c r="X243" i="2"/>
  <c r="R243" i="2"/>
  <c r="V243" i="2"/>
  <c r="S243" i="2"/>
  <c r="T243" i="2" s="1"/>
  <c r="R225" i="2"/>
  <c r="X225" i="2"/>
  <c r="V225" i="2"/>
  <c r="W225" i="2"/>
  <c r="S225" i="2"/>
  <c r="T225" i="2" s="1"/>
  <c r="V245" i="2"/>
  <c r="S245" i="2"/>
  <c r="T245" i="2" s="1"/>
  <c r="X245" i="2"/>
  <c r="W245" i="2"/>
  <c r="R245" i="2"/>
  <c r="R229" i="2"/>
  <c r="V229" i="2"/>
  <c r="X229" i="2"/>
  <c r="W229" i="2"/>
  <c r="S229" i="2"/>
  <c r="T229" i="2" s="1"/>
  <c r="W260" i="2"/>
  <c r="X260" i="2"/>
  <c r="V260" i="2"/>
  <c r="R260" i="2"/>
  <c r="S260" i="2"/>
  <c r="T260" i="2" s="1"/>
  <c r="V252" i="2"/>
  <c r="S252" i="2"/>
  <c r="T252" i="2" s="1"/>
  <c r="X252" i="2"/>
  <c r="W252" i="2"/>
  <c r="R252" i="2"/>
  <c r="R244" i="2"/>
  <c r="V244" i="2"/>
  <c r="X244" i="2"/>
  <c r="W244" i="2"/>
  <c r="S244" i="2"/>
  <c r="T244" i="2" s="1"/>
  <c r="R236" i="2"/>
  <c r="S236" i="2"/>
  <c r="T236" i="2" s="1"/>
  <c r="X236" i="2"/>
  <c r="W236" i="2"/>
  <c r="V236" i="2"/>
  <c r="X228" i="2"/>
  <c r="R228" i="2"/>
  <c r="S228" i="2"/>
  <c r="T228" i="2" s="1"/>
  <c r="W228" i="2"/>
  <c r="V228" i="2"/>
  <c r="Y228" i="2" s="1"/>
  <c r="R253" i="2"/>
  <c r="X253" i="2"/>
  <c r="W253" i="2"/>
  <c r="S253" i="2"/>
  <c r="T253" i="2" s="1"/>
  <c r="V253" i="2"/>
  <c r="X239" i="2"/>
  <c r="V239" i="2"/>
  <c r="S239" i="2"/>
  <c r="T239" i="2" s="1"/>
  <c r="W239" i="2"/>
  <c r="R239" i="2"/>
  <c r="X241" i="2"/>
  <c r="R241" i="2"/>
  <c r="V241" i="2"/>
  <c r="S241" i="2"/>
  <c r="T241" i="2" s="1"/>
  <c r="W241" i="2"/>
  <c r="R227" i="2"/>
  <c r="X227" i="2"/>
  <c r="W227" i="2"/>
  <c r="S227" i="2"/>
  <c r="T227" i="2" s="1"/>
  <c r="V227" i="2"/>
  <c r="V258" i="2"/>
  <c r="W258" i="2"/>
  <c r="R258" i="2"/>
  <c r="S258" i="2"/>
  <c r="T258" i="2" s="1"/>
  <c r="X258" i="2"/>
  <c r="R250" i="2"/>
  <c r="V250" i="2"/>
  <c r="W250" i="2"/>
  <c r="X250" i="2"/>
  <c r="S250" i="2"/>
  <c r="T250" i="2" s="1"/>
  <c r="R242" i="2"/>
  <c r="W242" i="2"/>
  <c r="S242" i="2"/>
  <c r="T242" i="2" s="1"/>
  <c r="V242" i="2"/>
  <c r="X242" i="2"/>
  <c r="R234" i="2"/>
  <c r="W234" i="2"/>
  <c r="X234" i="2"/>
  <c r="S234" i="2"/>
  <c r="T234" i="2" s="1"/>
  <c r="V234" i="2"/>
  <c r="X226" i="2"/>
  <c r="S226" i="2"/>
  <c r="T226" i="2" s="1"/>
  <c r="W226" i="2"/>
  <c r="R226" i="2"/>
  <c r="V226" i="2"/>
  <c r="Y226" i="2" s="1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5" i="2"/>
  <c r="AA5" i="2"/>
  <c r="AA6" i="2" s="1"/>
  <c r="C12" i="10"/>
  <c r="I14" i="10" l="1"/>
  <c r="F15" i="10" s="1"/>
  <c r="AF13" i="10"/>
  <c r="AA14" i="10"/>
  <c r="AD13" i="10"/>
  <c r="AC13" i="10"/>
  <c r="AB13" i="10"/>
  <c r="U247" i="2"/>
  <c r="Y243" i="2"/>
  <c r="Y252" i="2"/>
  <c r="Y238" i="2"/>
  <c r="Y249" i="2"/>
  <c r="Y225" i="2"/>
  <c r="Y257" i="2"/>
  <c r="Y246" i="2"/>
  <c r="U249" i="2"/>
  <c r="U240" i="2"/>
  <c r="Y240" i="2"/>
  <c r="Y253" i="2"/>
  <c r="U256" i="2"/>
  <c r="U258" i="2"/>
  <c r="U228" i="2"/>
  <c r="U244" i="2"/>
  <c r="U226" i="2"/>
  <c r="Y242" i="2"/>
  <c r="U250" i="2"/>
  <c r="Y244" i="2"/>
  <c r="Y229" i="2"/>
  <c r="U225" i="2"/>
  <c r="U229" i="2"/>
  <c r="Y237" i="2"/>
  <c r="U242" i="2"/>
  <c r="Y239" i="2"/>
  <c r="Y232" i="2"/>
  <c r="U232" i="2"/>
  <c r="Y248" i="2"/>
  <c r="Y250" i="2"/>
  <c r="U257" i="2"/>
  <c r="Y234" i="2"/>
  <c r="Y241" i="2"/>
  <c r="U239" i="2"/>
  <c r="Y245" i="2"/>
  <c r="Y236" i="2"/>
  <c r="Y258" i="2"/>
  <c r="U241" i="2"/>
  <c r="U253" i="2"/>
  <c r="U236" i="2"/>
  <c r="U260" i="2"/>
  <c r="U233" i="2"/>
  <c r="Y231" i="2"/>
  <c r="U259" i="2"/>
  <c r="U248" i="2"/>
  <c r="U237" i="2"/>
  <c r="Y235" i="2"/>
  <c r="Y251" i="2"/>
  <c r="Y259" i="2"/>
  <c r="U235" i="2"/>
  <c r="U234" i="2"/>
  <c r="Y227" i="2"/>
  <c r="U252" i="2"/>
  <c r="Y260" i="2"/>
  <c r="U245" i="2"/>
  <c r="U243" i="2"/>
  <c r="Y230" i="2"/>
  <c r="U230" i="2"/>
  <c r="U238" i="2"/>
  <c r="Y254" i="2"/>
  <c r="Y233" i="2"/>
  <c r="U231" i="2"/>
  <c r="Y247" i="2"/>
  <c r="U255" i="2"/>
  <c r="U251" i="2"/>
  <c r="U227" i="2"/>
  <c r="Y255" i="2"/>
  <c r="AA7" i="2"/>
  <c r="AD7" i="2" s="1"/>
  <c r="D7" i="2" s="1"/>
  <c r="AD6" i="2"/>
  <c r="D6" i="2" s="1"/>
  <c r="AF5" i="2"/>
  <c r="AF6" i="2"/>
  <c r="C13" i="10"/>
  <c r="I15" i="10" l="1"/>
  <c r="F16" i="10" s="1"/>
  <c r="AB14" i="10"/>
  <c r="AF14" i="10"/>
  <c r="AA15" i="10"/>
  <c r="AD14" i="10"/>
  <c r="AC14" i="10"/>
  <c r="AF7" i="2"/>
  <c r="AA8" i="2"/>
  <c r="AD8" i="2" s="1"/>
  <c r="D8" i="2" s="1"/>
  <c r="Q7" i="2"/>
  <c r="R7" i="2" s="1"/>
  <c r="C14" i="10"/>
  <c r="I16" i="10" l="1"/>
  <c r="F17" i="10" s="1"/>
  <c r="AC15" i="10"/>
  <c r="AB15" i="10"/>
  <c r="AF15" i="10"/>
  <c r="AA16" i="10"/>
  <c r="AD15" i="10"/>
  <c r="AF8" i="2"/>
  <c r="AA9" i="2"/>
  <c r="AD9" i="2" s="1"/>
  <c r="D9" i="2" s="1"/>
  <c r="Q8" i="2"/>
  <c r="V7" i="2"/>
  <c r="W7" i="2"/>
  <c r="X7" i="2"/>
  <c r="S7" i="2"/>
  <c r="T7" i="2" s="1"/>
  <c r="C15" i="10"/>
  <c r="AA17" i="10" l="1"/>
  <c r="AD16" i="10"/>
  <c r="AC16" i="10"/>
  <c r="AB16" i="10"/>
  <c r="AF16" i="10"/>
  <c r="I17" i="10"/>
  <c r="F18" i="10" s="1"/>
  <c r="V8" i="2"/>
  <c r="R8" i="2"/>
  <c r="AF9" i="2"/>
  <c r="AA10" i="2"/>
  <c r="AD10" i="2" s="1"/>
  <c r="X8" i="2"/>
  <c r="Q9" i="2"/>
  <c r="U7" i="2"/>
  <c r="W8" i="2"/>
  <c r="S8" i="2"/>
  <c r="T8" i="2" s="1"/>
  <c r="C16" i="10"/>
  <c r="D10" i="2"/>
  <c r="I18" i="10" l="1"/>
  <c r="F19" i="10" s="1"/>
  <c r="AF17" i="10"/>
  <c r="AA18" i="10"/>
  <c r="AD17" i="10"/>
  <c r="AC17" i="10"/>
  <c r="AB17" i="10"/>
  <c r="S9" i="2"/>
  <c r="T9" i="2" s="1"/>
  <c r="R9" i="2"/>
  <c r="U8" i="2"/>
  <c r="Q10" i="2"/>
  <c r="AF10" i="2"/>
  <c r="AA11" i="2"/>
  <c r="AD11" i="2" s="1"/>
  <c r="X9" i="2"/>
  <c r="V9" i="2"/>
  <c r="W9" i="2"/>
  <c r="C17" i="10"/>
  <c r="D11" i="2"/>
  <c r="I19" i="10" l="1"/>
  <c r="F20" i="10" s="1"/>
  <c r="AB18" i="10"/>
  <c r="AA19" i="10"/>
  <c r="AF18" i="10"/>
  <c r="AD18" i="10"/>
  <c r="AC18" i="10"/>
  <c r="V10" i="2"/>
  <c r="R10" i="2"/>
  <c r="U9" i="2"/>
  <c r="S10" i="2"/>
  <c r="T10" i="2" s="1"/>
  <c r="AA12" i="2"/>
  <c r="AD12" i="2" s="1"/>
  <c r="W10" i="2"/>
  <c r="Q11" i="2"/>
  <c r="X10" i="2"/>
  <c r="AF11" i="2"/>
  <c r="C18" i="10"/>
  <c r="D12" i="2"/>
  <c r="AA20" i="10" l="1"/>
  <c r="AB19" i="10"/>
  <c r="AF19" i="10"/>
  <c r="AD19" i="10"/>
  <c r="AC19" i="10"/>
  <c r="I20" i="10"/>
  <c r="F21" i="10" s="1"/>
  <c r="V11" i="2"/>
  <c r="R11" i="2"/>
  <c r="U10" i="2"/>
  <c r="AA13" i="2"/>
  <c r="AD13" i="2" s="1"/>
  <c r="S11" i="2"/>
  <c r="T11" i="2" s="1"/>
  <c r="Q12" i="2"/>
  <c r="AF12" i="2"/>
  <c r="W11" i="2"/>
  <c r="X11" i="2"/>
  <c r="D13" i="2"/>
  <c r="C19" i="10"/>
  <c r="I21" i="10" l="1"/>
  <c r="F22" i="10" s="1"/>
  <c r="AF20" i="10"/>
  <c r="AB20" i="10"/>
  <c r="AA21" i="10"/>
  <c r="AD20" i="10"/>
  <c r="AC20" i="10"/>
  <c r="V12" i="2"/>
  <c r="R12" i="2"/>
  <c r="U11" i="2"/>
  <c r="Q13" i="2"/>
  <c r="AF13" i="2"/>
  <c r="AA14" i="2"/>
  <c r="AD14" i="2" s="1"/>
  <c r="X12" i="2"/>
  <c r="W12" i="2"/>
  <c r="S12" i="2"/>
  <c r="T12" i="2" s="1"/>
  <c r="C20" i="10"/>
  <c r="D14" i="2"/>
  <c r="AB21" i="10" l="1"/>
  <c r="AC21" i="10"/>
  <c r="AA22" i="10"/>
  <c r="AF21" i="10"/>
  <c r="AD21" i="10"/>
  <c r="I22" i="10"/>
  <c r="F23" i="10" s="1"/>
  <c r="J22" i="10"/>
  <c r="V13" i="2"/>
  <c r="R13" i="2"/>
  <c r="X13" i="2"/>
  <c r="W13" i="2"/>
  <c r="Q14" i="2"/>
  <c r="S13" i="2"/>
  <c r="T13" i="2" s="1"/>
  <c r="AF14" i="2"/>
  <c r="AA15" i="2"/>
  <c r="AD15" i="2" s="1"/>
  <c r="U12" i="2"/>
  <c r="C21" i="10"/>
  <c r="D15" i="2"/>
  <c r="I23" i="10" l="1"/>
  <c r="F24" i="10" s="1"/>
  <c r="J23" i="10"/>
  <c r="AB22" i="10"/>
  <c r="AC22" i="10"/>
  <c r="AA23" i="10"/>
  <c r="AF22" i="10"/>
  <c r="AD22" i="10"/>
  <c r="V14" i="2"/>
  <c r="R14" i="2"/>
  <c r="U13" i="2"/>
  <c r="S14" i="2"/>
  <c r="T14" i="2" s="1"/>
  <c r="W14" i="2"/>
  <c r="X14" i="2"/>
  <c r="Q15" i="2"/>
  <c r="AA16" i="2"/>
  <c r="AD16" i="2" s="1"/>
  <c r="AF15" i="2"/>
  <c r="C22" i="10"/>
  <c r="D16" i="2"/>
  <c r="AB23" i="10" l="1"/>
  <c r="AA24" i="10"/>
  <c r="AC23" i="10"/>
  <c r="AF23" i="10"/>
  <c r="AD23" i="10"/>
  <c r="I24" i="10"/>
  <c r="F25" i="10" s="1"/>
  <c r="J24" i="10"/>
  <c r="V15" i="2"/>
  <c r="R15" i="2"/>
  <c r="U14" i="2"/>
  <c r="S15" i="2"/>
  <c r="T15" i="2" s="1"/>
  <c r="W15" i="2"/>
  <c r="Q16" i="2"/>
  <c r="X15" i="2"/>
  <c r="AA17" i="2"/>
  <c r="AD17" i="2" s="1"/>
  <c r="AF16" i="2"/>
  <c r="C23" i="10"/>
  <c r="D17" i="2"/>
  <c r="I25" i="10" l="1"/>
  <c r="F26" i="10" s="1"/>
  <c r="J25" i="10"/>
  <c r="AB24" i="10"/>
  <c r="AD24" i="10"/>
  <c r="AA25" i="10"/>
  <c r="AF24" i="10"/>
  <c r="AC24" i="10"/>
  <c r="V16" i="2"/>
  <c r="R16" i="2"/>
  <c r="U15" i="2"/>
  <c r="S16" i="2"/>
  <c r="T16" i="2" s="1"/>
  <c r="W16" i="2"/>
  <c r="Q17" i="2"/>
  <c r="X16" i="2"/>
  <c r="AA18" i="2"/>
  <c r="AD18" i="2" s="1"/>
  <c r="AF17" i="2"/>
  <c r="C24" i="10"/>
  <c r="D18" i="2"/>
  <c r="AB25" i="10" l="1"/>
  <c r="AD25" i="10"/>
  <c r="AC25" i="10"/>
  <c r="AA26" i="10"/>
  <c r="AF25" i="10"/>
  <c r="I26" i="10"/>
  <c r="F27" i="10" s="1"/>
  <c r="J26" i="10"/>
  <c r="V17" i="2"/>
  <c r="R17" i="2"/>
  <c r="U16" i="2"/>
  <c r="S17" i="2"/>
  <c r="T17" i="2" s="1"/>
  <c r="X17" i="2"/>
  <c r="Q18" i="2"/>
  <c r="W17" i="2"/>
  <c r="AA19" i="2"/>
  <c r="AD19" i="2" s="1"/>
  <c r="AF18" i="2"/>
  <c r="C25" i="10"/>
  <c r="D19" i="2"/>
  <c r="AB26" i="10" l="1"/>
  <c r="AA27" i="10"/>
  <c r="AD26" i="10"/>
  <c r="AF26" i="10"/>
  <c r="AC26" i="10"/>
  <c r="I27" i="10"/>
  <c r="F28" i="10" s="1"/>
  <c r="J27" i="10"/>
  <c r="V18" i="2"/>
  <c r="R18" i="2"/>
  <c r="U17" i="2"/>
  <c r="X18" i="2"/>
  <c r="W18" i="2"/>
  <c r="Q19" i="2"/>
  <c r="S18" i="2"/>
  <c r="T18" i="2" s="1"/>
  <c r="AF19" i="2"/>
  <c r="AA20" i="2"/>
  <c r="AD20" i="2" s="1"/>
  <c r="C26" i="10"/>
  <c r="D20" i="2"/>
  <c r="I28" i="10" l="1"/>
  <c r="F29" i="10" s="1"/>
  <c r="J28" i="10"/>
  <c r="AA28" i="10"/>
  <c r="AB27" i="10"/>
  <c r="AF27" i="10"/>
  <c r="AD27" i="10"/>
  <c r="AC27" i="10"/>
  <c r="V19" i="2"/>
  <c r="R19" i="2"/>
  <c r="U18" i="2"/>
  <c r="X19" i="2"/>
  <c r="S19" i="2"/>
  <c r="T19" i="2" s="1"/>
  <c r="W19" i="2"/>
  <c r="Q20" i="2"/>
  <c r="AF20" i="2"/>
  <c r="AA21" i="2"/>
  <c r="AD21" i="2" s="1"/>
  <c r="C27" i="10"/>
  <c r="D21" i="2"/>
  <c r="AB28" i="10" l="1"/>
  <c r="AA29" i="10"/>
  <c r="AF28" i="10"/>
  <c r="AD28" i="10"/>
  <c r="AC28" i="10"/>
  <c r="I29" i="10"/>
  <c r="F30" i="10" s="1"/>
  <c r="J29" i="10"/>
  <c r="V20" i="2"/>
  <c r="R20" i="2"/>
  <c r="U19" i="2"/>
  <c r="X20" i="2"/>
  <c r="W20" i="2"/>
  <c r="Q21" i="2"/>
  <c r="S20" i="2"/>
  <c r="T20" i="2" s="1"/>
  <c r="AA22" i="2"/>
  <c r="AD22" i="2" s="1"/>
  <c r="AF21" i="2"/>
  <c r="D22" i="2"/>
  <c r="C28" i="10"/>
  <c r="I30" i="10" l="1"/>
  <c r="F31" i="10" s="1"/>
  <c r="J30" i="10"/>
  <c r="AB29" i="10"/>
  <c r="AA30" i="10"/>
  <c r="AF29" i="10"/>
  <c r="AD29" i="10"/>
  <c r="AC29" i="10"/>
  <c r="V21" i="2"/>
  <c r="R21" i="2"/>
  <c r="U20" i="2"/>
  <c r="X21" i="2"/>
  <c r="S21" i="2"/>
  <c r="T21" i="2" s="1"/>
  <c r="Q22" i="2"/>
  <c r="W21" i="2"/>
  <c r="AA23" i="2"/>
  <c r="AD23" i="2" s="1"/>
  <c r="AF22" i="2"/>
  <c r="C29" i="10"/>
  <c r="D23" i="2"/>
  <c r="AB30" i="10" l="1"/>
  <c r="AA31" i="10"/>
  <c r="AF30" i="10"/>
  <c r="AD30" i="10"/>
  <c r="AC30" i="10"/>
  <c r="I31" i="10"/>
  <c r="F32" i="10" s="1"/>
  <c r="J31" i="10"/>
  <c r="V22" i="2"/>
  <c r="R22" i="2"/>
  <c r="U21" i="2"/>
  <c r="W22" i="2"/>
  <c r="X22" i="2"/>
  <c r="Q23" i="2"/>
  <c r="S22" i="2"/>
  <c r="T22" i="2" s="1"/>
  <c r="AA24" i="2"/>
  <c r="AD24" i="2" s="1"/>
  <c r="AF23" i="2"/>
  <c r="C30" i="10"/>
  <c r="D24" i="2"/>
  <c r="I32" i="10" l="1"/>
  <c r="F33" i="10" s="1"/>
  <c r="J32" i="10"/>
  <c r="AB31" i="10"/>
  <c r="AA32" i="10"/>
  <c r="AF31" i="10"/>
  <c r="AD31" i="10"/>
  <c r="AC31" i="10"/>
  <c r="V23" i="2"/>
  <c r="R23" i="2"/>
  <c r="U22" i="2"/>
  <c r="W23" i="2"/>
  <c r="X23" i="2"/>
  <c r="Q24" i="2"/>
  <c r="S23" i="2"/>
  <c r="T23" i="2" s="1"/>
  <c r="AA25" i="2"/>
  <c r="AF24" i="2"/>
  <c r="C31" i="10"/>
  <c r="I33" i="10" l="1"/>
  <c r="F34" i="10" s="1"/>
  <c r="J33" i="10"/>
  <c r="AB32" i="10"/>
  <c r="AA33" i="10"/>
  <c r="AF32" i="10"/>
  <c r="AD32" i="10"/>
  <c r="AC32" i="10"/>
  <c r="AD25" i="2"/>
  <c r="V24" i="2"/>
  <c r="R24" i="2"/>
  <c r="U23" i="2"/>
  <c r="S24" i="2"/>
  <c r="T24" i="2" s="1"/>
  <c r="W24" i="2"/>
  <c r="Q25" i="2"/>
  <c r="X24" i="2"/>
  <c r="AA26" i="2"/>
  <c r="AF25" i="2"/>
  <c r="C32" i="10"/>
  <c r="D25" i="2"/>
  <c r="AB33" i="10" l="1"/>
  <c r="AA34" i="10"/>
  <c r="AF33" i="10"/>
  <c r="AD33" i="10"/>
  <c r="AC33" i="10"/>
  <c r="I34" i="10"/>
  <c r="F35" i="10" s="1"/>
  <c r="J34" i="10"/>
  <c r="AD26" i="2"/>
  <c r="V25" i="2"/>
  <c r="R25" i="2"/>
  <c r="U24" i="2"/>
  <c r="X25" i="2"/>
  <c r="S25" i="2"/>
  <c r="T25" i="2" s="1"/>
  <c r="Q26" i="2"/>
  <c r="W25" i="2"/>
  <c r="AA27" i="2"/>
  <c r="AF26" i="2"/>
  <c r="C33" i="10"/>
  <c r="D26" i="2"/>
  <c r="I35" i="10" l="1"/>
  <c r="F36" i="10" s="1"/>
  <c r="J35" i="10"/>
  <c r="AB34" i="10"/>
  <c r="AA35" i="10"/>
  <c r="AF34" i="10"/>
  <c r="AD34" i="10"/>
  <c r="AC34" i="10"/>
  <c r="AD27" i="2"/>
  <c r="V26" i="2"/>
  <c r="R26" i="2"/>
  <c r="U25" i="2"/>
  <c r="W26" i="2"/>
  <c r="X26" i="2"/>
  <c r="Q27" i="2"/>
  <c r="S26" i="2"/>
  <c r="T26" i="2" s="1"/>
  <c r="AA28" i="2"/>
  <c r="AF27" i="2"/>
  <c r="C34" i="10"/>
  <c r="D27" i="2"/>
  <c r="AB35" i="10" l="1"/>
  <c r="AA36" i="10"/>
  <c r="AF35" i="10"/>
  <c r="AD35" i="10"/>
  <c r="AC35" i="10"/>
  <c r="I36" i="10"/>
  <c r="F37" i="10" s="1"/>
  <c r="J36" i="10"/>
  <c r="AF28" i="2"/>
  <c r="V27" i="2"/>
  <c r="R27" i="2"/>
  <c r="U26" i="2"/>
  <c r="S27" i="2"/>
  <c r="T27" i="2" s="1"/>
  <c r="W27" i="2"/>
  <c r="X27" i="2"/>
  <c r="AD28" i="2"/>
  <c r="AA29" i="2"/>
  <c r="C35" i="10"/>
  <c r="D28" i="2"/>
  <c r="I37" i="10" l="1"/>
  <c r="F38" i="10" s="1"/>
  <c r="J37" i="10"/>
  <c r="AB36" i="10"/>
  <c r="AA37" i="10"/>
  <c r="AF36" i="10"/>
  <c r="AD36" i="10"/>
  <c r="AC36" i="10"/>
  <c r="AA30" i="2"/>
  <c r="AD30" i="2" s="1"/>
  <c r="U27" i="2"/>
  <c r="Q28" i="2"/>
  <c r="AD29" i="2"/>
  <c r="AF29" i="2"/>
  <c r="C36" i="10"/>
  <c r="D29" i="2"/>
  <c r="D30" i="2"/>
  <c r="AB37" i="10" l="1"/>
  <c r="AA38" i="10"/>
  <c r="AF37" i="10"/>
  <c r="AD37" i="10"/>
  <c r="AC37" i="10"/>
  <c r="I38" i="10"/>
  <c r="F39" i="10" s="1"/>
  <c r="J38" i="10"/>
  <c r="AF30" i="2"/>
  <c r="AA31" i="2"/>
  <c r="AA32" i="2" s="1"/>
  <c r="V28" i="2"/>
  <c r="R28" i="2"/>
  <c r="Q29" i="2"/>
  <c r="W28" i="2"/>
  <c r="S28" i="2"/>
  <c r="T28" i="2" s="1"/>
  <c r="X28" i="2"/>
  <c r="Q30" i="2"/>
  <c r="Q31" i="2"/>
  <c r="C37" i="10"/>
  <c r="I39" i="10" l="1"/>
  <c r="F40" i="10" s="1"/>
  <c r="J39" i="10"/>
  <c r="AB38" i="10"/>
  <c r="AA39" i="10"/>
  <c r="AF38" i="10"/>
  <c r="AD38" i="10"/>
  <c r="AC38" i="10"/>
  <c r="AF31" i="2"/>
  <c r="AD31" i="2"/>
  <c r="V31" i="2"/>
  <c r="R31" i="2"/>
  <c r="V30" i="2"/>
  <c r="R30" i="2"/>
  <c r="V29" i="2"/>
  <c r="R29" i="2"/>
  <c r="U28" i="2"/>
  <c r="S29" i="2"/>
  <c r="T29" i="2" s="1"/>
  <c r="W29" i="2"/>
  <c r="X29" i="2"/>
  <c r="X30" i="2"/>
  <c r="W30" i="2"/>
  <c r="AD32" i="2"/>
  <c r="S30" i="2"/>
  <c r="T30" i="2" s="1"/>
  <c r="W31" i="2"/>
  <c r="S31" i="2"/>
  <c r="T31" i="2" s="1"/>
  <c r="X31" i="2"/>
  <c r="AF32" i="2"/>
  <c r="AA33" i="2"/>
  <c r="C38" i="10"/>
  <c r="D32" i="2"/>
  <c r="D31" i="2"/>
  <c r="I40" i="10" l="1"/>
  <c r="F41" i="10" s="1"/>
  <c r="J40" i="10"/>
  <c r="AB39" i="10"/>
  <c r="AA40" i="10"/>
  <c r="AF39" i="10"/>
  <c r="AD39" i="10"/>
  <c r="AC39" i="10"/>
  <c r="AD33" i="2"/>
  <c r="U29" i="2"/>
  <c r="U30" i="2"/>
  <c r="Q32" i="2"/>
  <c r="U31" i="2"/>
  <c r="Q33" i="2"/>
  <c r="AF33" i="2"/>
  <c r="AA34" i="2"/>
  <c r="C39" i="10"/>
  <c r="D33" i="2"/>
  <c r="I41" i="10" l="1"/>
  <c r="F42" i="10" s="1"/>
  <c r="J41" i="10"/>
  <c r="AB40" i="10"/>
  <c r="AA41" i="10"/>
  <c r="AF40" i="10"/>
  <c r="AD40" i="10"/>
  <c r="AC40" i="10"/>
  <c r="V32" i="2"/>
  <c r="R32" i="2"/>
  <c r="V33" i="2"/>
  <c r="R33" i="2"/>
  <c r="S32" i="2"/>
  <c r="T32" i="2" s="1"/>
  <c r="AD34" i="2"/>
  <c r="X32" i="2"/>
  <c r="W32" i="2"/>
  <c r="W33" i="2"/>
  <c r="X33" i="2"/>
  <c r="S33" i="2"/>
  <c r="T33" i="2" s="1"/>
  <c r="AF34" i="2"/>
  <c r="AA35" i="2"/>
  <c r="C40" i="10"/>
  <c r="D34" i="2"/>
  <c r="I42" i="10" l="1"/>
  <c r="F43" i="10" s="1"/>
  <c r="J42" i="10"/>
  <c r="AB41" i="10"/>
  <c r="AA42" i="10"/>
  <c r="AF41" i="10"/>
  <c r="AD41" i="10"/>
  <c r="AC41" i="10"/>
  <c r="U32" i="2"/>
  <c r="Q34" i="2"/>
  <c r="AD35" i="2"/>
  <c r="U33" i="2"/>
  <c r="AF35" i="2"/>
  <c r="AA36" i="2"/>
  <c r="C41" i="10"/>
  <c r="D35" i="2"/>
  <c r="I43" i="10" l="1"/>
  <c r="F44" i="10" s="1"/>
  <c r="J43" i="10"/>
  <c r="AB42" i="10"/>
  <c r="AA43" i="10"/>
  <c r="AF42" i="10"/>
  <c r="AD42" i="10"/>
  <c r="AC42" i="10"/>
  <c r="V34" i="2"/>
  <c r="R34" i="2"/>
  <c r="Q35" i="2"/>
  <c r="X34" i="2"/>
  <c r="W34" i="2"/>
  <c r="AD36" i="2"/>
  <c r="S34" i="2"/>
  <c r="T34" i="2" s="1"/>
  <c r="AF36" i="2"/>
  <c r="AA37" i="2"/>
  <c r="C42" i="10"/>
  <c r="D36" i="2"/>
  <c r="I44" i="10" l="1"/>
  <c r="F45" i="10" s="1"/>
  <c r="J44" i="10"/>
  <c r="AB43" i="10"/>
  <c r="AA44" i="10"/>
  <c r="AF43" i="10"/>
  <c r="AD43" i="10"/>
  <c r="AC43" i="10"/>
  <c r="V35" i="2"/>
  <c r="R35" i="2"/>
  <c r="U34" i="2"/>
  <c r="Q36" i="2"/>
  <c r="AD37" i="2"/>
  <c r="S35" i="2"/>
  <c r="T35" i="2" s="1"/>
  <c r="W35" i="2"/>
  <c r="X35" i="2"/>
  <c r="AF37" i="2"/>
  <c r="AA38" i="2"/>
  <c r="C43" i="10"/>
  <c r="D37" i="2"/>
  <c r="I45" i="10" l="1"/>
  <c r="F46" i="10" s="1"/>
  <c r="J45" i="10"/>
  <c r="AB44" i="10"/>
  <c r="AA45" i="10"/>
  <c r="AF44" i="10"/>
  <c r="AD44" i="10"/>
  <c r="AC44" i="10"/>
  <c r="V36" i="2"/>
  <c r="R36" i="2"/>
  <c r="U35" i="2"/>
  <c r="Q37" i="2"/>
  <c r="AD38" i="2"/>
  <c r="W36" i="2"/>
  <c r="X36" i="2"/>
  <c r="S36" i="2"/>
  <c r="T36" i="2" s="1"/>
  <c r="AF38" i="2"/>
  <c r="AA39" i="2"/>
  <c r="C44" i="10"/>
  <c r="D38" i="2"/>
  <c r="AB45" i="10" l="1"/>
  <c r="AA46" i="10"/>
  <c r="AF45" i="10"/>
  <c r="AD45" i="10"/>
  <c r="AC45" i="10"/>
  <c r="I46" i="10"/>
  <c r="F47" i="10" s="1"/>
  <c r="J46" i="10"/>
  <c r="V37" i="2"/>
  <c r="R37" i="2"/>
  <c r="U36" i="2"/>
  <c r="S37" i="2"/>
  <c r="T37" i="2" s="1"/>
  <c r="W37" i="2"/>
  <c r="Q38" i="2"/>
  <c r="AD39" i="2"/>
  <c r="X37" i="2"/>
  <c r="AF39" i="2"/>
  <c r="AA40" i="2"/>
  <c r="D39" i="2"/>
  <c r="C45" i="10"/>
  <c r="I47" i="10" l="1"/>
  <c r="F48" i="10" s="1"/>
  <c r="J47" i="10"/>
  <c r="AB46" i="10"/>
  <c r="AA47" i="10"/>
  <c r="AF46" i="10"/>
  <c r="AD46" i="10"/>
  <c r="AC46" i="10"/>
  <c r="V38" i="2"/>
  <c r="R38" i="2"/>
  <c r="U37" i="2"/>
  <c r="Q39" i="2"/>
  <c r="W38" i="2"/>
  <c r="AD40" i="2"/>
  <c r="S38" i="2"/>
  <c r="T38" i="2" s="1"/>
  <c r="X38" i="2"/>
  <c r="AF40" i="2"/>
  <c r="AA41" i="2"/>
  <c r="C46" i="10"/>
  <c r="D40" i="2"/>
  <c r="I48" i="10" l="1"/>
  <c r="F49" i="10" s="1"/>
  <c r="J48" i="10"/>
  <c r="AA48" i="10"/>
  <c r="AB47" i="10"/>
  <c r="AF47" i="10"/>
  <c r="AD47" i="10"/>
  <c r="AC47" i="10"/>
  <c r="V39" i="2"/>
  <c r="R39" i="2"/>
  <c r="U38" i="2"/>
  <c r="W39" i="2"/>
  <c r="Q40" i="2"/>
  <c r="AD41" i="2"/>
  <c r="S39" i="2"/>
  <c r="T39" i="2" s="1"/>
  <c r="X39" i="2"/>
  <c r="AF41" i="2"/>
  <c r="AA42" i="2"/>
  <c r="C47" i="10"/>
  <c r="D41" i="2"/>
  <c r="I49" i="10" l="1"/>
  <c r="F50" i="10" s="1"/>
  <c r="J49" i="10"/>
  <c r="AA49" i="10"/>
  <c r="AF48" i="10"/>
  <c r="AD48" i="10"/>
  <c r="AC48" i="10"/>
  <c r="AB48" i="10"/>
  <c r="V40" i="2"/>
  <c r="R40" i="2"/>
  <c r="U39" i="2"/>
  <c r="X40" i="2"/>
  <c r="Q41" i="2"/>
  <c r="AD42" i="2"/>
  <c r="S40" i="2"/>
  <c r="T40" i="2" s="1"/>
  <c r="W40" i="2"/>
  <c r="AF42" i="2"/>
  <c r="AA43" i="2"/>
  <c r="D42" i="2"/>
  <c r="C48" i="10"/>
  <c r="AA50" i="10" l="1"/>
  <c r="AF49" i="10"/>
  <c r="AD49" i="10"/>
  <c r="AC49" i="10"/>
  <c r="AB49" i="10"/>
  <c r="I50" i="10"/>
  <c r="F51" i="10" s="1"/>
  <c r="J50" i="10"/>
  <c r="V41" i="2"/>
  <c r="R41" i="2"/>
  <c r="U40" i="2"/>
  <c r="W41" i="2"/>
  <c r="Q42" i="2"/>
  <c r="AD43" i="2"/>
  <c r="S41" i="2"/>
  <c r="T41" i="2" s="1"/>
  <c r="X41" i="2"/>
  <c r="AF43" i="2"/>
  <c r="AA44" i="2"/>
  <c r="C49" i="10"/>
  <c r="D43" i="2"/>
  <c r="I51" i="10" l="1"/>
  <c r="F52" i="10" s="1"/>
  <c r="J51" i="10"/>
  <c r="AA51" i="10"/>
  <c r="AF50" i="10"/>
  <c r="AD50" i="10"/>
  <c r="AC50" i="10"/>
  <c r="AB50" i="10"/>
  <c r="V42" i="2"/>
  <c r="R42" i="2"/>
  <c r="S42" i="2"/>
  <c r="T42" i="2" s="1"/>
  <c r="U41" i="2"/>
  <c r="Q43" i="2"/>
  <c r="AD44" i="2"/>
  <c r="X42" i="2"/>
  <c r="W42" i="2"/>
  <c r="AF44" i="2"/>
  <c r="AA45" i="2"/>
  <c r="C50" i="10"/>
  <c r="D44" i="2"/>
  <c r="AA52" i="10" l="1"/>
  <c r="AF51" i="10"/>
  <c r="AD51" i="10"/>
  <c r="AC51" i="10"/>
  <c r="AB51" i="10"/>
  <c r="I52" i="10"/>
  <c r="F53" i="10" s="1"/>
  <c r="J52" i="10"/>
  <c r="U42" i="2"/>
  <c r="V43" i="2"/>
  <c r="R43" i="2"/>
  <c r="S43" i="2"/>
  <c r="T43" i="2" s="1"/>
  <c r="Q44" i="2"/>
  <c r="AD45" i="2"/>
  <c r="X43" i="2"/>
  <c r="W43" i="2"/>
  <c r="AF45" i="2"/>
  <c r="AA46" i="2"/>
  <c r="C51" i="10"/>
  <c r="D45" i="2"/>
  <c r="I53" i="10" l="1"/>
  <c r="F54" i="10" s="1"/>
  <c r="J53" i="10"/>
  <c r="AF52" i="10"/>
  <c r="AD52" i="10"/>
  <c r="AC52" i="10"/>
  <c r="AA53" i="10"/>
  <c r="AB52" i="10"/>
  <c r="V44" i="2"/>
  <c r="R44" i="2"/>
  <c r="S44" i="2"/>
  <c r="T44" i="2" s="1"/>
  <c r="U43" i="2"/>
  <c r="Q45" i="2"/>
  <c r="AD46" i="2"/>
  <c r="W44" i="2"/>
  <c r="X44" i="2"/>
  <c r="AF46" i="2"/>
  <c r="AA47" i="2"/>
  <c r="D46" i="2"/>
  <c r="C52" i="10"/>
  <c r="AD53" i="10" l="1"/>
  <c r="AC53" i="10"/>
  <c r="AB53" i="10"/>
  <c r="AA54" i="10"/>
  <c r="AF53" i="10"/>
  <c r="I54" i="10"/>
  <c r="F55" i="10" s="1"/>
  <c r="J54" i="10"/>
  <c r="V45" i="2"/>
  <c r="R45" i="2"/>
  <c r="U44" i="2"/>
  <c r="S45" i="2"/>
  <c r="T45" i="2" s="1"/>
  <c r="Q46" i="2"/>
  <c r="AD47" i="2"/>
  <c r="X45" i="2"/>
  <c r="W45" i="2"/>
  <c r="AF47" i="2"/>
  <c r="AA48" i="2"/>
  <c r="C53" i="10"/>
  <c r="D47" i="2"/>
  <c r="AD54" i="10" l="1"/>
  <c r="AC54" i="10"/>
  <c r="AB54" i="10"/>
  <c r="AA55" i="10"/>
  <c r="AF54" i="10"/>
  <c r="I55" i="10"/>
  <c r="F56" i="10" s="1"/>
  <c r="J55" i="10"/>
  <c r="V46" i="2"/>
  <c r="R46" i="2"/>
  <c r="U45" i="2"/>
  <c r="W46" i="2"/>
  <c r="Q47" i="2"/>
  <c r="AD48" i="2"/>
  <c r="S46" i="2"/>
  <c r="T46" i="2" s="1"/>
  <c r="X46" i="2"/>
  <c r="AF48" i="2"/>
  <c r="AA49" i="2"/>
  <c r="C54" i="10"/>
  <c r="D48" i="2"/>
  <c r="AD55" i="10" l="1"/>
  <c r="AC55" i="10"/>
  <c r="AB55" i="10"/>
  <c r="AA56" i="10"/>
  <c r="AF55" i="10"/>
  <c r="I56" i="10"/>
  <c r="F57" i="10" s="1"/>
  <c r="J56" i="10"/>
  <c r="AD49" i="2"/>
  <c r="V47" i="2"/>
  <c r="R47" i="2"/>
  <c r="S47" i="2"/>
  <c r="T47" i="2" s="1"/>
  <c r="U46" i="2"/>
  <c r="Q48" i="2"/>
  <c r="W47" i="2"/>
  <c r="X47" i="2"/>
  <c r="Q49" i="2"/>
  <c r="AF49" i="2"/>
  <c r="AA50" i="2"/>
  <c r="D49" i="2"/>
  <c r="C55" i="10"/>
  <c r="AD56" i="10" l="1"/>
  <c r="AC56" i="10"/>
  <c r="AB56" i="10"/>
  <c r="AA57" i="10"/>
  <c r="AF56" i="10"/>
  <c r="I57" i="10"/>
  <c r="F58" i="10" s="1"/>
  <c r="J57" i="10"/>
  <c r="V48" i="2"/>
  <c r="R48" i="2"/>
  <c r="V49" i="2"/>
  <c r="R49" i="2"/>
  <c r="U47" i="2"/>
  <c r="S48" i="2"/>
  <c r="T48" i="2" s="1"/>
  <c r="W48" i="2"/>
  <c r="AD50" i="2"/>
  <c r="X48" i="2"/>
  <c r="W49" i="2"/>
  <c r="X49" i="2"/>
  <c r="S49" i="2"/>
  <c r="T49" i="2" s="1"/>
  <c r="AF50" i="2"/>
  <c r="AA51" i="2"/>
  <c r="D50" i="2"/>
  <c r="C56" i="10"/>
  <c r="AD57" i="10" l="1"/>
  <c r="AC57" i="10"/>
  <c r="AA58" i="10"/>
  <c r="AB57" i="10"/>
  <c r="AF57" i="10"/>
  <c r="I58" i="10"/>
  <c r="F59" i="10" s="1"/>
  <c r="J58" i="10"/>
  <c r="AD51" i="2"/>
  <c r="U48" i="2"/>
  <c r="Q50" i="2"/>
  <c r="U49" i="2"/>
  <c r="Q51" i="2"/>
  <c r="AF51" i="2"/>
  <c r="AA52" i="2"/>
  <c r="C57" i="10"/>
  <c r="D51" i="2"/>
  <c r="I59" i="10" l="1"/>
  <c r="F60" i="10" s="1"/>
  <c r="J59" i="10"/>
  <c r="AC58" i="10"/>
  <c r="AB58" i="10"/>
  <c r="AA59" i="10"/>
  <c r="AF58" i="10"/>
  <c r="AD58" i="10"/>
  <c r="V51" i="2"/>
  <c r="R51" i="2"/>
  <c r="V50" i="2"/>
  <c r="R50" i="2"/>
  <c r="W50" i="2"/>
  <c r="AD52" i="2"/>
  <c r="S50" i="2"/>
  <c r="T50" i="2" s="1"/>
  <c r="X50" i="2"/>
  <c r="S51" i="2"/>
  <c r="T51" i="2" s="1"/>
  <c r="X51" i="2"/>
  <c r="W51" i="2"/>
  <c r="AF52" i="2"/>
  <c r="AA53" i="2"/>
  <c r="D52" i="2"/>
  <c r="C58" i="10"/>
  <c r="AC59" i="10" l="1"/>
  <c r="AB59" i="10"/>
  <c r="AA60" i="10"/>
  <c r="AF59" i="10"/>
  <c r="AD59" i="10"/>
  <c r="I60" i="10"/>
  <c r="F61" i="10" s="1"/>
  <c r="J60" i="10"/>
  <c r="U50" i="2"/>
  <c r="Q52" i="2"/>
  <c r="AD53" i="2"/>
  <c r="U51" i="2"/>
  <c r="AF53" i="2"/>
  <c r="AA54" i="2"/>
  <c r="C59" i="10"/>
  <c r="D53" i="2"/>
  <c r="I61" i="10" l="1"/>
  <c r="F62" i="10" s="1"/>
  <c r="J61" i="10"/>
  <c r="AC60" i="10"/>
  <c r="AB60" i="10"/>
  <c r="AA61" i="10"/>
  <c r="AF60" i="10"/>
  <c r="AD60" i="10"/>
  <c r="V52" i="2"/>
  <c r="R52" i="2"/>
  <c r="Q53" i="2"/>
  <c r="S52" i="2"/>
  <c r="T52" i="2" s="1"/>
  <c r="X52" i="2"/>
  <c r="AD54" i="2"/>
  <c r="W52" i="2"/>
  <c r="AF54" i="2"/>
  <c r="AA55" i="2"/>
  <c r="D54" i="2"/>
  <c r="C60" i="10"/>
  <c r="AC61" i="10" l="1"/>
  <c r="AB61" i="10"/>
  <c r="AA62" i="10"/>
  <c r="AF61" i="10"/>
  <c r="AD61" i="10"/>
  <c r="I62" i="10"/>
  <c r="F63" i="10" s="1"/>
  <c r="J62" i="10"/>
  <c r="V53" i="2"/>
  <c r="R53" i="2"/>
  <c r="U52" i="2"/>
  <c r="Q54" i="2"/>
  <c r="S53" i="2"/>
  <c r="T53" i="2" s="1"/>
  <c r="AD55" i="2"/>
  <c r="X53" i="2"/>
  <c r="W53" i="2"/>
  <c r="AF55" i="2"/>
  <c r="AA56" i="2"/>
  <c r="C61" i="10"/>
  <c r="D55" i="2"/>
  <c r="I63" i="10" l="1"/>
  <c r="F64" i="10" s="1"/>
  <c r="J63" i="10"/>
  <c r="AC62" i="10"/>
  <c r="AA63" i="10"/>
  <c r="AB62" i="10"/>
  <c r="AF62" i="10"/>
  <c r="AD62" i="10"/>
  <c r="V54" i="2"/>
  <c r="R54" i="2"/>
  <c r="U53" i="2"/>
  <c r="Q55" i="2"/>
  <c r="X54" i="2"/>
  <c r="W54" i="2"/>
  <c r="AD56" i="2"/>
  <c r="S54" i="2"/>
  <c r="T54" i="2" s="1"/>
  <c r="AF56" i="2"/>
  <c r="AA57" i="2"/>
  <c r="C62" i="10"/>
  <c r="D56" i="2"/>
  <c r="AB63" i="10" l="1"/>
  <c r="AF63" i="10"/>
  <c r="AA64" i="10"/>
  <c r="AD63" i="10"/>
  <c r="AC63" i="10"/>
  <c r="I64" i="10"/>
  <c r="F65" i="10" s="1"/>
  <c r="J64" i="10"/>
  <c r="V55" i="2"/>
  <c r="R55" i="2"/>
  <c r="U54" i="2"/>
  <c r="Q56" i="2"/>
  <c r="AD57" i="2"/>
  <c r="W55" i="2"/>
  <c r="X55" i="2"/>
  <c r="S55" i="2"/>
  <c r="T55" i="2" s="1"/>
  <c r="AF57" i="2"/>
  <c r="AA58" i="2"/>
  <c r="C63" i="10"/>
  <c r="D57" i="2"/>
  <c r="I65" i="10" l="1"/>
  <c r="F66" i="10" s="1"/>
  <c r="J65" i="10"/>
  <c r="AB64" i="10"/>
  <c r="AD64" i="10"/>
  <c r="AA65" i="10"/>
  <c r="AC64" i="10"/>
  <c r="AF64" i="10"/>
  <c r="V56" i="2"/>
  <c r="R56" i="2"/>
  <c r="U55" i="2"/>
  <c r="Q57" i="2"/>
  <c r="W56" i="2"/>
  <c r="AD58" i="2"/>
  <c r="S56" i="2"/>
  <c r="T56" i="2" s="1"/>
  <c r="X56" i="2"/>
  <c r="AF58" i="2"/>
  <c r="AA59" i="2"/>
  <c r="C64" i="10"/>
  <c r="D58" i="2"/>
  <c r="AD65" i="10" l="1"/>
  <c r="AB65" i="10"/>
  <c r="AC65" i="10"/>
  <c r="AA66" i="10"/>
  <c r="AF65" i="10"/>
  <c r="I66" i="10"/>
  <c r="F67" i="10" s="1"/>
  <c r="J66" i="10"/>
  <c r="V57" i="2"/>
  <c r="R57" i="2"/>
  <c r="U56" i="2"/>
  <c r="Q58" i="2"/>
  <c r="AD59" i="2"/>
  <c r="S57" i="2"/>
  <c r="T57" i="2" s="1"/>
  <c r="X57" i="2"/>
  <c r="W57" i="2"/>
  <c r="AF59" i="2"/>
  <c r="AA60" i="2"/>
  <c r="C65" i="10"/>
  <c r="D59" i="2"/>
  <c r="AD66" i="10" l="1"/>
  <c r="AB66" i="10"/>
  <c r="AF66" i="10"/>
  <c r="AC66" i="10"/>
  <c r="AA67" i="10"/>
  <c r="I67" i="10"/>
  <c r="F68" i="10" s="1"/>
  <c r="J67" i="10"/>
  <c r="V58" i="2"/>
  <c r="R58" i="2"/>
  <c r="U57" i="2"/>
  <c r="Q59" i="2"/>
  <c r="W58" i="2"/>
  <c r="AD60" i="2"/>
  <c r="X58" i="2"/>
  <c r="S58" i="2"/>
  <c r="T58" i="2" s="1"/>
  <c r="AF60" i="2"/>
  <c r="AA61" i="2"/>
  <c r="D60" i="2"/>
  <c r="C66" i="10"/>
  <c r="I68" i="10" l="1"/>
  <c r="F69" i="10" s="1"/>
  <c r="J68" i="10"/>
  <c r="AD67" i="10"/>
  <c r="AA68" i="10"/>
  <c r="AB67" i="10"/>
  <c r="AF67" i="10"/>
  <c r="AC67" i="10"/>
  <c r="V59" i="2"/>
  <c r="R59" i="2"/>
  <c r="U58" i="2"/>
  <c r="Q60" i="2"/>
  <c r="AD61" i="2"/>
  <c r="X59" i="2"/>
  <c r="W59" i="2"/>
  <c r="S59" i="2"/>
  <c r="T59" i="2" s="1"/>
  <c r="AF61" i="2"/>
  <c r="AA62" i="2"/>
  <c r="C67" i="10"/>
  <c r="D61" i="2"/>
  <c r="AC68" i="10" l="1"/>
  <c r="AA69" i="10"/>
  <c r="AF68" i="10"/>
  <c r="AD68" i="10"/>
  <c r="AB68" i="10"/>
  <c r="I69" i="10"/>
  <c r="F70" i="10" s="1"/>
  <c r="J69" i="10"/>
  <c r="V60" i="2"/>
  <c r="R60" i="2"/>
  <c r="U59" i="2"/>
  <c r="W60" i="2"/>
  <c r="X60" i="2"/>
  <c r="S60" i="2"/>
  <c r="T60" i="2" s="1"/>
  <c r="Q61" i="2"/>
  <c r="AD62" i="2"/>
  <c r="AF62" i="2"/>
  <c r="AA63" i="2"/>
  <c r="C68" i="10"/>
  <c r="D62" i="2"/>
  <c r="AC69" i="10" l="1"/>
  <c r="AA70" i="10"/>
  <c r="AF69" i="10"/>
  <c r="AD69" i="10"/>
  <c r="AB69" i="10"/>
  <c r="I70" i="10"/>
  <c r="F71" i="10" s="1"/>
  <c r="J70" i="10"/>
  <c r="V61" i="2"/>
  <c r="R61" i="2"/>
  <c r="S61" i="2"/>
  <c r="T61" i="2" s="1"/>
  <c r="U60" i="2"/>
  <c r="Q62" i="2"/>
  <c r="W61" i="2"/>
  <c r="AD63" i="2"/>
  <c r="X61" i="2"/>
  <c r="AF63" i="2"/>
  <c r="AA64" i="2"/>
  <c r="C69" i="10"/>
  <c r="D63" i="2"/>
  <c r="I71" i="10" l="1"/>
  <c r="F72" i="10" s="1"/>
  <c r="J71" i="10"/>
  <c r="AC70" i="10"/>
  <c r="AA71" i="10"/>
  <c r="AF70" i="10"/>
  <c r="AB70" i="10"/>
  <c r="AD70" i="10"/>
  <c r="V62" i="2"/>
  <c r="R62" i="2"/>
  <c r="X62" i="2"/>
  <c r="U61" i="2"/>
  <c r="Q63" i="2"/>
  <c r="AD64" i="2"/>
  <c r="S62" i="2"/>
  <c r="T62" i="2" s="1"/>
  <c r="W62" i="2"/>
  <c r="AF64" i="2"/>
  <c r="AA65" i="2"/>
  <c r="C70" i="10"/>
  <c r="D64" i="2"/>
  <c r="AC71" i="10" l="1"/>
  <c r="AA72" i="10"/>
  <c r="AF71" i="10"/>
  <c r="AD71" i="10"/>
  <c r="AB71" i="10"/>
  <c r="I72" i="10"/>
  <c r="F73" i="10" s="1"/>
  <c r="J72" i="10"/>
  <c r="V63" i="2"/>
  <c r="R63" i="2"/>
  <c r="U62" i="2"/>
  <c r="S63" i="2"/>
  <c r="T63" i="2" s="1"/>
  <c r="Q64" i="2"/>
  <c r="AD65" i="2"/>
  <c r="W63" i="2"/>
  <c r="X63" i="2"/>
  <c r="AF65" i="2"/>
  <c r="AA66" i="2"/>
  <c r="C71" i="10"/>
  <c r="D65" i="2"/>
  <c r="I73" i="10" l="1"/>
  <c r="F74" i="10" s="1"/>
  <c r="J73" i="10"/>
  <c r="AC72" i="10"/>
  <c r="AB72" i="10"/>
  <c r="AA73" i="10"/>
  <c r="AF72" i="10"/>
  <c r="AD72" i="10"/>
  <c r="V64" i="2"/>
  <c r="R64" i="2"/>
  <c r="U63" i="2"/>
  <c r="S64" i="2"/>
  <c r="T64" i="2" s="1"/>
  <c r="Q65" i="2"/>
  <c r="AD66" i="2"/>
  <c r="X64" i="2"/>
  <c r="W64" i="2"/>
  <c r="AF66" i="2"/>
  <c r="AA67" i="2"/>
  <c r="D66" i="2"/>
  <c r="C72" i="10"/>
  <c r="I74" i="10" l="1"/>
  <c r="F75" i="10" s="1"/>
  <c r="J74" i="10"/>
  <c r="AC73" i="10"/>
  <c r="AB73" i="10"/>
  <c r="AA74" i="10"/>
  <c r="AF73" i="10"/>
  <c r="AD73" i="10"/>
  <c r="V65" i="2"/>
  <c r="R65" i="2"/>
  <c r="U64" i="2"/>
  <c r="X65" i="2"/>
  <c r="Q66" i="2"/>
  <c r="AD67" i="2"/>
  <c r="W65" i="2"/>
  <c r="S65" i="2"/>
  <c r="T65" i="2" s="1"/>
  <c r="AF67" i="2"/>
  <c r="AA68" i="2"/>
  <c r="C73" i="10"/>
  <c r="D67" i="2"/>
  <c r="AD74" i="10" l="1"/>
  <c r="AC74" i="10"/>
  <c r="AB74" i="10"/>
  <c r="AA75" i="10"/>
  <c r="AF74" i="10"/>
  <c r="I75" i="10"/>
  <c r="F76" i="10" s="1"/>
  <c r="J75" i="10"/>
  <c r="V66" i="2"/>
  <c r="R66" i="2"/>
  <c r="U65" i="2"/>
  <c r="S66" i="2"/>
  <c r="T66" i="2" s="1"/>
  <c r="X66" i="2"/>
  <c r="W66" i="2"/>
  <c r="Q67" i="2"/>
  <c r="AD68" i="2"/>
  <c r="AF68" i="2"/>
  <c r="AA69" i="2"/>
  <c r="C74" i="10"/>
  <c r="D68" i="2"/>
  <c r="AD75" i="10" l="1"/>
  <c r="AC75" i="10"/>
  <c r="AB75" i="10"/>
  <c r="AA76" i="10"/>
  <c r="AF75" i="10"/>
  <c r="I76" i="10"/>
  <c r="F77" i="10" s="1"/>
  <c r="J76" i="10"/>
  <c r="V67" i="2"/>
  <c r="R67" i="2"/>
  <c r="X67" i="2"/>
  <c r="U66" i="2"/>
  <c r="Q68" i="2"/>
  <c r="W67" i="2"/>
  <c r="AD69" i="2"/>
  <c r="S67" i="2"/>
  <c r="T67" i="2" s="1"/>
  <c r="AF69" i="2"/>
  <c r="AA70" i="2"/>
  <c r="C75" i="10"/>
  <c r="D69" i="2"/>
  <c r="AD76" i="10" l="1"/>
  <c r="AC76" i="10"/>
  <c r="AA77" i="10"/>
  <c r="AB76" i="10"/>
  <c r="AF76" i="10"/>
  <c r="I77" i="10"/>
  <c r="F78" i="10" s="1"/>
  <c r="J77" i="10"/>
  <c r="V68" i="2"/>
  <c r="R68" i="2"/>
  <c r="U67" i="2"/>
  <c r="S68" i="2"/>
  <c r="T68" i="2" s="1"/>
  <c r="Q69" i="2"/>
  <c r="AD70" i="2"/>
  <c r="W68" i="2"/>
  <c r="X68" i="2"/>
  <c r="AF70" i="2"/>
  <c r="AA71" i="2"/>
  <c r="C76" i="10"/>
  <c r="D70" i="2"/>
  <c r="I78" i="10" l="1"/>
  <c r="F79" i="10" s="1"/>
  <c r="J78" i="10"/>
  <c r="AC77" i="10"/>
  <c r="AB77" i="10"/>
  <c r="AA78" i="10"/>
  <c r="AF77" i="10"/>
  <c r="AD77" i="10"/>
  <c r="V69" i="2"/>
  <c r="R69" i="2"/>
  <c r="U68" i="2"/>
  <c r="W69" i="2"/>
  <c r="Q70" i="2"/>
  <c r="AD71" i="2"/>
  <c r="S69" i="2"/>
  <c r="T69" i="2" s="1"/>
  <c r="X69" i="2"/>
  <c r="AF71" i="2"/>
  <c r="AA72" i="2"/>
  <c r="D71" i="2"/>
  <c r="C77" i="10"/>
  <c r="AC78" i="10" l="1"/>
  <c r="AB78" i="10"/>
  <c r="AA79" i="10"/>
  <c r="AF78" i="10"/>
  <c r="AD78" i="10"/>
  <c r="I79" i="10"/>
  <c r="F80" i="10" s="1"/>
  <c r="J79" i="10"/>
  <c r="V70" i="2"/>
  <c r="R70" i="2"/>
  <c r="S70" i="2"/>
  <c r="T70" i="2" s="1"/>
  <c r="U69" i="2"/>
  <c r="Q71" i="2"/>
  <c r="AD72" i="2"/>
  <c r="X70" i="2"/>
  <c r="W70" i="2"/>
  <c r="AF72" i="2"/>
  <c r="AA73" i="2"/>
  <c r="C78" i="10"/>
  <c r="D72" i="2"/>
  <c r="I80" i="10" l="1"/>
  <c r="F81" i="10" s="1"/>
  <c r="J80" i="10"/>
  <c r="AC79" i="10"/>
  <c r="AB79" i="10"/>
  <c r="AA80" i="10"/>
  <c r="AF79" i="10"/>
  <c r="AD79" i="10"/>
  <c r="V71" i="2"/>
  <c r="R71" i="2"/>
  <c r="U70" i="2"/>
  <c r="X71" i="2"/>
  <c r="Q72" i="2"/>
  <c r="AD73" i="2"/>
  <c r="W71" i="2"/>
  <c r="S71" i="2"/>
  <c r="T71" i="2" s="1"/>
  <c r="AF73" i="2"/>
  <c r="AA74" i="2"/>
  <c r="C79" i="10"/>
  <c r="D73" i="2"/>
  <c r="I81" i="10" l="1"/>
  <c r="F82" i="10" s="1"/>
  <c r="J81" i="10"/>
  <c r="AC80" i="10"/>
  <c r="AB80" i="10"/>
  <c r="AA81" i="10"/>
  <c r="AF80" i="10"/>
  <c r="AD80" i="10"/>
  <c r="AD74" i="2"/>
  <c r="V72" i="2"/>
  <c r="R72" i="2"/>
  <c r="U71" i="2"/>
  <c r="X72" i="2"/>
  <c r="Q73" i="2"/>
  <c r="S72" i="2"/>
  <c r="T72" i="2" s="1"/>
  <c r="W72" i="2"/>
  <c r="Q74" i="2"/>
  <c r="AF74" i="2"/>
  <c r="AA75" i="2"/>
  <c r="C80" i="10"/>
  <c r="D74" i="2"/>
  <c r="I82" i="10" l="1"/>
  <c r="F83" i="10" s="1"/>
  <c r="J82" i="10"/>
  <c r="AC81" i="10"/>
  <c r="AA82" i="10"/>
  <c r="AB81" i="10"/>
  <c r="AF81" i="10"/>
  <c r="AD81" i="10"/>
  <c r="AD75" i="2"/>
  <c r="V74" i="2"/>
  <c r="R74" i="2"/>
  <c r="V73" i="2"/>
  <c r="R73" i="2"/>
  <c r="W73" i="2"/>
  <c r="U72" i="2"/>
  <c r="X73" i="2"/>
  <c r="S73" i="2"/>
  <c r="T73" i="2" s="1"/>
  <c r="Q75" i="2"/>
  <c r="W74" i="2"/>
  <c r="S74" i="2"/>
  <c r="T74" i="2" s="1"/>
  <c r="X74" i="2"/>
  <c r="AF75" i="2"/>
  <c r="AA76" i="2"/>
  <c r="D75" i="2"/>
  <c r="C81" i="10"/>
  <c r="I83" i="10" l="1"/>
  <c r="F84" i="10" s="1"/>
  <c r="J83" i="10"/>
  <c r="AB82" i="10"/>
  <c r="AA83" i="10"/>
  <c r="AF82" i="10"/>
  <c r="AD82" i="10"/>
  <c r="AC82" i="10"/>
  <c r="V75" i="2"/>
  <c r="R75" i="2"/>
  <c r="U73" i="2"/>
  <c r="AD76" i="2"/>
  <c r="U74" i="2"/>
  <c r="X75" i="2"/>
  <c r="S75" i="2"/>
  <c r="T75" i="2" s="1"/>
  <c r="W75" i="2"/>
  <c r="AF76" i="2"/>
  <c r="AA77" i="2"/>
  <c r="C82" i="10"/>
  <c r="D76" i="2"/>
  <c r="I84" i="10" l="1"/>
  <c r="F85" i="10" s="1"/>
  <c r="J84" i="10"/>
  <c r="AB83" i="10"/>
  <c r="AA84" i="10"/>
  <c r="AF83" i="10"/>
  <c r="AD83" i="10"/>
  <c r="AC83" i="10"/>
  <c r="Q76" i="2"/>
  <c r="AD77" i="2"/>
  <c r="U75" i="2"/>
  <c r="AF77" i="2"/>
  <c r="AA78" i="2"/>
  <c r="C83" i="10"/>
  <c r="D77" i="2"/>
  <c r="AB84" i="10" l="1"/>
  <c r="AA85" i="10"/>
  <c r="AF84" i="10"/>
  <c r="AD84" i="10"/>
  <c r="AC84" i="10"/>
  <c r="I85" i="10"/>
  <c r="F86" i="10" s="1"/>
  <c r="J85" i="10"/>
  <c r="AD78" i="2"/>
  <c r="V76" i="2"/>
  <c r="R76" i="2"/>
  <c r="S76" i="2"/>
  <c r="T76" i="2" s="1"/>
  <c r="W76" i="2"/>
  <c r="X76" i="2"/>
  <c r="Q77" i="2"/>
  <c r="Q78" i="2"/>
  <c r="AF78" i="2"/>
  <c r="AA79" i="2"/>
  <c r="D78" i="2"/>
  <c r="C84" i="10"/>
  <c r="I86" i="10" l="1"/>
  <c r="F87" i="10" s="1"/>
  <c r="J86" i="10"/>
  <c r="AB85" i="10"/>
  <c r="AA86" i="10"/>
  <c r="AF85" i="10"/>
  <c r="AD85" i="10"/>
  <c r="AC85" i="10"/>
  <c r="AD79" i="2"/>
  <c r="V78" i="2"/>
  <c r="R78" i="2"/>
  <c r="V77" i="2"/>
  <c r="R77" i="2"/>
  <c r="U76" i="2"/>
  <c r="S77" i="2"/>
  <c r="T77" i="2" s="1"/>
  <c r="X77" i="2"/>
  <c r="W77" i="2"/>
  <c r="Q79" i="2"/>
  <c r="X78" i="2"/>
  <c r="S78" i="2"/>
  <c r="T78" i="2" s="1"/>
  <c r="W78" i="2"/>
  <c r="AF79" i="2"/>
  <c r="AA80" i="2"/>
  <c r="C85" i="10"/>
  <c r="D79" i="2"/>
  <c r="AA87" i="10" l="1"/>
  <c r="AB86" i="10"/>
  <c r="AF86" i="10"/>
  <c r="AD86" i="10"/>
  <c r="AC86" i="10"/>
  <c r="I87" i="10"/>
  <c r="F88" i="10" s="1"/>
  <c r="J87" i="10"/>
  <c r="V79" i="2"/>
  <c r="R79" i="2"/>
  <c r="U77" i="2"/>
  <c r="AD80" i="2"/>
  <c r="U78" i="2"/>
  <c r="W79" i="2"/>
  <c r="S79" i="2"/>
  <c r="T79" i="2" s="1"/>
  <c r="X79" i="2"/>
  <c r="AF80" i="2"/>
  <c r="AA81" i="2"/>
  <c r="D80" i="2"/>
  <c r="C86" i="10"/>
  <c r="I88" i="10" l="1"/>
  <c r="F89" i="10" s="1"/>
  <c r="J88" i="10"/>
  <c r="AA88" i="10"/>
  <c r="AF87" i="10"/>
  <c r="AD87" i="10"/>
  <c r="AC87" i="10"/>
  <c r="AB87" i="10"/>
  <c r="Q80" i="2"/>
  <c r="AD81" i="2"/>
  <c r="U79" i="2"/>
  <c r="AF81" i="2"/>
  <c r="AA82" i="2"/>
  <c r="C87" i="10"/>
  <c r="D81" i="2"/>
  <c r="AA89" i="10" l="1"/>
  <c r="AF88" i="10"/>
  <c r="AD88" i="10"/>
  <c r="AC88" i="10"/>
  <c r="AB88" i="10"/>
  <c r="I89" i="10"/>
  <c r="F90" i="10" s="1"/>
  <c r="J89" i="10"/>
  <c r="V80" i="2"/>
  <c r="R80" i="2"/>
  <c r="S80" i="2"/>
  <c r="T80" i="2" s="1"/>
  <c r="Q81" i="2"/>
  <c r="W80" i="2"/>
  <c r="AD82" i="2"/>
  <c r="X80" i="2"/>
  <c r="AF82" i="2"/>
  <c r="AA83" i="2"/>
  <c r="C88" i="10"/>
  <c r="D82" i="2"/>
  <c r="I90" i="10" l="1"/>
  <c r="F91" i="10" s="1"/>
  <c r="J90" i="10"/>
  <c r="AA90" i="10"/>
  <c r="AF89" i="10"/>
  <c r="AD89" i="10"/>
  <c r="AC89" i="10"/>
  <c r="AB89" i="10"/>
  <c r="AD83" i="2"/>
  <c r="V81" i="2"/>
  <c r="R81" i="2"/>
  <c r="U80" i="2"/>
  <c r="X81" i="2"/>
  <c r="Q82" i="2"/>
  <c r="W81" i="2"/>
  <c r="S81" i="2"/>
  <c r="T81" i="2" s="1"/>
  <c r="Q83" i="2"/>
  <c r="AF83" i="2"/>
  <c r="AA84" i="2"/>
  <c r="C89" i="10"/>
  <c r="D83" i="2"/>
  <c r="AF90" i="10" l="1"/>
  <c r="AD90" i="10"/>
  <c r="AC90" i="10"/>
  <c r="AA91" i="10"/>
  <c r="AB90" i="10"/>
  <c r="I91" i="10"/>
  <c r="F92" i="10" s="1"/>
  <c r="J91" i="10"/>
  <c r="AD84" i="2"/>
  <c r="V82" i="2"/>
  <c r="R82" i="2"/>
  <c r="V83" i="2"/>
  <c r="R83" i="2"/>
  <c r="S82" i="2"/>
  <c r="T82" i="2" s="1"/>
  <c r="U81" i="2"/>
  <c r="X82" i="2"/>
  <c r="W82" i="2"/>
  <c r="Q84" i="2"/>
  <c r="S83" i="2"/>
  <c r="T83" i="2" s="1"/>
  <c r="X83" i="2"/>
  <c r="W83" i="2"/>
  <c r="AF84" i="2"/>
  <c r="AA85" i="2"/>
  <c r="C90" i="10"/>
  <c r="D84" i="2"/>
  <c r="AD91" i="10" l="1"/>
  <c r="AC91" i="10"/>
  <c r="AB91" i="10"/>
  <c r="AA92" i="10"/>
  <c r="AF91" i="10"/>
  <c r="I92" i="10"/>
  <c r="F93" i="10" s="1"/>
  <c r="J92" i="10"/>
  <c r="V84" i="2"/>
  <c r="R84" i="2"/>
  <c r="U82" i="2"/>
  <c r="AD85" i="2"/>
  <c r="U83" i="2"/>
  <c r="W84" i="2"/>
  <c r="X84" i="2"/>
  <c r="S84" i="2"/>
  <c r="T84" i="2" s="1"/>
  <c r="AF85" i="2"/>
  <c r="AA86" i="2"/>
  <c r="C91" i="10"/>
  <c r="D85" i="2"/>
  <c r="I93" i="10" l="1"/>
  <c r="F94" i="10" s="1"/>
  <c r="J93" i="10"/>
  <c r="AD92" i="10"/>
  <c r="AC92" i="10"/>
  <c r="AB92" i="10"/>
  <c r="AA93" i="10"/>
  <c r="AF92" i="10"/>
  <c r="AD86" i="2"/>
  <c r="Q85" i="2"/>
  <c r="U84" i="2"/>
  <c r="Q86" i="2"/>
  <c r="AF86" i="2"/>
  <c r="AA87" i="2"/>
  <c r="C92" i="10"/>
  <c r="D86" i="2"/>
  <c r="AD93" i="10" l="1"/>
  <c r="AC93" i="10"/>
  <c r="AB93" i="10"/>
  <c r="AA94" i="10"/>
  <c r="AF93" i="10"/>
  <c r="I94" i="10"/>
  <c r="F95" i="10" s="1"/>
  <c r="J94" i="10"/>
  <c r="AD87" i="2"/>
  <c r="V85" i="2"/>
  <c r="R85" i="2"/>
  <c r="V86" i="2"/>
  <c r="R86" i="2"/>
  <c r="W85" i="2"/>
  <c r="S85" i="2"/>
  <c r="T85" i="2" s="1"/>
  <c r="X85" i="2"/>
  <c r="Q87" i="2"/>
  <c r="S86" i="2"/>
  <c r="T86" i="2" s="1"/>
  <c r="X86" i="2"/>
  <c r="W86" i="2"/>
  <c r="AF87" i="2"/>
  <c r="AA88" i="2"/>
  <c r="C93" i="10"/>
  <c r="D87" i="2"/>
  <c r="AD94" i="10" l="1"/>
  <c r="AC94" i="10"/>
  <c r="AA95" i="10"/>
  <c r="AB94" i="10"/>
  <c r="AF94" i="10"/>
  <c r="I95" i="10"/>
  <c r="F96" i="10" s="1"/>
  <c r="J95" i="10"/>
  <c r="V87" i="2"/>
  <c r="R87" i="2"/>
  <c r="U85" i="2"/>
  <c r="AD88" i="2"/>
  <c r="U86" i="2"/>
  <c r="W87" i="2"/>
  <c r="S87" i="2"/>
  <c r="T87" i="2" s="1"/>
  <c r="X87" i="2"/>
  <c r="AF88" i="2"/>
  <c r="AA89" i="2"/>
  <c r="C94" i="10"/>
  <c r="D88" i="2"/>
  <c r="I96" i="10" l="1"/>
  <c r="F97" i="10" s="1"/>
  <c r="J96" i="10"/>
  <c r="AC95" i="10"/>
  <c r="AB95" i="10"/>
  <c r="AA96" i="10"/>
  <c r="AF95" i="10"/>
  <c r="AD95" i="10"/>
  <c r="Q88" i="2"/>
  <c r="AD89" i="2"/>
  <c r="U87" i="2"/>
  <c r="AF89" i="2"/>
  <c r="AA90" i="2"/>
  <c r="D89" i="2"/>
  <c r="C95" i="10"/>
  <c r="AC96" i="10" l="1"/>
  <c r="AB96" i="10"/>
  <c r="AA97" i="10"/>
  <c r="AF96" i="10"/>
  <c r="AD96" i="10"/>
  <c r="I97" i="10"/>
  <c r="F98" i="10" s="1"/>
  <c r="J97" i="10"/>
  <c r="V88" i="2"/>
  <c r="R88" i="2"/>
  <c r="X88" i="2"/>
  <c r="Q89" i="2"/>
  <c r="W88" i="2"/>
  <c r="AD90" i="2"/>
  <c r="S88" i="2"/>
  <c r="T88" i="2" s="1"/>
  <c r="AF90" i="2"/>
  <c r="AA91" i="2"/>
  <c r="C96" i="10"/>
  <c r="D90" i="2"/>
  <c r="I98" i="10" l="1"/>
  <c r="F99" i="10" s="1"/>
  <c r="J98" i="10"/>
  <c r="AC97" i="10"/>
  <c r="AB97" i="10"/>
  <c r="AA98" i="10"/>
  <c r="AF97" i="10"/>
  <c r="AD97" i="10"/>
  <c r="V89" i="2"/>
  <c r="R89" i="2"/>
  <c r="U88" i="2"/>
  <c r="W89" i="2"/>
  <c r="Q90" i="2"/>
  <c r="AD91" i="2"/>
  <c r="S89" i="2"/>
  <c r="T89" i="2" s="1"/>
  <c r="X89" i="2"/>
  <c r="AF91" i="2"/>
  <c r="AA92" i="2"/>
  <c r="C97" i="10"/>
  <c r="D91" i="2"/>
  <c r="AC98" i="10" l="1"/>
  <c r="AB98" i="10"/>
  <c r="AA99" i="10"/>
  <c r="AF98" i="10"/>
  <c r="AD98" i="10"/>
  <c r="I99" i="10"/>
  <c r="F100" i="10" s="1"/>
  <c r="J99" i="10"/>
  <c r="V90" i="2"/>
  <c r="R90" i="2"/>
  <c r="W90" i="2"/>
  <c r="X90" i="2"/>
  <c r="Q91" i="2"/>
  <c r="S90" i="2"/>
  <c r="T90" i="2" s="1"/>
  <c r="U89" i="2"/>
  <c r="AD92" i="2"/>
  <c r="AF92" i="2"/>
  <c r="AA93" i="2"/>
  <c r="C98" i="10"/>
  <c r="D92" i="2"/>
  <c r="I100" i="10" l="1"/>
  <c r="F101" i="10" s="1"/>
  <c r="J100" i="10"/>
  <c r="AC99" i="10"/>
  <c r="AB99" i="10"/>
  <c r="AA100" i="10"/>
  <c r="AF99" i="10"/>
  <c r="AD99" i="10"/>
  <c r="V91" i="2"/>
  <c r="R91" i="2"/>
  <c r="U90" i="2"/>
  <c r="S91" i="2"/>
  <c r="T91" i="2" s="1"/>
  <c r="Q92" i="2"/>
  <c r="AD93" i="2"/>
  <c r="X91" i="2"/>
  <c r="W91" i="2"/>
  <c r="AF93" i="2"/>
  <c r="AA94" i="2"/>
  <c r="D93" i="2"/>
  <c r="C99" i="10"/>
  <c r="AC100" i="10" l="1"/>
  <c r="AA101" i="10"/>
  <c r="AB100" i="10"/>
  <c r="AF100" i="10"/>
  <c r="AD100" i="10"/>
  <c r="I101" i="10"/>
  <c r="F102" i="10" s="1"/>
  <c r="J101" i="10"/>
  <c r="V92" i="2"/>
  <c r="R92" i="2"/>
  <c r="U91" i="2"/>
  <c r="W92" i="2"/>
  <c r="S92" i="2"/>
  <c r="T92" i="2" s="1"/>
  <c r="Q93" i="2"/>
  <c r="X92" i="2"/>
  <c r="AD94" i="2"/>
  <c r="AF94" i="2"/>
  <c r="AA95" i="2"/>
  <c r="C100" i="10"/>
  <c r="D94" i="2"/>
  <c r="I102" i="10" l="1"/>
  <c r="F103" i="10" s="1"/>
  <c r="J102" i="10"/>
  <c r="AB101" i="10"/>
  <c r="AA102" i="10"/>
  <c r="AF101" i="10"/>
  <c r="AD101" i="10"/>
  <c r="AC101" i="10"/>
  <c r="V93" i="2"/>
  <c r="R93" i="2"/>
  <c r="U92" i="2"/>
  <c r="S93" i="2"/>
  <c r="T93" i="2" s="1"/>
  <c r="W93" i="2"/>
  <c r="X93" i="2"/>
  <c r="Q94" i="2"/>
  <c r="AD95" i="2"/>
  <c r="AF95" i="2"/>
  <c r="AA96" i="2"/>
  <c r="D95" i="2"/>
  <c r="C101" i="10"/>
  <c r="AB102" i="10" l="1"/>
  <c r="AA103" i="10"/>
  <c r="AF102" i="10"/>
  <c r="AD102" i="10"/>
  <c r="AC102" i="10"/>
  <c r="I103" i="10"/>
  <c r="F104" i="10" s="1"/>
  <c r="J103" i="10"/>
  <c r="V94" i="2"/>
  <c r="R94" i="2"/>
  <c r="U93" i="2"/>
  <c r="Q95" i="2"/>
  <c r="W94" i="2"/>
  <c r="S94" i="2"/>
  <c r="T94" i="2" s="1"/>
  <c r="AD96" i="2"/>
  <c r="X94" i="2"/>
  <c r="AF96" i="2"/>
  <c r="AA97" i="2"/>
  <c r="C102" i="10"/>
  <c r="D96" i="2"/>
  <c r="I104" i="10" l="1"/>
  <c r="F105" i="10" s="1"/>
  <c r="J104" i="10"/>
  <c r="AA104" i="10"/>
  <c r="AB103" i="10"/>
  <c r="AF103" i="10"/>
  <c r="AD103" i="10"/>
  <c r="AC103" i="10"/>
  <c r="V95" i="2"/>
  <c r="R95" i="2"/>
  <c r="X95" i="2"/>
  <c r="S95" i="2"/>
  <c r="T95" i="2" s="1"/>
  <c r="W95" i="2"/>
  <c r="U94" i="2"/>
  <c r="Q96" i="2"/>
  <c r="AD97" i="2"/>
  <c r="AF97" i="2"/>
  <c r="AA98" i="2"/>
  <c r="D97" i="2"/>
  <c r="C103" i="10"/>
  <c r="AF104" i="10" l="1"/>
  <c r="AD104" i="10"/>
  <c r="AA105" i="10"/>
  <c r="AC104" i="10"/>
  <c r="AB104" i="10"/>
  <c r="I105" i="10"/>
  <c r="F106" i="10" s="1"/>
  <c r="J105" i="10"/>
  <c r="AD98" i="2"/>
  <c r="V96" i="2"/>
  <c r="R96" i="2"/>
  <c r="U95" i="2"/>
  <c r="S96" i="2"/>
  <c r="T96" i="2" s="1"/>
  <c r="Q97" i="2"/>
  <c r="W96" i="2"/>
  <c r="X96" i="2"/>
  <c r="Q98" i="2"/>
  <c r="AF98" i="2"/>
  <c r="AA99" i="2"/>
  <c r="B2" i="3"/>
  <c r="AC6" i="2"/>
  <c r="AC7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8" i="2"/>
  <c r="AC39" i="2"/>
  <c r="AC40" i="2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C64" i="2"/>
  <c r="AC65" i="2"/>
  <c r="AC66" i="2"/>
  <c r="AC67" i="2"/>
  <c r="AC68" i="2"/>
  <c r="AC69" i="2"/>
  <c r="AC70" i="2"/>
  <c r="AC71" i="2"/>
  <c r="AC72" i="2"/>
  <c r="AC73" i="2"/>
  <c r="AC74" i="2"/>
  <c r="AC75" i="2"/>
  <c r="AC76" i="2"/>
  <c r="AC77" i="2"/>
  <c r="AC78" i="2"/>
  <c r="AC79" i="2"/>
  <c r="AC80" i="2"/>
  <c r="AC81" i="2"/>
  <c r="AC82" i="2"/>
  <c r="AC83" i="2"/>
  <c r="AC84" i="2"/>
  <c r="AC85" i="2"/>
  <c r="AC86" i="2"/>
  <c r="AC87" i="2"/>
  <c r="AC88" i="2"/>
  <c r="AC89" i="2"/>
  <c r="AC90" i="2"/>
  <c r="AC91" i="2"/>
  <c r="AC92" i="2"/>
  <c r="AC93" i="2"/>
  <c r="AC94" i="2"/>
  <c r="AC95" i="2"/>
  <c r="AC96" i="2"/>
  <c r="AC97" i="2"/>
  <c r="AC98" i="2"/>
  <c r="AC5" i="2"/>
  <c r="AB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5" i="2"/>
  <c r="C104" i="10"/>
  <c r="D98" i="2"/>
  <c r="I106" i="10" l="1"/>
  <c r="F107" i="10" s="1"/>
  <c r="J106" i="10"/>
  <c r="AB105" i="10"/>
  <c r="AD105" i="10"/>
  <c r="AF105" i="10"/>
  <c r="AC105" i="10"/>
  <c r="AA106" i="10"/>
  <c r="AD99" i="2"/>
  <c r="V98" i="2"/>
  <c r="R98" i="2"/>
  <c r="V97" i="2"/>
  <c r="R97" i="2"/>
  <c r="U96" i="2"/>
  <c r="S97" i="2"/>
  <c r="T97" i="2" s="1"/>
  <c r="X97" i="2"/>
  <c r="W97" i="2"/>
  <c r="Q99" i="2"/>
  <c r="W98" i="2"/>
  <c r="X98" i="2"/>
  <c r="S98" i="2"/>
  <c r="T98" i="2" s="1"/>
  <c r="AC99" i="2"/>
  <c r="AB99" i="2"/>
  <c r="AF99" i="2"/>
  <c r="AA100" i="2"/>
  <c r="G5" i="2"/>
  <c r="D16" i="1"/>
  <c r="D19" i="1" s="1"/>
  <c r="E14" i="1"/>
  <c r="F16" i="1"/>
  <c r="F19" i="1" s="1"/>
  <c r="D99" i="2"/>
  <c r="C105" i="10"/>
  <c r="I107" i="10" l="1"/>
  <c r="F108" i="10" s="1"/>
  <c r="J107" i="10"/>
  <c r="AB106" i="10"/>
  <c r="AD106" i="10"/>
  <c r="AA107" i="10"/>
  <c r="AF106" i="10"/>
  <c r="AC106" i="10"/>
  <c r="AD100" i="2"/>
  <c r="V99" i="2"/>
  <c r="R99" i="2"/>
  <c r="U97" i="2"/>
  <c r="U98" i="2"/>
  <c r="Q100" i="2"/>
  <c r="S99" i="2"/>
  <c r="T99" i="2" s="1"/>
  <c r="X99" i="2"/>
  <c r="W99" i="2"/>
  <c r="AF100" i="2"/>
  <c r="AA101" i="2"/>
  <c r="AC100" i="2"/>
  <c r="AB100" i="2"/>
  <c r="F14" i="1"/>
  <c r="D14" i="1"/>
  <c r="C16" i="1"/>
  <c r="E16" i="1"/>
  <c r="E19" i="1" s="1"/>
  <c r="E18" i="1" s="1"/>
  <c r="E17" i="1" s="1"/>
  <c r="E25" i="1" s="1"/>
  <c r="F18" i="1"/>
  <c r="F17" i="1" s="1"/>
  <c r="F25" i="1" s="1"/>
  <c r="D18" i="1"/>
  <c r="D17" i="1" s="1"/>
  <c r="C106" i="10"/>
  <c r="D100" i="2"/>
  <c r="AB107" i="10" l="1"/>
  <c r="AD107" i="10"/>
  <c r="AA108" i="10"/>
  <c r="AF107" i="10"/>
  <c r="AC107" i="10"/>
  <c r="I108" i="10"/>
  <c r="F109" i="10" s="1"/>
  <c r="J108" i="10"/>
  <c r="AD101" i="2"/>
  <c r="V100" i="2"/>
  <c r="R100" i="2"/>
  <c r="U99" i="2"/>
  <c r="Q101" i="2"/>
  <c r="W100" i="2"/>
  <c r="S100" i="2"/>
  <c r="T100" i="2" s="1"/>
  <c r="X100" i="2"/>
  <c r="AF101" i="2"/>
  <c r="AA102" i="2"/>
  <c r="AC101" i="2"/>
  <c r="AB101" i="2"/>
  <c r="C19" i="1"/>
  <c r="E21" i="1"/>
  <c r="D21" i="1"/>
  <c r="D15" i="1"/>
  <c r="F15" i="1"/>
  <c r="F21" i="1"/>
  <c r="E15" i="1"/>
  <c r="C107" i="10"/>
  <c r="D101" i="2"/>
  <c r="I109" i="10" l="1"/>
  <c r="F110" i="10" s="1"/>
  <c r="J109" i="10"/>
  <c r="AB108" i="10"/>
  <c r="AD108" i="10"/>
  <c r="AC108" i="10"/>
  <c r="AA109" i="10"/>
  <c r="AF108" i="10"/>
  <c r="AD102" i="2"/>
  <c r="V101" i="2"/>
  <c r="R101" i="2"/>
  <c r="U100" i="2"/>
  <c r="Q102" i="2"/>
  <c r="S101" i="2"/>
  <c r="T101" i="2" s="1"/>
  <c r="W101" i="2"/>
  <c r="X101" i="2"/>
  <c r="AF102" i="2"/>
  <c r="AA103" i="2"/>
  <c r="AC102" i="2"/>
  <c r="AB102" i="2"/>
  <c r="C18" i="1"/>
  <c r="C17" i="1" s="1"/>
  <c r="D13" i="1"/>
  <c r="F13" i="1"/>
  <c r="E13" i="1"/>
  <c r="C108" i="10"/>
  <c r="D102" i="2"/>
  <c r="AB109" i="10" l="1"/>
  <c r="AD109" i="10"/>
  <c r="AF109" i="10"/>
  <c r="AC109" i="10"/>
  <c r="AA110" i="10"/>
  <c r="I110" i="10"/>
  <c r="F111" i="10" s="1"/>
  <c r="J110" i="10"/>
  <c r="AD103" i="2"/>
  <c r="V102" i="2"/>
  <c r="R102" i="2"/>
  <c r="U101" i="2"/>
  <c r="Q103" i="2"/>
  <c r="S102" i="2"/>
  <c r="T102" i="2" s="1"/>
  <c r="X102" i="2"/>
  <c r="W102" i="2"/>
  <c r="AF103" i="2"/>
  <c r="AC103" i="2"/>
  <c r="AB103" i="2"/>
  <c r="AA104" i="2"/>
  <c r="Y100" i="2"/>
  <c r="Y98" i="2"/>
  <c r="Y96" i="2"/>
  <c r="Y94" i="2"/>
  <c r="Y92" i="2"/>
  <c r="Y90" i="2"/>
  <c r="Y88" i="2"/>
  <c r="Y86" i="2"/>
  <c r="Y84" i="2"/>
  <c r="Y82" i="2"/>
  <c r="Y80" i="2"/>
  <c r="Y78" i="2"/>
  <c r="Y101" i="2"/>
  <c r="Y99" i="2"/>
  <c r="Y97" i="2"/>
  <c r="Y95" i="2"/>
  <c r="Y93" i="2"/>
  <c r="Y91" i="2"/>
  <c r="Y89" i="2"/>
  <c r="Y87" i="2"/>
  <c r="Y85" i="2"/>
  <c r="Y83" i="2"/>
  <c r="Y81" i="2"/>
  <c r="Y79" i="2"/>
  <c r="Y77" i="2"/>
  <c r="Y75" i="2"/>
  <c r="Y73" i="2"/>
  <c r="Y71" i="2"/>
  <c r="Y69" i="2"/>
  <c r="Y67" i="2"/>
  <c r="Y65" i="2"/>
  <c r="Y63" i="2"/>
  <c r="Y74" i="2"/>
  <c r="Y70" i="2"/>
  <c r="Y66" i="2"/>
  <c r="Y10" i="2"/>
  <c r="Y62" i="2"/>
  <c r="Y60" i="2"/>
  <c r="Y58" i="2"/>
  <c r="Y56" i="2"/>
  <c r="Y54" i="2"/>
  <c r="Y52" i="2"/>
  <c r="Y50" i="2"/>
  <c r="Y48" i="2"/>
  <c r="Y46" i="2"/>
  <c r="Y44" i="2"/>
  <c r="Y42" i="2"/>
  <c r="Y40" i="2"/>
  <c r="Y38" i="2"/>
  <c r="Y36" i="2"/>
  <c r="Y34" i="2"/>
  <c r="Y32" i="2"/>
  <c r="Y30" i="2"/>
  <c r="Y28" i="2"/>
  <c r="Y26" i="2"/>
  <c r="Y24" i="2"/>
  <c r="Y22" i="2"/>
  <c r="Y20" i="2"/>
  <c r="Y18" i="2"/>
  <c r="Y16" i="2"/>
  <c r="Y14" i="2"/>
  <c r="Y12" i="2"/>
  <c r="Y8" i="2"/>
  <c r="Y76" i="2"/>
  <c r="Y72" i="2"/>
  <c r="Y68" i="2"/>
  <c r="Y64" i="2"/>
  <c r="Y61" i="2"/>
  <c r="Y59" i="2"/>
  <c r="Y57" i="2"/>
  <c r="Y55" i="2"/>
  <c r="Y53" i="2"/>
  <c r="Y51" i="2"/>
  <c r="Y49" i="2"/>
  <c r="Y47" i="2"/>
  <c r="Y45" i="2"/>
  <c r="Y43" i="2"/>
  <c r="Y41" i="2"/>
  <c r="Y39" i="2"/>
  <c r="Y37" i="2"/>
  <c r="Y35" i="2"/>
  <c r="Y33" i="2"/>
  <c r="Y31" i="2"/>
  <c r="Y29" i="2"/>
  <c r="Y27" i="2"/>
  <c r="Y25" i="2"/>
  <c r="Y23" i="2"/>
  <c r="Y21" i="2"/>
  <c r="Y19" i="2"/>
  <c r="Y17" i="2"/>
  <c r="Y15" i="2"/>
  <c r="Y13" i="2"/>
  <c r="Y11" i="2"/>
  <c r="Y9" i="2"/>
  <c r="Y7" i="2"/>
  <c r="C21" i="1"/>
  <c r="C15" i="1"/>
  <c r="C109" i="10"/>
  <c r="D103" i="2"/>
  <c r="I111" i="10" l="1"/>
  <c r="F112" i="10" s="1"/>
  <c r="J111" i="10"/>
  <c r="AB110" i="10"/>
  <c r="AD110" i="10"/>
  <c r="AA111" i="10"/>
  <c r="AF110" i="10"/>
  <c r="AC110" i="10"/>
  <c r="AD104" i="2"/>
  <c r="V103" i="2"/>
  <c r="R103" i="2"/>
  <c r="Y102" i="2"/>
  <c r="U102" i="2"/>
  <c r="Q104" i="2"/>
  <c r="W103" i="2"/>
  <c r="X103" i="2"/>
  <c r="S103" i="2"/>
  <c r="T103" i="2" s="1"/>
  <c r="AF104" i="2"/>
  <c r="AB104" i="2"/>
  <c r="AC104" i="2"/>
  <c r="AA105" i="2"/>
  <c r="L7" i="2"/>
  <c r="L9" i="2"/>
  <c r="L11" i="2"/>
  <c r="L13" i="2"/>
  <c r="L15" i="2"/>
  <c r="L17" i="2"/>
  <c r="L19" i="2"/>
  <c r="L21" i="2"/>
  <c r="L23" i="2"/>
  <c r="L25" i="2"/>
  <c r="L27" i="2"/>
  <c r="L29" i="2"/>
  <c r="L31" i="2"/>
  <c r="L33" i="2"/>
  <c r="L35" i="2"/>
  <c r="L37" i="2"/>
  <c r="L39" i="2"/>
  <c r="L41" i="2"/>
  <c r="L43" i="2"/>
  <c r="L45" i="2"/>
  <c r="L47" i="2"/>
  <c r="L49" i="2"/>
  <c r="L51" i="2"/>
  <c r="L53" i="2"/>
  <c r="L55" i="2"/>
  <c r="L57" i="2"/>
  <c r="L59" i="2"/>
  <c r="L61" i="2"/>
  <c r="L63" i="2"/>
  <c r="L65" i="2"/>
  <c r="L67" i="2"/>
  <c r="L69" i="2"/>
  <c r="L71" i="2"/>
  <c r="L73" i="2"/>
  <c r="L75" i="2"/>
  <c r="L77" i="2"/>
  <c r="L79" i="2"/>
  <c r="L81" i="2"/>
  <c r="L83" i="2"/>
  <c r="L85" i="2"/>
  <c r="L87" i="2"/>
  <c r="L89" i="2"/>
  <c r="L91" i="2"/>
  <c r="L93" i="2"/>
  <c r="L95" i="2"/>
  <c r="L97" i="2"/>
  <c r="L99" i="2"/>
  <c r="L101" i="2"/>
  <c r="L103" i="2"/>
  <c r="L105" i="2"/>
  <c r="L107" i="2"/>
  <c r="L109" i="2"/>
  <c r="L111" i="2"/>
  <c r="L113" i="2"/>
  <c r="L115" i="2"/>
  <c r="L117" i="2"/>
  <c r="L119" i="2"/>
  <c r="L121" i="2"/>
  <c r="L123" i="2"/>
  <c r="L125" i="2"/>
  <c r="L127" i="2"/>
  <c r="L129" i="2"/>
  <c r="L131" i="2"/>
  <c r="L133" i="2"/>
  <c r="L135" i="2"/>
  <c r="L137" i="2"/>
  <c r="L139" i="2"/>
  <c r="L141" i="2"/>
  <c r="L143" i="2"/>
  <c r="L145" i="2"/>
  <c r="L147" i="2"/>
  <c r="L149" i="2"/>
  <c r="L151" i="2"/>
  <c r="L153" i="2"/>
  <c r="L155" i="2"/>
  <c r="L157" i="2"/>
  <c r="L159" i="2"/>
  <c r="L161" i="2"/>
  <c r="L163" i="2"/>
  <c r="L165" i="2"/>
  <c r="L167" i="2"/>
  <c r="L169" i="2"/>
  <c r="L171" i="2"/>
  <c r="L173" i="2"/>
  <c r="L6" i="2"/>
  <c r="L8" i="2"/>
  <c r="L10" i="2"/>
  <c r="L12" i="2"/>
  <c r="L14" i="2"/>
  <c r="L16" i="2"/>
  <c r="L18" i="2"/>
  <c r="L20" i="2"/>
  <c r="L22" i="2"/>
  <c r="L24" i="2"/>
  <c r="L26" i="2"/>
  <c r="L28" i="2"/>
  <c r="L30" i="2"/>
  <c r="L32" i="2"/>
  <c r="L34" i="2"/>
  <c r="L36" i="2"/>
  <c r="L38" i="2"/>
  <c r="L40" i="2"/>
  <c r="L42" i="2"/>
  <c r="L44" i="2"/>
  <c r="L46" i="2"/>
  <c r="L48" i="2"/>
  <c r="L50" i="2"/>
  <c r="L52" i="2"/>
  <c r="L54" i="2"/>
  <c r="L56" i="2"/>
  <c r="L58" i="2"/>
  <c r="L60" i="2"/>
  <c r="L62" i="2"/>
  <c r="L64" i="2"/>
  <c r="L66" i="2"/>
  <c r="L68" i="2"/>
  <c r="L70" i="2"/>
  <c r="L72" i="2"/>
  <c r="L74" i="2"/>
  <c r="L76" i="2"/>
  <c r="L78" i="2"/>
  <c r="L80" i="2"/>
  <c r="L82" i="2"/>
  <c r="L84" i="2"/>
  <c r="L86" i="2"/>
  <c r="L88" i="2"/>
  <c r="L90" i="2"/>
  <c r="L92" i="2"/>
  <c r="L94" i="2"/>
  <c r="L96" i="2"/>
  <c r="L98" i="2"/>
  <c r="L100" i="2"/>
  <c r="L102" i="2"/>
  <c r="L104" i="2"/>
  <c r="L106" i="2"/>
  <c r="L108" i="2"/>
  <c r="L110" i="2"/>
  <c r="L112" i="2"/>
  <c r="L114" i="2"/>
  <c r="L116" i="2"/>
  <c r="L118" i="2"/>
  <c r="L120" i="2"/>
  <c r="L122" i="2"/>
  <c r="L124" i="2"/>
  <c r="L126" i="2"/>
  <c r="L128" i="2"/>
  <c r="L130" i="2"/>
  <c r="L132" i="2"/>
  <c r="L134" i="2"/>
  <c r="L136" i="2"/>
  <c r="L138" i="2"/>
  <c r="L140" i="2"/>
  <c r="L142" i="2"/>
  <c r="L144" i="2"/>
  <c r="L146" i="2"/>
  <c r="L148" i="2"/>
  <c r="L150" i="2"/>
  <c r="L152" i="2"/>
  <c r="L154" i="2"/>
  <c r="L156" i="2"/>
  <c r="L158" i="2"/>
  <c r="L160" i="2"/>
  <c r="L162" i="2"/>
  <c r="L164" i="2"/>
  <c r="L166" i="2"/>
  <c r="L168" i="2"/>
  <c r="L170" i="2"/>
  <c r="L172" i="2"/>
  <c r="L174" i="2"/>
  <c r="L176" i="2"/>
  <c r="L178" i="2"/>
  <c r="L180" i="2"/>
  <c r="L182" i="2"/>
  <c r="L184" i="2"/>
  <c r="L186" i="2"/>
  <c r="L188" i="2"/>
  <c r="L190" i="2"/>
  <c r="L192" i="2"/>
  <c r="L194" i="2"/>
  <c r="L196" i="2"/>
  <c r="L198" i="2"/>
  <c r="L200" i="2"/>
  <c r="L202" i="2"/>
  <c r="L204" i="2"/>
  <c r="L206" i="2"/>
  <c r="L208" i="2"/>
  <c r="L210" i="2"/>
  <c r="L212" i="2"/>
  <c r="L214" i="2"/>
  <c r="L216" i="2"/>
  <c r="L218" i="2"/>
  <c r="L220" i="2"/>
  <c r="L222" i="2"/>
  <c r="L224" i="2"/>
  <c r="L5" i="2"/>
  <c r="L175" i="2"/>
  <c r="L177" i="2"/>
  <c r="L179" i="2"/>
  <c r="L181" i="2"/>
  <c r="L183" i="2"/>
  <c r="L185" i="2"/>
  <c r="L187" i="2"/>
  <c r="L189" i="2"/>
  <c r="L191" i="2"/>
  <c r="L193" i="2"/>
  <c r="L195" i="2"/>
  <c r="L197" i="2"/>
  <c r="L199" i="2"/>
  <c r="L201" i="2"/>
  <c r="L203" i="2"/>
  <c r="L205" i="2"/>
  <c r="L207" i="2"/>
  <c r="L209" i="2"/>
  <c r="L211" i="2"/>
  <c r="L213" i="2"/>
  <c r="L215" i="2"/>
  <c r="L217" i="2"/>
  <c r="L219" i="2"/>
  <c r="L221" i="2"/>
  <c r="L223" i="2"/>
  <c r="C13" i="1"/>
  <c r="C110" i="10"/>
  <c r="D104" i="2"/>
  <c r="I112" i="10" l="1"/>
  <c r="F113" i="10" s="1"/>
  <c r="J112" i="10"/>
  <c r="AB111" i="10"/>
  <c r="AD111" i="10"/>
  <c r="AA112" i="10"/>
  <c r="AF111" i="10"/>
  <c r="AC111" i="10"/>
  <c r="AD105" i="2"/>
  <c r="Y103" i="2"/>
  <c r="V104" i="2"/>
  <c r="R104" i="2"/>
  <c r="U103" i="2"/>
  <c r="Q105" i="2"/>
  <c r="S104" i="2"/>
  <c r="T104" i="2" s="1"/>
  <c r="X104" i="2"/>
  <c r="W104" i="2"/>
  <c r="AF105" i="2"/>
  <c r="AA106" i="2"/>
  <c r="AB105" i="2"/>
  <c r="AC105" i="2"/>
  <c r="D105" i="2"/>
  <c r="C111" i="10"/>
  <c r="I113" i="10" l="1"/>
  <c r="F114" i="10" s="1"/>
  <c r="J113" i="10"/>
  <c r="AB112" i="10"/>
  <c r="AD112" i="10"/>
  <c r="AC112" i="10"/>
  <c r="AA113" i="10"/>
  <c r="AF112" i="10"/>
  <c r="AD106" i="2"/>
  <c r="Y104" i="2"/>
  <c r="V105" i="2"/>
  <c r="R105" i="2"/>
  <c r="U104" i="2"/>
  <c r="Q106" i="2"/>
  <c r="S105" i="2"/>
  <c r="T105" i="2" s="1"/>
  <c r="W105" i="2"/>
  <c r="X105" i="2"/>
  <c r="AF106" i="2"/>
  <c r="AA107" i="2"/>
  <c r="AB106" i="2"/>
  <c r="AC106" i="2"/>
  <c r="C112" i="10"/>
  <c r="D106" i="2"/>
  <c r="I114" i="10" l="1"/>
  <c r="F115" i="10" s="1"/>
  <c r="J114" i="10"/>
  <c r="AA114" i="10"/>
  <c r="AB113" i="10"/>
  <c r="AD113" i="10"/>
  <c r="AF113" i="10"/>
  <c r="AC113" i="10"/>
  <c r="AD107" i="2"/>
  <c r="Y105" i="2"/>
  <c r="V106" i="2"/>
  <c r="R106" i="2"/>
  <c r="U105" i="2"/>
  <c r="Q107" i="2"/>
  <c r="W106" i="2"/>
  <c r="S106" i="2"/>
  <c r="T106" i="2" s="1"/>
  <c r="X106" i="2"/>
  <c r="AF107" i="2"/>
  <c r="AA108" i="2"/>
  <c r="AC107" i="2"/>
  <c r="AB107" i="2"/>
  <c r="C113" i="10"/>
  <c r="D107" i="2"/>
  <c r="AA115" i="10" l="1"/>
  <c r="AF114" i="10"/>
  <c r="AC114" i="10"/>
  <c r="AD114" i="10"/>
  <c r="AB114" i="10"/>
  <c r="I115" i="10"/>
  <c r="F116" i="10" s="1"/>
  <c r="J115" i="10"/>
  <c r="AD108" i="2"/>
  <c r="V107" i="2"/>
  <c r="R107" i="2"/>
  <c r="Y106" i="2"/>
  <c r="U106" i="2"/>
  <c r="Q108" i="2"/>
  <c r="X107" i="2"/>
  <c r="S107" i="2"/>
  <c r="T107" i="2" s="1"/>
  <c r="W107" i="2"/>
  <c r="AF108" i="2"/>
  <c r="AA109" i="2"/>
  <c r="AC108" i="2"/>
  <c r="AB108" i="2"/>
  <c r="C114" i="10"/>
  <c r="D108" i="2"/>
  <c r="I116" i="10" l="1"/>
  <c r="F117" i="10" s="1"/>
  <c r="J116" i="10"/>
  <c r="AA116" i="10"/>
  <c r="AF115" i="10"/>
  <c r="AC115" i="10"/>
  <c r="AD115" i="10"/>
  <c r="AB115" i="10"/>
  <c r="AD109" i="2"/>
  <c r="V108" i="2"/>
  <c r="R108" i="2"/>
  <c r="Y107" i="2"/>
  <c r="U107" i="2"/>
  <c r="Q109" i="2"/>
  <c r="W108" i="2"/>
  <c r="S108" i="2"/>
  <c r="T108" i="2" s="1"/>
  <c r="X108" i="2"/>
  <c r="AF109" i="2"/>
  <c r="AB109" i="2"/>
  <c r="AC109" i="2"/>
  <c r="AA110" i="2"/>
  <c r="C115" i="10"/>
  <c r="D109" i="2"/>
  <c r="I117" i="10" l="1"/>
  <c r="F118" i="10" s="1"/>
  <c r="J117" i="10"/>
  <c r="AA117" i="10"/>
  <c r="AF116" i="10"/>
  <c r="AC116" i="10"/>
  <c r="AD116" i="10"/>
  <c r="AB116" i="10"/>
  <c r="AD110" i="2"/>
  <c r="V109" i="2"/>
  <c r="R109" i="2"/>
  <c r="Y108" i="2"/>
  <c r="U108" i="2"/>
  <c r="Q110" i="2"/>
  <c r="X109" i="2"/>
  <c r="S109" i="2"/>
  <c r="T109" i="2" s="1"/>
  <c r="W109" i="2"/>
  <c r="AF110" i="2"/>
  <c r="AB110" i="2"/>
  <c r="AC110" i="2"/>
  <c r="AA111" i="2"/>
  <c r="C116" i="10"/>
  <c r="D110" i="2"/>
  <c r="I118" i="10" l="1"/>
  <c r="F119" i="10" s="1"/>
  <c r="J118" i="10"/>
  <c r="AA118" i="10"/>
  <c r="AF117" i="10"/>
  <c r="AC117" i="10"/>
  <c r="AB117" i="10"/>
  <c r="AD117" i="10"/>
  <c r="AD111" i="2"/>
  <c r="V110" i="2"/>
  <c r="R110" i="2"/>
  <c r="Y109" i="2"/>
  <c r="U109" i="2"/>
  <c r="Q111" i="2"/>
  <c r="X110" i="2"/>
  <c r="S110" i="2"/>
  <c r="T110" i="2" s="1"/>
  <c r="W110" i="2"/>
  <c r="AF111" i="2"/>
  <c r="AA112" i="2"/>
  <c r="AC111" i="2"/>
  <c r="AB111" i="2"/>
  <c r="C117" i="10"/>
  <c r="D111" i="2"/>
  <c r="AA119" i="10" l="1"/>
  <c r="AB118" i="10"/>
  <c r="AF118" i="10"/>
  <c r="AD118" i="10"/>
  <c r="AC118" i="10"/>
  <c r="I119" i="10"/>
  <c r="F120" i="10" s="1"/>
  <c r="J119" i="10"/>
  <c r="AD112" i="2"/>
  <c r="Y110" i="2"/>
  <c r="V111" i="2"/>
  <c r="R111" i="2"/>
  <c r="U110" i="2"/>
  <c r="Q112" i="2"/>
  <c r="W111" i="2"/>
  <c r="S111" i="2"/>
  <c r="T111" i="2" s="1"/>
  <c r="X111" i="2"/>
  <c r="AF112" i="2"/>
  <c r="AC112" i="2"/>
  <c r="AB112" i="2"/>
  <c r="AA113" i="2"/>
  <c r="C118" i="10"/>
  <c r="D112" i="2"/>
  <c r="I120" i="10" l="1"/>
  <c r="F121" i="10" s="1"/>
  <c r="J120" i="10"/>
  <c r="AA120" i="10"/>
  <c r="AF119" i="10"/>
  <c r="AD119" i="10"/>
  <c r="AC119" i="10"/>
  <c r="AB119" i="10"/>
  <c r="AD113" i="2"/>
  <c r="Y111" i="2"/>
  <c r="V112" i="2"/>
  <c r="R112" i="2"/>
  <c r="U111" i="2"/>
  <c r="Q113" i="2"/>
  <c r="X112" i="2"/>
  <c r="Y112" i="2" s="1"/>
  <c r="S112" i="2"/>
  <c r="T112" i="2" s="1"/>
  <c r="W112" i="2"/>
  <c r="AF113" i="2"/>
  <c r="AC113" i="2"/>
  <c r="AA114" i="2"/>
  <c r="AB113" i="2"/>
  <c r="C119" i="10"/>
  <c r="D113" i="2"/>
  <c r="AA121" i="10" l="1"/>
  <c r="AF120" i="10"/>
  <c r="AD120" i="10"/>
  <c r="AC120" i="10"/>
  <c r="AB120" i="10"/>
  <c r="I121" i="10"/>
  <c r="F122" i="10" s="1"/>
  <c r="J121" i="10"/>
  <c r="AD114" i="2"/>
  <c r="V113" i="2"/>
  <c r="R113" i="2"/>
  <c r="U112" i="2"/>
  <c r="Q114" i="2"/>
  <c r="W113" i="2"/>
  <c r="X113" i="2"/>
  <c r="S113" i="2"/>
  <c r="T113" i="2" s="1"/>
  <c r="AF114" i="2"/>
  <c r="AC114" i="2"/>
  <c r="AA115" i="2"/>
  <c r="AB114" i="2"/>
  <c r="D114" i="2"/>
  <c r="C120" i="10"/>
  <c r="I122" i="10" l="1"/>
  <c r="F123" i="10" s="1"/>
  <c r="J122" i="10"/>
  <c r="AA122" i="10"/>
  <c r="AF121" i="10"/>
  <c r="AD121" i="10"/>
  <c r="AC121" i="10"/>
  <c r="AB121" i="10"/>
  <c r="AD115" i="2"/>
  <c r="V114" i="2"/>
  <c r="R114" i="2"/>
  <c r="Y113" i="2"/>
  <c r="U113" i="2"/>
  <c r="Q115" i="2"/>
  <c r="W114" i="2"/>
  <c r="S114" i="2"/>
  <c r="T114" i="2" s="1"/>
  <c r="X114" i="2"/>
  <c r="AF115" i="2"/>
  <c r="AB115" i="2"/>
  <c r="AA116" i="2"/>
  <c r="AC115" i="2"/>
  <c r="C121" i="10"/>
  <c r="D115" i="2"/>
  <c r="AA123" i="10" l="1"/>
  <c r="AF122" i="10"/>
  <c r="AD122" i="10"/>
  <c r="AC122" i="10"/>
  <c r="AB122" i="10"/>
  <c r="I123" i="10"/>
  <c r="F124" i="10" s="1"/>
  <c r="J123" i="10"/>
  <c r="AD116" i="2"/>
  <c r="V115" i="2"/>
  <c r="R115" i="2"/>
  <c r="Y114" i="2"/>
  <c r="U114" i="2"/>
  <c r="Q116" i="2"/>
  <c r="S115" i="2"/>
  <c r="T115" i="2" s="1"/>
  <c r="X115" i="2"/>
  <c r="W115" i="2"/>
  <c r="AF116" i="2"/>
  <c r="AB116" i="2"/>
  <c r="AA117" i="2"/>
  <c r="AC116" i="2"/>
  <c r="C122" i="10"/>
  <c r="D116" i="2"/>
  <c r="I124" i="10" l="1"/>
  <c r="F125" i="10" s="1"/>
  <c r="J124" i="10"/>
  <c r="AA124" i="10"/>
  <c r="AF123" i="10"/>
  <c r="AD123" i="10"/>
  <c r="AC123" i="10"/>
  <c r="AB123" i="10"/>
  <c r="AD117" i="2"/>
  <c r="Y115" i="2"/>
  <c r="V116" i="2"/>
  <c r="R116" i="2"/>
  <c r="U115" i="2"/>
  <c r="Q117" i="2"/>
  <c r="W116" i="2"/>
  <c r="X116" i="2"/>
  <c r="S116" i="2"/>
  <c r="T116" i="2" s="1"/>
  <c r="AF117" i="2"/>
  <c r="AC117" i="2"/>
  <c r="AA118" i="2"/>
  <c r="AB117" i="2"/>
  <c r="C123" i="10"/>
  <c r="D117" i="2"/>
  <c r="I125" i="10" l="1"/>
  <c r="F126" i="10" s="1"/>
  <c r="J125" i="10"/>
  <c r="AF124" i="10"/>
  <c r="AD124" i="10"/>
  <c r="AC124" i="10"/>
  <c r="AA125" i="10"/>
  <c r="AB124" i="10"/>
  <c r="AD118" i="2"/>
  <c r="V117" i="2"/>
  <c r="R117" i="2"/>
  <c r="Y116" i="2"/>
  <c r="U116" i="2"/>
  <c r="Q118" i="2"/>
  <c r="S117" i="2"/>
  <c r="T117" i="2" s="1"/>
  <c r="W117" i="2"/>
  <c r="X117" i="2"/>
  <c r="AF118" i="2"/>
  <c r="AA119" i="2"/>
  <c r="AB118" i="2"/>
  <c r="AC118" i="2"/>
  <c r="C124" i="10"/>
  <c r="D118" i="2"/>
  <c r="I126" i="10" l="1"/>
  <c r="F127" i="10" s="1"/>
  <c r="J126" i="10"/>
  <c r="AD125" i="10"/>
  <c r="AC125" i="10"/>
  <c r="AB125" i="10"/>
  <c r="AA126" i="10"/>
  <c r="AF125" i="10"/>
  <c r="AD119" i="2"/>
  <c r="V118" i="2"/>
  <c r="R118" i="2"/>
  <c r="Y117" i="2"/>
  <c r="U117" i="2"/>
  <c r="Q119" i="2"/>
  <c r="S118" i="2"/>
  <c r="T118" i="2" s="1"/>
  <c r="X118" i="2"/>
  <c r="W118" i="2"/>
  <c r="AF119" i="2"/>
  <c r="AC119" i="2"/>
  <c r="AB119" i="2"/>
  <c r="AA120" i="2"/>
  <c r="C125" i="10"/>
  <c r="D119" i="2"/>
  <c r="AD126" i="10" l="1"/>
  <c r="AC126" i="10"/>
  <c r="AB126" i="10"/>
  <c r="AA127" i="10"/>
  <c r="AF126" i="10"/>
  <c r="I127" i="10"/>
  <c r="F128" i="10" s="1"/>
  <c r="J127" i="10"/>
  <c r="AD120" i="2"/>
  <c r="Y118" i="2"/>
  <c r="V119" i="2"/>
  <c r="R119" i="2"/>
  <c r="U118" i="2"/>
  <c r="Q120" i="2"/>
  <c r="W119" i="2"/>
  <c r="S119" i="2"/>
  <c r="T119" i="2" s="1"/>
  <c r="X119" i="2"/>
  <c r="AF120" i="2"/>
  <c r="AC120" i="2"/>
  <c r="AB120" i="2"/>
  <c r="AA121" i="2"/>
  <c r="D120" i="2"/>
  <c r="C126" i="10"/>
  <c r="I128" i="10" l="1"/>
  <c r="F129" i="10" s="1"/>
  <c r="J128" i="10"/>
  <c r="AD127" i="10"/>
  <c r="AC127" i="10"/>
  <c r="AB127" i="10"/>
  <c r="AA128" i="10"/>
  <c r="AF127" i="10"/>
  <c r="AD121" i="2"/>
  <c r="V120" i="2"/>
  <c r="R120" i="2"/>
  <c r="Y119" i="2"/>
  <c r="U119" i="2"/>
  <c r="Q121" i="2"/>
  <c r="S120" i="2"/>
  <c r="T120" i="2" s="1"/>
  <c r="X120" i="2"/>
  <c r="W120" i="2"/>
  <c r="AF121" i="2"/>
  <c r="AB121" i="2"/>
  <c r="AC121" i="2"/>
  <c r="AA122" i="2"/>
  <c r="D121" i="2"/>
  <c r="C127" i="10"/>
  <c r="AD128" i="10" l="1"/>
  <c r="AC128" i="10"/>
  <c r="AB128" i="10"/>
  <c r="AA129" i="10"/>
  <c r="AF128" i="10"/>
  <c r="I129" i="10"/>
  <c r="F130" i="10" s="1"/>
  <c r="J129" i="10"/>
  <c r="AD122" i="2"/>
  <c r="Y120" i="2"/>
  <c r="V121" i="2"/>
  <c r="R121" i="2"/>
  <c r="U120" i="2"/>
  <c r="Q122" i="2"/>
  <c r="S121" i="2"/>
  <c r="T121" i="2" s="1"/>
  <c r="W121" i="2"/>
  <c r="X121" i="2"/>
  <c r="AF122" i="2"/>
  <c r="AB122" i="2"/>
  <c r="AC122" i="2"/>
  <c r="AA123" i="2"/>
  <c r="C128" i="10"/>
  <c r="D122" i="2"/>
  <c r="AD129" i="10" l="1"/>
  <c r="AC129" i="10"/>
  <c r="AB129" i="10"/>
  <c r="AA130" i="10"/>
  <c r="AF129" i="10"/>
  <c r="I130" i="10"/>
  <c r="F131" i="10" s="1"/>
  <c r="J130" i="10"/>
  <c r="AD123" i="2"/>
  <c r="V122" i="2"/>
  <c r="R122" i="2"/>
  <c r="Y121" i="2"/>
  <c r="U121" i="2"/>
  <c r="Q123" i="2"/>
  <c r="W122" i="2"/>
  <c r="S122" i="2"/>
  <c r="T122" i="2" s="1"/>
  <c r="X122" i="2"/>
  <c r="AF123" i="2"/>
  <c r="AC123" i="2"/>
  <c r="AB123" i="2"/>
  <c r="AA124" i="2"/>
  <c r="C129" i="10"/>
  <c r="D123" i="2"/>
  <c r="AD130" i="10" l="1"/>
  <c r="AC130" i="10"/>
  <c r="AB130" i="10"/>
  <c r="AA131" i="10"/>
  <c r="AF130" i="10"/>
  <c r="I131" i="10"/>
  <c r="F132" i="10" s="1"/>
  <c r="J131" i="10"/>
  <c r="AD124" i="2"/>
  <c r="V123" i="2"/>
  <c r="R123" i="2"/>
  <c r="Y122" i="2"/>
  <c r="U122" i="2"/>
  <c r="Q124" i="2"/>
  <c r="X123" i="2"/>
  <c r="S123" i="2"/>
  <c r="T123" i="2" s="1"/>
  <c r="W123" i="2"/>
  <c r="AF124" i="2"/>
  <c r="AA125" i="2"/>
  <c r="AC124" i="2"/>
  <c r="AB124" i="2"/>
  <c r="C130" i="10"/>
  <c r="D124" i="2"/>
  <c r="AD131" i="10" l="1"/>
  <c r="AC131" i="10"/>
  <c r="AB131" i="10"/>
  <c r="AA132" i="10"/>
  <c r="AF131" i="10"/>
  <c r="I132" i="10"/>
  <c r="F133" i="10" s="1"/>
  <c r="J132" i="10"/>
  <c r="AD125" i="2"/>
  <c r="V124" i="2"/>
  <c r="R124" i="2"/>
  <c r="Y123" i="2"/>
  <c r="U123" i="2"/>
  <c r="Q125" i="2"/>
  <c r="W124" i="2"/>
  <c r="S124" i="2"/>
  <c r="T124" i="2" s="1"/>
  <c r="X124" i="2"/>
  <c r="AF125" i="2"/>
  <c r="AB125" i="2"/>
  <c r="AC125" i="2"/>
  <c r="AA126" i="2"/>
  <c r="C131" i="10"/>
  <c r="D125" i="2"/>
  <c r="AD132" i="10" l="1"/>
  <c r="AC132" i="10"/>
  <c r="AB132" i="10"/>
  <c r="AA133" i="10"/>
  <c r="AF132" i="10"/>
  <c r="I133" i="10"/>
  <c r="F134" i="10" s="1"/>
  <c r="J133" i="10"/>
  <c r="AD126" i="2"/>
  <c r="V125" i="2"/>
  <c r="R125" i="2"/>
  <c r="Y124" i="2"/>
  <c r="U124" i="2"/>
  <c r="Q126" i="2"/>
  <c r="X125" i="2"/>
  <c r="S125" i="2"/>
  <c r="T125" i="2" s="1"/>
  <c r="W125" i="2"/>
  <c r="AF126" i="2"/>
  <c r="AB126" i="2"/>
  <c r="AC126" i="2"/>
  <c r="AA127" i="2"/>
  <c r="D126" i="2"/>
  <c r="C132" i="10"/>
  <c r="AD133" i="10" l="1"/>
  <c r="AC133" i="10"/>
  <c r="AB133" i="10"/>
  <c r="AA134" i="10"/>
  <c r="AF133" i="10"/>
  <c r="I134" i="10"/>
  <c r="F135" i="10" s="1"/>
  <c r="J134" i="10"/>
  <c r="AD127" i="2"/>
  <c r="Y125" i="2"/>
  <c r="V126" i="2"/>
  <c r="R126" i="2"/>
  <c r="U125" i="2"/>
  <c r="Q127" i="2"/>
  <c r="X126" i="2"/>
  <c r="S126" i="2"/>
  <c r="T126" i="2" s="1"/>
  <c r="W126" i="2"/>
  <c r="AF127" i="2"/>
  <c r="AC127" i="2"/>
  <c r="AB127" i="2"/>
  <c r="AA128" i="2"/>
  <c r="D127" i="2"/>
  <c r="C133" i="10"/>
  <c r="I135" i="10" l="1"/>
  <c r="F136" i="10" s="1"/>
  <c r="J135" i="10"/>
  <c r="AD134" i="10"/>
  <c r="AC134" i="10"/>
  <c r="AB134" i="10"/>
  <c r="AA135" i="10"/>
  <c r="AF134" i="10"/>
  <c r="AD128" i="2"/>
  <c r="Y126" i="2"/>
  <c r="V127" i="2"/>
  <c r="R127" i="2"/>
  <c r="U126" i="2"/>
  <c r="Q128" i="2"/>
  <c r="W127" i="2"/>
  <c r="S127" i="2"/>
  <c r="T127" i="2" s="1"/>
  <c r="X127" i="2"/>
  <c r="AF128" i="2"/>
  <c r="AC128" i="2"/>
  <c r="AB128" i="2"/>
  <c r="AA129" i="2"/>
  <c r="D128" i="2"/>
  <c r="C134" i="10"/>
  <c r="AD135" i="10" l="1"/>
  <c r="AC135" i="10"/>
  <c r="AB135" i="10"/>
  <c r="AA136" i="10"/>
  <c r="AF135" i="10"/>
  <c r="I136" i="10"/>
  <c r="F137" i="10" s="1"/>
  <c r="J136" i="10"/>
  <c r="AD129" i="2"/>
  <c r="Y127" i="2"/>
  <c r="V128" i="2"/>
  <c r="R128" i="2"/>
  <c r="U127" i="2"/>
  <c r="Q129" i="2"/>
  <c r="X128" i="2"/>
  <c r="Y128" i="2" s="1"/>
  <c r="S128" i="2"/>
  <c r="T128" i="2" s="1"/>
  <c r="W128" i="2"/>
  <c r="AF129" i="2"/>
  <c r="AB129" i="2"/>
  <c r="AC129" i="2"/>
  <c r="AA130" i="2"/>
  <c r="C135" i="10"/>
  <c r="D129" i="2"/>
  <c r="I137" i="10" l="1"/>
  <c r="F138" i="10" s="1"/>
  <c r="J137" i="10"/>
  <c r="AD136" i="10"/>
  <c r="AC136" i="10"/>
  <c r="AA137" i="10"/>
  <c r="AB136" i="10"/>
  <c r="AF136" i="10"/>
  <c r="AD130" i="2"/>
  <c r="V129" i="2"/>
  <c r="R129" i="2"/>
  <c r="U128" i="2"/>
  <c r="Q130" i="2"/>
  <c r="W129" i="2"/>
  <c r="X129" i="2"/>
  <c r="S129" i="2"/>
  <c r="T129" i="2" s="1"/>
  <c r="AF130" i="2"/>
  <c r="AB130" i="2"/>
  <c r="AC130" i="2"/>
  <c r="AA131" i="2"/>
  <c r="C136" i="10"/>
  <c r="D130" i="2"/>
  <c r="AC137" i="10" l="1"/>
  <c r="AB137" i="10"/>
  <c r="AA138" i="10"/>
  <c r="AF137" i="10"/>
  <c r="AD137" i="10"/>
  <c r="I138" i="10"/>
  <c r="F139" i="10" s="1"/>
  <c r="J138" i="10"/>
  <c r="AD131" i="2"/>
  <c r="Y129" i="2"/>
  <c r="V130" i="2"/>
  <c r="R130" i="2"/>
  <c r="U129" i="2"/>
  <c r="Q131" i="2"/>
  <c r="W130" i="2"/>
  <c r="X130" i="2"/>
  <c r="S130" i="2"/>
  <c r="T130" i="2" s="1"/>
  <c r="AF131" i="2"/>
  <c r="AC131" i="2"/>
  <c r="AB131" i="2"/>
  <c r="AA132" i="2"/>
  <c r="C137" i="10"/>
  <c r="D131" i="2"/>
  <c r="I139" i="10" l="1"/>
  <c r="F140" i="10" s="1"/>
  <c r="J139" i="10"/>
  <c r="AC138" i="10"/>
  <c r="AB138" i="10"/>
  <c r="AA139" i="10"/>
  <c r="AF138" i="10"/>
  <c r="AD138" i="10"/>
  <c r="AD132" i="2"/>
  <c r="Y130" i="2"/>
  <c r="V131" i="2"/>
  <c r="R131" i="2"/>
  <c r="U130" i="2"/>
  <c r="Q132" i="2"/>
  <c r="S131" i="2"/>
  <c r="T131" i="2" s="1"/>
  <c r="W131" i="2"/>
  <c r="X131" i="2"/>
  <c r="AF132" i="2"/>
  <c r="AC132" i="2"/>
  <c r="AB132" i="2"/>
  <c r="AA133" i="2"/>
  <c r="D132" i="2"/>
  <c r="C138" i="10"/>
  <c r="AC139" i="10" l="1"/>
  <c r="AB139" i="10"/>
  <c r="AF139" i="10"/>
  <c r="AA140" i="10"/>
  <c r="AD139" i="10"/>
  <c r="I140" i="10"/>
  <c r="F141" i="10" s="1"/>
  <c r="J140" i="10"/>
  <c r="AD133" i="2"/>
  <c r="V132" i="2"/>
  <c r="R132" i="2"/>
  <c r="Y131" i="2"/>
  <c r="U131" i="2"/>
  <c r="Q133" i="2"/>
  <c r="W132" i="2"/>
  <c r="S132" i="2"/>
  <c r="T132" i="2" s="1"/>
  <c r="X132" i="2"/>
  <c r="AF133" i="2"/>
  <c r="AB133" i="2"/>
  <c r="AC133" i="2"/>
  <c r="AA134" i="2"/>
  <c r="C139" i="10"/>
  <c r="D133" i="2"/>
  <c r="AD140" i="10" l="1"/>
  <c r="AB140" i="10"/>
  <c r="AA141" i="10"/>
  <c r="AF140" i="10"/>
  <c r="AC140" i="10"/>
  <c r="I141" i="10"/>
  <c r="F142" i="10" s="1"/>
  <c r="J141" i="10"/>
  <c r="AD134" i="2"/>
  <c r="V133" i="2"/>
  <c r="R133" i="2"/>
  <c r="Y132" i="2"/>
  <c r="U132" i="2"/>
  <c r="Q134" i="2"/>
  <c r="S133" i="2"/>
  <c r="T133" i="2" s="1"/>
  <c r="W133" i="2"/>
  <c r="X133" i="2"/>
  <c r="AF134" i="2"/>
  <c r="AB134" i="2"/>
  <c r="AA135" i="2"/>
  <c r="AC134" i="2"/>
  <c r="C140" i="10"/>
  <c r="D134" i="2"/>
  <c r="AD141" i="10" l="1"/>
  <c r="AB141" i="10"/>
  <c r="AA142" i="10"/>
  <c r="AF141" i="10"/>
  <c r="AC141" i="10"/>
  <c r="I142" i="10"/>
  <c r="F143" i="10" s="1"/>
  <c r="J142" i="10"/>
  <c r="AD135" i="2"/>
  <c r="V134" i="2"/>
  <c r="R134" i="2"/>
  <c r="Y133" i="2"/>
  <c r="U133" i="2"/>
  <c r="Q135" i="2"/>
  <c r="S134" i="2"/>
  <c r="T134" i="2" s="1"/>
  <c r="X134" i="2"/>
  <c r="W134" i="2"/>
  <c r="AF135" i="2"/>
  <c r="AC135" i="2"/>
  <c r="AA136" i="2"/>
  <c r="AB135" i="2"/>
  <c r="C141" i="10"/>
  <c r="D135" i="2"/>
  <c r="AD142" i="10" l="1"/>
  <c r="AB142" i="10"/>
  <c r="AC142" i="10"/>
  <c r="AA143" i="10"/>
  <c r="AF142" i="10"/>
  <c r="I143" i="10"/>
  <c r="F144" i="10" s="1"/>
  <c r="J143" i="10"/>
  <c r="AD136" i="2"/>
  <c r="Y134" i="2"/>
  <c r="V135" i="2"/>
  <c r="R135" i="2"/>
  <c r="U134" i="2"/>
  <c r="Q136" i="2"/>
  <c r="X135" i="2"/>
  <c r="Y135" i="2" s="1"/>
  <c r="S135" i="2"/>
  <c r="T135" i="2" s="1"/>
  <c r="W135" i="2"/>
  <c r="AF136" i="2"/>
  <c r="AC136" i="2"/>
  <c r="AA137" i="2"/>
  <c r="AB136" i="2"/>
  <c r="C142" i="10"/>
  <c r="D136" i="2"/>
  <c r="I144" i="10" l="1"/>
  <c r="F145" i="10" s="1"/>
  <c r="J144" i="10"/>
  <c r="AD143" i="10"/>
  <c r="AB143" i="10"/>
  <c r="AF143" i="10"/>
  <c r="AA144" i="10"/>
  <c r="AC143" i="10"/>
  <c r="AD137" i="2"/>
  <c r="V136" i="2"/>
  <c r="R136" i="2"/>
  <c r="U135" i="2"/>
  <c r="Q137" i="2"/>
  <c r="S136" i="2"/>
  <c r="T136" i="2" s="1"/>
  <c r="X136" i="2"/>
  <c r="W136" i="2"/>
  <c r="AF137" i="2"/>
  <c r="AB137" i="2"/>
  <c r="AA138" i="2"/>
  <c r="AC137" i="2"/>
  <c r="C143" i="10"/>
  <c r="D137" i="2"/>
  <c r="AD144" i="10" l="1"/>
  <c r="AC144" i="10"/>
  <c r="AA145" i="10"/>
  <c r="AB144" i="10"/>
  <c r="AF144" i="10"/>
  <c r="I145" i="10"/>
  <c r="F146" i="10" s="1"/>
  <c r="J145" i="10"/>
  <c r="AD138" i="2"/>
  <c r="V137" i="2"/>
  <c r="R137" i="2"/>
  <c r="Y136" i="2"/>
  <c r="U136" i="2"/>
  <c r="Q138" i="2"/>
  <c r="S137" i="2"/>
  <c r="T137" i="2" s="1"/>
  <c r="W137" i="2"/>
  <c r="X137" i="2"/>
  <c r="AF138" i="2"/>
  <c r="AA139" i="2"/>
  <c r="AC138" i="2"/>
  <c r="AB138" i="2"/>
  <c r="C144" i="10"/>
  <c r="D138" i="2"/>
  <c r="I146" i="10" l="1"/>
  <c r="F147" i="10" s="1"/>
  <c r="J146" i="10"/>
  <c r="AC145" i="10"/>
  <c r="AB145" i="10"/>
  <c r="AA146" i="10"/>
  <c r="AF145" i="10"/>
  <c r="AD145" i="10"/>
  <c r="AD139" i="2"/>
  <c r="V138" i="2"/>
  <c r="R138" i="2"/>
  <c r="Y137" i="2"/>
  <c r="U137" i="2"/>
  <c r="Q139" i="2"/>
  <c r="W138" i="2"/>
  <c r="S138" i="2"/>
  <c r="T138" i="2" s="1"/>
  <c r="X138" i="2"/>
  <c r="AF139" i="2"/>
  <c r="AA140" i="2"/>
  <c r="AC139" i="2"/>
  <c r="AB139" i="2"/>
  <c r="D139" i="2"/>
  <c r="C145" i="10"/>
  <c r="AC146" i="10" l="1"/>
  <c r="AA147" i="10"/>
  <c r="AB146" i="10"/>
  <c r="AF146" i="10"/>
  <c r="AD146" i="10"/>
  <c r="I147" i="10"/>
  <c r="F148" i="10" s="1"/>
  <c r="J147" i="10"/>
  <c r="AD140" i="2"/>
  <c r="V139" i="2"/>
  <c r="R139" i="2"/>
  <c r="Y138" i="2"/>
  <c r="U138" i="2"/>
  <c r="Q140" i="2"/>
  <c r="W139" i="2"/>
  <c r="X139" i="2"/>
  <c r="S139" i="2"/>
  <c r="T139" i="2" s="1"/>
  <c r="AF140" i="2"/>
  <c r="AA141" i="2"/>
  <c r="AC140" i="2"/>
  <c r="AB140" i="2"/>
  <c r="C146" i="10"/>
  <c r="D140" i="2"/>
  <c r="I148" i="10" l="1"/>
  <c r="F149" i="10" s="1"/>
  <c r="J148" i="10"/>
  <c r="AB147" i="10"/>
  <c r="AA148" i="10"/>
  <c r="AF147" i="10"/>
  <c r="AD147" i="10"/>
  <c r="AC147" i="10"/>
  <c r="AD141" i="2"/>
  <c r="Y139" i="2"/>
  <c r="V140" i="2"/>
  <c r="R140" i="2"/>
  <c r="U139" i="2"/>
  <c r="Q141" i="2"/>
  <c r="W140" i="2"/>
  <c r="S140" i="2"/>
  <c r="T140" i="2" s="1"/>
  <c r="X140" i="2"/>
  <c r="AF141" i="2"/>
  <c r="AA142" i="2"/>
  <c r="AB141" i="2"/>
  <c r="AC141" i="2"/>
  <c r="C147" i="10"/>
  <c r="D141" i="2"/>
  <c r="AB148" i="10" l="1"/>
  <c r="AA149" i="10"/>
  <c r="AF148" i="10"/>
  <c r="AD148" i="10"/>
  <c r="AC148" i="10"/>
  <c r="I149" i="10"/>
  <c r="F150" i="10" s="1"/>
  <c r="J149" i="10"/>
  <c r="AD142" i="2"/>
  <c r="Y140" i="2"/>
  <c r="V141" i="2"/>
  <c r="R141" i="2"/>
  <c r="U140" i="2"/>
  <c r="Q142" i="2"/>
  <c r="X141" i="2"/>
  <c r="Y141" i="2" s="1"/>
  <c r="S141" i="2"/>
  <c r="T141" i="2" s="1"/>
  <c r="W141" i="2"/>
  <c r="AF142" i="2"/>
  <c r="AA143" i="2"/>
  <c r="AC142" i="2"/>
  <c r="AB142" i="2"/>
  <c r="C148" i="10"/>
  <c r="D142" i="2"/>
  <c r="I150" i="10" l="1"/>
  <c r="F151" i="10" s="1"/>
  <c r="J150" i="10"/>
  <c r="AB149" i="10"/>
  <c r="AA150" i="10"/>
  <c r="AF149" i="10"/>
  <c r="AD149" i="10"/>
  <c r="AC149" i="10"/>
  <c r="AD143" i="2"/>
  <c r="V142" i="2"/>
  <c r="R142" i="2"/>
  <c r="U141" i="2"/>
  <c r="Q143" i="2"/>
  <c r="X142" i="2"/>
  <c r="Y142" i="2" s="1"/>
  <c r="S142" i="2"/>
  <c r="T142" i="2" s="1"/>
  <c r="W142" i="2"/>
  <c r="AF143" i="2"/>
  <c r="AA144" i="2"/>
  <c r="AC143" i="2"/>
  <c r="AB143" i="2"/>
  <c r="C149" i="10"/>
  <c r="D143" i="2"/>
  <c r="AB150" i="10" l="1"/>
  <c r="AA151" i="10"/>
  <c r="AF150" i="10"/>
  <c r="AD150" i="10"/>
  <c r="AC150" i="10"/>
  <c r="I151" i="10"/>
  <c r="F152" i="10" s="1"/>
  <c r="J151" i="10"/>
  <c r="AD144" i="2"/>
  <c r="V143" i="2"/>
  <c r="R143" i="2"/>
  <c r="U142" i="2"/>
  <c r="Q144" i="2"/>
  <c r="S143" i="2"/>
  <c r="T143" i="2" s="1"/>
  <c r="W143" i="2"/>
  <c r="X143" i="2"/>
  <c r="AF144" i="2"/>
  <c r="AA145" i="2"/>
  <c r="AB144" i="2"/>
  <c r="AC144" i="2"/>
  <c r="C150" i="10"/>
  <c r="D144" i="2"/>
  <c r="I152" i="10" l="1"/>
  <c r="F153" i="10" s="1"/>
  <c r="J152" i="10"/>
  <c r="AB151" i="10"/>
  <c r="AA152" i="10"/>
  <c r="AF151" i="10"/>
  <c r="AD151" i="10"/>
  <c r="AC151" i="10"/>
  <c r="AD145" i="2"/>
  <c r="V144" i="2"/>
  <c r="R144" i="2"/>
  <c r="Y143" i="2"/>
  <c r="U143" i="2"/>
  <c r="Q145" i="2"/>
  <c r="X144" i="2"/>
  <c r="S144" i="2"/>
  <c r="T144" i="2" s="1"/>
  <c r="W144" i="2"/>
  <c r="AF145" i="2"/>
  <c r="AA146" i="2"/>
  <c r="AB145" i="2"/>
  <c r="AC145" i="2"/>
  <c r="C151" i="10"/>
  <c r="D145" i="2"/>
  <c r="I153" i="10" l="1"/>
  <c r="F154" i="10" s="1"/>
  <c r="J153" i="10"/>
  <c r="AC152" i="10"/>
  <c r="AB152" i="10"/>
  <c r="AA153" i="10"/>
  <c r="AF152" i="10"/>
  <c r="AD152" i="10"/>
  <c r="AD146" i="2"/>
  <c r="Y144" i="2"/>
  <c r="V145" i="2"/>
  <c r="R145" i="2"/>
  <c r="U144" i="2"/>
  <c r="Q146" i="2"/>
  <c r="W145" i="2"/>
  <c r="X145" i="2"/>
  <c r="S145" i="2"/>
  <c r="T145" i="2" s="1"/>
  <c r="AF146" i="2"/>
  <c r="AA147" i="2"/>
  <c r="AB146" i="2"/>
  <c r="AC146" i="2"/>
  <c r="C152" i="10"/>
  <c r="D146" i="2"/>
  <c r="AC153" i="10" l="1"/>
  <c r="AB153" i="10"/>
  <c r="AA154" i="10"/>
  <c r="AF153" i="10"/>
  <c r="AD153" i="10"/>
  <c r="I154" i="10"/>
  <c r="F155" i="10" s="1"/>
  <c r="J154" i="10"/>
  <c r="AD147" i="2"/>
  <c r="V146" i="2"/>
  <c r="R146" i="2"/>
  <c r="Y145" i="2"/>
  <c r="U145" i="2"/>
  <c r="Q147" i="2"/>
  <c r="W146" i="2"/>
  <c r="S146" i="2"/>
  <c r="T146" i="2" s="1"/>
  <c r="X146" i="2"/>
  <c r="AF147" i="2"/>
  <c r="AA148" i="2"/>
  <c r="AC147" i="2"/>
  <c r="AB147" i="2"/>
  <c r="C153" i="10"/>
  <c r="D147" i="2"/>
  <c r="I155" i="10" l="1"/>
  <c r="F156" i="10" s="1"/>
  <c r="J155" i="10"/>
  <c r="AC154" i="10"/>
  <c r="AB154" i="10"/>
  <c r="AA155" i="10"/>
  <c r="AF154" i="10"/>
  <c r="AD154" i="10"/>
  <c r="AD148" i="2"/>
  <c r="V147" i="2"/>
  <c r="R147" i="2"/>
  <c r="Y146" i="2"/>
  <c r="U146" i="2"/>
  <c r="Q148" i="2"/>
  <c r="S147" i="2"/>
  <c r="T147" i="2" s="1"/>
  <c r="W147" i="2"/>
  <c r="X147" i="2"/>
  <c r="AF148" i="2"/>
  <c r="AA149" i="2"/>
  <c r="AC148" i="2"/>
  <c r="AB148" i="2"/>
  <c r="C154" i="10"/>
  <c r="D148" i="2"/>
  <c r="AC155" i="10" l="1"/>
  <c r="AB155" i="10"/>
  <c r="AA156" i="10"/>
  <c r="AF155" i="10"/>
  <c r="AD155" i="10"/>
  <c r="I156" i="10"/>
  <c r="F157" i="10" s="1"/>
  <c r="J156" i="10"/>
  <c r="AD149" i="2"/>
  <c r="V148" i="2"/>
  <c r="R148" i="2"/>
  <c r="Y147" i="2"/>
  <c r="U147" i="2"/>
  <c r="Q149" i="2"/>
  <c r="W148" i="2"/>
  <c r="X148" i="2"/>
  <c r="S148" i="2"/>
  <c r="T148" i="2" s="1"/>
  <c r="AF149" i="2"/>
  <c r="AA150" i="2"/>
  <c r="AB149" i="2"/>
  <c r="AC149" i="2"/>
  <c r="C155" i="10"/>
  <c r="D149" i="2"/>
  <c r="I157" i="10" l="1"/>
  <c r="F158" i="10" s="1"/>
  <c r="J157" i="10"/>
  <c r="AC156" i="10"/>
  <c r="AB156" i="10"/>
  <c r="AA157" i="10"/>
  <c r="AF156" i="10"/>
  <c r="AD156" i="10"/>
  <c r="AD150" i="2"/>
  <c r="Y148" i="2"/>
  <c r="V149" i="2"/>
  <c r="R149" i="2"/>
  <c r="U148" i="2"/>
  <c r="Q150" i="2"/>
  <c r="S149" i="2"/>
  <c r="T149" i="2" s="1"/>
  <c r="W149" i="2"/>
  <c r="X149" i="2"/>
  <c r="AF150" i="2"/>
  <c r="AA151" i="2"/>
  <c r="AB150" i="2"/>
  <c r="AC150" i="2"/>
  <c r="D150" i="2"/>
  <c r="C156" i="10"/>
  <c r="AC157" i="10" l="1"/>
  <c r="AB157" i="10"/>
  <c r="AA158" i="10"/>
  <c r="AF157" i="10"/>
  <c r="AD157" i="10"/>
  <c r="I158" i="10"/>
  <c r="F159" i="10" s="1"/>
  <c r="J158" i="10"/>
  <c r="AD151" i="2"/>
  <c r="V150" i="2"/>
  <c r="R150" i="2"/>
  <c r="Y149" i="2"/>
  <c r="U149" i="2"/>
  <c r="Q151" i="2"/>
  <c r="S150" i="2"/>
  <c r="T150" i="2" s="1"/>
  <c r="X150" i="2"/>
  <c r="W150" i="2"/>
  <c r="AF151" i="2"/>
  <c r="AC151" i="2"/>
  <c r="AB151" i="2"/>
  <c r="AA152" i="2"/>
  <c r="C157" i="10"/>
  <c r="D151" i="2"/>
  <c r="I159" i="10" l="1"/>
  <c r="F160" i="10" s="1"/>
  <c r="J159" i="10"/>
  <c r="AC158" i="10"/>
  <c r="AB158" i="10"/>
  <c r="AA159" i="10"/>
  <c r="AF158" i="10"/>
  <c r="AD158" i="10"/>
  <c r="AD152" i="2"/>
  <c r="Y150" i="2"/>
  <c r="V151" i="2"/>
  <c r="R151" i="2"/>
  <c r="U150" i="2"/>
  <c r="Q152" i="2"/>
  <c r="X151" i="2"/>
  <c r="Y151" i="2" s="1"/>
  <c r="S151" i="2"/>
  <c r="T151" i="2" s="1"/>
  <c r="W151" i="2"/>
  <c r="AF152" i="2"/>
  <c r="AC152" i="2"/>
  <c r="AB152" i="2"/>
  <c r="AA153" i="2"/>
  <c r="C158" i="10"/>
  <c r="D152" i="2"/>
  <c r="AC159" i="10" l="1"/>
  <c r="AB159" i="10"/>
  <c r="AA160" i="10"/>
  <c r="AF159" i="10"/>
  <c r="AD159" i="10"/>
  <c r="I160" i="10"/>
  <c r="F161" i="10" s="1"/>
  <c r="J160" i="10"/>
  <c r="AD153" i="2"/>
  <c r="V152" i="2"/>
  <c r="R152" i="2"/>
  <c r="U151" i="2"/>
  <c r="Q153" i="2"/>
  <c r="S152" i="2"/>
  <c r="T152" i="2" s="1"/>
  <c r="W152" i="2"/>
  <c r="X152" i="2"/>
  <c r="AF153" i="2"/>
  <c r="AA154" i="2"/>
  <c r="AB153" i="2"/>
  <c r="AC153" i="2"/>
  <c r="C159" i="10"/>
  <c r="D153" i="2"/>
  <c r="I161" i="10" l="1"/>
  <c r="F162" i="10" s="1"/>
  <c r="J161" i="10"/>
  <c r="AC160" i="10"/>
  <c r="AB160" i="10"/>
  <c r="AA161" i="10"/>
  <c r="AF160" i="10"/>
  <c r="AD160" i="10"/>
  <c r="AD154" i="2"/>
  <c r="V153" i="2"/>
  <c r="R153" i="2"/>
  <c r="Y152" i="2"/>
  <c r="U152" i="2"/>
  <c r="Q154" i="2"/>
  <c r="S153" i="2"/>
  <c r="T153" i="2" s="1"/>
  <c r="W153" i="2"/>
  <c r="X153" i="2"/>
  <c r="AF154" i="2"/>
  <c r="AB154" i="2"/>
  <c r="AC154" i="2"/>
  <c r="AA155" i="2"/>
  <c r="D154" i="2"/>
  <c r="C160" i="10"/>
  <c r="AC161" i="10" l="1"/>
  <c r="AB161" i="10"/>
  <c r="AA162" i="10"/>
  <c r="AF161" i="10"/>
  <c r="AD161" i="10"/>
  <c r="I162" i="10"/>
  <c r="F163" i="10" s="1"/>
  <c r="J162" i="10"/>
  <c r="AD155" i="2"/>
  <c r="V154" i="2"/>
  <c r="R154" i="2"/>
  <c r="Y153" i="2"/>
  <c r="U153" i="2"/>
  <c r="Q155" i="2"/>
  <c r="W154" i="2"/>
  <c r="S154" i="2"/>
  <c r="T154" i="2" s="1"/>
  <c r="X154" i="2"/>
  <c r="AF155" i="2"/>
  <c r="AC155" i="2"/>
  <c r="AB155" i="2"/>
  <c r="AA156" i="2"/>
  <c r="C161" i="10"/>
  <c r="D155" i="2"/>
  <c r="I163" i="10" l="1"/>
  <c r="F164" i="10" s="1"/>
  <c r="J163" i="10"/>
  <c r="AC162" i="10"/>
  <c r="AB162" i="10"/>
  <c r="AA163" i="10"/>
  <c r="AF162" i="10"/>
  <c r="AD162" i="10"/>
  <c r="AD156" i="2"/>
  <c r="Y154" i="2"/>
  <c r="V155" i="2"/>
  <c r="R155" i="2"/>
  <c r="U154" i="2"/>
  <c r="Q156" i="2"/>
  <c r="W155" i="2"/>
  <c r="X155" i="2"/>
  <c r="S155" i="2"/>
  <c r="T155" i="2" s="1"/>
  <c r="AF156" i="2"/>
  <c r="AC156" i="2"/>
  <c r="AB156" i="2"/>
  <c r="AA157" i="2"/>
  <c r="C162" i="10"/>
  <c r="D156" i="2"/>
  <c r="AC163" i="10" l="1"/>
  <c r="AB163" i="10"/>
  <c r="AA164" i="10"/>
  <c r="AF163" i="10"/>
  <c r="AD163" i="10"/>
  <c r="I164" i="10"/>
  <c r="F165" i="10" s="1"/>
  <c r="J164" i="10"/>
  <c r="AD157" i="2"/>
  <c r="V156" i="2"/>
  <c r="R156" i="2"/>
  <c r="Y155" i="2"/>
  <c r="U155" i="2"/>
  <c r="Q157" i="2"/>
  <c r="X156" i="2"/>
  <c r="S156" i="2"/>
  <c r="T156" i="2" s="1"/>
  <c r="W156" i="2"/>
  <c r="AF157" i="2"/>
  <c r="AB157" i="2"/>
  <c r="AC157" i="2"/>
  <c r="AA158" i="2"/>
  <c r="C163" i="10"/>
  <c r="D157" i="2"/>
  <c r="I165" i="10" l="1"/>
  <c r="F166" i="10" s="1"/>
  <c r="J165" i="10"/>
  <c r="AC164" i="10"/>
  <c r="AB164" i="10"/>
  <c r="AA165" i="10"/>
  <c r="AF164" i="10"/>
  <c r="AD164" i="10"/>
  <c r="AD158" i="2"/>
  <c r="V157" i="2"/>
  <c r="R157" i="2"/>
  <c r="Y156" i="2"/>
  <c r="U156" i="2"/>
  <c r="Q158" i="2"/>
  <c r="X157" i="2"/>
  <c r="S157" i="2"/>
  <c r="T157" i="2" s="1"/>
  <c r="W157" i="2"/>
  <c r="AF158" i="2"/>
  <c r="AB158" i="2"/>
  <c r="AC158" i="2"/>
  <c r="AA159" i="2"/>
  <c r="C164" i="10"/>
  <c r="D158" i="2"/>
  <c r="AC165" i="10" l="1"/>
  <c r="AB165" i="10"/>
  <c r="AA166" i="10"/>
  <c r="AF165" i="10"/>
  <c r="AD165" i="10"/>
  <c r="I166" i="10"/>
  <c r="F167" i="10" s="1"/>
  <c r="J166" i="10"/>
  <c r="AD159" i="2"/>
  <c r="V158" i="2"/>
  <c r="R158" i="2"/>
  <c r="Y157" i="2"/>
  <c r="U157" i="2"/>
  <c r="Q159" i="2"/>
  <c r="X158" i="2"/>
  <c r="S158" i="2"/>
  <c r="T158" i="2" s="1"/>
  <c r="W158" i="2"/>
  <c r="AF159" i="2"/>
  <c r="AC159" i="2"/>
  <c r="AB159" i="2"/>
  <c r="AA160" i="2"/>
  <c r="C165" i="10"/>
  <c r="D159" i="2"/>
  <c r="I167" i="10" l="1"/>
  <c r="F168" i="10" s="1"/>
  <c r="J167" i="10"/>
  <c r="AC166" i="10"/>
  <c r="AB166" i="10"/>
  <c r="AA167" i="10"/>
  <c r="AF166" i="10"/>
  <c r="AD166" i="10"/>
  <c r="AD160" i="2"/>
  <c r="V159" i="2"/>
  <c r="R159" i="2"/>
  <c r="Y158" i="2"/>
  <c r="U158" i="2"/>
  <c r="Q160" i="2"/>
  <c r="S159" i="2"/>
  <c r="T159" i="2" s="1"/>
  <c r="W159" i="2"/>
  <c r="X159" i="2"/>
  <c r="AF160" i="2"/>
  <c r="AC160" i="2"/>
  <c r="AB160" i="2"/>
  <c r="AA161" i="2"/>
  <c r="D160" i="2"/>
  <c r="C166" i="10"/>
  <c r="AC167" i="10" l="1"/>
  <c r="AB167" i="10"/>
  <c r="AA168" i="10"/>
  <c r="AF167" i="10"/>
  <c r="AD167" i="10"/>
  <c r="I168" i="10"/>
  <c r="F169" i="10" s="1"/>
  <c r="J168" i="10"/>
  <c r="AD161" i="2"/>
  <c r="V160" i="2"/>
  <c r="R160" i="2"/>
  <c r="Y159" i="2"/>
  <c r="U159" i="2"/>
  <c r="Q161" i="2"/>
  <c r="W160" i="2"/>
  <c r="X160" i="2"/>
  <c r="S160" i="2"/>
  <c r="T160" i="2" s="1"/>
  <c r="AF161" i="2"/>
  <c r="AB161" i="2"/>
  <c r="AC161" i="2"/>
  <c r="AA162" i="2"/>
  <c r="C167" i="10"/>
  <c r="D161" i="2"/>
  <c r="I169" i="10" l="1"/>
  <c r="F170" i="10" s="1"/>
  <c r="J169" i="10"/>
  <c r="AC168" i="10"/>
  <c r="AA169" i="10"/>
  <c r="AB168" i="10"/>
  <c r="AF168" i="10"/>
  <c r="AD168" i="10"/>
  <c r="AD162" i="2"/>
  <c r="Y160" i="2"/>
  <c r="V161" i="2"/>
  <c r="R161" i="2"/>
  <c r="U160" i="2"/>
  <c r="Q162" i="2"/>
  <c r="W161" i="2"/>
  <c r="X161" i="2"/>
  <c r="S161" i="2"/>
  <c r="T161" i="2" s="1"/>
  <c r="AF162" i="2"/>
  <c r="AB162" i="2"/>
  <c r="AC162" i="2"/>
  <c r="AA163" i="2"/>
  <c r="C168" i="10"/>
  <c r="D162" i="2"/>
  <c r="I170" i="10" l="1"/>
  <c r="F171" i="10" s="1"/>
  <c r="J170" i="10"/>
  <c r="AB169" i="10"/>
  <c r="AA170" i="10"/>
  <c r="AF169" i="10"/>
  <c r="AD169" i="10"/>
  <c r="AC169" i="10"/>
  <c r="AD163" i="2"/>
  <c r="V162" i="2"/>
  <c r="R162" i="2"/>
  <c r="Y161" i="2"/>
  <c r="U161" i="2"/>
  <c r="Q163" i="2"/>
  <c r="W162" i="2"/>
  <c r="X162" i="2"/>
  <c r="S162" i="2"/>
  <c r="T162" i="2" s="1"/>
  <c r="AF163" i="2"/>
  <c r="AC163" i="2"/>
  <c r="AB163" i="2"/>
  <c r="AA164" i="2"/>
  <c r="D163" i="2"/>
  <c r="C169" i="10"/>
  <c r="AB170" i="10" l="1"/>
  <c r="AA171" i="10"/>
  <c r="AF170" i="10"/>
  <c r="AD170" i="10"/>
  <c r="AC170" i="10"/>
  <c r="I171" i="10"/>
  <c r="F172" i="10" s="1"/>
  <c r="J171" i="10"/>
  <c r="AD164" i="2"/>
  <c r="Y162" i="2"/>
  <c r="V163" i="2"/>
  <c r="R163" i="2"/>
  <c r="U162" i="2"/>
  <c r="Q164" i="2"/>
  <c r="S163" i="2"/>
  <c r="T163" i="2" s="1"/>
  <c r="W163" i="2"/>
  <c r="X163" i="2"/>
  <c r="AF164" i="2"/>
  <c r="AC164" i="2"/>
  <c r="AB164" i="2"/>
  <c r="AA165" i="2"/>
  <c r="C170" i="10"/>
  <c r="D164" i="2"/>
  <c r="I172" i="10" l="1"/>
  <c r="F173" i="10" s="1"/>
  <c r="J172" i="10"/>
  <c r="AB171" i="10"/>
  <c r="AA172" i="10"/>
  <c r="AF171" i="10"/>
  <c r="AD171" i="10"/>
  <c r="AC171" i="10"/>
  <c r="AD165" i="2"/>
  <c r="Y163" i="2"/>
  <c r="V164" i="2"/>
  <c r="R164" i="2"/>
  <c r="U163" i="2"/>
  <c r="Q165" i="2"/>
  <c r="S164" i="2"/>
  <c r="T164" i="2" s="1"/>
  <c r="W164" i="2"/>
  <c r="X164" i="2"/>
  <c r="AF165" i="2"/>
  <c r="AB165" i="2"/>
  <c r="AC165" i="2"/>
  <c r="AA166" i="2"/>
  <c r="C171" i="10"/>
  <c r="D165" i="2"/>
  <c r="I173" i="10" l="1"/>
  <c r="F174" i="10" s="1"/>
  <c r="J173" i="10"/>
  <c r="AB172" i="10"/>
  <c r="AF172" i="10"/>
  <c r="AD172" i="10"/>
  <c r="AA173" i="10"/>
  <c r="AC172" i="10"/>
  <c r="AD166" i="2"/>
  <c r="V165" i="2"/>
  <c r="R165" i="2"/>
  <c r="Y164" i="2"/>
  <c r="U164" i="2"/>
  <c r="Q166" i="2"/>
  <c r="S165" i="2"/>
  <c r="T165" i="2" s="1"/>
  <c r="W165" i="2"/>
  <c r="X165" i="2"/>
  <c r="AF166" i="2"/>
  <c r="AB166" i="2"/>
  <c r="AC166" i="2"/>
  <c r="AA167" i="2"/>
  <c r="C172" i="10"/>
  <c r="D166" i="2"/>
  <c r="I174" i="10" l="1"/>
  <c r="F175" i="10" s="1"/>
  <c r="J174" i="10"/>
  <c r="AC173" i="10"/>
  <c r="AA174" i="10"/>
  <c r="AF173" i="10"/>
  <c r="AD173" i="10"/>
  <c r="AB173" i="10"/>
  <c r="AD167" i="2"/>
  <c r="V166" i="2"/>
  <c r="R166" i="2"/>
  <c r="Y165" i="2"/>
  <c r="U165" i="2"/>
  <c r="Q167" i="2"/>
  <c r="S166" i="2"/>
  <c r="T166" i="2" s="1"/>
  <c r="X166" i="2"/>
  <c r="W166" i="2"/>
  <c r="AF167" i="2"/>
  <c r="AC167" i="2"/>
  <c r="AB167" i="2"/>
  <c r="AA168" i="2"/>
  <c r="C173" i="10"/>
  <c r="D167" i="2"/>
  <c r="AC174" i="10" l="1"/>
  <c r="AA175" i="10"/>
  <c r="AF174" i="10"/>
  <c r="AB174" i="10"/>
  <c r="AD174" i="10"/>
  <c r="I175" i="10"/>
  <c r="F176" i="10" s="1"/>
  <c r="J175" i="10"/>
  <c r="AD168" i="2"/>
  <c r="Y166" i="2"/>
  <c r="V167" i="2"/>
  <c r="R167" i="2"/>
  <c r="U166" i="2"/>
  <c r="Q168" i="2"/>
  <c r="X167" i="2"/>
  <c r="Y167" i="2" s="1"/>
  <c r="S167" i="2"/>
  <c r="T167" i="2" s="1"/>
  <c r="W167" i="2"/>
  <c r="AF168" i="2"/>
  <c r="AC168" i="2"/>
  <c r="AB168" i="2"/>
  <c r="AA169" i="2"/>
  <c r="C174" i="10"/>
  <c r="D168" i="2"/>
  <c r="I176" i="10" l="1"/>
  <c r="F177" i="10" s="1"/>
  <c r="J176" i="10"/>
  <c r="AC175" i="10"/>
  <c r="AA176" i="10"/>
  <c r="AF175" i="10"/>
  <c r="AD175" i="10"/>
  <c r="AB175" i="10"/>
  <c r="AD169" i="2"/>
  <c r="V168" i="2"/>
  <c r="R168" i="2"/>
  <c r="U167" i="2"/>
  <c r="Q169" i="2"/>
  <c r="S168" i="2"/>
  <c r="T168" i="2" s="1"/>
  <c r="W168" i="2"/>
  <c r="X168" i="2"/>
  <c r="AF169" i="2"/>
  <c r="AB169" i="2"/>
  <c r="AC169" i="2"/>
  <c r="AA170" i="2"/>
  <c r="D169" i="2"/>
  <c r="C175" i="10"/>
  <c r="AC176" i="10" l="1"/>
  <c r="AF176" i="10"/>
  <c r="AD176" i="10"/>
  <c r="AB176" i="10"/>
  <c r="AA177" i="10"/>
  <c r="I177" i="10"/>
  <c r="F178" i="10" s="1"/>
  <c r="J177" i="10"/>
  <c r="AD170" i="2"/>
  <c r="Y168" i="2"/>
  <c r="V169" i="2"/>
  <c r="R169" i="2"/>
  <c r="U168" i="2"/>
  <c r="Q170" i="2"/>
  <c r="S169" i="2"/>
  <c r="T169" i="2" s="1"/>
  <c r="W169" i="2"/>
  <c r="X169" i="2"/>
  <c r="AF170" i="2"/>
  <c r="AB170" i="2"/>
  <c r="AC170" i="2"/>
  <c r="AA171" i="2"/>
  <c r="D170" i="2"/>
  <c r="C176" i="10"/>
  <c r="I178" i="10" l="1"/>
  <c r="F179" i="10" s="1"/>
  <c r="J178" i="10"/>
  <c r="AB177" i="10"/>
  <c r="AD177" i="10"/>
  <c r="AA178" i="10"/>
  <c r="AF177" i="10"/>
  <c r="AC177" i="10"/>
  <c r="AD171" i="2"/>
  <c r="V170" i="2"/>
  <c r="R170" i="2"/>
  <c r="Y169" i="2"/>
  <c r="U169" i="2"/>
  <c r="Q171" i="2"/>
  <c r="W170" i="2"/>
  <c r="S170" i="2"/>
  <c r="T170" i="2" s="1"/>
  <c r="X170" i="2"/>
  <c r="AF171" i="2"/>
  <c r="AC171" i="2"/>
  <c r="AB171" i="2"/>
  <c r="AA172" i="2"/>
  <c r="C177" i="10"/>
  <c r="D171" i="2"/>
  <c r="AB178" i="10" l="1"/>
  <c r="AA179" i="10"/>
  <c r="AD178" i="10"/>
  <c r="AF178" i="10"/>
  <c r="AC178" i="10"/>
  <c r="I179" i="10"/>
  <c r="F180" i="10" s="1"/>
  <c r="J179" i="10"/>
  <c r="AD172" i="2"/>
  <c r="V171" i="2"/>
  <c r="R171" i="2"/>
  <c r="Y170" i="2"/>
  <c r="U170" i="2"/>
  <c r="Q172" i="2"/>
  <c r="W171" i="2"/>
  <c r="X171" i="2"/>
  <c r="S171" i="2"/>
  <c r="T171" i="2" s="1"/>
  <c r="AF172" i="2"/>
  <c r="AC172" i="2"/>
  <c r="AB172" i="2"/>
  <c r="AA173" i="2"/>
  <c r="C178" i="10"/>
  <c r="D172" i="2"/>
  <c r="I180" i="10" l="1"/>
  <c r="F181" i="10" s="1"/>
  <c r="J180" i="10"/>
  <c r="AB179" i="10"/>
  <c r="AA180" i="10"/>
  <c r="AF179" i="10"/>
  <c r="AD179" i="10"/>
  <c r="AC179" i="10"/>
  <c r="AD173" i="2"/>
  <c r="Y171" i="2"/>
  <c r="V172" i="2"/>
  <c r="R172" i="2"/>
  <c r="U171" i="2"/>
  <c r="Q173" i="2"/>
  <c r="X172" i="2"/>
  <c r="Y172" i="2" s="1"/>
  <c r="S172" i="2"/>
  <c r="T172" i="2" s="1"/>
  <c r="W172" i="2"/>
  <c r="AF173" i="2"/>
  <c r="AB173" i="2"/>
  <c r="AC173" i="2"/>
  <c r="AA174" i="2"/>
  <c r="C179" i="10"/>
  <c r="D173" i="2"/>
  <c r="AC180" i="10" l="1"/>
  <c r="AB180" i="10"/>
  <c r="AA181" i="10"/>
  <c r="AF180" i="10"/>
  <c r="AD180" i="10"/>
  <c r="I181" i="10"/>
  <c r="F182" i="10" s="1"/>
  <c r="J181" i="10"/>
  <c r="AD174" i="2"/>
  <c r="V173" i="2"/>
  <c r="R173" i="2"/>
  <c r="U172" i="2"/>
  <c r="Q174" i="2"/>
  <c r="X173" i="2"/>
  <c r="S173" i="2"/>
  <c r="T173" i="2" s="1"/>
  <c r="W173" i="2"/>
  <c r="AF174" i="2"/>
  <c r="AB174" i="2"/>
  <c r="AC174" i="2"/>
  <c r="AA175" i="2"/>
  <c r="C180" i="10"/>
  <c r="D174" i="2"/>
  <c r="I182" i="10" l="1"/>
  <c r="F183" i="10" s="1"/>
  <c r="J182" i="10"/>
  <c r="AC181" i="10"/>
  <c r="AB181" i="10"/>
  <c r="AA182" i="10"/>
  <c r="AF181" i="10"/>
  <c r="AD181" i="10"/>
  <c r="AD175" i="2"/>
  <c r="Y173" i="2"/>
  <c r="V174" i="2"/>
  <c r="R174" i="2"/>
  <c r="U173" i="2"/>
  <c r="Q175" i="2"/>
  <c r="X174" i="2"/>
  <c r="S174" i="2"/>
  <c r="T174" i="2" s="1"/>
  <c r="W174" i="2"/>
  <c r="AF175" i="2"/>
  <c r="AC175" i="2"/>
  <c r="AB175" i="2"/>
  <c r="AA176" i="2"/>
  <c r="C181" i="10"/>
  <c r="D175" i="2"/>
  <c r="AC182" i="10" l="1"/>
  <c r="AA183" i="10"/>
  <c r="AB182" i="10"/>
  <c r="AF182" i="10"/>
  <c r="AD182" i="10"/>
  <c r="I183" i="10"/>
  <c r="F184" i="10" s="1"/>
  <c r="J183" i="10"/>
  <c r="AD176" i="2"/>
  <c r="Y174" i="2"/>
  <c r="V175" i="2"/>
  <c r="R175" i="2"/>
  <c r="U174" i="2"/>
  <c r="Q176" i="2"/>
  <c r="S175" i="2"/>
  <c r="T175" i="2" s="1"/>
  <c r="W175" i="2"/>
  <c r="X175" i="2"/>
  <c r="AF176" i="2"/>
  <c r="AC176" i="2"/>
  <c r="AB176" i="2"/>
  <c r="AA177" i="2"/>
  <c r="C182" i="10"/>
  <c r="D176" i="2"/>
  <c r="I184" i="10" l="1"/>
  <c r="F185" i="10" s="1"/>
  <c r="J184" i="10"/>
  <c r="AB183" i="10"/>
  <c r="AA184" i="10"/>
  <c r="AF183" i="10"/>
  <c r="AD183" i="10"/>
  <c r="AC183" i="10"/>
  <c r="AD177" i="2"/>
  <c r="V176" i="2"/>
  <c r="R176" i="2"/>
  <c r="Y175" i="2"/>
  <c r="U175" i="2"/>
  <c r="Q177" i="2"/>
  <c r="W176" i="2"/>
  <c r="S176" i="2"/>
  <c r="T176" i="2" s="1"/>
  <c r="X176" i="2"/>
  <c r="AF177" i="2"/>
  <c r="AB177" i="2"/>
  <c r="AC177" i="2"/>
  <c r="AA178" i="2"/>
  <c r="C183" i="10"/>
  <c r="D177" i="2"/>
  <c r="AB184" i="10" l="1"/>
  <c r="AA185" i="10"/>
  <c r="AF184" i="10"/>
  <c r="AD184" i="10"/>
  <c r="AC184" i="10"/>
  <c r="I185" i="10"/>
  <c r="F186" i="10" s="1"/>
  <c r="J185" i="10"/>
  <c r="AD178" i="2"/>
  <c r="V177" i="2"/>
  <c r="R177" i="2"/>
  <c r="Y176" i="2"/>
  <c r="U176" i="2"/>
  <c r="Q178" i="2"/>
  <c r="W177" i="2"/>
  <c r="X177" i="2"/>
  <c r="S177" i="2"/>
  <c r="T177" i="2" s="1"/>
  <c r="AF178" i="2"/>
  <c r="AB178" i="2"/>
  <c r="AC178" i="2"/>
  <c r="AA179" i="2"/>
  <c r="C184" i="10"/>
  <c r="D178" i="2"/>
  <c r="I186" i="10" l="1"/>
  <c r="F187" i="10" s="1"/>
  <c r="J186" i="10"/>
  <c r="AB185" i="10"/>
  <c r="AA186" i="10"/>
  <c r="AF185" i="10"/>
  <c r="AD185" i="10"/>
  <c r="AC185" i="10"/>
  <c r="AD179" i="2"/>
  <c r="Y177" i="2"/>
  <c r="V178" i="2"/>
  <c r="R178" i="2"/>
  <c r="U177" i="2"/>
  <c r="Q179" i="2"/>
  <c r="W178" i="2"/>
  <c r="S178" i="2"/>
  <c r="T178" i="2" s="1"/>
  <c r="X178" i="2"/>
  <c r="AF179" i="2"/>
  <c r="AC179" i="2"/>
  <c r="AB179" i="2"/>
  <c r="AA180" i="2"/>
  <c r="C185" i="10"/>
  <c r="D179" i="2"/>
  <c r="AB186" i="10" l="1"/>
  <c r="AA187" i="10"/>
  <c r="AF186" i="10"/>
  <c r="AD186" i="10"/>
  <c r="AC186" i="10"/>
  <c r="I187" i="10"/>
  <c r="F188" i="10" s="1"/>
  <c r="J187" i="10"/>
  <c r="AD180" i="2"/>
  <c r="Y178" i="2"/>
  <c r="V179" i="2"/>
  <c r="R179" i="2"/>
  <c r="U178" i="2"/>
  <c r="Q180" i="2"/>
  <c r="S179" i="2"/>
  <c r="T179" i="2" s="1"/>
  <c r="W179" i="2"/>
  <c r="X179" i="2"/>
  <c r="AF180" i="2"/>
  <c r="AC180" i="2"/>
  <c r="AB180" i="2"/>
  <c r="AA181" i="2"/>
  <c r="C186" i="10"/>
  <c r="D180" i="2"/>
  <c r="I188" i="10" l="1"/>
  <c r="F189" i="10" s="1"/>
  <c r="J188" i="10"/>
  <c r="AB187" i="10"/>
  <c r="AA188" i="10"/>
  <c r="AF187" i="10"/>
  <c r="AD187" i="10"/>
  <c r="AC187" i="10"/>
  <c r="AD181" i="2"/>
  <c r="Y179" i="2"/>
  <c r="V180" i="2"/>
  <c r="R180" i="2"/>
  <c r="U179" i="2"/>
  <c r="Q181" i="2"/>
  <c r="W180" i="2"/>
  <c r="X180" i="2"/>
  <c r="S180" i="2"/>
  <c r="T180" i="2" s="1"/>
  <c r="AF181" i="2"/>
  <c r="AB181" i="2"/>
  <c r="AC181" i="2"/>
  <c r="AA182" i="2"/>
  <c r="C187" i="10"/>
  <c r="D181" i="2"/>
  <c r="AB188" i="10" l="1"/>
  <c r="AA189" i="10"/>
  <c r="AF188" i="10"/>
  <c r="AD188" i="10"/>
  <c r="AC188" i="10"/>
  <c r="I189" i="10"/>
  <c r="F190" i="10" s="1"/>
  <c r="J189" i="10"/>
  <c r="AD182" i="2"/>
  <c r="V181" i="2"/>
  <c r="R181" i="2"/>
  <c r="Y180" i="2"/>
  <c r="U180" i="2"/>
  <c r="Q182" i="2"/>
  <c r="S181" i="2"/>
  <c r="T181" i="2" s="1"/>
  <c r="W181" i="2"/>
  <c r="X181" i="2"/>
  <c r="AF182" i="2"/>
  <c r="AB182" i="2"/>
  <c r="AC182" i="2"/>
  <c r="AA183" i="2"/>
  <c r="C188" i="10"/>
  <c r="D182" i="2"/>
  <c r="I190" i="10" l="1"/>
  <c r="F191" i="10" s="1"/>
  <c r="J190" i="10"/>
  <c r="AB189" i="10"/>
  <c r="AA190" i="10"/>
  <c r="AF189" i="10"/>
  <c r="AD189" i="10"/>
  <c r="AC189" i="10"/>
  <c r="AD183" i="2"/>
  <c r="V182" i="2"/>
  <c r="R182" i="2"/>
  <c r="Y181" i="2"/>
  <c r="U181" i="2"/>
  <c r="Q183" i="2"/>
  <c r="W182" i="2"/>
  <c r="X182" i="2"/>
  <c r="S182" i="2"/>
  <c r="T182" i="2" s="1"/>
  <c r="AF183" i="2"/>
  <c r="AC183" i="2"/>
  <c r="AB183" i="2"/>
  <c r="AA184" i="2"/>
  <c r="D183" i="2"/>
  <c r="C189" i="10"/>
  <c r="AB190" i="10" l="1"/>
  <c r="AA191" i="10"/>
  <c r="AF190" i="10"/>
  <c r="AD190" i="10"/>
  <c r="AC190" i="10"/>
  <c r="I191" i="10"/>
  <c r="F192" i="10" s="1"/>
  <c r="J191" i="10"/>
  <c r="AD184" i="2"/>
  <c r="Y182" i="2"/>
  <c r="V183" i="2"/>
  <c r="R183" i="2"/>
  <c r="U182" i="2"/>
  <c r="Q184" i="2"/>
  <c r="X183" i="2"/>
  <c r="Y183" i="2" s="1"/>
  <c r="S183" i="2"/>
  <c r="T183" i="2" s="1"/>
  <c r="W183" i="2"/>
  <c r="AF184" i="2"/>
  <c r="AC184" i="2"/>
  <c r="AB184" i="2"/>
  <c r="AA185" i="2"/>
  <c r="D184" i="2"/>
  <c r="C190" i="10"/>
  <c r="I192" i="10" l="1"/>
  <c r="F193" i="10" s="1"/>
  <c r="J192" i="10"/>
  <c r="AB191" i="10"/>
  <c r="AA192" i="10"/>
  <c r="AF191" i="10"/>
  <c r="AD191" i="10"/>
  <c r="AC191" i="10"/>
  <c r="AD185" i="2"/>
  <c r="V184" i="2"/>
  <c r="R184" i="2"/>
  <c r="U183" i="2"/>
  <c r="Q185" i="2"/>
  <c r="X184" i="2"/>
  <c r="Y184" i="2" s="1"/>
  <c r="S184" i="2"/>
  <c r="T184" i="2" s="1"/>
  <c r="W184" i="2"/>
  <c r="AF185" i="2"/>
  <c r="AB185" i="2"/>
  <c r="AC185" i="2"/>
  <c r="AA186" i="2"/>
  <c r="D185" i="2"/>
  <c r="C191" i="10"/>
  <c r="AB192" i="10" l="1"/>
  <c r="AA193" i="10"/>
  <c r="AF192" i="10"/>
  <c r="AD192" i="10"/>
  <c r="AC192" i="10"/>
  <c r="I193" i="10"/>
  <c r="F194" i="10" s="1"/>
  <c r="J193" i="10"/>
  <c r="AD186" i="2"/>
  <c r="V185" i="2"/>
  <c r="R185" i="2"/>
  <c r="U184" i="2"/>
  <c r="Q186" i="2"/>
  <c r="S185" i="2"/>
  <c r="T185" i="2" s="1"/>
  <c r="W185" i="2"/>
  <c r="X185" i="2"/>
  <c r="AF186" i="2"/>
  <c r="AB186" i="2"/>
  <c r="AC186" i="2"/>
  <c r="AA187" i="2"/>
  <c r="C192" i="10"/>
  <c r="D186" i="2"/>
  <c r="I194" i="10" l="1"/>
  <c r="F195" i="10" s="1"/>
  <c r="J194" i="10"/>
  <c r="AA194" i="10"/>
  <c r="AB193" i="10"/>
  <c r="AF193" i="10"/>
  <c r="AD193" i="10"/>
  <c r="AC193" i="10"/>
  <c r="AD187" i="2"/>
  <c r="V186" i="2"/>
  <c r="R186" i="2"/>
  <c r="Y185" i="2"/>
  <c r="U185" i="2"/>
  <c r="Q187" i="2"/>
  <c r="S186" i="2"/>
  <c r="T186" i="2" s="1"/>
  <c r="X186" i="2"/>
  <c r="W186" i="2"/>
  <c r="AF187" i="2"/>
  <c r="AA188" i="2"/>
  <c r="AC187" i="2"/>
  <c r="AB187" i="2"/>
  <c r="C193" i="10"/>
  <c r="D187" i="2"/>
  <c r="AA195" i="10" l="1"/>
  <c r="AF194" i="10"/>
  <c r="AD194" i="10"/>
  <c r="AC194" i="10"/>
  <c r="AB194" i="10"/>
  <c r="I195" i="10"/>
  <c r="F196" i="10" s="1"/>
  <c r="J195" i="10"/>
  <c r="AD188" i="2"/>
  <c r="Y186" i="2"/>
  <c r="V187" i="2"/>
  <c r="R187" i="2"/>
  <c r="U186" i="2"/>
  <c r="Q188" i="2"/>
  <c r="W187" i="2"/>
  <c r="X187" i="2"/>
  <c r="S187" i="2"/>
  <c r="T187" i="2" s="1"/>
  <c r="AF188" i="2"/>
  <c r="AC188" i="2"/>
  <c r="AB188" i="2"/>
  <c r="AA189" i="2"/>
  <c r="D188" i="2"/>
  <c r="C194" i="10"/>
  <c r="I196" i="10" l="1"/>
  <c r="F197" i="10" s="1"/>
  <c r="J196" i="10"/>
  <c r="AA196" i="10"/>
  <c r="AF195" i="10"/>
  <c r="AD195" i="10"/>
  <c r="AC195" i="10"/>
  <c r="AB195" i="10"/>
  <c r="AD189" i="2"/>
  <c r="V188" i="2"/>
  <c r="R188" i="2"/>
  <c r="Y187" i="2"/>
  <c r="U187" i="2"/>
  <c r="Q189" i="2"/>
  <c r="S188" i="2"/>
  <c r="T188" i="2" s="1"/>
  <c r="W188" i="2"/>
  <c r="X188" i="2"/>
  <c r="AF189" i="2"/>
  <c r="AB189" i="2"/>
  <c r="AC189" i="2"/>
  <c r="AA190" i="2"/>
  <c r="C195" i="10"/>
  <c r="D189" i="2"/>
  <c r="AA197" i="10" l="1"/>
  <c r="AF196" i="10"/>
  <c r="AD196" i="10"/>
  <c r="AC196" i="10"/>
  <c r="AB196" i="10"/>
  <c r="I197" i="10"/>
  <c r="F198" i="10" s="1"/>
  <c r="J197" i="10"/>
  <c r="AD190" i="2"/>
  <c r="V189" i="2"/>
  <c r="R189" i="2"/>
  <c r="Y188" i="2"/>
  <c r="U188" i="2"/>
  <c r="Q190" i="2"/>
  <c r="X189" i="2"/>
  <c r="S189" i="2"/>
  <c r="T189" i="2" s="1"/>
  <c r="W189" i="2"/>
  <c r="AF190" i="2"/>
  <c r="AB190" i="2"/>
  <c r="AC190" i="2"/>
  <c r="AA191" i="2"/>
  <c r="C196" i="10"/>
  <c r="D190" i="2"/>
  <c r="I198" i="10" l="1"/>
  <c r="F199" i="10" s="1"/>
  <c r="J198" i="10"/>
  <c r="AC197" i="10"/>
  <c r="AF197" i="10"/>
  <c r="AB197" i="10"/>
  <c r="AA198" i="10"/>
  <c r="AD197" i="10"/>
  <c r="AD191" i="2"/>
  <c r="V190" i="2"/>
  <c r="R190" i="2"/>
  <c r="Y189" i="2"/>
  <c r="U189" i="2"/>
  <c r="Q191" i="2"/>
  <c r="S190" i="2"/>
  <c r="T190" i="2" s="1"/>
  <c r="W190" i="2"/>
  <c r="X190" i="2"/>
  <c r="AF191" i="2"/>
  <c r="AC191" i="2"/>
  <c r="AB191" i="2"/>
  <c r="AA192" i="2"/>
  <c r="C197" i="10"/>
  <c r="D191" i="2"/>
  <c r="AB198" i="10" l="1"/>
  <c r="AD198" i="10"/>
  <c r="AC198" i="10"/>
  <c r="AA199" i="10"/>
  <c r="AF198" i="10"/>
  <c r="I199" i="10"/>
  <c r="F200" i="10" s="1"/>
  <c r="J199" i="10"/>
  <c r="AD192" i="2"/>
  <c r="V191" i="2"/>
  <c r="R191" i="2"/>
  <c r="Y190" i="2"/>
  <c r="U190" i="2"/>
  <c r="Q192" i="2"/>
  <c r="S191" i="2"/>
  <c r="T191" i="2" s="1"/>
  <c r="W191" i="2"/>
  <c r="X191" i="2"/>
  <c r="AF192" i="2"/>
  <c r="AC192" i="2"/>
  <c r="AB192" i="2"/>
  <c r="AA193" i="2"/>
  <c r="C198" i="10"/>
  <c r="D192" i="2"/>
  <c r="I200" i="10" l="1"/>
  <c r="F201" i="10" s="1"/>
  <c r="J200" i="10"/>
  <c r="AB199" i="10"/>
  <c r="AD199" i="10"/>
  <c r="AF199" i="10"/>
  <c r="AC199" i="10"/>
  <c r="AA200" i="10"/>
  <c r="AD193" i="2"/>
  <c r="V192" i="2"/>
  <c r="R192" i="2"/>
  <c r="Y191" i="2"/>
  <c r="U191" i="2"/>
  <c r="Q193" i="2"/>
  <c r="W192" i="2"/>
  <c r="S192" i="2"/>
  <c r="T192" i="2" s="1"/>
  <c r="X192" i="2"/>
  <c r="AF193" i="2"/>
  <c r="AB193" i="2"/>
  <c r="AC193" i="2"/>
  <c r="AA194" i="2"/>
  <c r="C199" i="10"/>
  <c r="D193" i="2"/>
  <c r="AB200" i="10" l="1"/>
  <c r="AD200" i="10"/>
  <c r="AA201" i="10"/>
  <c r="AF200" i="10"/>
  <c r="AC200" i="10"/>
  <c r="I201" i="10"/>
  <c r="F202" i="10" s="1"/>
  <c r="J201" i="10"/>
  <c r="AD194" i="2"/>
  <c r="V193" i="2"/>
  <c r="R193" i="2"/>
  <c r="Y192" i="2"/>
  <c r="U192" i="2"/>
  <c r="Q194" i="2"/>
  <c r="W193" i="2"/>
  <c r="X193" i="2"/>
  <c r="S193" i="2"/>
  <c r="T193" i="2" s="1"/>
  <c r="AF194" i="2"/>
  <c r="AB194" i="2"/>
  <c r="AC194" i="2"/>
  <c r="AA195" i="2"/>
  <c r="C200" i="10"/>
  <c r="D194" i="2"/>
  <c r="I202" i="10" l="1"/>
  <c r="F203" i="10" s="1"/>
  <c r="J202" i="10"/>
  <c r="AB201" i="10"/>
  <c r="AD201" i="10"/>
  <c r="AA202" i="10"/>
  <c r="AF201" i="10"/>
  <c r="AC201" i="10"/>
  <c r="AD195" i="2"/>
  <c r="Y193" i="2"/>
  <c r="V194" i="2"/>
  <c r="R194" i="2"/>
  <c r="U193" i="2"/>
  <c r="Q195" i="2"/>
  <c r="W194" i="2"/>
  <c r="S194" i="2"/>
  <c r="T194" i="2" s="1"/>
  <c r="X194" i="2"/>
  <c r="AF195" i="2"/>
  <c r="AC195" i="2"/>
  <c r="AB195" i="2"/>
  <c r="AA196" i="2"/>
  <c r="D195" i="2"/>
  <c r="C201" i="10"/>
  <c r="AA203" i="10" l="1"/>
  <c r="AB202" i="10"/>
  <c r="AD202" i="10"/>
  <c r="AC202" i="10"/>
  <c r="AF202" i="10"/>
  <c r="I203" i="10"/>
  <c r="F204" i="10" s="1"/>
  <c r="J203" i="10"/>
  <c r="AD196" i="2"/>
  <c r="Y194" i="2"/>
  <c r="V195" i="2"/>
  <c r="R195" i="2"/>
  <c r="U194" i="2"/>
  <c r="Q196" i="2"/>
  <c r="S195" i="2"/>
  <c r="T195" i="2" s="1"/>
  <c r="W195" i="2"/>
  <c r="X195" i="2"/>
  <c r="AF196" i="2"/>
  <c r="AC196" i="2"/>
  <c r="AB196" i="2"/>
  <c r="AA197" i="2"/>
  <c r="C202" i="10"/>
  <c r="D196" i="2"/>
  <c r="I204" i="10" l="1"/>
  <c r="F205" i="10" s="1"/>
  <c r="J204" i="10"/>
  <c r="AB203" i="10"/>
  <c r="AA204" i="10"/>
  <c r="AF203" i="10"/>
  <c r="AC203" i="10"/>
  <c r="AD203" i="10"/>
  <c r="AD197" i="2"/>
  <c r="V196" i="2"/>
  <c r="R196" i="2"/>
  <c r="Y195" i="2"/>
  <c r="U195" i="2"/>
  <c r="Q197" i="2"/>
  <c r="S196" i="2"/>
  <c r="T196" i="2" s="1"/>
  <c r="W196" i="2"/>
  <c r="X196" i="2"/>
  <c r="AF197" i="2"/>
  <c r="AB197" i="2"/>
  <c r="AC197" i="2"/>
  <c r="AA198" i="2"/>
  <c r="D197" i="2"/>
  <c r="C203" i="10"/>
  <c r="I205" i="10" l="1"/>
  <c r="F206" i="10" s="1"/>
  <c r="J205" i="10"/>
  <c r="AB204" i="10"/>
  <c r="AA205" i="10"/>
  <c r="AF204" i="10"/>
  <c r="AD204" i="10"/>
  <c r="AC204" i="10"/>
  <c r="AD198" i="2"/>
  <c r="V197" i="2"/>
  <c r="R197" i="2"/>
  <c r="Y196" i="2"/>
  <c r="U196" i="2"/>
  <c r="Q198" i="2"/>
  <c r="S197" i="2"/>
  <c r="T197" i="2" s="1"/>
  <c r="W197" i="2"/>
  <c r="X197" i="2"/>
  <c r="AF198" i="2"/>
  <c r="AB198" i="2"/>
  <c r="AC198" i="2"/>
  <c r="AA199" i="2"/>
  <c r="C204" i="10"/>
  <c r="D198" i="2"/>
  <c r="AB205" i="10" l="1"/>
  <c r="AA206" i="10"/>
  <c r="AF205" i="10"/>
  <c r="AD205" i="10"/>
  <c r="AC205" i="10"/>
  <c r="I206" i="10"/>
  <c r="F207" i="10" s="1"/>
  <c r="J206" i="10"/>
  <c r="AD199" i="2"/>
  <c r="V198" i="2"/>
  <c r="R198" i="2"/>
  <c r="Y197" i="2"/>
  <c r="U197" i="2"/>
  <c r="Q199" i="2"/>
  <c r="S198" i="2"/>
  <c r="T198" i="2" s="1"/>
  <c r="W198" i="2"/>
  <c r="X198" i="2"/>
  <c r="AF199" i="2"/>
  <c r="AC199" i="2"/>
  <c r="AB199" i="2"/>
  <c r="AA200" i="2"/>
  <c r="D199" i="2"/>
  <c r="C205" i="10"/>
  <c r="I207" i="10" l="1"/>
  <c r="F208" i="10" s="1"/>
  <c r="J207" i="10"/>
  <c r="AB206" i="10"/>
  <c r="AA207" i="10"/>
  <c r="AF206" i="10"/>
  <c r="AD206" i="10"/>
  <c r="AC206" i="10"/>
  <c r="AD200" i="2"/>
  <c r="V199" i="2"/>
  <c r="R199" i="2"/>
  <c r="Y198" i="2"/>
  <c r="U198" i="2"/>
  <c r="Q200" i="2"/>
  <c r="X199" i="2"/>
  <c r="S199" i="2"/>
  <c r="T199" i="2" s="1"/>
  <c r="W199" i="2"/>
  <c r="AF200" i="2"/>
  <c r="AC200" i="2"/>
  <c r="AB200" i="2"/>
  <c r="AA201" i="2"/>
  <c r="C206" i="10"/>
  <c r="D200" i="2"/>
  <c r="I208" i="10" l="1"/>
  <c r="F209" i="10" s="1"/>
  <c r="J208" i="10"/>
  <c r="AB207" i="10"/>
  <c r="AA208" i="10"/>
  <c r="AF207" i="10"/>
  <c r="AD207" i="10"/>
  <c r="AC207" i="10"/>
  <c r="AD201" i="2"/>
  <c r="V200" i="2"/>
  <c r="R200" i="2"/>
  <c r="Y199" i="2"/>
  <c r="U199" i="2"/>
  <c r="Q201" i="2"/>
  <c r="S200" i="2"/>
  <c r="T200" i="2" s="1"/>
  <c r="X200" i="2"/>
  <c r="W200" i="2"/>
  <c r="AF201" i="2"/>
  <c r="AA202" i="2"/>
  <c r="AB201" i="2"/>
  <c r="AC201" i="2"/>
  <c r="C207" i="10"/>
  <c r="D201" i="2"/>
  <c r="AA209" i="10" l="1"/>
  <c r="AB208" i="10"/>
  <c r="AF208" i="10"/>
  <c r="AD208" i="10"/>
  <c r="AC208" i="10"/>
  <c r="I209" i="10"/>
  <c r="F210" i="10" s="1"/>
  <c r="J209" i="10"/>
  <c r="AD202" i="2"/>
  <c r="Y200" i="2"/>
  <c r="V201" i="2"/>
  <c r="R201" i="2"/>
  <c r="U200" i="2"/>
  <c r="Q202" i="2"/>
  <c r="S201" i="2"/>
  <c r="T201" i="2" s="1"/>
  <c r="W201" i="2"/>
  <c r="X201" i="2"/>
  <c r="AF202" i="2"/>
  <c r="AA203" i="2"/>
  <c r="AB202" i="2"/>
  <c r="AC202" i="2"/>
  <c r="D202" i="2"/>
  <c r="C208" i="10"/>
  <c r="I210" i="10" l="1"/>
  <c r="F211" i="10" s="1"/>
  <c r="J210" i="10"/>
  <c r="AA210" i="10"/>
  <c r="AF209" i="10"/>
  <c r="AD209" i="10"/>
  <c r="AC209" i="10"/>
  <c r="AB209" i="10"/>
  <c r="AD203" i="2"/>
  <c r="V202" i="2"/>
  <c r="R202" i="2"/>
  <c r="Y201" i="2"/>
  <c r="U201" i="2"/>
  <c r="Q203" i="2"/>
  <c r="X202" i="2"/>
  <c r="S202" i="2"/>
  <c r="T202" i="2" s="1"/>
  <c r="W202" i="2"/>
  <c r="AF203" i="2"/>
  <c r="AC203" i="2"/>
  <c r="AB203" i="2"/>
  <c r="AA204" i="2"/>
  <c r="C209" i="10"/>
  <c r="D203" i="2"/>
  <c r="AA211" i="10" l="1"/>
  <c r="AF210" i="10"/>
  <c r="AD210" i="10"/>
  <c r="AC210" i="10"/>
  <c r="AB210" i="10"/>
  <c r="I211" i="10"/>
  <c r="F212" i="10" s="1"/>
  <c r="J211" i="10"/>
  <c r="AD204" i="2"/>
  <c r="V203" i="2"/>
  <c r="R203" i="2"/>
  <c r="Y202" i="2"/>
  <c r="U202" i="2"/>
  <c r="Q204" i="2"/>
  <c r="W203" i="2"/>
  <c r="X203" i="2"/>
  <c r="S203" i="2"/>
  <c r="T203" i="2" s="1"/>
  <c r="AF204" i="2"/>
  <c r="AA205" i="2"/>
  <c r="AC204" i="2"/>
  <c r="AB204" i="2"/>
  <c r="C210" i="10"/>
  <c r="D204" i="2"/>
  <c r="I212" i="10" l="1"/>
  <c r="F213" i="10" s="1"/>
  <c r="J212" i="10"/>
  <c r="AA212" i="10"/>
  <c r="AF211" i="10"/>
  <c r="AD211" i="10"/>
  <c r="AC211" i="10"/>
  <c r="AB211" i="10"/>
  <c r="AD205" i="2"/>
  <c r="Y203" i="2"/>
  <c r="V204" i="2"/>
  <c r="R204" i="2"/>
  <c r="U203" i="2"/>
  <c r="Q205" i="2"/>
  <c r="X204" i="2"/>
  <c r="Y204" i="2" s="1"/>
  <c r="S204" i="2"/>
  <c r="T204" i="2" s="1"/>
  <c r="W204" i="2"/>
  <c r="AF205" i="2"/>
  <c r="AB205" i="2"/>
  <c r="AC205" i="2"/>
  <c r="AA206" i="2"/>
  <c r="C211" i="10"/>
  <c r="D205" i="2"/>
  <c r="AF212" i="10" l="1"/>
  <c r="AD212" i="10"/>
  <c r="AC212" i="10"/>
  <c r="AA213" i="10"/>
  <c r="AB212" i="10"/>
  <c r="I213" i="10"/>
  <c r="F214" i="10" s="1"/>
  <c r="J213" i="10"/>
  <c r="AD206" i="2"/>
  <c r="V205" i="2"/>
  <c r="R205" i="2"/>
  <c r="U204" i="2"/>
  <c r="Q206" i="2"/>
  <c r="X205" i="2"/>
  <c r="Y205" i="2" s="1"/>
  <c r="S205" i="2"/>
  <c r="T205" i="2" s="1"/>
  <c r="W205" i="2"/>
  <c r="AF206" i="2"/>
  <c r="AA207" i="2"/>
  <c r="AB206" i="2"/>
  <c r="AC206" i="2"/>
  <c r="C212" i="10"/>
  <c r="D206" i="2"/>
  <c r="I214" i="10" l="1"/>
  <c r="F215" i="10" s="1"/>
  <c r="J214" i="10"/>
  <c r="AD213" i="10"/>
  <c r="AC213" i="10"/>
  <c r="AB213" i="10"/>
  <c r="AA214" i="10"/>
  <c r="AF213" i="10"/>
  <c r="AD207" i="2"/>
  <c r="V206" i="2"/>
  <c r="R206" i="2"/>
  <c r="U205" i="2"/>
  <c r="Q207" i="2"/>
  <c r="X206" i="2"/>
  <c r="S206" i="2"/>
  <c r="T206" i="2" s="1"/>
  <c r="W206" i="2"/>
  <c r="AF207" i="2"/>
  <c r="AC207" i="2"/>
  <c r="AB207" i="2"/>
  <c r="AA208" i="2"/>
  <c r="C213" i="10"/>
  <c r="D207" i="2"/>
  <c r="AD214" i="10" l="1"/>
  <c r="AC214" i="10"/>
  <c r="AB214" i="10"/>
  <c r="AA215" i="10"/>
  <c r="AF214" i="10"/>
  <c r="I215" i="10"/>
  <c r="F216" i="10" s="1"/>
  <c r="J215" i="10"/>
  <c r="AD208" i="2"/>
  <c r="Y206" i="2"/>
  <c r="V207" i="2"/>
  <c r="R207" i="2"/>
  <c r="U206" i="2"/>
  <c r="Q208" i="2"/>
  <c r="S207" i="2"/>
  <c r="T207" i="2" s="1"/>
  <c r="W207" i="2"/>
  <c r="X207" i="2"/>
  <c r="AF208" i="2"/>
  <c r="AA209" i="2"/>
  <c r="AC208" i="2"/>
  <c r="AB208" i="2"/>
  <c r="D208" i="2"/>
  <c r="C214" i="10"/>
  <c r="I216" i="10" l="1"/>
  <c r="F217" i="10" s="1"/>
  <c r="J216" i="10"/>
  <c r="AD215" i="10"/>
  <c r="AC215" i="10"/>
  <c r="AB215" i="10"/>
  <c r="AA216" i="10"/>
  <c r="AF215" i="10"/>
  <c r="AD209" i="2"/>
  <c r="V208" i="2"/>
  <c r="R208" i="2"/>
  <c r="Y207" i="2"/>
  <c r="U207" i="2"/>
  <c r="Q209" i="2"/>
  <c r="W208" i="2"/>
  <c r="S208" i="2"/>
  <c r="T208" i="2" s="1"/>
  <c r="X208" i="2"/>
  <c r="AF209" i="2"/>
  <c r="AA210" i="2"/>
  <c r="AB209" i="2"/>
  <c r="AC209" i="2"/>
  <c r="C215" i="10"/>
  <c r="D209" i="2"/>
  <c r="AD216" i="10" l="1"/>
  <c r="AC216" i="10"/>
  <c r="AB216" i="10"/>
  <c r="AA217" i="10"/>
  <c r="AF216" i="10"/>
  <c r="I217" i="10"/>
  <c r="F218" i="10" s="1"/>
  <c r="J217" i="10"/>
  <c r="AD210" i="2"/>
  <c r="V209" i="2"/>
  <c r="R209" i="2"/>
  <c r="Y208" i="2"/>
  <c r="U208" i="2"/>
  <c r="Q210" i="2"/>
  <c r="W209" i="2"/>
  <c r="X209" i="2"/>
  <c r="S209" i="2"/>
  <c r="T209" i="2" s="1"/>
  <c r="AF210" i="2"/>
  <c r="AB210" i="2"/>
  <c r="AC210" i="2"/>
  <c r="AA211" i="2"/>
  <c r="C216" i="10"/>
  <c r="D210" i="2"/>
  <c r="AD217" i="10" l="1"/>
  <c r="AC217" i="10"/>
  <c r="AB217" i="10"/>
  <c r="AA218" i="10"/>
  <c r="AF217" i="10"/>
  <c r="I218" i="10"/>
  <c r="F219" i="10" s="1"/>
  <c r="J218" i="10"/>
  <c r="AD211" i="2"/>
  <c r="Y209" i="2"/>
  <c r="V210" i="2"/>
  <c r="R210" i="2"/>
  <c r="U209" i="2"/>
  <c r="Q211" i="2"/>
  <c r="W210" i="2"/>
  <c r="X210" i="2"/>
  <c r="S210" i="2"/>
  <c r="T210" i="2" s="1"/>
  <c r="AF211" i="2"/>
  <c r="AB211" i="2"/>
  <c r="AA212" i="2"/>
  <c r="AC211" i="2"/>
  <c r="C217" i="10"/>
  <c r="D211" i="2"/>
  <c r="AD218" i="10" l="1"/>
  <c r="AC218" i="10"/>
  <c r="AB218" i="10"/>
  <c r="AA219" i="10"/>
  <c r="AF218" i="10"/>
  <c r="I219" i="10"/>
  <c r="F220" i="10" s="1"/>
  <c r="J219" i="10"/>
  <c r="AD212" i="2"/>
  <c r="V211" i="2"/>
  <c r="R211" i="2"/>
  <c r="Y210" i="2"/>
  <c r="U210" i="2"/>
  <c r="Q212" i="2"/>
  <c r="S211" i="2"/>
  <c r="T211" i="2" s="1"/>
  <c r="W211" i="2"/>
  <c r="X211" i="2"/>
  <c r="AF212" i="2"/>
  <c r="AA213" i="2"/>
  <c r="AC212" i="2"/>
  <c r="AB212" i="2"/>
  <c r="C218" i="10"/>
  <c r="D212" i="2"/>
  <c r="AD219" i="10" l="1"/>
  <c r="AC219" i="10"/>
  <c r="AB219" i="10"/>
  <c r="AA220" i="10"/>
  <c r="AF219" i="10"/>
  <c r="I220" i="10"/>
  <c r="F221" i="10" s="1"/>
  <c r="J220" i="10"/>
  <c r="AD213" i="2"/>
  <c r="V212" i="2"/>
  <c r="R212" i="2"/>
  <c r="Y211" i="2"/>
  <c r="U211" i="2"/>
  <c r="Q213" i="2"/>
  <c r="W212" i="2"/>
  <c r="X212" i="2"/>
  <c r="S212" i="2"/>
  <c r="T212" i="2" s="1"/>
  <c r="AF213" i="2"/>
  <c r="AA214" i="2"/>
  <c r="AB213" i="2"/>
  <c r="AC213" i="2"/>
  <c r="D213" i="2"/>
  <c r="C219" i="10"/>
  <c r="AA221" i="10" l="1"/>
  <c r="AD220" i="10"/>
  <c r="AC220" i="10"/>
  <c r="AB220" i="10"/>
  <c r="AF220" i="10"/>
  <c r="I221" i="10"/>
  <c r="F222" i="10" s="1"/>
  <c r="J221" i="10"/>
  <c r="AD214" i="2"/>
  <c r="Y212" i="2"/>
  <c r="V213" i="2"/>
  <c r="R213" i="2"/>
  <c r="U212" i="2"/>
  <c r="Q214" i="2"/>
  <c r="S213" i="2"/>
  <c r="T213" i="2" s="1"/>
  <c r="W213" i="2"/>
  <c r="X213" i="2"/>
  <c r="AF214" i="2"/>
  <c r="AC214" i="2"/>
  <c r="AA215" i="2"/>
  <c r="AB214" i="2"/>
  <c r="C220" i="10"/>
  <c r="D214" i="2"/>
  <c r="I222" i="10" l="1"/>
  <c r="F223" i="10" s="1"/>
  <c r="J222" i="10"/>
  <c r="AB221" i="10"/>
  <c r="AF221" i="10"/>
  <c r="AD221" i="10"/>
  <c r="AA222" i="10"/>
  <c r="AC221" i="10"/>
  <c r="AD215" i="2"/>
  <c r="V214" i="2"/>
  <c r="R214" i="2"/>
  <c r="Y213" i="2"/>
  <c r="U213" i="2"/>
  <c r="Q215" i="2"/>
  <c r="W214" i="2"/>
  <c r="X214" i="2"/>
  <c r="S214" i="2"/>
  <c r="T214" i="2" s="1"/>
  <c r="AF215" i="2"/>
  <c r="AC215" i="2"/>
  <c r="AB215" i="2"/>
  <c r="AA216" i="2"/>
  <c r="C221" i="10"/>
  <c r="D215" i="2"/>
  <c r="I223" i="10" l="1"/>
  <c r="F224" i="10" s="1"/>
  <c r="J223" i="10"/>
  <c r="AA223" i="10"/>
  <c r="AB222" i="10"/>
  <c r="AD222" i="10"/>
  <c r="AF222" i="10"/>
  <c r="AC222" i="10"/>
  <c r="AD216" i="2"/>
  <c r="Y214" i="2"/>
  <c r="V215" i="2"/>
  <c r="R215" i="2"/>
  <c r="U214" i="2"/>
  <c r="Q216" i="2"/>
  <c r="X215" i="2"/>
  <c r="Y215" i="2" s="1"/>
  <c r="S215" i="2"/>
  <c r="T215" i="2" s="1"/>
  <c r="W215" i="2"/>
  <c r="AF216" i="2"/>
  <c r="AA217" i="2"/>
  <c r="AC216" i="2"/>
  <c r="AB216" i="2"/>
  <c r="C222" i="10"/>
  <c r="D216" i="2"/>
  <c r="AA224" i="10" l="1"/>
  <c r="AF223" i="10"/>
  <c r="AC223" i="10"/>
  <c r="AD223" i="10"/>
  <c r="AB223" i="10"/>
  <c r="I224" i="10"/>
  <c r="F225" i="10" s="1"/>
  <c r="J224" i="10"/>
  <c r="AD217" i="2"/>
  <c r="V216" i="2"/>
  <c r="R216" i="2"/>
  <c r="U215" i="2"/>
  <c r="Q217" i="2"/>
  <c r="X216" i="2"/>
  <c r="S216" i="2"/>
  <c r="T216" i="2" s="1"/>
  <c r="W216" i="2"/>
  <c r="AF217" i="2"/>
  <c r="AB217" i="2"/>
  <c r="AC217" i="2"/>
  <c r="AA218" i="2"/>
  <c r="C223" i="10"/>
  <c r="D217" i="2"/>
  <c r="I225" i="10" l="1"/>
  <c r="F226" i="10" s="1"/>
  <c r="J225" i="10"/>
  <c r="AA225" i="10"/>
  <c r="AF224" i="10"/>
  <c r="AC224" i="10"/>
  <c r="AD224" i="10"/>
  <c r="AB224" i="10"/>
  <c r="AD218" i="2"/>
  <c r="Y216" i="2"/>
  <c r="V217" i="2"/>
  <c r="R217" i="2"/>
  <c r="U216" i="2"/>
  <c r="Q218" i="2"/>
  <c r="S217" i="2"/>
  <c r="T217" i="2" s="1"/>
  <c r="W217" i="2"/>
  <c r="X217" i="2"/>
  <c r="AF218" i="2"/>
  <c r="AA219" i="2"/>
  <c r="AB218" i="2"/>
  <c r="AC218" i="2"/>
  <c r="C224" i="10"/>
  <c r="D218" i="2"/>
  <c r="AB225" i="10" l="1"/>
  <c r="AA226" i="10"/>
  <c r="AF225" i="10"/>
  <c r="AC225" i="10"/>
  <c r="AD225" i="10"/>
  <c r="I226" i="10"/>
  <c r="F227" i="10" s="1"/>
  <c r="J226" i="10"/>
  <c r="AD219" i="2"/>
  <c r="V218" i="2"/>
  <c r="R218" i="2"/>
  <c r="Y217" i="2"/>
  <c r="U217" i="2"/>
  <c r="Q219" i="2"/>
  <c r="S218" i="2"/>
  <c r="T218" i="2" s="1"/>
  <c r="X218" i="2"/>
  <c r="W218" i="2"/>
  <c r="AF219" i="2"/>
  <c r="AC219" i="2"/>
  <c r="AB219" i="2"/>
  <c r="AA220" i="2"/>
  <c r="C225" i="10"/>
  <c r="D219" i="2"/>
  <c r="I227" i="10" l="1"/>
  <c r="F228" i="10" s="1"/>
  <c r="J227" i="10"/>
  <c r="AB226" i="10"/>
  <c r="AA227" i="10"/>
  <c r="AF226" i="10"/>
  <c r="AD226" i="10"/>
  <c r="AC226" i="10"/>
  <c r="AD220" i="2"/>
  <c r="Y218" i="2"/>
  <c r="V219" i="2"/>
  <c r="R219" i="2"/>
  <c r="U218" i="2"/>
  <c r="Q220" i="2"/>
  <c r="W219" i="2"/>
  <c r="X219" i="2"/>
  <c r="S219" i="2"/>
  <c r="T219" i="2" s="1"/>
  <c r="AF220" i="2"/>
  <c r="AC220" i="2"/>
  <c r="AB220" i="2"/>
  <c r="AA221" i="2"/>
  <c r="C226" i="10"/>
  <c r="D220" i="2"/>
  <c r="I228" i="10" l="1"/>
  <c r="F229" i="10" s="1"/>
  <c r="J228" i="10"/>
  <c r="AA228" i="10"/>
  <c r="AB227" i="10"/>
  <c r="AF227" i="10"/>
  <c r="AD227" i="10"/>
  <c r="AC227" i="10"/>
  <c r="AD221" i="2"/>
  <c r="V220" i="2"/>
  <c r="R220" i="2"/>
  <c r="Y219" i="2"/>
  <c r="U219" i="2"/>
  <c r="Q221" i="2"/>
  <c r="S220" i="2"/>
  <c r="T220" i="2" s="1"/>
  <c r="W220" i="2"/>
  <c r="X220" i="2"/>
  <c r="AF221" i="2"/>
  <c r="AA222" i="2"/>
  <c r="AC221" i="2"/>
  <c r="AB221" i="2"/>
  <c r="C227" i="10"/>
  <c r="D221" i="2"/>
  <c r="AA229" i="10" l="1"/>
  <c r="AF228" i="10"/>
  <c r="AD228" i="10"/>
  <c r="AC228" i="10"/>
  <c r="AB228" i="10"/>
  <c r="I229" i="10"/>
  <c r="F230" i="10" s="1"/>
  <c r="J229" i="10"/>
  <c r="AD222" i="2"/>
  <c r="V221" i="2"/>
  <c r="R221" i="2"/>
  <c r="Y220" i="2"/>
  <c r="U220" i="2"/>
  <c r="Q222" i="2"/>
  <c r="X221" i="2"/>
  <c r="S221" i="2"/>
  <c r="T221" i="2" s="1"/>
  <c r="W221" i="2"/>
  <c r="AF222" i="2"/>
  <c r="AA223" i="2"/>
  <c r="AC222" i="2"/>
  <c r="AB222" i="2"/>
  <c r="C228" i="10"/>
  <c r="D222" i="2"/>
  <c r="I230" i="10" l="1"/>
  <c r="F231" i="10" s="1"/>
  <c r="J230" i="10"/>
  <c r="AA230" i="10"/>
  <c r="AF229" i="10"/>
  <c r="AD229" i="10"/>
  <c r="AC229" i="10"/>
  <c r="AB229" i="10"/>
  <c r="AD223" i="2"/>
  <c r="V222" i="2"/>
  <c r="R222" i="2"/>
  <c r="Y221" i="2"/>
  <c r="U221" i="2"/>
  <c r="Q223" i="2"/>
  <c r="S222" i="2"/>
  <c r="T222" i="2" s="1"/>
  <c r="W222" i="2"/>
  <c r="X222" i="2"/>
  <c r="AF223" i="2"/>
  <c r="AA224" i="2"/>
  <c r="AB223" i="2"/>
  <c r="AC223" i="2"/>
  <c r="C229" i="10"/>
  <c r="D223" i="2"/>
  <c r="AA231" i="10" l="1"/>
  <c r="AF230" i="10"/>
  <c r="AD230" i="10"/>
  <c r="AC230" i="10"/>
  <c r="AB230" i="10"/>
  <c r="I231" i="10"/>
  <c r="F232" i="10" s="1"/>
  <c r="J231" i="10"/>
  <c r="AD224" i="2"/>
  <c r="AA225" i="2"/>
  <c r="V223" i="2"/>
  <c r="R223" i="2"/>
  <c r="Y222" i="2"/>
  <c r="U222" i="2"/>
  <c r="Q224" i="2"/>
  <c r="S223" i="2"/>
  <c r="T223" i="2" s="1"/>
  <c r="X223" i="2"/>
  <c r="W223" i="2"/>
  <c r="AF224" i="2"/>
  <c r="AC224" i="2"/>
  <c r="AB224" i="2"/>
  <c r="D224" i="2"/>
  <c r="C230" i="10"/>
  <c r="I232" i="10" l="1"/>
  <c r="F233" i="10" s="1"/>
  <c r="J232" i="10"/>
  <c r="AA232" i="10"/>
  <c r="AF231" i="10"/>
  <c r="AD231" i="10"/>
  <c r="AC231" i="10"/>
  <c r="AB231" i="10"/>
  <c r="AD225" i="2"/>
  <c r="AF225" i="2"/>
  <c r="AB225" i="2"/>
  <c r="AC225" i="2"/>
  <c r="AA226" i="2"/>
  <c r="Y223" i="2"/>
  <c r="V224" i="2"/>
  <c r="R224" i="2"/>
  <c r="U223" i="2"/>
  <c r="W224" i="2"/>
  <c r="X224" i="2"/>
  <c r="S224" i="2"/>
  <c r="T224" i="2" s="1"/>
  <c r="C231" i="10"/>
  <c r="D225" i="2"/>
  <c r="AF232" i="10" l="1"/>
  <c r="AD232" i="10"/>
  <c r="AC232" i="10"/>
  <c r="AA233" i="10"/>
  <c r="AB232" i="10"/>
  <c r="I233" i="10"/>
  <c r="F234" i="10" s="1"/>
  <c r="J233" i="10"/>
  <c r="AB226" i="2"/>
  <c r="AC226" i="2"/>
  <c r="AA227" i="2"/>
  <c r="AD226" i="2"/>
  <c r="AF226" i="2"/>
  <c r="Y224" i="2"/>
  <c r="U224" i="2"/>
  <c r="D226" i="2"/>
  <c r="C232" i="10"/>
  <c r="AD233" i="10" l="1"/>
  <c r="AC233" i="10"/>
  <c r="AB233" i="10"/>
  <c r="AA234" i="10"/>
  <c r="AF233" i="10"/>
  <c r="I234" i="10"/>
  <c r="F235" i="10" s="1"/>
  <c r="J234" i="10"/>
  <c r="AD227" i="2"/>
  <c r="AF227" i="2"/>
  <c r="AB227" i="2"/>
  <c r="AC227" i="2"/>
  <c r="AA228" i="2"/>
  <c r="Q5" i="2"/>
  <c r="C233" i="10"/>
  <c r="D227" i="2"/>
  <c r="AD234" i="10" l="1"/>
  <c r="AC234" i="10"/>
  <c r="AB234" i="10"/>
  <c r="AA235" i="10"/>
  <c r="AF234" i="10"/>
  <c r="I235" i="10"/>
  <c r="F236" i="10" s="1"/>
  <c r="J235" i="10"/>
  <c r="AB228" i="2"/>
  <c r="AC228" i="2"/>
  <c r="AA229" i="2"/>
  <c r="AD228" i="2"/>
  <c r="AF228" i="2"/>
  <c r="V5" i="2"/>
  <c r="R5" i="2"/>
  <c r="X5" i="2"/>
  <c r="W5" i="2"/>
  <c r="S5" i="2"/>
  <c r="C234" i="10"/>
  <c r="D228" i="2"/>
  <c r="AD235" i="10" l="1"/>
  <c r="AC235" i="10"/>
  <c r="AB235" i="10"/>
  <c r="AA236" i="10"/>
  <c r="AF235" i="10"/>
  <c r="I236" i="10"/>
  <c r="F237" i="10" s="1"/>
  <c r="J236" i="10"/>
  <c r="AD229" i="2"/>
  <c r="AF229" i="2"/>
  <c r="AB229" i="2"/>
  <c r="AC229" i="2"/>
  <c r="AA230" i="2"/>
  <c r="Y5" i="2"/>
  <c r="T5" i="2"/>
  <c r="U5" i="2" s="1"/>
  <c r="C235" i="10"/>
  <c r="D229" i="2"/>
  <c r="AD236" i="10" l="1"/>
  <c r="AC236" i="10"/>
  <c r="AB236" i="10"/>
  <c r="AA237" i="10"/>
  <c r="AF236" i="10"/>
  <c r="I237" i="10"/>
  <c r="F238" i="10" s="1"/>
  <c r="J237" i="10"/>
  <c r="AB230" i="2"/>
  <c r="AC230" i="2"/>
  <c r="AA231" i="2"/>
  <c r="AD230" i="2"/>
  <c r="AF230" i="2"/>
  <c r="G6" i="2"/>
  <c r="C236" i="10"/>
  <c r="D230" i="2"/>
  <c r="AD237" i="10" l="1"/>
  <c r="AC237" i="10"/>
  <c r="AA238" i="10"/>
  <c r="AB237" i="10"/>
  <c r="AF237" i="10"/>
  <c r="I238" i="10"/>
  <c r="F239" i="10" s="1"/>
  <c r="J238" i="10"/>
  <c r="AD231" i="2"/>
  <c r="AF231" i="2"/>
  <c r="AB231" i="2"/>
  <c r="AC231" i="2"/>
  <c r="AA232" i="2"/>
  <c r="Q6" i="2"/>
  <c r="R6" i="2" s="1"/>
  <c r="C237" i="10"/>
  <c r="D231" i="2"/>
  <c r="AA239" i="10" l="1"/>
  <c r="AC238" i="10"/>
  <c r="AB238" i="10"/>
  <c r="AF238" i="10"/>
  <c r="AD238" i="10"/>
  <c r="I239" i="10"/>
  <c r="F240" i="10" s="1"/>
  <c r="J239" i="10"/>
  <c r="AB232" i="2"/>
  <c r="AC232" i="2"/>
  <c r="AA233" i="2"/>
  <c r="AD232" i="2"/>
  <c r="AF232" i="2"/>
  <c r="V6" i="2"/>
  <c r="X6" i="2"/>
  <c r="W6" i="2"/>
  <c r="S6" i="2"/>
  <c r="C238" i="10"/>
  <c r="D232" i="2"/>
  <c r="I240" i="10" l="1"/>
  <c r="F241" i="10" s="1"/>
  <c r="J240" i="10"/>
  <c r="AB239" i="10"/>
  <c r="AA240" i="10"/>
  <c r="AF239" i="10"/>
  <c r="AC239" i="10"/>
  <c r="AD239" i="10"/>
  <c r="AD233" i="2"/>
  <c r="AF233" i="2"/>
  <c r="AB233" i="2"/>
  <c r="AC233" i="2"/>
  <c r="AA234" i="2"/>
  <c r="T6" i="2"/>
  <c r="Y6" i="2"/>
  <c r="C239" i="10"/>
  <c r="D233" i="2"/>
  <c r="AB240" i="10" l="1"/>
  <c r="AA241" i="10"/>
  <c r="AF240" i="10"/>
  <c r="AC240" i="10"/>
  <c r="AD240" i="10"/>
  <c r="I241" i="10"/>
  <c r="F242" i="10" s="1"/>
  <c r="J241" i="10"/>
  <c r="AB234" i="2"/>
  <c r="AC234" i="2"/>
  <c r="AA235" i="2"/>
  <c r="AD234" i="2"/>
  <c r="AF234" i="2"/>
  <c r="U6" i="2"/>
  <c r="C240" i="10"/>
  <c r="D234" i="2"/>
  <c r="I242" i="10" l="1"/>
  <c r="F243" i="10" s="1"/>
  <c r="J242" i="10"/>
  <c r="AB241" i="10"/>
  <c r="AA242" i="10"/>
  <c r="AF241" i="10"/>
  <c r="AD241" i="10"/>
  <c r="AC241" i="10"/>
  <c r="AD235" i="2"/>
  <c r="AF235" i="2"/>
  <c r="AB235" i="2"/>
  <c r="AC235" i="2"/>
  <c r="AA236" i="2"/>
  <c r="G7" i="2"/>
  <c r="E8" i="2" s="1"/>
  <c r="C241" i="10"/>
  <c r="D235" i="2"/>
  <c r="AA243" i="10" l="1"/>
  <c r="AB242" i="10"/>
  <c r="AF242" i="10"/>
  <c r="AD242" i="10"/>
  <c r="AC242" i="10"/>
  <c r="I243" i="10"/>
  <c r="F244" i="10" s="1"/>
  <c r="J243" i="10"/>
  <c r="AB236" i="2"/>
  <c r="AC236" i="2"/>
  <c r="AA237" i="2"/>
  <c r="AD236" i="2"/>
  <c r="AF236" i="2"/>
  <c r="G8" i="2"/>
  <c r="E9" i="2" s="1"/>
  <c r="C242" i="10"/>
  <c r="D236" i="2"/>
  <c r="I244" i="10" l="1"/>
  <c r="F245" i="10" s="1"/>
  <c r="J244" i="10"/>
  <c r="AA244" i="10"/>
  <c r="AF243" i="10"/>
  <c r="AD243" i="10"/>
  <c r="AC243" i="10"/>
  <c r="AB243" i="10"/>
  <c r="AD237" i="2"/>
  <c r="AF237" i="2"/>
  <c r="AB237" i="2"/>
  <c r="AC237" i="2"/>
  <c r="AA238" i="2"/>
  <c r="G9" i="2"/>
  <c r="E10" i="2" s="1"/>
  <c r="C243" i="10"/>
  <c r="D237" i="2"/>
  <c r="AA245" i="10" l="1"/>
  <c r="AF244" i="10"/>
  <c r="AD244" i="10"/>
  <c r="AC244" i="10"/>
  <c r="AB244" i="10"/>
  <c r="I245" i="10"/>
  <c r="F246" i="10" s="1"/>
  <c r="J245" i="10"/>
  <c r="AC238" i="2"/>
  <c r="AF238" i="2"/>
  <c r="AB238" i="2"/>
  <c r="AD238" i="2"/>
  <c r="AA239" i="2"/>
  <c r="G10" i="2"/>
  <c r="E11" i="2" s="1"/>
  <c r="C244" i="10"/>
  <c r="D238" i="2"/>
  <c r="I246" i="10" l="1"/>
  <c r="F247" i="10" s="1"/>
  <c r="J246" i="10"/>
  <c r="AA246" i="10"/>
  <c r="AF245" i="10"/>
  <c r="AD245" i="10"/>
  <c r="AC245" i="10"/>
  <c r="AB245" i="10"/>
  <c r="AB239" i="2"/>
  <c r="AC239" i="2"/>
  <c r="AA240" i="2"/>
  <c r="AD239" i="2"/>
  <c r="AF239" i="2"/>
  <c r="G11" i="2"/>
  <c r="E12" i="2" s="1"/>
  <c r="C245" i="10"/>
  <c r="D239" i="2"/>
  <c r="AA247" i="10" l="1"/>
  <c r="AF246" i="10"/>
  <c r="AD246" i="10"/>
  <c r="AC246" i="10"/>
  <c r="AB246" i="10"/>
  <c r="I247" i="10"/>
  <c r="F248" i="10" s="1"/>
  <c r="J247" i="10"/>
  <c r="AD240" i="2"/>
  <c r="AF240" i="2"/>
  <c r="AB240" i="2"/>
  <c r="AC240" i="2"/>
  <c r="AA241" i="2"/>
  <c r="G12" i="2"/>
  <c r="E13" i="2" s="1"/>
  <c r="C246" i="10"/>
  <c r="D240" i="2"/>
  <c r="I248" i="10" l="1"/>
  <c r="F249" i="10" s="1"/>
  <c r="J248" i="10"/>
  <c r="AF247" i="10"/>
  <c r="AD247" i="10"/>
  <c r="AC247" i="10"/>
  <c r="AA248" i="10"/>
  <c r="AB247" i="10"/>
  <c r="AB241" i="2"/>
  <c r="AC241" i="2"/>
  <c r="AA242" i="2"/>
  <c r="AD241" i="2"/>
  <c r="AF241" i="2"/>
  <c r="G13" i="2"/>
  <c r="E14" i="2" s="1"/>
  <c r="D241" i="2"/>
  <c r="C247" i="10"/>
  <c r="AD248" i="10" l="1"/>
  <c r="AC248" i="10"/>
  <c r="AB248" i="10"/>
  <c r="AA249" i="10"/>
  <c r="AF248" i="10"/>
  <c r="I249" i="10"/>
  <c r="F250" i="10" s="1"/>
  <c r="J249" i="10"/>
  <c r="AD242" i="2"/>
  <c r="AF242" i="2"/>
  <c r="AB242" i="2"/>
  <c r="AC242" i="2"/>
  <c r="AA243" i="2"/>
  <c r="G14" i="2"/>
  <c r="E15" i="2" s="1"/>
  <c r="C248" i="10"/>
  <c r="D242" i="2"/>
  <c r="AD249" i="10" l="1"/>
  <c r="AC249" i="10"/>
  <c r="AB249" i="10"/>
  <c r="AA250" i="10"/>
  <c r="AF249" i="10"/>
  <c r="I250" i="10"/>
  <c r="F251" i="10" s="1"/>
  <c r="J250" i="10"/>
  <c r="AB243" i="2"/>
  <c r="AC243" i="2"/>
  <c r="AA244" i="2"/>
  <c r="AD243" i="2"/>
  <c r="AF243" i="2"/>
  <c r="C249" i="10"/>
  <c r="D243" i="2"/>
  <c r="AD250" i="10" l="1"/>
  <c r="AC250" i="10"/>
  <c r="AB250" i="10"/>
  <c r="AA251" i="10"/>
  <c r="AF250" i="10"/>
  <c r="I251" i="10"/>
  <c r="F252" i="10" s="1"/>
  <c r="J251" i="10"/>
  <c r="AD244" i="2"/>
  <c r="AF244" i="2"/>
  <c r="AB244" i="2"/>
  <c r="AC244" i="2"/>
  <c r="AA245" i="2"/>
  <c r="G15" i="2"/>
  <c r="E16" i="2" s="1"/>
  <c r="C250" i="10"/>
  <c r="D244" i="2"/>
  <c r="AD251" i="10" l="1"/>
  <c r="AC251" i="10"/>
  <c r="AB251" i="10"/>
  <c r="AA252" i="10"/>
  <c r="AF251" i="10"/>
  <c r="I252" i="10"/>
  <c r="F253" i="10" s="1"/>
  <c r="J252" i="10"/>
  <c r="AB245" i="2"/>
  <c r="AC245" i="2"/>
  <c r="AA246" i="2"/>
  <c r="AD245" i="2"/>
  <c r="AF245" i="2"/>
  <c r="G16" i="2"/>
  <c r="E17" i="2" s="1"/>
  <c r="C251" i="10"/>
  <c r="D245" i="2"/>
  <c r="AD252" i="10" l="1"/>
  <c r="AC252" i="10"/>
  <c r="AB252" i="10"/>
  <c r="AA253" i="10"/>
  <c r="AF252" i="10"/>
  <c r="I253" i="10"/>
  <c r="F254" i="10" s="1"/>
  <c r="J253" i="10"/>
  <c r="AD246" i="2"/>
  <c r="AF246" i="2"/>
  <c r="AB246" i="2"/>
  <c r="AC246" i="2"/>
  <c r="AA247" i="2"/>
  <c r="G17" i="2"/>
  <c r="E18" i="2" s="1"/>
  <c r="C252" i="10"/>
  <c r="D246" i="2"/>
  <c r="AD253" i="10" l="1"/>
  <c r="AC253" i="10"/>
  <c r="AB253" i="10"/>
  <c r="AA254" i="10"/>
  <c r="AF253" i="10"/>
  <c r="I254" i="10"/>
  <c r="F255" i="10" s="1"/>
  <c r="J254" i="10"/>
  <c r="AB247" i="2"/>
  <c r="AC247" i="2"/>
  <c r="AD247" i="2"/>
  <c r="AF247" i="2"/>
  <c r="AA248" i="2"/>
  <c r="G18" i="2"/>
  <c r="E19" i="2" s="1"/>
  <c r="D247" i="2"/>
  <c r="C253" i="10"/>
  <c r="AD254" i="10" l="1"/>
  <c r="AC254" i="10"/>
  <c r="AB254" i="10"/>
  <c r="AA255" i="10"/>
  <c r="AF254" i="10"/>
  <c r="I255" i="10"/>
  <c r="F256" i="10" s="1"/>
  <c r="J255" i="10"/>
  <c r="AB248" i="2"/>
  <c r="AC248" i="2"/>
  <c r="AA249" i="2"/>
  <c r="AD248" i="2"/>
  <c r="AF248" i="2"/>
  <c r="G19" i="2"/>
  <c r="E20" i="2" s="1"/>
  <c r="C254" i="10"/>
  <c r="D248" i="2"/>
  <c r="AD255" i="10" l="1"/>
  <c r="AC255" i="10"/>
  <c r="AB255" i="10"/>
  <c r="AA256" i="10"/>
  <c r="AF255" i="10"/>
  <c r="I256" i="10"/>
  <c r="F257" i="10" s="1"/>
  <c r="J257" i="10" s="1"/>
  <c r="J256" i="10"/>
  <c r="AD249" i="2"/>
  <c r="AF249" i="2"/>
  <c r="AB249" i="2"/>
  <c r="AC249" i="2"/>
  <c r="AA250" i="2"/>
  <c r="G20" i="2"/>
  <c r="E21" i="2" s="1"/>
  <c r="C255" i="10"/>
  <c r="D249" i="2"/>
  <c r="AA257" i="10" l="1"/>
  <c r="AD256" i="10"/>
  <c r="AC256" i="10"/>
  <c r="AB256" i="10"/>
  <c r="AF256" i="10"/>
  <c r="AB250" i="2"/>
  <c r="AC250" i="2"/>
  <c r="AD250" i="2"/>
  <c r="AF250" i="2"/>
  <c r="AA251" i="2"/>
  <c r="G21" i="2"/>
  <c r="E22" i="2" s="1"/>
  <c r="C256" i="10"/>
  <c r="D250" i="2"/>
  <c r="AF257" i="10" l="1"/>
  <c r="AD257" i="10"/>
  <c r="AC257" i="10"/>
  <c r="AB257" i="10"/>
  <c r="AC251" i="2"/>
  <c r="AA252" i="2"/>
  <c r="AD251" i="2"/>
  <c r="AF251" i="2"/>
  <c r="AB251" i="2"/>
  <c r="G22" i="2"/>
  <c r="E23" i="2" s="1"/>
  <c r="C257" i="10"/>
  <c r="D251" i="2"/>
  <c r="AF252" i="2" l="1"/>
  <c r="AB252" i="2"/>
  <c r="AC252" i="2"/>
  <c r="AA253" i="2"/>
  <c r="AD252" i="2"/>
  <c r="G23" i="2"/>
  <c r="E24" i="2" s="1"/>
  <c r="D252" i="2"/>
  <c r="AC253" i="2" l="1"/>
  <c r="AA254" i="2"/>
  <c r="AD253" i="2"/>
  <c r="AF253" i="2"/>
  <c r="AB253" i="2"/>
  <c r="G24" i="2"/>
  <c r="E25" i="2" s="1"/>
  <c r="D253" i="2"/>
  <c r="AF254" i="2" l="1"/>
  <c r="AB254" i="2"/>
  <c r="AC254" i="2"/>
  <c r="AA255" i="2"/>
  <c r="AD254" i="2"/>
  <c r="G25" i="2"/>
  <c r="E26" i="2" s="1"/>
  <c r="D254" i="2"/>
  <c r="AC255" i="2" l="1"/>
  <c r="AA256" i="2"/>
  <c r="AD255" i="2"/>
  <c r="AF255" i="2"/>
  <c r="AB255" i="2"/>
  <c r="G26" i="2"/>
  <c r="E27" i="2" s="1"/>
  <c r="D255" i="2"/>
  <c r="AF256" i="2" l="1"/>
  <c r="AB256" i="2"/>
  <c r="AC256" i="2"/>
  <c r="AA257" i="2"/>
  <c r="AD256" i="2"/>
  <c r="G27" i="2"/>
  <c r="E28" i="2" s="1"/>
  <c r="D256" i="2"/>
  <c r="AC257" i="2" l="1"/>
  <c r="AA258" i="2"/>
  <c r="AD257" i="2"/>
  <c r="AF257" i="2"/>
  <c r="AB257" i="2"/>
  <c r="G28" i="2"/>
  <c r="E29" i="2" s="1"/>
  <c r="D257" i="2"/>
  <c r="AF258" i="2" l="1"/>
  <c r="AB258" i="2"/>
  <c r="AC258" i="2"/>
  <c r="AA259" i="2"/>
  <c r="AD258" i="2"/>
  <c r="G29" i="2"/>
  <c r="E30" i="2" s="1"/>
  <c r="D258" i="2"/>
  <c r="AF259" i="2" l="1"/>
  <c r="AB259" i="2"/>
  <c r="AC259" i="2"/>
  <c r="AD259" i="2"/>
  <c r="AA260" i="2"/>
  <c r="G30" i="2"/>
  <c r="E31" i="2" s="1"/>
  <c r="D259" i="2"/>
  <c r="AC260" i="2" l="1"/>
  <c r="AD260" i="2"/>
  <c r="AF260" i="2"/>
  <c r="AB260" i="2"/>
  <c r="G31" i="2"/>
  <c r="E32" i="2" s="1"/>
  <c r="D260" i="2"/>
  <c r="G32" i="2" l="1"/>
  <c r="E33" i="2" s="1"/>
  <c r="G33" i="2" l="1"/>
  <c r="E34" i="2" s="1"/>
  <c r="G34" i="2" l="1"/>
  <c r="E35" i="2" s="1"/>
  <c r="G35" i="2" l="1"/>
  <c r="E36" i="2" s="1"/>
  <c r="G36" i="2" l="1"/>
  <c r="E37" i="2" s="1"/>
  <c r="G37" i="2" l="1"/>
  <c r="E38" i="2" s="1"/>
  <c r="G38" i="2" l="1"/>
  <c r="E39" i="2" s="1"/>
  <c r="G39" i="2" l="1"/>
  <c r="E40" i="2" s="1"/>
  <c r="G40" i="2" l="1"/>
  <c r="E41" i="2" s="1"/>
  <c r="G41" i="2" l="1"/>
  <c r="E42" i="2" s="1"/>
  <c r="G42" i="2" l="1"/>
  <c r="E43" i="2" s="1"/>
  <c r="G43" i="2" l="1"/>
  <c r="E44" i="2" s="1"/>
  <c r="G44" i="2" l="1"/>
  <c r="E45" i="2" s="1"/>
  <c r="G45" i="2" l="1"/>
  <c r="E46" i="2" s="1"/>
  <c r="G46" i="2" l="1"/>
  <c r="E47" i="2" s="1"/>
  <c r="G47" i="2" l="1"/>
  <c r="E48" i="2" s="1"/>
  <c r="G48" i="2" l="1"/>
  <c r="E49" i="2" s="1"/>
  <c r="G49" i="2" l="1"/>
  <c r="E50" i="2" s="1"/>
  <c r="G50" i="2" l="1"/>
  <c r="E51" i="2" s="1"/>
  <c r="G51" i="2" l="1"/>
  <c r="E52" i="2" s="1"/>
  <c r="G52" i="2" l="1"/>
  <c r="E53" i="2" s="1"/>
  <c r="G53" i="2" l="1"/>
  <c r="E54" i="2" s="1"/>
  <c r="G54" i="2" l="1"/>
  <c r="E55" i="2" s="1"/>
  <c r="G55" i="2" l="1"/>
  <c r="E56" i="2" s="1"/>
  <c r="G56" i="2" l="1"/>
  <c r="E57" i="2" s="1"/>
  <c r="G57" i="2" l="1"/>
  <c r="E58" i="2" s="1"/>
  <c r="G58" i="2" l="1"/>
  <c r="E59" i="2" s="1"/>
  <c r="G59" i="2" l="1"/>
  <c r="E60" i="2" s="1"/>
  <c r="G60" i="2" l="1"/>
  <c r="E61" i="2" s="1"/>
  <c r="G61" i="2" l="1"/>
  <c r="E62" i="2" s="1"/>
  <c r="G62" i="2" l="1"/>
  <c r="E63" i="2" s="1"/>
  <c r="G63" i="2" l="1"/>
  <c r="E64" i="2" s="1"/>
  <c r="G64" i="2" l="1"/>
  <c r="E65" i="2" s="1"/>
  <c r="G65" i="2" l="1"/>
  <c r="E66" i="2" s="1"/>
  <c r="G66" i="2" l="1"/>
  <c r="E67" i="2" s="1"/>
  <c r="G67" i="2" l="1"/>
  <c r="E68" i="2" s="1"/>
  <c r="G68" i="2" l="1"/>
  <c r="E69" i="2" s="1"/>
  <c r="G69" i="2" l="1"/>
  <c r="E70" i="2" s="1"/>
  <c r="G70" i="2" l="1"/>
  <c r="E71" i="2" s="1"/>
  <c r="G71" i="2" l="1"/>
  <c r="E72" i="2" s="1"/>
  <c r="G72" i="2" l="1"/>
  <c r="E73" i="2" s="1"/>
  <c r="G73" i="2" l="1"/>
  <c r="E74" i="2" s="1"/>
  <c r="G74" i="2" l="1"/>
  <c r="E75" i="2" s="1"/>
  <c r="G75" i="2" l="1"/>
  <c r="E76" i="2" s="1"/>
  <c r="G76" i="2" l="1"/>
  <c r="E77" i="2" s="1"/>
  <c r="G77" i="2" l="1"/>
  <c r="E78" i="2" s="1"/>
  <c r="G78" i="2" l="1"/>
  <c r="E79" i="2" s="1"/>
  <c r="G79" i="2" l="1"/>
  <c r="E80" i="2" s="1"/>
  <c r="G80" i="2" l="1"/>
  <c r="E81" i="2" s="1"/>
  <c r="G81" i="2" l="1"/>
  <c r="E82" i="2" s="1"/>
  <c r="G82" i="2" l="1"/>
  <c r="E83" i="2" s="1"/>
  <c r="G83" i="2" l="1"/>
  <c r="E84" i="2" s="1"/>
  <c r="G84" i="2" l="1"/>
  <c r="E85" i="2" s="1"/>
  <c r="G85" i="2" l="1"/>
  <c r="E86" i="2" s="1"/>
  <c r="G86" i="2" l="1"/>
  <c r="E87" i="2" s="1"/>
  <c r="G87" i="2" l="1"/>
  <c r="E88" i="2" s="1"/>
  <c r="G88" i="2" l="1"/>
  <c r="E89" i="2" s="1"/>
  <c r="G89" i="2" l="1"/>
  <c r="E90" i="2" s="1"/>
  <c r="G90" i="2" l="1"/>
  <c r="E91" i="2" s="1"/>
  <c r="G91" i="2" l="1"/>
  <c r="E92" i="2" s="1"/>
  <c r="G92" i="2" l="1"/>
  <c r="E93" i="2" s="1"/>
  <c r="G93" i="2" l="1"/>
  <c r="E94" i="2" s="1"/>
  <c r="G94" i="2" l="1"/>
  <c r="E95" i="2" s="1"/>
  <c r="G95" i="2" l="1"/>
  <c r="E96" i="2" s="1"/>
  <c r="G96" i="2" l="1"/>
  <c r="E97" i="2" s="1"/>
  <c r="G97" i="2" l="1"/>
  <c r="E98" i="2" s="1"/>
  <c r="G98" i="2" l="1"/>
  <c r="E99" i="2" s="1"/>
  <c r="G99" i="2" l="1"/>
  <c r="E100" i="2" s="1"/>
  <c r="G100" i="2" l="1"/>
  <c r="E101" i="2" s="1"/>
  <c r="G101" i="2" l="1"/>
  <c r="E102" i="2" s="1"/>
  <c r="G102" i="2" l="1"/>
  <c r="E103" i="2" s="1"/>
  <c r="G103" i="2" l="1"/>
  <c r="E104" i="2" s="1"/>
  <c r="G104" i="2" l="1"/>
  <c r="E105" i="2" s="1"/>
  <c r="G105" i="2" l="1"/>
  <c r="E106" i="2" s="1"/>
  <c r="G106" i="2" l="1"/>
  <c r="E107" i="2" s="1"/>
  <c r="G107" i="2" l="1"/>
  <c r="E108" i="2" s="1"/>
  <c r="G108" i="2" l="1"/>
  <c r="E109" i="2" s="1"/>
  <c r="G109" i="2" l="1"/>
  <c r="E110" i="2" s="1"/>
  <c r="G110" i="2" l="1"/>
  <c r="E111" i="2" s="1"/>
  <c r="G111" i="2" l="1"/>
  <c r="E112" i="2" s="1"/>
  <c r="G112" i="2" l="1"/>
  <c r="E113" i="2" s="1"/>
  <c r="G113" i="2" l="1"/>
  <c r="E114" i="2" s="1"/>
  <c r="G114" i="2" l="1"/>
  <c r="E115" i="2" s="1"/>
  <c r="G115" i="2" l="1"/>
  <c r="E116" i="2" s="1"/>
  <c r="G116" i="2" l="1"/>
  <c r="E117" i="2" s="1"/>
  <c r="G117" i="2" l="1"/>
  <c r="E118" i="2" s="1"/>
  <c r="G118" i="2" l="1"/>
  <c r="E119" i="2" s="1"/>
  <c r="G119" i="2" l="1"/>
  <c r="E120" i="2" s="1"/>
  <c r="G120" i="2" l="1"/>
  <c r="E121" i="2" s="1"/>
  <c r="G121" i="2" l="1"/>
  <c r="E122" i="2" s="1"/>
  <c r="G122" i="2" l="1"/>
  <c r="E123" i="2" s="1"/>
  <c r="G123" i="2" l="1"/>
  <c r="E124" i="2" s="1"/>
  <c r="G124" i="2" l="1"/>
  <c r="E125" i="2" s="1"/>
  <c r="G125" i="2" l="1"/>
  <c r="E126" i="2" s="1"/>
  <c r="G126" i="2" l="1"/>
  <c r="E127" i="2" s="1"/>
  <c r="G127" i="2" l="1"/>
  <c r="E128" i="2" s="1"/>
  <c r="G128" i="2" l="1"/>
  <c r="E129" i="2" s="1"/>
  <c r="G129" i="2" l="1"/>
  <c r="E130" i="2" s="1"/>
  <c r="G130" i="2" l="1"/>
  <c r="E131" i="2" s="1"/>
  <c r="G131" i="2" l="1"/>
  <c r="E132" i="2" s="1"/>
  <c r="G132" i="2" l="1"/>
  <c r="E133" i="2" s="1"/>
  <c r="G133" i="2" l="1"/>
  <c r="E134" i="2" s="1"/>
  <c r="G134" i="2" l="1"/>
  <c r="E135" i="2" s="1"/>
  <c r="G135" i="2" l="1"/>
  <c r="E136" i="2" s="1"/>
  <c r="G136" i="2" l="1"/>
  <c r="E137" i="2" s="1"/>
  <c r="G137" i="2" l="1"/>
  <c r="E138" i="2" s="1"/>
  <c r="G138" i="2" l="1"/>
  <c r="E139" i="2" s="1"/>
  <c r="G139" i="2" l="1"/>
  <c r="E140" i="2" s="1"/>
  <c r="G140" i="2" l="1"/>
  <c r="E141" i="2" s="1"/>
  <c r="G141" i="2" l="1"/>
  <c r="E142" i="2" s="1"/>
  <c r="G142" i="2" l="1"/>
  <c r="E143" i="2" s="1"/>
  <c r="G143" i="2" l="1"/>
  <c r="E144" i="2" s="1"/>
  <c r="G144" i="2" l="1"/>
  <c r="E145" i="2" s="1"/>
  <c r="G145" i="2" l="1"/>
  <c r="E146" i="2" s="1"/>
  <c r="G146" i="2" l="1"/>
  <c r="E147" i="2" s="1"/>
  <c r="G147" i="2" l="1"/>
  <c r="E148" i="2" s="1"/>
  <c r="G148" i="2" l="1"/>
  <c r="E149" i="2" s="1"/>
  <c r="G149" i="2" l="1"/>
  <c r="E150" i="2" s="1"/>
  <c r="G150" i="2" l="1"/>
  <c r="E151" i="2" s="1"/>
  <c r="G151" i="2" l="1"/>
  <c r="E152" i="2" s="1"/>
  <c r="G152" i="2" l="1"/>
  <c r="E153" i="2" s="1"/>
  <c r="G153" i="2" l="1"/>
  <c r="E154" i="2" s="1"/>
  <c r="G154" i="2" l="1"/>
  <c r="E155" i="2" s="1"/>
  <c r="G155" i="2" l="1"/>
  <c r="E156" i="2" s="1"/>
  <c r="G156" i="2" l="1"/>
  <c r="E157" i="2" s="1"/>
  <c r="G157" i="2" l="1"/>
  <c r="E158" i="2" s="1"/>
  <c r="G158" i="2" l="1"/>
  <c r="E159" i="2" s="1"/>
  <c r="G159" i="2" l="1"/>
  <c r="E160" i="2" s="1"/>
  <c r="G160" i="2" l="1"/>
  <c r="E161" i="2" s="1"/>
  <c r="G161" i="2" l="1"/>
  <c r="E162" i="2" s="1"/>
  <c r="G162" i="2" l="1"/>
  <c r="E163" i="2" s="1"/>
  <c r="G163" i="2" l="1"/>
  <c r="E164" i="2" s="1"/>
  <c r="G164" i="2" l="1"/>
  <c r="E165" i="2" s="1"/>
  <c r="G165" i="2" l="1"/>
  <c r="E166" i="2" s="1"/>
  <c r="G166" i="2" l="1"/>
  <c r="E167" i="2" s="1"/>
  <c r="G167" i="2" l="1"/>
  <c r="E168" i="2" s="1"/>
  <c r="G168" i="2" l="1"/>
  <c r="E169" i="2" s="1"/>
  <c r="G169" i="2" l="1"/>
  <c r="E170" i="2" s="1"/>
  <c r="G170" i="2" l="1"/>
  <c r="E171" i="2" s="1"/>
  <c r="G171" i="2" l="1"/>
  <c r="E172" i="2" s="1"/>
  <c r="G172" i="2" l="1"/>
  <c r="E173" i="2" s="1"/>
  <c r="G173" i="2" l="1"/>
  <c r="E174" i="2" s="1"/>
  <c r="G174" i="2" l="1"/>
  <c r="E175" i="2" s="1"/>
  <c r="G175" i="2" l="1"/>
  <c r="E176" i="2" s="1"/>
  <c r="G176" i="2" l="1"/>
  <c r="E177" i="2" s="1"/>
  <c r="G177" i="2" l="1"/>
  <c r="E178" i="2" s="1"/>
  <c r="G178" i="2" l="1"/>
  <c r="E179" i="2" s="1"/>
  <c r="G179" i="2" l="1"/>
  <c r="E180" i="2" s="1"/>
  <c r="G180" i="2" l="1"/>
  <c r="E181" i="2" s="1"/>
  <c r="G181" i="2" l="1"/>
  <c r="E182" i="2" s="1"/>
  <c r="G182" i="2" l="1"/>
  <c r="E183" i="2" s="1"/>
  <c r="G183" i="2" l="1"/>
  <c r="E184" i="2" s="1"/>
  <c r="G184" i="2" l="1"/>
  <c r="E185" i="2" s="1"/>
  <c r="G185" i="2" l="1"/>
  <c r="E186" i="2" s="1"/>
  <c r="G186" i="2" l="1"/>
  <c r="E187" i="2" s="1"/>
  <c r="G187" i="2" l="1"/>
  <c r="E188" i="2" s="1"/>
  <c r="G188" i="2" l="1"/>
  <c r="E189" i="2" s="1"/>
  <c r="G189" i="2" l="1"/>
  <c r="E190" i="2" s="1"/>
  <c r="G190" i="2" l="1"/>
  <c r="E191" i="2" s="1"/>
  <c r="G191" i="2" l="1"/>
  <c r="E192" i="2" s="1"/>
  <c r="G192" i="2" l="1"/>
  <c r="E193" i="2" s="1"/>
  <c r="G193" i="2" l="1"/>
  <c r="E194" i="2" s="1"/>
  <c r="G194" i="2" l="1"/>
  <c r="E195" i="2" s="1"/>
  <c r="G195" i="2" l="1"/>
  <c r="E196" i="2" s="1"/>
  <c r="G196" i="2" l="1"/>
  <c r="E197" i="2" s="1"/>
  <c r="G197" i="2" l="1"/>
  <c r="E198" i="2" s="1"/>
  <c r="G198" i="2" l="1"/>
  <c r="E199" i="2" s="1"/>
  <c r="G199" i="2" l="1"/>
  <c r="E200" i="2" s="1"/>
  <c r="G200" i="2" l="1"/>
  <c r="E201" i="2" s="1"/>
  <c r="G201" i="2" l="1"/>
  <c r="E202" i="2" s="1"/>
  <c r="G202" i="2" l="1"/>
  <c r="E203" i="2" s="1"/>
  <c r="G203" i="2" l="1"/>
  <c r="E204" i="2" s="1"/>
  <c r="G204" i="2" l="1"/>
  <c r="E205" i="2" s="1"/>
  <c r="G205" i="2" l="1"/>
  <c r="E206" i="2" s="1"/>
  <c r="G206" i="2" l="1"/>
  <c r="E207" i="2" s="1"/>
  <c r="G207" i="2" l="1"/>
  <c r="E208" i="2" s="1"/>
  <c r="G208" i="2" l="1"/>
  <c r="E209" i="2" s="1"/>
  <c r="G209" i="2" l="1"/>
  <c r="E210" i="2" s="1"/>
  <c r="G210" i="2" l="1"/>
  <c r="E211" i="2" s="1"/>
  <c r="G211" i="2" l="1"/>
  <c r="E212" i="2" s="1"/>
  <c r="G212" i="2" l="1"/>
  <c r="E213" i="2" s="1"/>
  <c r="I212" i="2"/>
  <c r="I211" i="2"/>
  <c r="I210" i="2"/>
  <c r="I209" i="2"/>
  <c r="I208" i="2"/>
  <c r="I207" i="2"/>
  <c r="I206" i="2"/>
  <c r="I205" i="2"/>
  <c r="I204" i="2"/>
  <c r="I203" i="2"/>
  <c r="I202" i="2"/>
  <c r="I201" i="2"/>
  <c r="I200" i="2"/>
  <c r="I199" i="2"/>
  <c r="I198" i="2"/>
  <c r="I197" i="2"/>
  <c r="I196" i="2"/>
  <c r="I195" i="2"/>
  <c r="I194" i="2"/>
  <c r="I193" i="2"/>
  <c r="I173" i="2"/>
  <c r="I192" i="2"/>
  <c r="I172" i="2"/>
  <c r="I191" i="2"/>
  <c r="I190" i="2"/>
  <c r="I189" i="2"/>
  <c r="I169" i="2"/>
  <c r="I188" i="2"/>
  <c r="I187" i="2"/>
  <c r="I186" i="2"/>
  <c r="I185" i="2"/>
  <c r="I184" i="2"/>
  <c r="I183" i="2"/>
  <c r="I182" i="2"/>
  <c r="I162" i="2"/>
  <c r="I181" i="2"/>
  <c r="I180" i="2"/>
  <c r="I179" i="2"/>
  <c r="I178" i="2"/>
  <c r="I177" i="2"/>
  <c r="I176" i="2"/>
  <c r="I175" i="2"/>
  <c r="I174" i="2"/>
  <c r="I171" i="2"/>
  <c r="I170" i="2"/>
  <c r="I168" i="2"/>
  <c r="I167" i="2"/>
  <c r="I147" i="2"/>
  <c r="I166" i="2"/>
  <c r="I165" i="2"/>
  <c r="I164" i="2"/>
  <c r="I163" i="2"/>
  <c r="I161" i="2"/>
  <c r="I160" i="2"/>
  <c r="I159" i="2"/>
  <c r="I158" i="2"/>
  <c r="I157" i="2"/>
  <c r="I156" i="2"/>
  <c r="I155" i="2"/>
  <c r="I154" i="2"/>
  <c r="I153" i="2"/>
  <c r="I152" i="2"/>
  <c r="I151" i="2"/>
  <c r="I131" i="2"/>
  <c r="I150" i="2"/>
  <c r="I130" i="2"/>
  <c r="I149" i="2"/>
  <c r="I148" i="2"/>
  <c r="I146" i="2"/>
  <c r="I145" i="2"/>
  <c r="I125" i="2"/>
  <c r="I144" i="2"/>
  <c r="I143" i="2"/>
  <c r="I142" i="2"/>
  <c r="I141" i="2"/>
  <c r="I140" i="2"/>
  <c r="I139" i="2"/>
  <c r="I138" i="2"/>
  <c r="I137" i="2"/>
  <c r="I136" i="2"/>
  <c r="I135" i="2"/>
  <c r="I115" i="2"/>
  <c r="I134" i="2"/>
  <c r="I133" i="2"/>
  <c r="I132" i="2"/>
  <c r="I112" i="2"/>
  <c r="I111" i="2"/>
  <c r="I129" i="2"/>
  <c r="I128" i="2"/>
  <c r="I127" i="2"/>
  <c r="I126" i="2"/>
  <c r="I124" i="2"/>
  <c r="I123" i="2"/>
  <c r="I122" i="2"/>
  <c r="I121" i="2"/>
  <c r="I120" i="2"/>
  <c r="I119" i="2"/>
  <c r="I118" i="2"/>
  <c r="I117" i="2"/>
  <c r="I116" i="2"/>
  <c r="I114" i="2"/>
  <c r="I113" i="2"/>
  <c r="I92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76" i="2"/>
  <c r="I95" i="2"/>
  <c r="I94" i="2"/>
  <c r="I93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4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2" i="2"/>
  <c r="I41" i="2"/>
  <c r="I40" i="2"/>
  <c r="I39" i="2"/>
  <c r="I38" i="2"/>
  <c r="I37" i="2"/>
  <c r="I36" i="2"/>
  <c r="I34" i="2"/>
  <c r="I35" i="2"/>
  <c r="I33" i="2"/>
  <c r="I32" i="2"/>
  <c r="I31" i="2"/>
  <c r="I30" i="2"/>
  <c r="I29" i="2"/>
  <c r="I28" i="2"/>
  <c r="I26" i="2"/>
  <c r="I25" i="2"/>
  <c r="I27" i="2"/>
  <c r="I213" i="2" l="1"/>
  <c r="G213" i="2"/>
  <c r="E214" i="2" s="1"/>
  <c r="I214" i="2" l="1"/>
  <c r="G214" i="2"/>
  <c r="E215" i="2" s="1"/>
  <c r="I215" i="2" l="1"/>
  <c r="G215" i="2"/>
  <c r="E216" i="2" s="1"/>
  <c r="I216" i="2" l="1"/>
  <c r="G216" i="2"/>
  <c r="E217" i="2" s="1"/>
  <c r="I217" i="2" l="1"/>
  <c r="G217" i="2"/>
  <c r="E218" i="2" s="1"/>
  <c r="I218" i="2" l="1"/>
  <c r="G218" i="2" l="1"/>
  <c r="E219" i="2" s="1"/>
  <c r="G219" i="2"/>
  <c r="E220" i="2" s="1"/>
  <c r="I219" i="2"/>
  <c r="I220" i="2" l="1"/>
  <c r="G220" i="2"/>
  <c r="E221" i="2" s="1"/>
  <c r="I221" i="2" l="1"/>
  <c r="G221" i="2"/>
  <c r="E222" i="2" s="1"/>
  <c r="I222" i="2" l="1"/>
  <c r="G222" i="2"/>
  <c r="E223" i="2" s="1"/>
  <c r="I223" i="2" l="1"/>
  <c r="G223" i="2"/>
  <c r="E224" i="2" s="1"/>
  <c r="I224" i="2" l="1"/>
  <c r="G224" i="2"/>
  <c r="E225" i="2" s="1"/>
  <c r="G225" i="2" l="1"/>
  <c r="E226" i="2" s="1"/>
  <c r="I225" i="2"/>
  <c r="G226" i="2" l="1"/>
  <c r="E227" i="2" s="1"/>
  <c r="I226" i="2"/>
  <c r="G227" i="2" l="1"/>
  <c r="E228" i="2" s="1"/>
  <c r="I227" i="2"/>
  <c r="G228" i="2" l="1"/>
  <c r="E229" i="2" s="1"/>
  <c r="I228" i="2"/>
  <c r="G229" i="2" l="1"/>
  <c r="E230" i="2" s="1"/>
  <c r="I229" i="2"/>
  <c r="G230" i="2" l="1"/>
  <c r="E231" i="2" s="1"/>
  <c r="I230" i="2"/>
  <c r="G231" i="2" l="1"/>
  <c r="E232" i="2" s="1"/>
  <c r="I231" i="2"/>
  <c r="G232" i="2" l="1"/>
  <c r="E233" i="2" s="1"/>
  <c r="I232" i="2"/>
  <c r="G233" i="2" l="1"/>
  <c r="E234" i="2" s="1"/>
  <c r="I233" i="2"/>
  <c r="G234" i="2" l="1"/>
  <c r="E235" i="2" s="1"/>
  <c r="I234" i="2"/>
  <c r="G235" i="2" l="1"/>
  <c r="E236" i="2" s="1"/>
  <c r="I235" i="2"/>
  <c r="G236" i="2" l="1"/>
  <c r="E237" i="2" s="1"/>
  <c r="I236" i="2"/>
  <c r="G237" i="2" l="1"/>
  <c r="E238" i="2" s="1"/>
  <c r="I237" i="2"/>
  <c r="G238" i="2" l="1"/>
  <c r="E239" i="2" s="1"/>
  <c r="I238" i="2"/>
  <c r="G239" i="2" l="1"/>
  <c r="E240" i="2" s="1"/>
  <c r="I239" i="2"/>
  <c r="G240" i="2" l="1"/>
  <c r="E241" i="2" s="1"/>
  <c r="I240" i="2"/>
  <c r="G241" i="2" l="1"/>
  <c r="E242" i="2" s="1"/>
  <c r="I241" i="2"/>
  <c r="G242" i="2" l="1"/>
  <c r="E243" i="2" s="1"/>
  <c r="I242" i="2"/>
  <c r="G243" i="2" l="1"/>
  <c r="E244" i="2" s="1"/>
  <c r="I243" i="2"/>
  <c r="G244" i="2" l="1"/>
  <c r="E245" i="2" s="1"/>
  <c r="I244" i="2"/>
  <c r="G245" i="2" l="1"/>
  <c r="E246" i="2" s="1"/>
  <c r="I245" i="2"/>
  <c r="G246" i="2" l="1"/>
  <c r="E247" i="2" s="1"/>
  <c r="I246" i="2"/>
  <c r="G247" i="2" l="1"/>
  <c r="E248" i="2" s="1"/>
  <c r="I247" i="2"/>
  <c r="G248" i="2" l="1"/>
  <c r="E249" i="2" s="1"/>
  <c r="I248" i="2"/>
  <c r="G249" i="2" l="1"/>
  <c r="E250" i="2" s="1"/>
  <c r="I249" i="2"/>
  <c r="G250" i="2" l="1"/>
  <c r="E251" i="2" s="1"/>
  <c r="I250" i="2"/>
  <c r="G251" i="2" l="1"/>
  <c r="E252" i="2" s="1"/>
  <c r="I251" i="2"/>
  <c r="G252" i="2" l="1"/>
  <c r="E253" i="2" s="1"/>
  <c r="E3" i="2"/>
  <c r="I252" i="2"/>
  <c r="G253" i="2" l="1"/>
  <c r="E254" i="2" s="1"/>
  <c r="I253" i="2"/>
  <c r="G254" i="2" l="1"/>
  <c r="E255" i="2" s="1"/>
  <c r="I254" i="2"/>
  <c r="G255" i="2" l="1"/>
  <c r="E256" i="2" s="1"/>
  <c r="I255" i="2"/>
  <c r="G256" i="2" l="1"/>
  <c r="E257" i="2" s="1"/>
  <c r="I256" i="2"/>
  <c r="G257" i="2" l="1"/>
  <c r="E258" i="2" s="1"/>
  <c r="I257" i="2"/>
  <c r="G258" i="2" l="1"/>
  <c r="E259" i="2" s="1"/>
  <c r="I258" i="2"/>
  <c r="G259" i="2" l="1"/>
  <c r="E260" i="2" s="1"/>
  <c r="I259" i="2"/>
  <c r="I260" i="2" l="1"/>
</calcChain>
</file>

<file path=xl/comments1.xml><?xml version="1.0" encoding="utf-8"?>
<comments xmlns="http://schemas.openxmlformats.org/spreadsheetml/2006/main">
  <authors>
    <author>Faouzi ALAOUI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Faouzi ALAOUI:</t>
        </r>
        <r>
          <rPr>
            <sz val="9"/>
            <color indexed="81"/>
            <rFont val="Tahoma"/>
            <family val="2"/>
          </rPr>
          <t xml:space="preserve">
Considération du stock fin et les écats d'inventaires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Faouzi ALAOUI:</t>
        </r>
        <r>
          <rPr>
            <sz val="9"/>
            <color indexed="81"/>
            <rFont val="Tahoma"/>
            <family val="2"/>
          </rPr>
          <t xml:space="preserve">
Extraction MRP
</t>
        </r>
      </text>
    </comment>
  </commentList>
</comments>
</file>

<file path=xl/sharedStrings.xml><?xml version="1.0" encoding="utf-8"?>
<sst xmlns="http://schemas.openxmlformats.org/spreadsheetml/2006/main" count="1101" uniqueCount="166">
  <si>
    <t>facteur de vaiabilité</t>
  </si>
  <si>
    <t>MOQ</t>
  </si>
  <si>
    <t>zone verte</t>
  </si>
  <si>
    <t>zone jaune</t>
  </si>
  <si>
    <t>zone rouge sécurité</t>
  </si>
  <si>
    <t>zone rouge de base</t>
  </si>
  <si>
    <t>jours</t>
  </si>
  <si>
    <t>%</t>
  </si>
  <si>
    <t>quantité</t>
  </si>
  <si>
    <t>facteur de délai</t>
  </si>
  <si>
    <t>CMJ</t>
  </si>
  <si>
    <t>stock moyen</t>
  </si>
  <si>
    <t>horizon pic de conso</t>
  </si>
  <si>
    <t>seuil pic de conso</t>
  </si>
  <si>
    <t>stock début</t>
  </si>
  <si>
    <t>stock fin</t>
  </si>
  <si>
    <t>TOG</t>
  </si>
  <si>
    <t>période</t>
  </si>
  <si>
    <t>commande mini</t>
  </si>
  <si>
    <t>commande maxi</t>
  </si>
  <si>
    <t>saisonalité</t>
  </si>
  <si>
    <t>A</t>
  </si>
  <si>
    <t>B</t>
  </si>
  <si>
    <t>D</t>
  </si>
  <si>
    <t>C</t>
  </si>
  <si>
    <t>TOR</t>
  </si>
  <si>
    <t>top of jaune</t>
  </si>
  <si>
    <t>top du vert</t>
  </si>
  <si>
    <t>top du rouge</t>
  </si>
  <si>
    <t>TOY</t>
  </si>
  <si>
    <t>RZ</t>
  </si>
  <si>
    <t>YZ</t>
  </si>
  <si>
    <t>GZ</t>
  </si>
  <si>
    <t>fin somme appro</t>
  </si>
  <si>
    <t>fin somme PIC</t>
  </si>
  <si>
    <t>profil planification</t>
  </si>
  <si>
    <t>Délai découplé (DLT)</t>
  </si>
  <si>
    <t>qte commande client</t>
  </si>
  <si>
    <t>E</t>
  </si>
  <si>
    <t>stock réel</t>
  </si>
  <si>
    <t>qte en appro</t>
  </si>
  <si>
    <t xml:space="preserve">pour les calculs </t>
  </si>
  <si>
    <t>recopie des parametres</t>
  </si>
  <si>
    <t>DLT</t>
  </si>
  <si>
    <t>CMJ prévue</t>
  </si>
  <si>
    <t>référence</t>
  </si>
  <si>
    <t>Délai découplé</t>
  </si>
  <si>
    <t>désignation</t>
  </si>
  <si>
    <t>délai découplé</t>
  </si>
  <si>
    <t>faible</t>
  </si>
  <si>
    <t>variabilité</t>
  </si>
  <si>
    <t>M=Make</t>
  </si>
  <si>
    <t>M10</t>
  </si>
  <si>
    <t>M11</t>
  </si>
  <si>
    <t>B=Buy</t>
  </si>
  <si>
    <t xml:space="preserve">
</t>
  </si>
  <si>
    <t>D=distributed</t>
  </si>
  <si>
    <t>Faible=1</t>
  </si>
  <si>
    <t>Moyen=2</t>
  </si>
  <si>
    <t>Forte=3</t>
  </si>
  <si>
    <t>Moyen=1</t>
  </si>
  <si>
    <t>Long=2</t>
  </si>
  <si>
    <t>Court=0</t>
  </si>
  <si>
    <t>M12</t>
  </si>
  <si>
    <t>B10</t>
  </si>
  <si>
    <t>B11</t>
  </si>
  <si>
    <t>B12</t>
  </si>
  <si>
    <t>D10</t>
  </si>
  <si>
    <t>D11</t>
  </si>
  <si>
    <t>D12</t>
  </si>
  <si>
    <t>M20</t>
  </si>
  <si>
    <t>B20</t>
  </si>
  <si>
    <t>D20</t>
  </si>
  <si>
    <t>M21</t>
  </si>
  <si>
    <t>B21</t>
  </si>
  <si>
    <t>D21</t>
  </si>
  <si>
    <t>M22</t>
  </si>
  <si>
    <t>B22</t>
  </si>
  <si>
    <t>D22</t>
  </si>
  <si>
    <t>M30</t>
  </si>
  <si>
    <t>B30</t>
  </si>
  <si>
    <t>D30</t>
  </si>
  <si>
    <t>M31</t>
  </si>
  <si>
    <t>B31</t>
  </si>
  <si>
    <t>D31</t>
  </si>
  <si>
    <t>M32</t>
  </si>
  <si>
    <t>B32</t>
  </si>
  <si>
    <t>D32</t>
  </si>
  <si>
    <t>M10MOQ</t>
  </si>
  <si>
    <t>B10MOQ</t>
  </si>
  <si>
    <t>D10MOQ</t>
  </si>
  <si>
    <t>M11MOQ</t>
  </si>
  <si>
    <t>M12MOQ</t>
  </si>
  <si>
    <t>B12MOQ</t>
  </si>
  <si>
    <t>D12MOQ</t>
  </si>
  <si>
    <t>M20MOQ</t>
  </si>
  <si>
    <t>B20MOQ</t>
  </si>
  <si>
    <t>D20MOQ</t>
  </si>
  <si>
    <t>M21MOQ</t>
  </si>
  <si>
    <t>B21MOQ</t>
  </si>
  <si>
    <t>D21MOQ</t>
  </si>
  <si>
    <t>M22MOQ</t>
  </si>
  <si>
    <t>B22MOQ</t>
  </si>
  <si>
    <t>D22MOQ</t>
  </si>
  <si>
    <t>M30MOQ</t>
  </si>
  <si>
    <t>B30MOQ</t>
  </si>
  <si>
    <t>D30MOQ</t>
  </si>
  <si>
    <t>M31MOQ</t>
  </si>
  <si>
    <t>B31MOQ</t>
  </si>
  <si>
    <t>D31MOQ</t>
  </si>
  <si>
    <t>M32MOQ</t>
  </si>
  <si>
    <t>B32MOQ</t>
  </si>
  <si>
    <t>D32MOQ</t>
  </si>
  <si>
    <t>B11MOQ</t>
  </si>
  <si>
    <t>D11MOQ</t>
  </si>
  <si>
    <t>Application MOQ</t>
  </si>
  <si>
    <t>Facteur variabilité</t>
  </si>
  <si>
    <t>Facteur de délai</t>
  </si>
  <si>
    <t>Profil de planification</t>
  </si>
  <si>
    <t>pour mémoire</t>
  </si>
  <si>
    <t>forte</t>
  </si>
  <si>
    <t>moyenne</t>
  </si>
  <si>
    <t>60% à 100 %</t>
  </si>
  <si>
    <t>40% à 60%</t>
  </si>
  <si>
    <t>0 à 40%</t>
  </si>
  <si>
    <t>délai</t>
  </si>
  <si>
    <t>20% à 40%</t>
  </si>
  <si>
    <t>60% à 100%</t>
  </si>
  <si>
    <t>facteur variabilité</t>
  </si>
  <si>
    <t>facteur délai</t>
  </si>
  <si>
    <t>MAKE</t>
  </si>
  <si>
    <t>BUY</t>
  </si>
  <si>
    <t>DISTIBUTED</t>
  </si>
  <si>
    <t>seuil PIC</t>
  </si>
  <si>
    <t xml:space="preserve">CMJ moyenne </t>
  </si>
  <si>
    <t>périodes</t>
  </si>
  <si>
    <t>fin moyenne CMJ</t>
  </si>
  <si>
    <t>n° de ligne</t>
  </si>
  <si>
    <t>% variabilité</t>
  </si>
  <si>
    <t>% délai</t>
  </si>
  <si>
    <t>CMJ retenue</t>
  </si>
  <si>
    <t>stock moyen 20 périodes</t>
  </si>
  <si>
    <t>TOR base</t>
  </si>
  <si>
    <t xml:space="preserve"> période 1 à 24</t>
  </si>
  <si>
    <t xml:space="preserve"> période 25 à 48</t>
  </si>
  <si>
    <t>4RCP-SCH6040-20</t>
  </si>
  <si>
    <t>ECHELLE SOUDEE INOX A GLISSIERES 600X400 MM</t>
  </si>
  <si>
    <t>date</t>
  </si>
  <si>
    <t>vente</t>
  </si>
  <si>
    <t>achat</t>
  </si>
  <si>
    <t>écart inventaire</t>
  </si>
  <si>
    <t>achat cumul</t>
  </si>
  <si>
    <t>cumul vente</t>
  </si>
  <si>
    <t>inventaire</t>
  </si>
  <si>
    <t>Article</t>
  </si>
  <si>
    <t>qte en appro
date récept</t>
  </si>
  <si>
    <t>stock réel Début</t>
  </si>
  <si>
    <t>Étiquettes de lignes</t>
  </si>
  <si>
    <t>Total général</t>
  </si>
  <si>
    <t>Somme de écart inventaire</t>
  </si>
  <si>
    <t>Ecart</t>
  </si>
  <si>
    <t>Somme de vente</t>
  </si>
  <si>
    <t xml:space="preserve">Ventes </t>
  </si>
  <si>
    <t>Somme de achat</t>
  </si>
  <si>
    <t>Achats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</si>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</sst>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Verdana"/>
      <family val="2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1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1" fontId="0" fillId="6" borderId="0" xfId="0" applyNumberFormat="1" applyFill="1"/>
    <xf numFmtId="0" fontId="0" fillId="7" borderId="0" xfId="0" applyFill="1"/>
    <xf numFmtId="0" fontId="0" fillId="7" borderId="0" xfId="0" applyFill="1" applyAlignment="1">
      <alignment horizontal="center" vertical="center" wrapText="1"/>
    </xf>
    <xf numFmtId="0" fontId="8" fillId="5" borderId="0" xfId="0" applyFont="1" applyFill="1" applyAlignment="1">
      <alignment horizontal="center"/>
    </xf>
    <xf numFmtId="0" fontId="0" fillId="8" borderId="4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 wrapText="1"/>
    </xf>
    <xf numFmtId="0" fontId="3" fillId="12" borderId="6" xfId="0" applyFont="1" applyFill="1" applyBorder="1" applyAlignment="1">
      <alignment horizontal="center" vertical="center" wrapText="1"/>
    </xf>
    <xf numFmtId="0" fontId="3" fillId="12" borderId="8" xfId="0" applyFont="1" applyFill="1" applyBorder="1" applyAlignment="1">
      <alignment horizontal="center" vertical="center" wrapText="1"/>
    </xf>
    <xf numFmtId="0" fontId="3" fillId="12" borderId="11" xfId="0" applyFont="1" applyFill="1" applyBorder="1" applyAlignment="1">
      <alignment horizontal="center" vertical="center" wrapText="1"/>
    </xf>
    <xf numFmtId="0" fontId="7" fillId="11" borderId="12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7" fillId="11" borderId="12" xfId="0" applyFont="1" applyFill="1" applyBorder="1" applyAlignment="1">
      <alignment horizontal="center" vertical="center"/>
    </xf>
    <xf numFmtId="0" fontId="7" fillId="11" borderId="21" xfId="0" applyFont="1" applyFill="1" applyBorder="1" applyAlignment="1">
      <alignment horizontal="center" vertical="center"/>
    </xf>
    <xf numFmtId="0" fontId="7" fillId="11" borderId="22" xfId="0" applyFont="1" applyFill="1" applyBorder="1" applyAlignment="1">
      <alignment horizontal="center" vertical="center"/>
    </xf>
    <xf numFmtId="9" fontId="0" fillId="8" borderId="5" xfId="1" applyFont="1" applyFill="1" applyBorder="1" applyAlignment="1">
      <alignment horizontal="center"/>
    </xf>
    <xf numFmtId="9" fontId="0" fillId="8" borderId="6" xfId="1" applyFont="1" applyFill="1" applyBorder="1" applyAlignment="1">
      <alignment horizontal="center"/>
    </xf>
    <xf numFmtId="9" fontId="0" fillId="9" borderId="3" xfId="1" applyFont="1" applyFill="1" applyBorder="1" applyAlignment="1">
      <alignment horizontal="center"/>
    </xf>
    <xf numFmtId="9" fontId="0" fillId="9" borderId="14" xfId="1" applyFont="1" applyFill="1" applyBorder="1" applyAlignment="1">
      <alignment horizontal="center"/>
    </xf>
    <xf numFmtId="9" fontId="3" fillId="12" borderId="3" xfId="1" applyFont="1" applyFill="1" applyBorder="1" applyAlignment="1">
      <alignment horizontal="center"/>
    </xf>
    <xf numFmtId="9" fontId="3" fillId="12" borderId="14" xfId="1" applyFont="1" applyFill="1" applyBorder="1" applyAlignment="1">
      <alignment horizontal="center"/>
    </xf>
    <xf numFmtId="9" fontId="0" fillId="8" borderId="3" xfId="1" applyFont="1" applyFill="1" applyBorder="1" applyAlignment="1">
      <alignment horizontal="center"/>
    </xf>
    <xf numFmtId="9" fontId="0" fillId="8" borderId="14" xfId="1" applyFont="1" applyFill="1" applyBorder="1" applyAlignment="1">
      <alignment horizontal="center"/>
    </xf>
    <xf numFmtId="9" fontId="0" fillId="9" borderId="1" xfId="1" applyFont="1" applyFill="1" applyBorder="1" applyAlignment="1">
      <alignment horizontal="center"/>
    </xf>
    <xf numFmtId="9" fontId="0" fillId="9" borderId="8" xfId="1" applyFont="1" applyFill="1" applyBorder="1" applyAlignment="1">
      <alignment horizontal="center"/>
    </xf>
    <xf numFmtId="9" fontId="3" fillId="12" borderId="1" xfId="1" applyFont="1" applyFill="1" applyBorder="1" applyAlignment="1">
      <alignment horizontal="center"/>
    </xf>
    <xf numFmtId="9" fontId="3" fillId="12" borderId="8" xfId="1" applyFont="1" applyFill="1" applyBorder="1" applyAlignment="1">
      <alignment horizontal="center"/>
    </xf>
    <xf numFmtId="9" fontId="0" fillId="8" borderId="23" xfId="1" applyFont="1" applyFill="1" applyBorder="1" applyAlignment="1">
      <alignment horizontal="center"/>
    </xf>
    <xf numFmtId="9" fontId="0" fillId="8" borderId="24" xfId="1" applyFont="1" applyFill="1" applyBorder="1" applyAlignment="1">
      <alignment horizontal="center"/>
    </xf>
    <xf numFmtId="9" fontId="0" fillId="9" borderId="10" xfId="1" applyFont="1" applyFill="1" applyBorder="1" applyAlignment="1">
      <alignment horizontal="center"/>
    </xf>
    <xf numFmtId="9" fontId="0" fillId="9" borderId="11" xfId="1" applyFont="1" applyFill="1" applyBorder="1" applyAlignment="1">
      <alignment horizontal="center"/>
    </xf>
    <xf numFmtId="9" fontId="3" fillId="12" borderId="10" xfId="1" applyFont="1" applyFill="1" applyBorder="1" applyAlignment="1">
      <alignment horizontal="center"/>
    </xf>
    <xf numFmtId="9" fontId="3" fillId="12" borderId="11" xfId="1" applyFont="1" applyFill="1" applyBorder="1" applyAlignment="1">
      <alignment horizontal="center"/>
    </xf>
    <xf numFmtId="9" fontId="0" fillId="8" borderId="1" xfId="1" applyFont="1" applyFill="1" applyBorder="1" applyAlignment="1">
      <alignment horizontal="center"/>
    </xf>
    <xf numFmtId="9" fontId="0" fillId="8" borderId="8" xfId="1" applyFont="1" applyFill="1" applyBorder="1" applyAlignment="1">
      <alignment horizontal="center"/>
    </xf>
    <xf numFmtId="9" fontId="0" fillId="8" borderId="10" xfId="1" applyFont="1" applyFill="1" applyBorder="1" applyAlignment="1">
      <alignment horizontal="center"/>
    </xf>
    <xf numFmtId="9" fontId="0" fillId="8" borderId="11" xfId="1" applyFont="1" applyFill="1" applyBorder="1" applyAlignment="1">
      <alignment horizontal="center"/>
    </xf>
    <xf numFmtId="9" fontId="0" fillId="9" borderId="5" xfId="1" applyFont="1" applyFill="1" applyBorder="1" applyAlignment="1">
      <alignment horizontal="center"/>
    </xf>
    <xf numFmtId="9" fontId="0" fillId="9" borderId="6" xfId="1" applyFont="1" applyFill="1" applyBorder="1" applyAlignment="1">
      <alignment horizontal="center"/>
    </xf>
    <xf numFmtId="9" fontId="3" fillId="12" borderId="5" xfId="1" applyFont="1" applyFill="1" applyBorder="1" applyAlignment="1">
      <alignment horizontal="center"/>
    </xf>
    <xf numFmtId="9" fontId="3" fillId="12" borderId="6" xfId="1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right"/>
    </xf>
    <xf numFmtId="0" fontId="2" fillId="8" borderId="4" xfId="0" applyFont="1" applyFill="1" applyBorder="1" applyAlignment="1">
      <alignment horizontal="center" vertical="center" wrapText="1"/>
    </xf>
    <xf numFmtId="0" fontId="2" fillId="8" borderId="7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2" fillId="9" borderId="15" xfId="0" applyFont="1" applyFill="1" applyBorder="1" applyAlignment="1">
      <alignment horizontal="center" vertical="center" wrapText="1"/>
    </xf>
    <xf numFmtId="0" fontId="2" fillId="9" borderId="16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  <xf numFmtId="9" fontId="2" fillId="9" borderId="18" xfId="1" applyFont="1" applyFill="1" applyBorder="1" applyAlignment="1">
      <alignment horizontal="center" vertical="center" wrapText="1"/>
    </xf>
    <xf numFmtId="9" fontId="2" fillId="9" borderId="16" xfId="1" applyFont="1" applyFill="1" applyBorder="1" applyAlignment="1">
      <alignment horizontal="center" vertical="center" wrapText="1"/>
    </xf>
    <xf numFmtId="9" fontId="2" fillId="9" borderId="17" xfId="1" applyFont="1" applyFill="1" applyBorder="1" applyAlignment="1">
      <alignment horizontal="center" vertical="center" wrapText="1"/>
    </xf>
    <xf numFmtId="0" fontId="7" fillId="12" borderId="15" xfId="0" applyFont="1" applyFill="1" applyBorder="1" applyAlignment="1">
      <alignment horizontal="center" vertical="center" wrapText="1"/>
    </xf>
    <xf numFmtId="0" fontId="7" fillId="12" borderId="16" xfId="0" applyFont="1" applyFill="1" applyBorder="1" applyAlignment="1">
      <alignment horizontal="center" vertical="center" wrapText="1"/>
    </xf>
    <xf numFmtId="0" fontId="7" fillId="12" borderId="17" xfId="0" applyFont="1" applyFill="1" applyBorder="1" applyAlignment="1">
      <alignment horizontal="center" vertical="center" wrapText="1"/>
    </xf>
    <xf numFmtId="9" fontId="7" fillId="12" borderId="18" xfId="1" applyFont="1" applyFill="1" applyBorder="1" applyAlignment="1">
      <alignment horizontal="center" vertical="center" wrapText="1"/>
    </xf>
    <xf numFmtId="9" fontId="7" fillId="12" borderId="16" xfId="1" applyFont="1" applyFill="1" applyBorder="1" applyAlignment="1">
      <alignment horizontal="center" vertical="center" wrapText="1"/>
    </xf>
    <xf numFmtId="9" fontId="7" fillId="12" borderId="17" xfId="1" applyFont="1" applyFill="1" applyBorder="1" applyAlignment="1">
      <alignment horizontal="center" vertical="center" wrapText="1"/>
    </xf>
    <xf numFmtId="0" fontId="7" fillId="10" borderId="0" xfId="0" applyFont="1" applyFill="1" applyAlignment="1">
      <alignment horizontal="center" vertical="center" wrapText="1"/>
    </xf>
    <xf numFmtId="4" fontId="10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25" xfId="0" applyBorder="1" applyAlignment="1">
      <alignment horizontal="center"/>
    </xf>
    <xf numFmtId="0" fontId="6" fillId="0" borderId="29" xfId="0" applyFont="1" applyBorder="1" applyAlignment="1"/>
    <xf numFmtId="0" fontId="0" fillId="0" borderId="29" xfId="0" applyBorder="1"/>
    <xf numFmtId="0" fontId="0" fillId="0" borderId="30" xfId="0" applyBorder="1"/>
    <xf numFmtId="164" fontId="0" fillId="8" borderId="26" xfId="0" applyNumberFormat="1" applyFill="1" applyBorder="1" applyAlignment="1">
      <alignment horizontal="center"/>
    </xf>
    <xf numFmtId="9" fontId="0" fillId="8" borderId="26" xfId="1" applyFont="1" applyFill="1" applyBorder="1" applyAlignment="1">
      <alignment horizontal="center"/>
    </xf>
    <xf numFmtId="1" fontId="0" fillId="2" borderId="26" xfId="0" applyNumberFormat="1" applyFill="1" applyBorder="1" applyAlignment="1">
      <alignment horizontal="center"/>
    </xf>
    <xf numFmtId="1" fontId="0" fillId="3" borderId="26" xfId="0" applyNumberFormat="1" applyFill="1" applyBorder="1" applyAlignment="1">
      <alignment horizontal="center"/>
    </xf>
    <xf numFmtId="1" fontId="7" fillId="5" borderId="26" xfId="0" applyNumberFormat="1" applyFont="1" applyFill="1" applyBorder="1" applyAlignment="1">
      <alignment horizontal="center"/>
    </xf>
    <xf numFmtId="1" fontId="7" fillId="5" borderId="27" xfId="0" applyNumberFormat="1" applyFont="1" applyFill="1" applyBorder="1" applyAlignment="1">
      <alignment horizontal="center"/>
    </xf>
    <xf numFmtId="1" fontId="3" fillId="4" borderId="2" xfId="0" applyNumberFormat="1" applyFont="1" applyFill="1" applyBorder="1" applyAlignment="1">
      <alignment horizontal="center"/>
    </xf>
    <xf numFmtId="0" fontId="4" fillId="13" borderId="0" xfId="0" applyFont="1" applyFill="1" applyAlignment="1">
      <alignment horizontal="center"/>
    </xf>
    <xf numFmtId="1" fontId="0" fillId="13" borderId="27" xfId="0" applyNumberFormat="1" applyFill="1" applyBorder="1" applyAlignment="1">
      <alignment horizontal="center"/>
    </xf>
    <xf numFmtId="0" fontId="9" fillId="6" borderId="20" xfId="0" applyFont="1" applyFill="1" applyBorder="1" applyAlignment="1">
      <alignment horizontal="center"/>
    </xf>
    <xf numFmtId="0" fontId="0" fillId="0" borderId="33" xfId="0" applyBorder="1" applyAlignment="1">
      <alignment horizontal="center"/>
    </xf>
    <xf numFmtId="9" fontId="0" fillId="0" borderId="25" xfId="1" applyFont="1" applyFill="1" applyBorder="1" applyAlignment="1">
      <alignment horizontal="center"/>
    </xf>
    <xf numFmtId="1" fontId="0" fillId="2" borderId="25" xfId="0" applyNumberFormat="1" applyFill="1" applyBorder="1" applyAlignment="1">
      <alignment horizontal="center"/>
    </xf>
    <xf numFmtId="1" fontId="0" fillId="3" borderId="25" xfId="0" applyNumberFormat="1" applyFill="1" applyBorder="1" applyAlignment="1">
      <alignment horizontal="center"/>
    </xf>
    <xf numFmtId="1" fontId="7" fillId="5" borderId="25" xfId="0" applyNumberFormat="1" applyFont="1" applyFill="1" applyBorder="1" applyAlignment="1">
      <alignment horizontal="center"/>
    </xf>
    <xf numFmtId="1" fontId="7" fillId="5" borderId="35" xfId="0" applyNumberFormat="1" applyFont="1" applyFill="1" applyBorder="1" applyAlignment="1">
      <alignment horizontal="center"/>
    </xf>
    <xf numFmtId="0" fontId="0" fillId="0" borderId="13" xfId="0" applyBorder="1"/>
    <xf numFmtId="0" fontId="0" fillId="0" borderId="26" xfId="0" applyBorder="1"/>
    <xf numFmtId="14" fontId="0" fillId="0" borderId="26" xfId="0" applyNumberFormat="1" applyBorder="1"/>
    <xf numFmtId="0" fontId="0" fillId="0" borderId="27" xfId="0" applyBorder="1"/>
    <xf numFmtId="0" fontId="0" fillId="2" borderId="26" xfId="0" applyFill="1" applyBorder="1"/>
    <xf numFmtId="0" fontId="0" fillId="3" borderId="26" xfId="0" applyFill="1" applyBorder="1"/>
    <xf numFmtId="0" fontId="7" fillId="5" borderId="26" xfId="0" applyFont="1" applyFill="1" applyBorder="1"/>
    <xf numFmtId="0" fontId="7" fillId="5" borderId="27" xfId="0" applyFont="1" applyFill="1" applyBorder="1"/>
    <xf numFmtId="0" fontId="4" fillId="0" borderId="32" xfId="0" applyFont="1" applyBorder="1" applyAlignment="1">
      <alignment horizontal="center"/>
    </xf>
    <xf numFmtId="0" fontId="9" fillId="6" borderId="31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1" fontId="0" fillId="8" borderId="27" xfId="1" applyNumberFormat="1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4" fillId="8" borderId="29" xfId="0" applyFont="1" applyFill="1" applyBorder="1" applyAlignment="1">
      <alignment horizontal="center"/>
    </xf>
    <xf numFmtId="0" fontId="0" fillId="8" borderId="2" xfId="0" applyFill="1" applyBorder="1"/>
    <xf numFmtId="164" fontId="0" fillId="8" borderId="2" xfId="0" applyNumberFormat="1" applyFill="1" applyBorder="1" applyAlignment="1">
      <alignment horizontal="center"/>
    </xf>
    <xf numFmtId="164" fontId="0" fillId="0" borderId="0" xfId="0" applyNumberFormat="1"/>
    <xf numFmtId="1" fontId="0" fillId="8" borderId="26" xfId="0" applyNumberFormat="1" applyFill="1" applyBorder="1" applyAlignment="1">
      <alignment horizontal="center"/>
    </xf>
    <xf numFmtId="0" fontId="0" fillId="13" borderId="33" xfId="0" applyFill="1" applyBorder="1" applyAlignment="1">
      <alignment horizontal="center"/>
    </xf>
    <xf numFmtId="1" fontId="0" fillId="13" borderId="34" xfId="0" applyNumberFormat="1" applyFill="1" applyBorder="1" applyAlignment="1">
      <alignment horizontal="center"/>
    </xf>
    <xf numFmtId="1" fontId="0" fillId="13" borderId="35" xfId="0" applyNumberFormat="1" applyFill="1" applyBorder="1" applyAlignment="1">
      <alignment horizontal="center"/>
    </xf>
    <xf numFmtId="0" fontId="0" fillId="13" borderId="13" xfId="0" applyFill="1" applyBorder="1"/>
    <xf numFmtId="0" fontId="0" fillId="13" borderId="27" xfId="0" applyFill="1" applyBorder="1"/>
    <xf numFmtId="0" fontId="12" fillId="0" borderId="2" xfId="0" quotePrefix="1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2" fillId="0" borderId="28" xfId="0" applyFont="1" applyBorder="1" applyAlignment="1">
      <alignment horizontal="left"/>
    </xf>
    <xf numFmtId="9" fontId="0" fillId="0" borderId="0" xfId="1" applyFont="1"/>
    <xf numFmtId="1" fontId="9" fillId="6" borderId="25" xfId="0" applyNumberFormat="1" applyFont="1" applyFill="1" applyBorder="1" applyAlignment="1">
      <alignment horizontal="center"/>
    </xf>
    <xf numFmtId="0" fontId="0" fillId="0" borderId="2" xfId="0" applyBorder="1"/>
    <xf numFmtId="0" fontId="4" fillId="0" borderId="29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26" xfId="0" applyBorder="1" applyAlignment="1">
      <alignment horizontal="center"/>
    </xf>
    <xf numFmtId="0" fontId="9" fillId="6" borderId="26" xfId="0" applyFont="1" applyFill="1" applyBorder="1" applyAlignment="1">
      <alignment horizontal="center"/>
    </xf>
    <xf numFmtId="9" fontId="0" fillId="0" borderId="26" xfId="1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1" fontId="3" fillId="4" borderId="28" xfId="0" applyNumberFormat="1" applyFont="1" applyFill="1" applyBorder="1" applyAlignment="1">
      <alignment horizontal="center"/>
    </xf>
    <xf numFmtId="1" fontId="0" fillId="13" borderId="31" xfId="0" applyNumberFormat="1" applyFill="1" applyBorder="1" applyAlignment="1">
      <alignment horizontal="center"/>
    </xf>
    <xf numFmtId="1" fontId="3" fillId="4" borderId="13" xfId="0" applyNumberFormat="1" applyFont="1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3" fillId="4" borderId="2" xfId="0" applyFont="1" applyFill="1" applyBorder="1"/>
    <xf numFmtId="0" fontId="0" fillId="8" borderId="20" xfId="0" applyFill="1" applyBorder="1"/>
    <xf numFmtId="1" fontId="0" fillId="9" borderId="25" xfId="0" applyNumberFormat="1" applyFill="1" applyBorder="1"/>
    <xf numFmtId="0" fontId="0" fillId="8" borderId="34" xfId="0" applyFill="1" applyBorder="1"/>
    <xf numFmtId="1" fontId="0" fillId="9" borderId="35" xfId="0" applyNumberFormat="1" applyFill="1" applyBorder="1"/>
    <xf numFmtId="1" fontId="2" fillId="6" borderId="28" xfId="0" applyNumberFormat="1" applyFont="1" applyFill="1" applyBorder="1" applyAlignment="1">
      <alignment horizontal="center" vertical="center" wrapText="1"/>
    </xf>
    <xf numFmtId="1" fontId="14" fillId="14" borderId="29" xfId="0" applyNumberFormat="1" applyFont="1" applyFill="1" applyBorder="1" applyAlignment="1">
      <alignment horizontal="center" vertical="center" wrapText="1"/>
    </xf>
    <xf numFmtId="0" fontId="2" fillId="6" borderId="29" xfId="0" applyFont="1" applyFill="1" applyBorder="1" applyAlignment="1">
      <alignment horizontal="center" vertical="center" wrapText="1"/>
    </xf>
    <xf numFmtId="0" fontId="0" fillId="8" borderId="28" xfId="0" applyFill="1" applyBorder="1" applyAlignment="1">
      <alignment horizontal="center" vertical="center" wrapText="1"/>
    </xf>
    <xf numFmtId="0" fontId="0" fillId="9" borderId="30" xfId="0" applyFill="1" applyBorder="1" applyAlignment="1">
      <alignment horizontal="center" vertical="center" wrapText="1"/>
    </xf>
    <xf numFmtId="0" fontId="7" fillId="11" borderId="13" xfId="0" applyFont="1" applyFill="1" applyBorder="1" applyAlignment="1">
      <alignment vertical="center"/>
    </xf>
    <xf numFmtId="0" fontId="7" fillId="11" borderId="26" xfId="0" applyFont="1" applyFill="1" applyBorder="1" applyAlignment="1">
      <alignment vertical="center"/>
    </xf>
    <xf numFmtId="0" fontId="7" fillId="11" borderId="36" xfId="0" applyFont="1" applyFill="1" applyBorder="1" applyAlignment="1">
      <alignment vertical="center"/>
    </xf>
    <xf numFmtId="0" fontId="7" fillId="11" borderId="37" xfId="0" applyFont="1" applyFill="1" applyBorder="1" applyAlignment="1">
      <alignment vertical="center" wrapText="1"/>
    </xf>
    <xf numFmtId="0" fontId="7" fillId="11" borderId="26" xfId="0" applyFont="1" applyFill="1" applyBorder="1" applyAlignment="1">
      <alignment vertical="center" wrapText="1"/>
    </xf>
    <xf numFmtId="0" fontId="7" fillId="11" borderId="36" xfId="0" applyFont="1" applyFill="1" applyBorder="1" applyAlignment="1">
      <alignment vertical="center" wrapText="1"/>
    </xf>
    <xf numFmtId="0" fontId="7" fillId="11" borderId="37" xfId="0" applyFont="1" applyFill="1" applyBorder="1" applyAlignment="1">
      <alignment vertical="center"/>
    </xf>
    <xf numFmtId="0" fontId="7" fillId="11" borderId="27" xfId="0" applyFont="1" applyFill="1" applyBorder="1" applyAlignment="1">
      <alignment vertical="center"/>
    </xf>
    <xf numFmtId="0" fontId="7" fillId="11" borderId="22" xfId="0" applyFont="1" applyFill="1" applyBorder="1" applyAlignment="1">
      <alignment horizontal="center" vertical="center" wrapText="1"/>
    </xf>
    <xf numFmtId="9" fontId="0" fillId="15" borderId="0" xfId="1" applyFont="1" applyFill="1" applyAlignment="1">
      <alignment horizontal="center"/>
    </xf>
    <xf numFmtId="0" fontId="0" fillId="14" borderId="30" xfId="0" applyFill="1" applyBorder="1" applyAlignment="1">
      <alignment horizontal="center" vertical="center" wrapText="1"/>
    </xf>
    <xf numFmtId="1" fontId="0" fillId="14" borderId="0" xfId="0" applyNumberFormat="1" applyFill="1" applyBorder="1" applyAlignment="1">
      <alignment horizontal="center"/>
    </xf>
    <xf numFmtId="164" fontId="0" fillId="14" borderId="25" xfId="0" applyNumberFormat="1" applyFill="1" applyBorder="1"/>
    <xf numFmtId="164" fontId="0" fillId="14" borderId="35" xfId="0" applyNumberFormat="1" applyFill="1" applyBorder="1"/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2" fillId="0" borderId="28" xfId="0" applyFont="1" applyFill="1" applyBorder="1" applyAlignment="1">
      <alignment horizontal="center" vertical="center" wrapText="1"/>
    </xf>
    <xf numFmtId="165" fontId="0" fillId="6" borderId="0" xfId="0" applyNumberFormat="1" applyFill="1"/>
    <xf numFmtId="14" fontId="15" fillId="0" borderId="0" xfId="0" applyNumberFormat="1" applyFont="1" applyAlignment="1">
      <alignment horizontal="left"/>
    </xf>
    <xf numFmtId="4" fontId="15" fillId="0" borderId="0" xfId="0" applyNumberFormat="1" applyFont="1" applyAlignment="1">
      <alignment horizontal="right"/>
    </xf>
    <xf numFmtId="14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horizontal="center" vertical="center" wrapText="1"/>
    </xf>
    <xf numFmtId="2" fontId="15" fillId="0" borderId="0" xfId="0" applyNumberFormat="1" applyFont="1" applyAlignment="1">
      <alignment horizontal="left"/>
    </xf>
    <xf numFmtId="0" fontId="2" fillId="0" borderId="0" xfId="0" applyFont="1"/>
    <xf numFmtId="9" fontId="0" fillId="0" borderId="1" xfId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7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" fontId="15" fillId="0" borderId="0" xfId="0" applyNumberFormat="1" applyFont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16" fillId="6" borderId="1" xfId="0" applyNumberFormat="1" applyFont="1" applyFill="1" applyBorder="1" applyAlignment="1">
      <alignment horizontal="center" vertical="center" wrapText="1"/>
    </xf>
    <xf numFmtId="0" fontId="16" fillId="6" borderId="1" xfId="0" applyFont="1" applyFill="1" applyBorder="1" applyAlignment="1">
      <alignment horizontal="center" vertical="center" wrapText="1"/>
    </xf>
    <xf numFmtId="2" fontId="16" fillId="6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 vertical="center"/>
    </xf>
    <xf numFmtId="0" fontId="16" fillId="16" borderId="1" xfId="0" applyFont="1" applyFill="1" applyBorder="1" applyAlignment="1">
      <alignment horizontal="center" vertical="center" wrapText="1"/>
    </xf>
    <xf numFmtId="1" fontId="0" fillId="16" borderId="1" xfId="0" applyNumberForma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0" xfId="0" pivotButton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" fontId="15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38" xfId="0" pivotButton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/>
    <xf numFmtId="0" fontId="6" fillId="0" borderId="28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7" fillId="11" borderId="4" xfId="0" applyFont="1" applyFill="1" applyBorder="1" applyAlignment="1">
      <alignment horizontal="center" vertical="center" textRotation="90"/>
    </xf>
    <xf numFmtId="0" fontId="7" fillId="11" borderId="6" xfId="0" applyFont="1" applyFill="1" applyBorder="1" applyAlignment="1">
      <alignment horizontal="center" vertical="center" textRotation="90"/>
    </xf>
    <xf numFmtId="0" fontId="7" fillId="11" borderId="7" xfId="0" applyFont="1" applyFill="1" applyBorder="1" applyAlignment="1">
      <alignment horizontal="center" vertical="center" textRotation="90"/>
    </xf>
    <xf numFmtId="0" fontId="7" fillId="11" borderId="8" xfId="0" applyFont="1" applyFill="1" applyBorder="1" applyAlignment="1">
      <alignment horizontal="center" vertical="center" textRotation="90"/>
    </xf>
    <xf numFmtId="0" fontId="7" fillId="11" borderId="9" xfId="0" applyFont="1" applyFill="1" applyBorder="1" applyAlignment="1">
      <alignment horizontal="center" vertical="center" textRotation="90"/>
    </xf>
    <xf numFmtId="0" fontId="7" fillId="11" borderId="11" xfId="0" applyFont="1" applyFill="1" applyBorder="1" applyAlignment="1">
      <alignment horizontal="center" vertical="center" textRotation="90"/>
    </xf>
    <xf numFmtId="0" fontId="7" fillId="11" borderId="6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 wrapText="1"/>
    </xf>
    <xf numFmtId="0" fontId="7" fillId="11" borderId="11" xfId="0" applyFont="1" applyFill="1" applyBorder="1" applyAlignment="1">
      <alignment horizontal="center" vertical="center"/>
    </xf>
    <xf numFmtId="0" fontId="11" fillId="11" borderId="13" xfId="0" applyFont="1" applyFill="1" applyBorder="1" applyAlignment="1">
      <alignment horizontal="center" vertical="center" textRotation="90"/>
    </xf>
    <xf numFmtId="0" fontId="11" fillId="11" borderId="26" xfId="0" applyFont="1" applyFill="1" applyBorder="1" applyAlignment="1">
      <alignment horizontal="center" vertical="center" textRotation="90"/>
    </xf>
    <xf numFmtId="0" fontId="11" fillId="11" borderId="27" xfId="0" applyFont="1" applyFill="1" applyBorder="1" applyAlignment="1">
      <alignment horizontal="center" vertical="center" textRotation="90"/>
    </xf>
    <xf numFmtId="0" fontId="2" fillId="0" borderId="19" xfId="0" applyFont="1" applyBorder="1" applyAlignment="1">
      <alignment horizontal="center"/>
    </xf>
    <xf numFmtId="0" fontId="2" fillId="6" borderId="20" xfId="0" applyFont="1" applyFill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0" fontId="2" fillId="6" borderId="34" xfId="0" applyFont="1" applyFill="1" applyBorder="1" applyAlignment="1">
      <alignment horizontal="center" vertical="center"/>
    </xf>
    <xf numFmtId="0" fontId="2" fillId="6" borderId="35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alignment vertical="center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alignment horizontal="center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3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FF0000"/>
            </a:solidFill>
            <a:ln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</c:dPt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'parametres articles'!$C$5:$F$5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'parametres articles'!$C$19:$F$19</c:f>
              <c:numCache>
                <c:formatCode>0</c:formatCode>
                <c:ptCount val="4"/>
                <c:pt idx="0">
                  <c:v>13.62</c:v>
                </c:pt>
                <c:pt idx="1">
                  <c:v>27.9</c:v>
                </c:pt>
                <c:pt idx="2">
                  <c:v>26.25</c:v>
                </c:pt>
                <c:pt idx="3">
                  <c:v>26.25</c:v>
                </c:pt>
              </c:numCache>
            </c:numRef>
          </c:val>
        </c:ser>
        <c:ser>
          <c:idx val="1"/>
          <c:order val="1"/>
          <c:spPr>
            <a:solidFill>
              <a:srgbClr val="FF0000"/>
            </a:solidFill>
            <a:ln>
              <a:solidFill>
                <a:schemeClr val="tx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'parametres articles'!$C$5:$F$5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'parametres articles'!$C$18:$F$18</c:f>
              <c:numCache>
                <c:formatCode>0</c:formatCode>
                <c:ptCount val="4"/>
                <c:pt idx="0">
                  <c:v>10.896000000000001</c:v>
                </c:pt>
                <c:pt idx="1">
                  <c:v>6.9749999999999996</c:v>
                </c:pt>
                <c:pt idx="2">
                  <c:v>13.125</c:v>
                </c:pt>
                <c:pt idx="3">
                  <c:v>13.125</c:v>
                </c:pt>
              </c:numCache>
            </c:numRef>
          </c:val>
        </c:ser>
        <c:ser>
          <c:idx val="2"/>
          <c:order val="2"/>
          <c:spPr>
            <a:solidFill>
              <a:srgbClr val="FFFF00"/>
            </a:solidFill>
            <a:ln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</c:dPt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'parametres articles'!$C$5:$F$5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'parametres articles'!$C$16:$F$16</c:f>
              <c:numCache>
                <c:formatCode>0</c:formatCode>
                <c:ptCount val="4"/>
                <c:pt idx="0">
                  <c:v>34.049999999999997</c:v>
                </c:pt>
                <c:pt idx="1">
                  <c:v>46.5</c:v>
                </c:pt>
                <c:pt idx="2">
                  <c:v>52.5</c:v>
                </c:pt>
                <c:pt idx="3">
                  <c:v>52.5</c:v>
                </c:pt>
              </c:numCache>
            </c:numRef>
          </c:val>
        </c:ser>
        <c:ser>
          <c:idx val="3"/>
          <c:order val="3"/>
          <c:spPr>
            <a:solidFill>
              <a:srgbClr val="92D050"/>
            </a:solidFill>
            <a:ln>
              <a:solidFill>
                <a:schemeClr val="tx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'parametres articles'!$C$5:$F$5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'parametres articles'!$C$14:$F$14</c:f>
              <c:numCache>
                <c:formatCode>0</c:formatCode>
                <c:ptCount val="4"/>
                <c:pt idx="0">
                  <c:v>13.620000000000001</c:v>
                </c:pt>
                <c:pt idx="1">
                  <c:v>27.9</c:v>
                </c:pt>
                <c:pt idx="2">
                  <c:v>26.25</c:v>
                </c:pt>
                <c:pt idx="3">
                  <c:v>26.25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2894464"/>
        <c:axId val="192896000"/>
      </c:barChart>
      <c:scatterChart>
        <c:scatterStyle val="lineMarker"/>
        <c:varyColors val="0"/>
        <c:ser>
          <c:idx val="4"/>
          <c:order val="4"/>
          <c:tx>
            <c:v>stock moyen</c:v>
          </c:tx>
          <c:spPr>
            <a:ln w="28575">
              <a:noFill/>
            </a:ln>
          </c:spPr>
          <c:marker>
            <c:symbol val="dash"/>
            <c:size val="20"/>
            <c:spPr>
              <a:solidFill>
                <a:srgbClr val="00B0F0"/>
              </a:solidFill>
            </c:spPr>
          </c:marker>
          <c:dLbls>
            <c:txPr>
              <a:bodyPr/>
              <a:lstStyle/>
              <a:p>
                <a:pPr>
                  <a:defRPr b="1">
                    <a:solidFill>
                      <a:schemeClr val="tx2">
                        <a:lumMod val="60000"/>
                        <a:lumOff val="40000"/>
                      </a:schemeClr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yVal>
            <c:numRef>
              <c:f>'parametres articles'!$C$21:$F$21</c:f>
              <c:numCache>
                <c:formatCode>0</c:formatCode>
                <c:ptCount val="4"/>
                <c:pt idx="0">
                  <c:v>31.326000000000001</c:v>
                </c:pt>
                <c:pt idx="1">
                  <c:v>48.825000000000003</c:v>
                </c:pt>
                <c:pt idx="2">
                  <c:v>52.5</c:v>
                </c:pt>
                <c:pt idx="3">
                  <c:v>52.5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894464"/>
        <c:axId val="192896000"/>
      </c:scatterChart>
      <c:catAx>
        <c:axId val="192894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92896000"/>
        <c:crosses val="autoZero"/>
        <c:auto val="1"/>
        <c:lblAlgn val="ctr"/>
        <c:lblOffset val="100"/>
        <c:noMultiLvlLbl val="0"/>
      </c:catAx>
      <c:valAx>
        <c:axId val="19289600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28944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2"/>
          <c:tx>
            <c:strRef>
              <c:f>'simulation commandes'!$V$4</c:f>
              <c:strCache>
                <c:ptCount val="1"/>
                <c:pt idx="0">
                  <c:v>RZ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val>
            <c:numRef>
              <c:f>'simulation commandes'!$V$5:$V$252</c:f>
              <c:numCache>
                <c:formatCode>0</c:formatCode>
                <c:ptCount val="248"/>
                <c:pt idx="0">
                  <c:v>24.515999999999998</c:v>
                </c:pt>
                <c:pt idx="1">
                  <c:v>24.515999999999998</c:v>
                </c:pt>
                <c:pt idx="2">
                  <c:v>24.515999999999998</c:v>
                </c:pt>
                <c:pt idx="3">
                  <c:v>24.515999999999998</c:v>
                </c:pt>
                <c:pt idx="4">
                  <c:v>24.515999999999998</c:v>
                </c:pt>
                <c:pt idx="5">
                  <c:v>24.515999999999998</c:v>
                </c:pt>
                <c:pt idx="6">
                  <c:v>24.515999999999998</c:v>
                </c:pt>
                <c:pt idx="7">
                  <c:v>24.515999999999998</c:v>
                </c:pt>
                <c:pt idx="8">
                  <c:v>24.515999999999998</c:v>
                </c:pt>
                <c:pt idx="9">
                  <c:v>24.515999999999998</c:v>
                </c:pt>
                <c:pt idx="10">
                  <c:v>24.515999999999998</c:v>
                </c:pt>
                <c:pt idx="11">
                  <c:v>24.515999999999998</c:v>
                </c:pt>
                <c:pt idx="12">
                  <c:v>24.515999999999998</c:v>
                </c:pt>
                <c:pt idx="13">
                  <c:v>24.515999999999998</c:v>
                </c:pt>
                <c:pt idx="14">
                  <c:v>24.515999999999998</c:v>
                </c:pt>
                <c:pt idx="15">
                  <c:v>24.515999999999998</c:v>
                </c:pt>
                <c:pt idx="16">
                  <c:v>24.515999999999998</c:v>
                </c:pt>
                <c:pt idx="17">
                  <c:v>24.515999999999998</c:v>
                </c:pt>
                <c:pt idx="18">
                  <c:v>24.515999999999998</c:v>
                </c:pt>
                <c:pt idx="19">
                  <c:v>24.515999999999998</c:v>
                </c:pt>
                <c:pt idx="20">
                  <c:v>24.515999999999998</c:v>
                </c:pt>
                <c:pt idx="21">
                  <c:v>24.515999999999998</c:v>
                </c:pt>
                <c:pt idx="22">
                  <c:v>24.515999999999998</c:v>
                </c:pt>
                <c:pt idx="23">
                  <c:v>24.515999999999998</c:v>
                </c:pt>
                <c:pt idx="24">
                  <c:v>24.515999999999998</c:v>
                </c:pt>
                <c:pt idx="25">
                  <c:v>24.515999999999998</c:v>
                </c:pt>
                <c:pt idx="26">
                  <c:v>39.375</c:v>
                </c:pt>
                <c:pt idx="27">
                  <c:v>39.375</c:v>
                </c:pt>
                <c:pt idx="28">
                  <c:v>39.375</c:v>
                </c:pt>
                <c:pt idx="29">
                  <c:v>39.375</c:v>
                </c:pt>
                <c:pt idx="30">
                  <c:v>39.375</c:v>
                </c:pt>
                <c:pt idx="31">
                  <c:v>39.375</c:v>
                </c:pt>
                <c:pt idx="32">
                  <c:v>39.375</c:v>
                </c:pt>
                <c:pt idx="33">
                  <c:v>39.375</c:v>
                </c:pt>
                <c:pt idx="34">
                  <c:v>39.375</c:v>
                </c:pt>
                <c:pt idx="35">
                  <c:v>39.375</c:v>
                </c:pt>
                <c:pt idx="36">
                  <c:v>39.375</c:v>
                </c:pt>
                <c:pt idx="37">
                  <c:v>39.375</c:v>
                </c:pt>
                <c:pt idx="38">
                  <c:v>39.375</c:v>
                </c:pt>
                <c:pt idx="39">
                  <c:v>39.375</c:v>
                </c:pt>
                <c:pt idx="40">
                  <c:v>39.375</c:v>
                </c:pt>
                <c:pt idx="41">
                  <c:v>39.375</c:v>
                </c:pt>
                <c:pt idx="42">
                  <c:v>24.515999999999998</c:v>
                </c:pt>
                <c:pt idx="43">
                  <c:v>24.515999999999998</c:v>
                </c:pt>
                <c:pt idx="44">
                  <c:v>24.515999999999998</c:v>
                </c:pt>
                <c:pt idx="45">
                  <c:v>24.515999999999998</c:v>
                </c:pt>
                <c:pt idx="46">
                  <c:v>24.515999999999998</c:v>
                </c:pt>
                <c:pt idx="47">
                  <c:v>24.515999999999998</c:v>
                </c:pt>
                <c:pt idx="48">
                  <c:v>24.515999999999998</c:v>
                </c:pt>
                <c:pt idx="49">
                  <c:v>24.515999999999998</c:v>
                </c:pt>
                <c:pt idx="50">
                  <c:v>24.515999999999998</c:v>
                </c:pt>
                <c:pt idx="51">
                  <c:v>24.515999999999998</c:v>
                </c:pt>
                <c:pt idx="52">
                  <c:v>24.515999999999998</c:v>
                </c:pt>
                <c:pt idx="53">
                  <c:v>24.515999999999998</c:v>
                </c:pt>
                <c:pt idx="54">
                  <c:v>24.515999999999998</c:v>
                </c:pt>
                <c:pt idx="55">
                  <c:v>24.515999999999998</c:v>
                </c:pt>
                <c:pt idx="56">
                  <c:v>24.515999999999998</c:v>
                </c:pt>
                <c:pt idx="57">
                  <c:v>24.515999999999998</c:v>
                </c:pt>
                <c:pt idx="58">
                  <c:v>24.515999999999998</c:v>
                </c:pt>
                <c:pt idx="59">
                  <c:v>24.515999999999998</c:v>
                </c:pt>
                <c:pt idx="60">
                  <c:v>24.515999999999998</c:v>
                </c:pt>
                <c:pt idx="61">
                  <c:v>24.515999999999998</c:v>
                </c:pt>
                <c:pt idx="62">
                  <c:v>24.515999999999998</c:v>
                </c:pt>
                <c:pt idx="63">
                  <c:v>24.515999999999998</c:v>
                </c:pt>
                <c:pt idx="64">
                  <c:v>24.515999999999998</c:v>
                </c:pt>
                <c:pt idx="65">
                  <c:v>24.515999999999998</c:v>
                </c:pt>
                <c:pt idx="66">
                  <c:v>24.515999999999998</c:v>
                </c:pt>
                <c:pt idx="67">
                  <c:v>24.515999999999998</c:v>
                </c:pt>
                <c:pt idx="68">
                  <c:v>24.515999999999998</c:v>
                </c:pt>
                <c:pt idx="69">
                  <c:v>24.515999999999998</c:v>
                </c:pt>
                <c:pt idx="70">
                  <c:v>24.515999999999998</c:v>
                </c:pt>
                <c:pt idx="71">
                  <c:v>24.515999999999998</c:v>
                </c:pt>
                <c:pt idx="72">
                  <c:v>24.515999999999998</c:v>
                </c:pt>
                <c:pt idx="73">
                  <c:v>24.515999999999998</c:v>
                </c:pt>
                <c:pt idx="74">
                  <c:v>24.515999999999998</c:v>
                </c:pt>
                <c:pt idx="75">
                  <c:v>24.515999999999998</c:v>
                </c:pt>
                <c:pt idx="76">
                  <c:v>24.515999999999998</c:v>
                </c:pt>
                <c:pt idx="77">
                  <c:v>24.515999999999998</c:v>
                </c:pt>
                <c:pt idx="78">
                  <c:v>24.515999999999998</c:v>
                </c:pt>
                <c:pt idx="79">
                  <c:v>24.515999999999998</c:v>
                </c:pt>
                <c:pt idx="80">
                  <c:v>24.515999999999998</c:v>
                </c:pt>
                <c:pt idx="81">
                  <c:v>24.515999999999998</c:v>
                </c:pt>
                <c:pt idx="82">
                  <c:v>24.515999999999998</c:v>
                </c:pt>
                <c:pt idx="83">
                  <c:v>24.515999999999998</c:v>
                </c:pt>
                <c:pt idx="84">
                  <c:v>24.515999999999998</c:v>
                </c:pt>
                <c:pt idx="85">
                  <c:v>24.515999999999998</c:v>
                </c:pt>
                <c:pt idx="86">
                  <c:v>24.515999999999998</c:v>
                </c:pt>
                <c:pt idx="87">
                  <c:v>24.515999999999998</c:v>
                </c:pt>
                <c:pt idx="88">
                  <c:v>24.515999999999998</c:v>
                </c:pt>
                <c:pt idx="89">
                  <c:v>24.515999999999998</c:v>
                </c:pt>
                <c:pt idx="90">
                  <c:v>24.515999999999998</c:v>
                </c:pt>
                <c:pt idx="91">
                  <c:v>24.515999999999998</c:v>
                </c:pt>
                <c:pt idx="92">
                  <c:v>24.515999999999998</c:v>
                </c:pt>
                <c:pt idx="93">
                  <c:v>24.515999999999998</c:v>
                </c:pt>
                <c:pt idx="94">
                  <c:v>24.515999999999998</c:v>
                </c:pt>
                <c:pt idx="95">
                  <c:v>24.515999999999998</c:v>
                </c:pt>
                <c:pt idx="96">
                  <c:v>24.515999999999998</c:v>
                </c:pt>
                <c:pt idx="97">
                  <c:v>24.515999999999998</c:v>
                </c:pt>
                <c:pt idx="98">
                  <c:v>24.515999999999998</c:v>
                </c:pt>
                <c:pt idx="99">
                  <c:v>24.515999999999998</c:v>
                </c:pt>
                <c:pt idx="100">
                  <c:v>24.515999999999998</c:v>
                </c:pt>
                <c:pt idx="101">
                  <c:v>24.515999999999998</c:v>
                </c:pt>
                <c:pt idx="102">
                  <c:v>24.515999999999998</c:v>
                </c:pt>
                <c:pt idx="103">
                  <c:v>24.515999999999998</c:v>
                </c:pt>
                <c:pt idx="104">
                  <c:v>24.515999999999998</c:v>
                </c:pt>
                <c:pt idx="105">
                  <c:v>24.515999999999998</c:v>
                </c:pt>
                <c:pt idx="106">
                  <c:v>24.515999999999998</c:v>
                </c:pt>
                <c:pt idx="107">
                  <c:v>24.515999999999998</c:v>
                </c:pt>
                <c:pt idx="108">
                  <c:v>24.515999999999998</c:v>
                </c:pt>
                <c:pt idx="109">
                  <c:v>24.515999999999998</c:v>
                </c:pt>
                <c:pt idx="110">
                  <c:v>24.515999999999998</c:v>
                </c:pt>
                <c:pt idx="111">
                  <c:v>24.515999999999998</c:v>
                </c:pt>
                <c:pt idx="112">
                  <c:v>24.515999999999998</c:v>
                </c:pt>
                <c:pt idx="113">
                  <c:v>24.515999999999998</c:v>
                </c:pt>
                <c:pt idx="114">
                  <c:v>24.515999999999998</c:v>
                </c:pt>
                <c:pt idx="115">
                  <c:v>24.515999999999998</c:v>
                </c:pt>
                <c:pt idx="116">
                  <c:v>24.515999999999998</c:v>
                </c:pt>
                <c:pt idx="117">
                  <c:v>24.515999999999998</c:v>
                </c:pt>
                <c:pt idx="118">
                  <c:v>24.515999999999998</c:v>
                </c:pt>
                <c:pt idx="119">
                  <c:v>24.515999999999998</c:v>
                </c:pt>
                <c:pt idx="120">
                  <c:v>24.515999999999998</c:v>
                </c:pt>
                <c:pt idx="121">
                  <c:v>24.515999999999998</c:v>
                </c:pt>
                <c:pt idx="122">
                  <c:v>24.515999999999998</c:v>
                </c:pt>
                <c:pt idx="123">
                  <c:v>24.515999999999998</c:v>
                </c:pt>
                <c:pt idx="124">
                  <c:v>24.515999999999998</c:v>
                </c:pt>
                <c:pt idx="125">
                  <c:v>24.515999999999998</c:v>
                </c:pt>
                <c:pt idx="126">
                  <c:v>24.515999999999998</c:v>
                </c:pt>
                <c:pt idx="127">
                  <c:v>24.515999999999998</c:v>
                </c:pt>
                <c:pt idx="128">
                  <c:v>24.515999999999998</c:v>
                </c:pt>
                <c:pt idx="129">
                  <c:v>24.515999999999998</c:v>
                </c:pt>
                <c:pt idx="130">
                  <c:v>24.515999999999998</c:v>
                </c:pt>
                <c:pt idx="131">
                  <c:v>24.515999999999998</c:v>
                </c:pt>
                <c:pt idx="132">
                  <c:v>24.515999999999998</c:v>
                </c:pt>
                <c:pt idx="133">
                  <c:v>24.515999999999998</c:v>
                </c:pt>
                <c:pt idx="134">
                  <c:v>24.515999999999998</c:v>
                </c:pt>
                <c:pt idx="135">
                  <c:v>24.515999999999998</c:v>
                </c:pt>
                <c:pt idx="136">
                  <c:v>24.515999999999998</c:v>
                </c:pt>
                <c:pt idx="137">
                  <c:v>24.515999999999998</c:v>
                </c:pt>
                <c:pt idx="138">
                  <c:v>24.515999999999998</c:v>
                </c:pt>
                <c:pt idx="139">
                  <c:v>24.515999999999998</c:v>
                </c:pt>
                <c:pt idx="140">
                  <c:v>24.515999999999998</c:v>
                </c:pt>
                <c:pt idx="141">
                  <c:v>24.515999999999998</c:v>
                </c:pt>
                <c:pt idx="142">
                  <c:v>24.515999999999998</c:v>
                </c:pt>
                <c:pt idx="143">
                  <c:v>24.515999999999998</c:v>
                </c:pt>
                <c:pt idx="144">
                  <c:v>24.515999999999998</c:v>
                </c:pt>
                <c:pt idx="145">
                  <c:v>24.515999999999998</c:v>
                </c:pt>
                <c:pt idx="146">
                  <c:v>24.515999999999998</c:v>
                </c:pt>
                <c:pt idx="147">
                  <c:v>24.515999999999998</c:v>
                </c:pt>
                <c:pt idx="148">
                  <c:v>24.515999999999998</c:v>
                </c:pt>
                <c:pt idx="149">
                  <c:v>24.515999999999998</c:v>
                </c:pt>
                <c:pt idx="150">
                  <c:v>24.515999999999998</c:v>
                </c:pt>
                <c:pt idx="151">
                  <c:v>24.515999999999998</c:v>
                </c:pt>
                <c:pt idx="152">
                  <c:v>24.515999999999998</c:v>
                </c:pt>
                <c:pt idx="153">
                  <c:v>24.515999999999998</c:v>
                </c:pt>
                <c:pt idx="154">
                  <c:v>24.515999999999998</c:v>
                </c:pt>
                <c:pt idx="155">
                  <c:v>24.515999999999998</c:v>
                </c:pt>
                <c:pt idx="156">
                  <c:v>24.515999999999998</c:v>
                </c:pt>
                <c:pt idx="157">
                  <c:v>24.515999999999998</c:v>
                </c:pt>
                <c:pt idx="158">
                  <c:v>24.515999999999998</c:v>
                </c:pt>
                <c:pt idx="159">
                  <c:v>24.515999999999998</c:v>
                </c:pt>
                <c:pt idx="160">
                  <c:v>24.515999999999998</c:v>
                </c:pt>
                <c:pt idx="161">
                  <c:v>24.515999999999998</c:v>
                </c:pt>
                <c:pt idx="162">
                  <c:v>24.515999999999998</c:v>
                </c:pt>
                <c:pt idx="163">
                  <c:v>24.515999999999998</c:v>
                </c:pt>
                <c:pt idx="164">
                  <c:v>24.515999999999998</c:v>
                </c:pt>
                <c:pt idx="165">
                  <c:v>24.515999999999998</c:v>
                </c:pt>
                <c:pt idx="166">
                  <c:v>24.515999999999998</c:v>
                </c:pt>
                <c:pt idx="167">
                  <c:v>24.515999999999998</c:v>
                </c:pt>
                <c:pt idx="168">
                  <c:v>24.515999999999998</c:v>
                </c:pt>
                <c:pt idx="169">
                  <c:v>24.515999999999998</c:v>
                </c:pt>
                <c:pt idx="170">
                  <c:v>24.515999999999998</c:v>
                </c:pt>
                <c:pt idx="171">
                  <c:v>24.515999999999998</c:v>
                </c:pt>
                <c:pt idx="172">
                  <c:v>24.515999999999998</c:v>
                </c:pt>
                <c:pt idx="173">
                  <c:v>24.515999999999998</c:v>
                </c:pt>
                <c:pt idx="174">
                  <c:v>24.515999999999998</c:v>
                </c:pt>
                <c:pt idx="175">
                  <c:v>24.515999999999998</c:v>
                </c:pt>
                <c:pt idx="176">
                  <c:v>24.515999999999998</c:v>
                </c:pt>
                <c:pt idx="177">
                  <c:v>24.515999999999998</c:v>
                </c:pt>
                <c:pt idx="178">
                  <c:v>24.515999999999998</c:v>
                </c:pt>
                <c:pt idx="179">
                  <c:v>24.515999999999998</c:v>
                </c:pt>
                <c:pt idx="180">
                  <c:v>24.515999999999998</c:v>
                </c:pt>
                <c:pt idx="181">
                  <c:v>24.515999999999998</c:v>
                </c:pt>
                <c:pt idx="182">
                  <c:v>24.515999999999998</c:v>
                </c:pt>
                <c:pt idx="183">
                  <c:v>24.515999999999998</c:v>
                </c:pt>
                <c:pt idx="184">
                  <c:v>24.515999999999998</c:v>
                </c:pt>
                <c:pt idx="185">
                  <c:v>24.515999999999998</c:v>
                </c:pt>
                <c:pt idx="186">
                  <c:v>24.515999999999998</c:v>
                </c:pt>
                <c:pt idx="187">
                  <c:v>24.515999999999998</c:v>
                </c:pt>
                <c:pt idx="188">
                  <c:v>24.515999999999998</c:v>
                </c:pt>
                <c:pt idx="189">
                  <c:v>24.515999999999998</c:v>
                </c:pt>
                <c:pt idx="190">
                  <c:v>24.515999999999998</c:v>
                </c:pt>
                <c:pt idx="191">
                  <c:v>24.515999999999998</c:v>
                </c:pt>
                <c:pt idx="192">
                  <c:v>24.515999999999998</c:v>
                </c:pt>
                <c:pt idx="193">
                  <c:v>24.515999999999998</c:v>
                </c:pt>
                <c:pt idx="194">
                  <c:v>24.515999999999998</c:v>
                </c:pt>
                <c:pt idx="195">
                  <c:v>24.515999999999998</c:v>
                </c:pt>
                <c:pt idx="196">
                  <c:v>24.515999999999998</c:v>
                </c:pt>
                <c:pt idx="197">
                  <c:v>24.515999999999998</c:v>
                </c:pt>
                <c:pt idx="198">
                  <c:v>24.515999999999998</c:v>
                </c:pt>
                <c:pt idx="199">
                  <c:v>24.515999999999998</c:v>
                </c:pt>
                <c:pt idx="200">
                  <c:v>24.515999999999998</c:v>
                </c:pt>
                <c:pt idx="201">
                  <c:v>24.515999999999998</c:v>
                </c:pt>
                <c:pt idx="202">
                  <c:v>24.515999999999998</c:v>
                </c:pt>
                <c:pt idx="203">
                  <c:v>24.515999999999998</c:v>
                </c:pt>
                <c:pt idx="204">
                  <c:v>24.515999999999998</c:v>
                </c:pt>
                <c:pt idx="205">
                  <c:v>24.515999999999998</c:v>
                </c:pt>
                <c:pt idx="206">
                  <c:v>24.515999999999998</c:v>
                </c:pt>
                <c:pt idx="207">
                  <c:v>24.515999999999998</c:v>
                </c:pt>
                <c:pt idx="208">
                  <c:v>24.515999999999998</c:v>
                </c:pt>
                <c:pt idx="209">
                  <c:v>24.515999999999998</c:v>
                </c:pt>
                <c:pt idx="210">
                  <c:v>24.515999999999998</c:v>
                </c:pt>
                <c:pt idx="211">
                  <c:v>24.515999999999998</c:v>
                </c:pt>
                <c:pt idx="212">
                  <c:v>24.515999999999998</c:v>
                </c:pt>
                <c:pt idx="213">
                  <c:v>24.515999999999998</c:v>
                </c:pt>
                <c:pt idx="214">
                  <c:v>24.515999999999998</c:v>
                </c:pt>
                <c:pt idx="215">
                  <c:v>24.515999999999998</c:v>
                </c:pt>
                <c:pt idx="216">
                  <c:v>24.515999999999998</c:v>
                </c:pt>
                <c:pt idx="217">
                  <c:v>24.515999999999998</c:v>
                </c:pt>
                <c:pt idx="218">
                  <c:v>24.515999999999998</c:v>
                </c:pt>
                <c:pt idx="219">
                  <c:v>24.515999999999998</c:v>
                </c:pt>
                <c:pt idx="220">
                  <c:v>24.515999999999998</c:v>
                </c:pt>
                <c:pt idx="221">
                  <c:v>24.515999999999998</c:v>
                </c:pt>
                <c:pt idx="222">
                  <c:v>24.515999999999998</c:v>
                </c:pt>
                <c:pt idx="223">
                  <c:v>24.515999999999998</c:v>
                </c:pt>
                <c:pt idx="224">
                  <c:v>24.515999999999998</c:v>
                </c:pt>
                <c:pt idx="225">
                  <c:v>24.515999999999998</c:v>
                </c:pt>
                <c:pt idx="226">
                  <c:v>24.515999999999998</c:v>
                </c:pt>
                <c:pt idx="227">
                  <c:v>24.515999999999998</c:v>
                </c:pt>
                <c:pt idx="228">
                  <c:v>24.515999999999998</c:v>
                </c:pt>
                <c:pt idx="229">
                  <c:v>24.515999999999998</c:v>
                </c:pt>
                <c:pt idx="230">
                  <c:v>24.515999999999998</c:v>
                </c:pt>
                <c:pt idx="231">
                  <c:v>24.515999999999998</c:v>
                </c:pt>
                <c:pt idx="232">
                  <c:v>24.515999999999998</c:v>
                </c:pt>
                <c:pt idx="233">
                  <c:v>24.515999999999998</c:v>
                </c:pt>
                <c:pt idx="234">
                  <c:v>24.515999999999998</c:v>
                </c:pt>
                <c:pt idx="235">
                  <c:v>24.515999999999998</c:v>
                </c:pt>
                <c:pt idx="236">
                  <c:v>24.515999999999998</c:v>
                </c:pt>
                <c:pt idx="237">
                  <c:v>24.515999999999998</c:v>
                </c:pt>
                <c:pt idx="238">
                  <c:v>24.515999999999998</c:v>
                </c:pt>
                <c:pt idx="239">
                  <c:v>24.515999999999998</c:v>
                </c:pt>
                <c:pt idx="240">
                  <c:v>24.515999999999998</c:v>
                </c:pt>
                <c:pt idx="241">
                  <c:v>24.515999999999998</c:v>
                </c:pt>
                <c:pt idx="242">
                  <c:v>24.515999999999998</c:v>
                </c:pt>
                <c:pt idx="243">
                  <c:v>24.515999999999998</c:v>
                </c:pt>
                <c:pt idx="244">
                  <c:v>24.515999999999998</c:v>
                </c:pt>
                <c:pt idx="245">
                  <c:v>24.515999999999998</c:v>
                </c:pt>
                <c:pt idx="246">
                  <c:v>24.515999999999998</c:v>
                </c:pt>
                <c:pt idx="247">
                  <c:v>24.515999999999998</c:v>
                </c:pt>
              </c:numCache>
            </c:numRef>
          </c:val>
        </c:ser>
        <c:ser>
          <c:idx val="3"/>
          <c:order val="3"/>
          <c:tx>
            <c:strRef>
              <c:f>'simulation commandes'!$W$4</c:f>
              <c:strCache>
                <c:ptCount val="1"/>
                <c:pt idx="0">
                  <c:v>YZ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val>
            <c:numRef>
              <c:f>'simulation commandes'!$W$5:$W$252</c:f>
              <c:numCache>
                <c:formatCode>0</c:formatCode>
                <c:ptCount val="248"/>
                <c:pt idx="0">
                  <c:v>34.049999999999997</c:v>
                </c:pt>
                <c:pt idx="1">
                  <c:v>34.049999999999997</c:v>
                </c:pt>
                <c:pt idx="2">
                  <c:v>34.049999999999997</c:v>
                </c:pt>
                <c:pt idx="3">
                  <c:v>34.049999999999997</c:v>
                </c:pt>
                <c:pt idx="4">
                  <c:v>34.049999999999997</c:v>
                </c:pt>
                <c:pt idx="5">
                  <c:v>34.049999999999997</c:v>
                </c:pt>
                <c:pt idx="6">
                  <c:v>34.049999999999997</c:v>
                </c:pt>
                <c:pt idx="7">
                  <c:v>34.049999999999997</c:v>
                </c:pt>
                <c:pt idx="8">
                  <c:v>34.049999999999997</c:v>
                </c:pt>
                <c:pt idx="9">
                  <c:v>34.049999999999997</c:v>
                </c:pt>
                <c:pt idx="10">
                  <c:v>34.049999999999997</c:v>
                </c:pt>
                <c:pt idx="11">
                  <c:v>34.049999999999997</c:v>
                </c:pt>
                <c:pt idx="12">
                  <c:v>34.049999999999997</c:v>
                </c:pt>
                <c:pt idx="13">
                  <c:v>34.049999999999997</c:v>
                </c:pt>
                <c:pt idx="14">
                  <c:v>34.049999999999997</c:v>
                </c:pt>
                <c:pt idx="15">
                  <c:v>34.049999999999997</c:v>
                </c:pt>
                <c:pt idx="16">
                  <c:v>34.049999999999997</c:v>
                </c:pt>
                <c:pt idx="17">
                  <c:v>34.049999999999997</c:v>
                </c:pt>
                <c:pt idx="18">
                  <c:v>34.049999999999997</c:v>
                </c:pt>
                <c:pt idx="19">
                  <c:v>34.049999999999997</c:v>
                </c:pt>
                <c:pt idx="20">
                  <c:v>34.049999999999997</c:v>
                </c:pt>
                <c:pt idx="21">
                  <c:v>34.049999999999997</c:v>
                </c:pt>
                <c:pt idx="22">
                  <c:v>34.049999999999997</c:v>
                </c:pt>
                <c:pt idx="23">
                  <c:v>34.049999999999997</c:v>
                </c:pt>
                <c:pt idx="24">
                  <c:v>34.049999999999997</c:v>
                </c:pt>
                <c:pt idx="25">
                  <c:v>34.049999999999997</c:v>
                </c:pt>
                <c:pt idx="26">
                  <c:v>52.5</c:v>
                </c:pt>
                <c:pt idx="27">
                  <c:v>52.5</c:v>
                </c:pt>
                <c:pt idx="28">
                  <c:v>52.5</c:v>
                </c:pt>
                <c:pt idx="29">
                  <c:v>52.5</c:v>
                </c:pt>
                <c:pt idx="30">
                  <c:v>52.5</c:v>
                </c:pt>
                <c:pt idx="31">
                  <c:v>52.5</c:v>
                </c:pt>
                <c:pt idx="32">
                  <c:v>52.5</c:v>
                </c:pt>
                <c:pt idx="33">
                  <c:v>52.5</c:v>
                </c:pt>
                <c:pt idx="34">
                  <c:v>52.5</c:v>
                </c:pt>
                <c:pt idx="35">
                  <c:v>52.5</c:v>
                </c:pt>
                <c:pt idx="36">
                  <c:v>52.5</c:v>
                </c:pt>
                <c:pt idx="37">
                  <c:v>52.5</c:v>
                </c:pt>
                <c:pt idx="38">
                  <c:v>52.5</c:v>
                </c:pt>
                <c:pt idx="39">
                  <c:v>52.5</c:v>
                </c:pt>
                <c:pt idx="40">
                  <c:v>52.5</c:v>
                </c:pt>
                <c:pt idx="41">
                  <c:v>52.5</c:v>
                </c:pt>
                <c:pt idx="42">
                  <c:v>34.049999999999997</c:v>
                </c:pt>
                <c:pt idx="43">
                  <c:v>34.049999999999997</c:v>
                </c:pt>
                <c:pt idx="44">
                  <c:v>34.049999999999997</c:v>
                </c:pt>
                <c:pt idx="45">
                  <c:v>34.049999999999997</c:v>
                </c:pt>
                <c:pt idx="46">
                  <c:v>34.049999999999997</c:v>
                </c:pt>
                <c:pt idx="47">
                  <c:v>34.049999999999997</c:v>
                </c:pt>
                <c:pt idx="48">
                  <c:v>34.049999999999997</c:v>
                </c:pt>
                <c:pt idx="49">
                  <c:v>34.049999999999997</c:v>
                </c:pt>
                <c:pt idx="50">
                  <c:v>34.049999999999997</c:v>
                </c:pt>
                <c:pt idx="51">
                  <c:v>34.049999999999997</c:v>
                </c:pt>
                <c:pt idx="52">
                  <c:v>34.049999999999997</c:v>
                </c:pt>
                <c:pt idx="53">
                  <c:v>34.049999999999997</c:v>
                </c:pt>
                <c:pt idx="54">
                  <c:v>34.049999999999997</c:v>
                </c:pt>
                <c:pt idx="55">
                  <c:v>34.049999999999997</c:v>
                </c:pt>
                <c:pt idx="56">
                  <c:v>34.049999999999997</c:v>
                </c:pt>
                <c:pt idx="57">
                  <c:v>34.049999999999997</c:v>
                </c:pt>
                <c:pt idx="58">
                  <c:v>34.049999999999997</c:v>
                </c:pt>
                <c:pt idx="59">
                  <c:v>34.049999999999997</c:v>
                </c:pt>
                <c:pt idx="60">
                  <c:v>34.049999999999997</c:v>
                </c:pt>
                <c:pt idx="61">
                  <c:v>34.049999999999997</c:v>
                </c:pt>
                <c:pt idx="62">
                  <c:v>34.049999999999997</c:v>
                </c:pt>
                <c:pt idx="63">
                  <c:v>34.049999999999997</c:v>
                </c:pt>
                <c:pt idx="64">
                  <c:v>34.049999999999997</c:v>
                </c:pt>
                <c:pt idx="65">
                  <c:v>34.049999999999997</c:v>
                </c:pt>
                <c:pt idx="66">
                  <c:v>34.049999999999997</c:v>
                </c:pt>
                <c:pt idx="67">
                  <c:v>34.049999999999997</c:v>
                </c:pt>
                <c:pt idx="68">
                  <c:v>34.049999999999997</c:v>
                </c:pt>
                <c:pt idx="69">
                  <c:v>34.049999999999997</c:v>
                </c:pt>
                <c:pt idx="70">
                  <c:v>34.049999999999997</c:v>
                </c:pt>
                <c:pt idx="71">
                  <c:v>34.049999999999997</c:v>
                </c:pt>
                <c:pt idx="72">
                  <c:v>34.049999999999997</c:v>
                </c:pt>
                <c:pt idx="73">
                  <c:v>34.049999999999997</c:v>
                </c:pt>
                <c:pt idx="74">
                  <c:v>34.049999999999997</c:v>
                </c:pt>
                <c:pt idx="75">
                  <c:v>34.049999999999997</c:v>
                </c:pt>
                <c:pt idx="76">
                  <c:v>34.049999999999997</c:v>
                </c:pt>
                <c:pt idx="77">
                  <c:v>34.049999999999997</c:v>
                </c:pt>
                <c:pt idx="78">
                  <c:v>34.049999999999997</c:v>
                </c:pt>
                <c:pt idx="79">
                  <c:v>34.049999999999997</c:v>
                </c:pt>
                <c:pt idx="80">
                  <c:v>34.049999999999997</c:v>
                </c:pt>
                <c:pt idx="81">
                  <c:v>34.049999999999997</c:v>
                </c:pt>
                <c:pt idx="82">
                  <c:v>34.049999999999997</c:v>
                </c:pt>
                <c:pt idx="83">
                  <c:v>34.049999999999997</c:v>
                </c:pt>
                <c:pt idx="84">
                  <c:v>34.049999999999997</c:v>
                </c:pt>
                <c:pt idx="85">
                  <c:v>34.049999999999997</c:v>
                </c:pt>
                <c:pt idx="86">
                  <c:v>34.049999999999997</c:v>
                </c:pt>
                <c:pt idx="87">
                  <c:v>34.049999999999997</c:v>
                </c:pt>
                <c:pt idx="88">
                  <c:v>34.049999999999997</c:v>
                </c:pt>
                <c:pt idx="89">
                  <c:v>34.049999999999997</c:v>
                </c:pt>
                <c:pt idx="90">
                  <c:v>34.049999999999997</c:v>
                </c:pt>
                <c:pt idx="91">
                  <c:v>34.049999999999997</c:v>
                </c:pt>
                <c:pt idx="92">
                  <c:v>34.049999999999997</c:v>
                </c:pt>
                <c:pt idx="93">
                  <c:v>34.049999999999997</c:v>
                </c:pt>
                <c:pt idx="94">
                  <c:v>34.049999999999997</c:v>
                </c:pt>
                <c:pt idx="95">
                  <c:v>34.049999999999997</c:v>
                </c:pt>
                <c:pt idx="96">
                  <c:v>34.049999999999997</c:v>
                </c:pt>
                <c:pt idx="97">
                  <c:v>34.049999999999997</c:v>
                </c:pt>
                <c:pt idx="98">
                  <c:v>34.049999999999997</c:v>
                </c:pt>
                <c:pt idx="99">
                  <c:v>34.049999999999997</c:v>
                </c:pt>
                <c:pt idx="100">
                  <c:v>34.049999999999997</c:v>
                </c:pt>
                <c:pt idx="101">
                  <c:v>34.049999999999997</c:v>
                </c:pt>
                <c:pt idx="102">
                  <c:v>34.049999999999997</c:v>
                </c:pt>
                <c:pt idx="103">
                  <c:v>34.049999999999997</c:v>
                </c:pt>
                <c:pt idx="104">
                  <c:v>34.049999999999997</c:v>
                </c:pt>
                <c:pt idx="105">
                  <c:v>34.049999999999997</c:v>
                </c:pt>
                <c:pt idx="106">
                  <c:v>34.049999999999997</c:v>
                </c:pt>
                <c:pt idx="107">
                  <c:v>34.049999999999997</c:v>
                </c:pt>
                <c:pt idx="108">
                  <c:v>34.049999999999997</c:v>
                </c:pt>
                <c:pt idx="109">
                  <c:v>34.049999999999997</c:v>
                </c:pt>
                <c:pt idx="110">
                  <c:v>34.049999999999997</c:v>
                </c:pt>
                <c:pt idx="111">
                  <c:v>34.049999999999997</c:v>
                </c:pt>
                <c:pt idx="112">
                  <c:v>34.049999999999997</c:v>
                </c:pt>
                <c:pt idx="113">
                  <c:v>34.049999999999997</c:v>
                </c:pt>
                <c:pt idx="114">
                  <c:v>34.049999999999997</c:v>
                </c:pt>
                <c:pt idx="115">
                  <c:v>34.049999999999997</c:v>
                </c:pt>
                <c:pt idx="116">
                  <c:v>34.049999999999997</c:v>
                </c:pt>
                <c:pt idx="117">
                  <c:v>34.049999999999997</c:v>
                </c:pt>
                <c:pt idx="118">
                  <c:v>34.049999999999997</c:v>
                </c:pt>
                <c:pt idx="119">
                  <c:v>34.049999999999997</c:v>
                </c:pt>
                <c:pt idx="120">
                  <c:v>34.049999999999997</c:v>
                </c:pt>
                <c:pt idx="121">
                  <c:v>34.049999999999997</c:v>
                </c:pt>
                <c:pt idx="122">
                  <c:v>34.049999999999997</c:v>
                </c:pt>
                <c:pt idx="123">
                  <c:v>34.049999999999997</c:v>
                </c:pt>
                <c:pt idx="124">
                  <c:v>34.049999999999997</c:v>
                </c:pt>
                <c:pt idx="125">
                  <c:v>34.049999999999997</c:v>
                </c:pt>
                <c:pt idx="126">
                  <c:v>34.049999999999997</c:v>
                </c:pt>
                <c:pt idx="127">
                  <c:v>34.049999999999997</c:v>
                </c:pt>
                <c:pt idx="128">
                  <c:v>34.049999999999997</c:v>
                </c:pt>
                <c:pt idx="129">
                  <c:v>34.049999999999997</c:v>
                </c:pt>
                <c:pt idx="130">
                  <c:v>34.049999999999997</c:v>
                </c:pt>
                <c:pt idx="131">
                  <c:v>34.049999999999997</c:v>
                </c:pt>
                <c:pt idx="132">
                  <c:v>34.049999999999997</c:v>
                </c:pt>
                <c:pt idx="133">
                  <c:v>34.049999999999997</c:v>
                </c:pt>
                <c:pt idx="134">
                  <c:v>34.049999999999997</c:v>
                </c:pt>
                <c:pt idx="135">
                  <c:v>34.049999999999997</c:v>
                </c:pt>
                <c:pt idx="136">
                  <c:v>34.049999999999997</c:v>
                </c:pt>
                <c:pt idx="137">
                  <c:v>34.049999999999997</c:v>
                </c:pt>
                <c:pt idx="138">
                  <c:v>34.049999999999997</c:v>
                </c:pt>
                <c:pt idx="139">
                  <c:v>34.049999999999997</c:v>
                </c:pt>
                <c:pt idx="140">
                  <c:v>34.049999999999997</c:v>
                </c:pt>
                <c:pt idx="141">
                  <c:v>34.049999999999997</c:v>
                </c:pt>
                <c:pt idx="142">
                  <c:v>34.049999999999997</c:v>
                </c:pt>
                <c:pt idx="143">
                  <c:v>34.049999999999997</c:v>
                </c:pt>
                <c:pt idx="144">
                  <c:v>34.049999999999997</c:v>
                </c:pt>
                <c:pt idx="145">
                  <c:v>34.049999999999997</c:v>
                </c:pt>
                <c:pt idx="146">
                  <c:v>34.049999999999997</c:v>
                </c:pt>
                <c:pt idx="147">
                  <c:v>34.049999999999997</c:v>
                </c:pt>
                <c:pt idx="148">
                  <c:v>34.049999999999997</c:v>
                </c:pt>
                <c:pt idx="149">
                  <c:v>34.049999999999997</c:v>
                </c:pt>
                <c:pt idx="150">
                  <c:v>34.049999999999997</c:v>
                </c:pt>
                <c:pt idx="151">
                  <c:v>34.049999999999997</c:v>
                </c:pt>
                <c:pt idx="152">
                  <c:v>34.049999999999997</c:v>
                </c:pt>
                <c:pt idx="153">
                  <c:v>34.049999999999997</c:v>
                </c:pt>
                <c:pt idx="154">
                  <c:v>34.049999999999997</c:v>
                </c:pt>
                <c:pt idx="155">
                  <c:v>34.049999999999997</c:v>
                </c:pt>
                <c:pt idx="156">
                  <c:v>34.049999999999997</c:v>
                </c:pt>
                <c:pt idx="157">
                  <c:v>34.049999999999997</c:v>
                </c:pt>
                <c:pt idx="158">
                  <c:v>34.049999999999997</c:v>
                </c:pt>
                <c:pt idx="159">
                  <c:v>34.049999999999997</c:v>
                </c:pt>
                <c:pt idx="160">
                  <c:v>34.049999999999997</c:v>
                </c:pt>
                <c:pt idx="161">
                  <c:v>34.049999999999997</c:v>
                </c:pt>
                <c:pt idx="162">
                  <c:v>34.049999999999997</c:v>
                </c:pt>
                <c:pt idx="163">
                  <c:v>34.049999999999997</c:v>
                </c:pt>
                <c:pt idx="164">
                  <c:v>34.049999999999997</c:v>
                </c:pt>
                <c:pt idx="165">
                  <c:v>34.049999999999997</c:v>
                </c:pt>
                <c:pt idx="166">
                  <c:v>34.049999999999997</c:v>
                </c:pt>
                <c:pt idx="167">
                  <c:v>34.049999999999997</c:v>
                </c:pt>
                <c:pt idx="168">
                  <c:v>34.049999999999997</c:v>
                </c:pt>
                <c:pt idx="169">
                  <c:v>34.049999999999997</c:v>
                </c:pt>
                <c:pt idx="170">
                  <c:v>34.049999999999997</c:v>
                </c:pt>
                <c:pt idx="171">
                  <c:v>34.049999999999997</c:v>
                </c:pt>
                <c:pt idx="172">
                  <c:v>34.049999999999997</c:v>
                </c:pt>
                <c:pt idx="173">
                  <c:v>34.049999999999997</c:v>
                </c:pt>
                <c:pt idx="174">
                  <c:v>34.049999999999997</c:v>
                </c:pt>
                <c:pt idx="175">
                  <c:v>34.049999999999997</c:v>
                </c:pt>
                <c:pt idx="176">
                  <c:v>34.049999999999997</c:v>
                </c:pt>
                <c:pt idx="177">
                  <c:v>34.049999999999997</c:v>
                </c:pt>
                <c:pt idx="178">
                  <c:v>34.049999999999997</c:v>
                </c:pt>
                <c:pt idx="179">
                  <c:v>34.049999999999997</c:v>
                </c:pt>
                <c:pt idx="180">
                  <c:v>34.049999999999997</c:v>
                </c:pt>
                <c:pt idx="181">
                  <c:v>34.049999999999997</c:v>
                </c:pt>
                <c:pt idx="182">
                  <c:v>34.049999999999997</c:v>
                </c:pt>
                <c:pt idx="183">
                  <c:v>34.049999999999997</c:v>
                </c:pt>
                <c:pt idx="184">
                  <c:v>34.049999999999997</c:v>
                </c:pt>
                <c:pt idx="185">
                  <c:v>34.049999999999997</c:v>
                </c:pt>
                <c:pt idx="186">
                  <c:v>34.049999999999997</c:v>
                </c:pt>
                <c:pt idx="187">
                  <c:v>34.049999999999997</c:v>
                </c:pt>
                <c:pt idx="188">
                  <c:v>34.049999999999997</c:v>
                </c:pt>
                <c:pt idx="189">
                  <c:v>34.049999999999997</c:v>
                </c:pt>
                <c:pt idx="190">
                  <c:v>34.049999999999997</c:v>
                </c:pt>
                <c:pt idx="191">
                  <c:v>34.049999999999997</c:v>
                </c:pt>
                <c:pt idx="192">
                  <c:v>34.049999999999997</c:v>
                </c:pt>
                <c:pt idx="193">
                  <c:v>34.049999999999997</c:v>
                </c:pt>
                <c:pt idx="194">
                  <c:v>34.049999999999997</c:v>
                </c:pt>
                <c:pt idx="195">
                  <c:v>34.049999999999997</c:v>
                </c:pt>
                <c:pt idx="196">
                  <c:v>34.049999999999997</c:v>
                </c:pt>
                <c:pt idx="197">
                  <c:v>34.049999999999997</c:v>
                </c:pt>
                <c:pt idx="198">
                  <c:v>34.049999999999997</c:v>
                </c:pt>
                <c:pt idx="199">
                  <c:v>34.049999999999997</c:v>
                </c:pt>
                <c:pt idx="200">
                  <c:v>34.049999999999997</c:v>
                </c:pt>
                <c:pt idx="201">
                  <c:v>34.049999999999997</c:v>
                </c:pt>
                <c:pt idx="202">
                  <c:v>34.049999999999997</c:v>
                </c:pt>
                <c:pt idx="203">
                  <c:v>34.049999999999997</c:v>
                </c:pt>
                <c:pt idx="204">
                  <c:v>34.049999999999997</c:v>
                </c:pt>
                <c:pt idx="205">
                  <c:v>34.049999999999997</c:v>
                </c:pt>
                <c:pt idx="206">
                  <c:v>34.049999999999997</c:v>
                </c:pt>
                <c:pt idx="207">
                  <c:v>34.049999999999997</c:v>
                </c:pt>
                <c:pt idx="208">
                  <c:v>34.049999999999997</c:v>
                </c:pt>
                <c:pt idx="209">
                  <c:v>34.049999999999997</c:v>
                </c:pt>
                <c:pt idx="210">
                  <c:v>34.049999999999997</c:v>
                </c:pt>
                <c:pt idx="211">
                  <c:v>34.049999999999997</c:v>
                </c:pt>
                <c:pt idx="212">
                  <c:v>34.049999999999997</c:v>
                </c:pt>
                <c:pt idx="213">
                  <c:v>34.049999999999997</c:v>
                </c:pt>
                <c:pt idx="214">
                  <c:v>34.049999999999997</c:v>
                </c:pt>
                <c:pt idx="215">
                  <c:v>34.049999999999997</c:v>
                </c:pt>
                <c:pt idx="216">
                  <c:v>34.049999999999997</c:v>
                </c:pt>
                <c:pt idx="217">
                  <c:v>34.049999999999997</c:v>
                </c:pt>
                <c:pt idx="218">
                  <c:v>34.049999999999997</c:v>
                </c:pt>
                <c:pt idx="219">
                  <c:v>34.049999999999997</c:v>
                </c:pt>
                <c:pt idx="220">
                  <c:v>34.049999999999997</c:v>
                </c:pt>
                <c:pt idx="221">
                  <c:v>34.049999999999997</c:v>
                </c:pt>
                <c:pt idx="222">
                  <c:v>34.049999999999997</c:v>
                </c:pt>
                <c:pt idx="223">
                  <c:v>34.049999999999997</c:v>
                </c:pt>
                <c:pt idx="224">
                  <c:v>34.049999999999997</c:v>
                </c:pt>
                <c:pt idx="225">
                  <c:v>34.049999999999997</c:v>
                </c:pt>
                <c:pt idx="226">
                  <c:v>34.049999999999997</c:v>
                </c:pt>
                <c:pt idx="227">
                  <c:v>34.049999999999997</c:v>
                </c:pt>
                <c:pt idx="228">
                  <c:v>34.049999999999997</c:v>
                </c:pt>
                <c:pt idx="229">
                  <c:v>34.049999999999997</c:v>
                </c:pt>
                <c:pt idx="230">
                  <c:v>34.049999999999997</c:v>
                </c:pt>
                <c:pt idx="231">
                  <c:v>34.049999999999997</c:v>
                </c:pt>
                <c:pt idx="232">
                  <c:v>34.049999999999997</c:v>
                </c:pt>
                <c:pt idx="233">
                  <c:v>34.049999999999997</c:v>
                </c:pt>
                <c:pt idx="234">
                  <c:v>34.049999999999997</c:v>
                </c:pt>
                <c:pt idx="235">
                  <c:v>34.049999999999997</c:v>
                </c:pt>
                <c:pt idx="236">
                  <c:v>34.049999999999997</c:v>
                </c:pt>
                <c:pt idx="237">
                  <c:v>34.049999999999997</c:v>
                </c:pt>
                <c:pt idx="238">
                  <c:v>34.049999999999997</c:v>
                </c:pt>
                <c:pt idx="239">
                  <c:v>34.049999999999997</c:v>
                </c:pt>
                <c:pt idx="240">
                  <c:v>34.049999999999997</c:v>
                </c:pt>
                <c:pt idx="241">
                  <c:v>34.049999999999997</c:v>
                </c:pt>
                <c:pt idx="242">
                  <c:v>34.049999999999997</c:v>
                </c:pt>
                <c:pt idx="243">
                  <c:v>34.049999999999997</c:v>
                </c:pt>
                <c:pt idx="244">
                  <c:v>34.049999999999997</c:v>
                </c:pt>
                <c:pt idx="245">
                  <c:v>34.049999999999997</c:v>
                </c:pt>
                <c:pt idx="246">
                  <c:v>34.049999999999997</c:v>
                </c:pt>
                <c:pt idx="247">
                  <c:v>34.049999999999997</c:v>
                </c:pt>
              </c:numCache>
            </c:numRef>
          </c:val>
        </c:ser>
        <c:ser>
          <c:idx val="4"/>
          <c:order val="4"/>
          <c:tx>
            <c:strRef>
              <c:f>'simulation commandes'!$X$4</c:f>
              <c:strCache>
                <c:ptCount val="1"/>
                <c:pt idx="0">
                  <c:v>GZ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val>
            <c:numRef>
              <c:f>'simulation commandes'!$X$5:$X$252</c:f>
              <c:numCache>
                <c:formatCode>0</c:formatCode>
                <c:ptCount val="248"/>
                <c:pt idx="0">
                  <c:v>13.62</c:v>
                </c:pt>
                <c:pt idx="1">
                  <c:v>13.62</c:v>
                </c:pt>
                <c:pt idx="2">
                  <c:v>13.62</c:v>
                </c:pt>
                <c:pt idx="3">
                  <c:v>13.62</c:v>
                </c:pt>
                <c:pt idx="4">
                  <c:v>13.62</c:v>
                </c:pt>
                <c:pt idx="5">
                  <c:v>13.62</c:v>
                </c:pt>
                <c:pt idx="6">
                  <c:v>13.62</c:v>
                </c:pt>
                <c:pt idx="7">
                  <c:v>13.62</c:v>
                </c:pt>
                <c:pt idx="8">
                  <c:v>13.62</c:v>
                </c:pt>
                <c:pt idx="9">
                  <c:v>13.62</c:v>
                </c:pt>
                <c:pt idx="10">
                  <c:v>13.62</c:v>
                </c:pt>
                <c:pt idx="11">
                  <c:v>13.62</c:v>
                </c:pt>
                <c:pt idx="12">
                  <c:v>13.62</c:v>
                </c:pt>
                <c:pt idx="13">
                  <c:v>13.62</c:v>
                </c:pt>
                <c:pt idx="14">
                  <c:v>13.62</c:v>
                </c:pt>
                <c:pt idx="15">
                  <c:v>13.62</c:v>
                </c:pt>
                <c:pt idx="16">
                  <c:v>13.62</c:v>
                </c:pt>
                <c:pt idx="17">
                  <c:v>13.62</c:v>
                </c:pt>
                <c:pt idx="18">
                  <c:v>13.62</c:v>
                </c:pt>
                <c:pt idx="19">
                  <c:v>13.62</c:v>
                </c:pt>
                <c:pt idx="20">
                  <c:v>13.62</c:v>
                </c:pt>
                <c:pt idx="21">
                  <c:v>13.62</c:v>
                </c:pt>
                <c:pt idx="22">
                  <c:v>13.62</c:v>
                </c:pt>
                <c:pt idx="23">
                  <c:v>13.62</c:v>
                </c:pt>
                <c:pt idx="24">
                  <c:v>13.62</c:v>
                </c:pt>
                <c:pt idx="25">
                  <c:v>13.62</c:v>
                </c:pt>
                <c:pt idx="26">
                  <c:v>26.25</c:v>
                </c:pt>
                <c:pt idx="27">
                  <c:v>26.25</c:v>
                </c:pt>
                <c:pt idx="28">
                  <c:v>26.25</c:v>
                </c:pt>
                <c:pt idx="29">
                  <c:v>26.25</c:v>
                </c:pt>
                <c:pt idx="30">
                  <c:v>26.25</c:v>
                </c:pt>
                <c:pt idx="31">
                  <c:v>26.25</c:v>
                </c:pt>
                <c:pt idx="32">
                  <c:v>26.25</c:v>
                </c:pt>
                <c:pt idx="33">
                  <c:v>26.25</c:v>
                </c:pt>
                <c:pt idx="34">
                  <c:v>26.25</c:v>
                </c:pt>
                <c:pt idx="35">
                  <c:v>26.25</c:v>
                </c:pt>
                <c:pt idx="36">
                  <c:v>26.25</c:v>
                </c:pt>
                <c:pt idx="37">
                  <c:v>26.25</c:v>
                </c:pt>
                <c:pt idx="38">
                  <c:v>26.25</c:v>
                </c:pt>
                <c:pt idx="39">
                  <c:v>26.25</c:v>
                </c:pt>
                <c:pt idx="40">
                  <c:v>26.25</c:v>
                </c:pt>
                <c:pt idx="41">
                  <c:v>26.25</c:v>
                </c:pt>
                <c:pt idx="42">
                  <c:v>13.62</c:v>
                </c:pt>
                <c:pt idx="43">
                  <c:v>13.62</c:v>
                </c:pt>
                <c:pt idx="44">
                  <c:v>13.62</c:v>
                </c:pt>
                <c:pt idx="45">
                  <c:v>13.62</c:v>
                </c:pt>
                <c:pt idx="46">
                  <c:v>13.62</c:v>
                </c:pt>
                <c:pt idx="47">
                  <c:v>13.62</c:v>
                </c:pt>
                <c:pt idx="48">
                  <c:v>13.62</c:v>
                </c:pt>
                <c:pt idx="49">
                  <c:v>13.62</c:v>
                </c:pt>
                <c:pt idx="50">
                  <c:v>13.62</c:v>
                </c:pt>
                <c:pt idx="51">
                  <c:v>13.62</c:v>
                </c:pt>
                <c:pt idx="52">
                  <c:v>13.62</c:v>
                </c:pt>
                <c:pt idx="53">
                  <c:v>13.62</c:v>
                </c:pt>
                <c:pt idx="54">
                  <c:v>13.62</c:v>
                </c:pt>
                <c:pt idx="55">
                  <c:v>13.62</c:v>
                </c:pt>
                <c:pt idx="56">
                  <c:v>13.62</c:v>
                </c:pt>
                <c:pt idx="57">
                  <c:v>13.62</c:v>
                </c:pt>
                <c:pt idx="58">
                  <c:v>13.62</c:v>
                </c:pt>
                <c:pt idx="59">
                  <c:v>13.62</c:v>
                </c:pt>
                <c:pt idx="60">
                  <c:v>13.62</c:v>
                </c:pt>
                <c:pt idx="61">
                  <c:v>13.62</c:v>
                </c:pt>
                <c:pt idx="62">
                  <c:v>13.62</c:v>
                </c:pt>
                <c:pt idx="63">
                  <c:v>13.62</c:v>
                </c:pt>
                <c:pt idx="64">
                  <c:v>13.62</c:v>
                </c:pt>
                <c:pt idx="65">
                  <c:v>13.62</c:v>
                </c:pt>
                <c:pt idx="66">
                  <c:v>13.62</c:v>
                </c:pt>
                <c:pt idx="67">
                  <c:v>13.62</c:v>
                </c:pt>
                <c:pt idx="68">
                  <c:v>13.62</c:v>
                </c:pt>
                <c:pt idx="69">
                  <c:v>13.62</c:v>
                </c:pt>
                <c:pt idx="70">
                  <c:v>13.62</c:v>
                </c:pt>
                <c:pt idx="71">
                  <c:v>13.62</c:v>
                </c:pt>
                <c:pt idx="72">
                  <c:v>13.62</c:v>
                </c:pt>
                <c:pt idx="73">
                  <c:v>13.62</c:v>
                </c:pt>
                <c:pt idx="74">
                  <c:v>13.62</c:v>
                </c:pt>
                <c:pt idx="75">
                  <c:v>13.62</c:v>
                </c:pt>
                <c:pt idx="76">
                  <c:v>13.62</c:v>
                </c:pt>
                <c:pt idx="77">
                  <c:v>13.62</c:v>
                </c:pt>
                <c:pt idx="78">
                  <c:v>13.62</c:v>
                </c:pt>
                <c:pt idx="79">
                  <c:v>13.62</c:v>
                </c:pt>
                <c:pt idx="80">
                  <c:v>13.62</c:v>
                </c:pt>
                <c:pt idx="81">
                  <c:v>13.62</c:v>
                </c:pt>
                <c:pt idx="82">
                  <c:v>13.62</c:v>
                </c:pt>
                <c:pt idx="83">
                  <c:v>13.62</c:v>
                </c:pt>
                <c:pt idx="84">
                  <c:v>13.62</c:v>
                </c:pt>
                <c:pt idx="85">
                  <c:v>13.62</c:v>
                </c:pt>
                <c:pt idx="86">
                  <c:v>13.62</c:v>
                </c:pt>
                <c:pt idx="87">
                  <c:v>13.62</c:v>
                </c:pt>
                <c:pt idx="88">
                  <c:v>13.62</c:v>
                </c:pt>
                <c:pt idx="89">
                  <c:v>13.62</c:v>
                </c:pt>
                <c:pt idx="90">
                  <c:v>13.62</c:v>
                </c:pt>
                <c:pt idx="91">
                  <c:v>13.62</c:v>
                </c:pt>
                <c:pt idx="92">
                  <c:v>13.62</c:v>
                </c:pt>
                <c:pt idx="93">
                  <c:v>13.62</c:v>
                </c:pt>
                <c:pt idx="94">
                  <c:v>13.62</c:v>
                </c:pt>
                <c:pt idx="95">
                  <c:v>13.62</c:v>
                </c:pt>
                <c:pt idx="96">
                  <c:v>13.62</c:v>
                </c:pt>
                <c:pt idx="97">
                  <c:v>13.62</c:v>
                </c:pt>
                <c:pt idx="98">
                  <c:v>13.62</c:v>
                </c:pt>
                <c:pt idx="99">
                  <c:v>13.62</c:v>
                </c:pt>
                <c:pt idx="100">
                  <c:v>13.62</c:v>
                </c:pt>
                <c:pt idx="101">
                  <c:v>13.62</c:v>
                </c:pt>
                <c:pt idx="102">
                  <c:v>13.62</c:v>
                </c:pt>
                <c:pt idx="103">
                  <c:v>13.62</c:v>
                </c:pt>
                <c:pt idx="104">
                  <c:v>13.62</c:v>
                </c:pt>
                <c:pt idx="105">
                  <c:v>13.62</c:v>
                </c:pt>
                <c:pt idx="106">
                  <c:v>13.62</c:v>
                </c:pt>
                <c:pt idx="107">
                  <c:v>13.62</c:v>
                </c:pt>
                <c:pt idx="108">
                  <c:v>13.62</c:v>
                </c:pt>
                <c:pt idx="109">
                  <c:v>13.62</c:v>
                </c:pt>
                <c:pt idx="110">
                  <c:v>13.62</c:v>
                </c:pt>
                <c:pt idx="111">
                  <c:v>13.62</c:v>
                </c:pt>
                <c:pt idx="112">
                  <c:v>13.62</c:v>
                </c:pt>
                <c:pt idx="113">
                  <c:v>13.62</c:v>
                </c:pt>
                <c:pt idx="114">
                  <c:v>13.62</c:v>
                </c:pt>
                <c:pt idx="115">
                  <c:v>13.62</c:v>
                </c:pt>
                <c:pt idx="116">
                  <c:v>13.62</c:v>
                </c:pt>
                <c:pt idx="117">
                  <c:v>13.62</c:v>
                </c:pt>
                <c:pt idx="118">
                  <c:v>13.62</c:v>
                </c:pt>
                <c:pt idx="119">
                  <c:v>13.62</c:v>
                </c:pt>
                <c:pt idx="120">
                  <c:v>13.62</c:v>
                </c:pt>
                <c:pt idx="121">
                  <c:v>13.62</c:v>
                </c:pt>
                <c:pt idx="122">
                  <c:v>13.62</c:v>
                </c:pt>
                <c:pt idx="123">
                  <c:v>13.62</c:v>
                </c:pt>
                <c:pt idx="124">
                  <c:v>13.62</c:v>
                </c:pt>
                <c:pt idx="125">
                  <c:v>13.62</c:v>
                </c:pt>
                <c:pt idx="126">
                  <c:v>13.62</c:v>
                </c:pt>
                <c:pt idx="127">
                  <c:v>13.62</c:v>
                </c:pt>
                <c:pt idx="128">
                  <c:v>13.62</c:v>
                </c:pt>
                <c:pt idx="129">
                  <c:v>13.62</c:v>
                </c:pt>
                <c:pt idx="130">
                  <c:v>13.62</c:v>
                </c:pt>
                <c:pt idx="131">
                  <c:v>13.62</c:v>
                </c:pt>
                <c:pt idx="132">
                  <c:v>13.62</c:v>
                </c:pt>
                <c:pt idx="133">
                  <c:v>13.62</c:v>
                </c:pt>
                <c:pt idx="134">
                  <c:v>13.62</c:v>
                </c:pt>
                <c:pt idx="135">
                  <c:v>13.62</c:v>
                </c:pt>
                <c:pt idx="136">
                  <c:v>13.62</c:v>
                </c:pt>
                <c:pt idx="137">
                  <c:v>13.62</c:v>
                </c:pt>
                <c:pt idx="138">
                  <c:v>13.62</c:v>
                </c:pt>
                <c:pt idx="139">
                  <c:v>13.62</c:v>
                </c:pt>
                <c:pt idx="140">
                  <c:v>13.62</c:v>
                </c:pt>
                <c:pt idx="141">
                  <c:v>13.62</c:v>
                </c:pt>
                <c:pt idx="142">
                  <c:v>13.62</c:v>
                </c:pt>
                <c:pt idx="143">
                  <c:v>13.62</c:v>
                </c:pt>
                <c:pt idx="144">
                  <c:v>13.62</c:v>
                </c:pt>
                <c:pt idx="145">
                  <c:v>13.62</c:v>
                </c:pt>
                <c:pt idx="146">
                  <c:v>13.62</c:v>
                </c:pt>
                <c:pt idx="147">
                  <c:v>13.62</c:v>
                </c:pt>
                <c:pt idx="148">
                  <c:v>13.62</c:v>
                </c:pt>
                <c:pt idx="149">
                  <c:v>13.62</c:v>
                </c:pt>
                <c:pt idx="150">
                  <c:v>13.62</c:v>
                </c:pt>
                <c:pt idx="151">
                  <c:v>13.62</c:v>
                </c:pt>
                <c:pt idx="152">
                  <c:v>13.62</c:v>
                </c:pt>
                <c:pt idx="153">
                  <c:v>13.62</c:v>
                </c:pt>
                <c:pt idx="154">
                  <c:v>13.62</c:v>
                </c:pt>
                <c:pt idx="155">
                  <c:v>13.62</c:v>
                </c:pt>
                <c:pt idx="156">
                  <c:v>13.62</c:v>
                </c:pt>
                <c:pt idx="157">
                  <c:v>13.62</c:v>
                </c:pt>
                <c:pt idx="158">
                  <c:v>13.62</c:v>
                </c:pt>
                <c:pt idx="159">
                  <c:v>13.62</c:v>
                </c:pt>
                <c:pt idx="160">
                  <c:v>13.62</c:v>
                </c:pt>
                <c:pt idx="161">
                  <c:v>13.62</c:v>
                </c:pt>
                <c:pt idx="162">
                  <c:v>13.62</c:v>
                </c:pt>
                <c:pt idx="163">
                  <c:v>13.62</c:v>
                </c:pt>
                <c:pt idx="164">
                  <c:v>13.62</c:v>
                </c:pt>
                <c:pt idx="165">
                  <c:v>13.62</c:v>
                </c:pt>
                <c:pt idx="166">
                  <c:v>13.62</c:v>
                </c:pt>
                <c:pt idx="167">
                  <c:v>13.62</c:v>
                </c:pt>
                <c:pt idx="168">
                  <c:v>13.62</c:v>
                </c:pt>
                <c:pt idx="169">
                  <c:v>13.62</c:v>
                </c:pt>
                <c:pt idx="170">
                  <c:v>13.62</c:v>
                </c:pt>
                <c:pt idx="171">
                  <c:v>13.62</c:v>
                </c:pt>
                <c:pt idx="172">
                  <c:v>13.62</c:v>
                </c:pt>
                <c:pt idx="173">
                  <c:v>13.62</c:v>
                </c:pt>
                <c:pt idx="174">
                  <c:v>13.62</c:v>
                </c:pt>
                <c:pt idx="175">
                  <c:v>13.62</c:v>
                </c:pt>
                <c:pt idx="176">
                  <c:v>13.62</c:v>
                </c:pt>
                <c:pt idx="177">
                  <c:v>13.62</c:v>
                </c:pt>
                <c:pt idx="178">
                  <c:v>13.62</c:v>
                </c:pt>
                <c:pt idx="179">
                  <c:v>13.62</c:v>
                </c:pt>
                <c:pt idx="180">
                  <c:v>13.62</c:v>
                </c:pt>
                <c:pt idx="181">
                  <c:v>13.62</c:v>
                </c:pt>
                <c:pt idx="182">
                  <c:v>13.62</c:v>
                </c:pt>
                <c:pt idx="183">
                  <c:v>13.62</c:v>
                </c:pt>
                <c:pt idx="184">
                  <c:v>13.62</c:v>
                </c:pt>
                <c:pt idx="185">
                  <c:v>13.62</c:v>
                </c:pt>
                <c:pt idx="186">
                  <c:v>13.62</c:v>
                </c:pt>
                <c:pt idx="187">
                  <c:v>13.62</c:v>
                </c:pt>
                <c:pt idx="188">
                  <c:v>13.62</c:v>
                </c:pt>
                <c:pt idx="189">
                  <c:v>13.62</c:v>
                </c:pt>
                <c:pt idx="190">
                  <c:v>13.62</c:v>
                </c:pt>
                <c:pt idx="191">
                  <c:v>13.62</c:v>
                </c:pt>
                <c:pt idx="192">
                  <c:v>13.62</c:v>
                </c:pt>
                <c:pt idx="193">
                  <c:v>13.62</c:v>
                </c:pt>
                <c:pt idx="194">
                  <c:v>13.62</c:v>
                </c:pt>
                <c:pt idx="195">
                  <c:v>13.62</c:v>
                </c:pt>
                <c:pt idx="196">
                  <c:v>13.62</c:v>
                </c:pt>
                <c:pt idx="197">
                  <c:v>13.62</c:v>
                </c:pt>
                <c:pt idx="198">
                  <c:v>13.62</c:v>
                </c:pt>
                <c:pt idx="199">
                  <c:v>13.62</c:v>
                </c:pt>
                <c:pt idx="200">
                  <c:v>13.62</c:v>
                </c:pt>
                <c:pt idx="201">
                  <c:v>13.62</c:v>
                </c:pt>
                <c:pt idx="202">
                  <c:v>13.62</c:v>
                </c:pt>
                <c:pt idx="203">
                  <c:v>13.62</c:v>
                </c:pt>
                <c:pt idx="204">
                  <c:v>13.62</c:v>
                </c:pt>
                <c:pt idx="205">
                  <c:v>13.62</c:v>
                </c:pt>
                <c:pt idx="206">
                  <c:v>13.62</c:v>
                </c:pt>
                <c:pt idx="207">
                  <c:v>13.62</c:v>
                </c:pt>
                <c:pt idx="208">
                  <c:v>13.62</c:v>
                </c:pt>
                <c:pt idx="209">
                  <c:v>13.62</c:v>
                </c:pt>
                <c:pt idx="210">
                  <c:v>13.62</c:v>
                </c:pt>
                <c:pt idx="211">
                  <c:v>13.62</c:v>
                </c:pt>
                <c:pt idx="212">
                  <c:v>13.62</c:v>
                </c:pt>
                <c:pt idx="213">
                  <c:v>13.62</c:v>
                </c:pt>
                <c:pt idx="214">
                  <c:v>13.62</c:v>
                </c:pt>
                <c:pt idx="215">
                  <c:v>13.62</c:v>
                </c:pt>
                <c:pt idx="216">
                  <c:v>13.62</c:v>
                </c:pt>
                <c:pt idx="217">
                  <c:v>13.62</c:v>
                </c:pt>
                <c:pt idx="218">
                  <c:v>13.62</c:v>
                </c:pt>
                <c:pt idx="219">
                  <c:v>13.62</c:v>
                </c:pt>
                <c:pt idx="220">
                  <c:v>13.62</c:v>
                </c:pt>
                <c:pt idx="221">
                  <c:v>13.62</c:v>
                </c:pt>
                <c:pt idx="222">
                  <c:v>13.62</c:v>
                </c:pt>
                <c:pt idx="223">
                  <c:v>13.62</c:v>
                </c:pt>
                <c:pt idx="224">
                  <c:v>13.62</c:v>
                </c:pt>
                <c:pt idx="225">
                  <c:v>13.62</c:v>
                </c:pt>
                <c:pt idx="226">
                  <c:v>13.62</c:v>
                </c:pt>
                <c:pt idx="227">
                  <c:v>13.62</c:v>
                </c:pt>
                <c:pt idx="228">
                  <c:v>13.62</c:v>
                </c:pt>
                <c:pt idx="229">
                  <c:v>13.62</c:v>
                </c:pt>
                <c:pt idx="230">
                  <c:v>13.62</c:v>
                </c:pt>
                <c:pt idx="231">
                  <c:v>13.62</c:v>
                </c:pt>
                <c:pt idx="232">
                  <c:v>13.62</c:v>
                </c:pt>
                <c:pt idx="233">
                  <c:v>13.62</c:v>
                </c:pt>
                <c:pt idx="234">
                  <c:v>13.62</c:v>
                </c:pt>
                <c:pt idx="235">
                  <c:v>13.62</c:v>
                </c:pt>
                <c:pt idx="236">
                  <c:v>13.62</c:v>
                </c:pt>
                <c:pt idx="237">
                  <c:v>13.62</c:v>
                </c:pt>
                <c:pt idx="238">
                  <c:v>13.62</c:v>
                </c:pt>
                <c:pt idx="239">
                  <c:v>13.62</c:v>
                </c:pt>
                <c:pt idx="240">
                  <c:v>13.62</c:v>
                </c:pt>
                <c:pt idx="241">
                  <c:v>13.62</c:v>
                </c:pt>
                <c:pt idx="242">
                  <c:v>13.62</c:v>
                </c:pt>
                <c:pt idx="243">
                  <c:v>13.62</c:v>
                </c:pt>
                <c:pt idx="244">
                  <c:v>13.62</c:v>
                </c:pt>
                <c:pt idx="245">
                  <c:v>13.62</c:v>
                </c:pt>
                <c:pt idx="246">
                  <c:v>13.62</c:v>
                </c:pt>
                <c:pt idx="247">
                  <c:v>13.62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94440192"/>
        <c:axId val="194675456"/>
      </c:barChart>
      <c:lineChart>
        <c:grouping val="standard"/>
        <c:varyColors val="0"/>
        <c:ser>
          <c:idx val="0"/>
          <c:order val="0"/>
          <c:tx>
            <c:strRef>
              <c:f>'simulation commandes'!$E$4</c:f>
              <c:strCache>
                <c:ptCount val="1"/>
                <c:pt idx="0">
                  <c:v>stock début</c:v>
                </c:pt>
              </c:strCache>
            </c:strRef>
          </c:tx>
          <c:marker>
            <c:symbol val="circle"/>
            <c:size val="7"/>
          </c:marker>
          <c:val>
            <c:numRef>
              <c:f>'simulation commandes'!$E$5:$E$252</c:f>
              <c:numCache>
                <c:formatCode>0</c:formatCode>
                <c:ptCount val="248"/>
                <c:pt idx="0">
                  <c:v>34</c:v>
                </c:pt>
                <c:pt idx="1">
                  <c:v>34</c:v>
                </c:pt>
                <c:pt idx="2">
                  <c:v>34</c:v>
                </c:pt>
                <c:pt idx="3">
                  <c:v>34</c:v>
                </c:pt>
                <c:pt idx="4">
                  <c:v>34</c:v>
                </c:pt>
                <c:pt idx="5">
                  <c:v>22</c:v>
                </c:pt>
                <c:pt idx="6">
                  <c:v>22</c:v>
                </c:pt>
                <c:pt idx="7">
                  <c:v>32</c:v>
                </c:pt>
                <c:pt idx="8">
                  <c:v>32</c:v>
                </c:pt>
                <c:pt idx="9">
                  <c:v>31</c:v>
                </c:pt>
                <c:pt idx="10">
                  <c:v>31</c:v>
                </c:pt>
                <c:pt idx="11">
                  <c:v>31</c:v>
                </c:pt>
                <c:pt idx="12">
                  <c:v>31</c:v>
                </c:pt>
                <c:pt idx="13">
                  <c:v>30</c:v>
                </c:pt>
                <c:pt idx="14">
                  <c:v>26</c:v>
                </c:pt>
                <c:pt idx="15">
                  <c:v>26</c:v>
                </c:pt>
                <c:pt idx="16">
                  <c:v>26</c:v>
                </c:pt>
                <c:pt idx="17">
                  <c:v>16</c:v>
                </c:pt>
                <c:pt idx="18">
                  <c:v>53</c:v>
                </c:pt>
                <c:pt idx="19">
                  <c:v>53</c:v>
                </c:pt>
                <c:pt idx="20">
                  <c:v>53</c:v>
                </c:pt>
                <c:pt idx="21">
                  <c:v>53</c:v>
                </c:pt>
                <c:pt idx="22">
                  <c:v>53</c:v>
                </c:pt>
                <c:pt idx="23">
                  <c:v>51</c:v>
                </c:pt>
                <c:pt idx="24">
                  <c:v>51</c:v>
                </c:pt>
                <c:pt idx="25">
                  <c:v>51</c:v>
                </c:pt>
                <c:pt idx="26">
                  <c:v>51</c:v>
                </c:pt>
                <c:pt idx="27">
                  <c:v>71</c:v>
                </c:pt>
                <c:pt idx="28">
                  <c:v>71</c:v>
                </c:pt>
                <c:pt idx="29">
                  <c:v>71</c:v>
                </c:pt>
                <c:pt idx="30">
                  <c:v>71</c:v>
                </c:pt>
                <c:pt idx="31">
                  <c:v>69</c:v>
                </c:pt>
                <c:pt idx="32">
                  <c:v>61</c:v>
                </c:pt>
                <c:pt idx="33">
                  <c:v>59</c:v>
                </c:pt>
                <c:pt idx="34">
                  <c:v>59</c:v>
                </c:pt>
                <c:pt idx="35">
                  <c:v>59</c:v>
                </c:pt>
                <c:pt idx="36">
                  <c:v>59</c:v>
                </c:pt>
                <c:pt idx="37">
                  <c:v>59</c:v>
                </c:pt>
                <c:pt idx="38">
                  <c:v>44</c:v>
                </c:pt>
                <c:pt idx="39">
                  <c:v>44</c:v>
                </c:pt>
                <c:pt idx="40">
                  <c:v>44</c:v>
                </c:pt>
                <c:pt idx="41">
                  <c:v>44</c:v>
                </c:pt>
                <c:pt idx="42">
                  <c:v>44</c:v>
                </c:pt>
                <c:pt idx="43">
                  <c:v>44</c:v>
                </c:pt>
                <c:pt idx="44">
                  <c:v>43</c:v>
                </c:pt>
                <c:pt idx="45">
                  <c:v>43</c:v>
                </c:pt>
                <c:pt idx="46">
                  <c:v>41</c:v>
                </c:pt>
                <c:pt idx="47">
                  <c:v>54</c:v>
                </c:pt>
                <c:pt idx="48">
                  <c:v>53</c:v>
                </c:pt>
                <c:pt idx="49">
                  <c:v>47</c:v>
                </c:pt>
                <c:pt idx="50">
                  <c:v>47</c:v>
                </c:pt>
                <c:pt idx="51">
                  <c:v>47</c:v>
                </c:pt>
                <c:pt idx="52">
                  <c:v>51</c:v>
                </c:pt>
                <c:pt idx="53">
                  <c:v>51</c:v>
                </c:pt>
                <c:pt idx="54">
                  <c:v>41</c:v>
                </c:pt>
                <c:pt idx="55">
                  <c:v>38</c:v>
                </c:pt>
                <c:pt idx="56">
                  <c:v>38</c:v>
                </c:pt>
                <c:pt idx="57">
                  <c:v>58</c:v>
                </c:pt>
                <c:pt idx="58">
                  <c:v>56</c:v>
                </c:pt>
                <c:pt idx="59">
                  <c:v>56</c:v>
                </c:pt>
                <c:pt idx="60">
                  <c:v>50</c:v>
                </c:pt>
                <c:pt idx="61">
                  <c:v>50</c:v>
                </c:pt>
                <c:pt idx="62">
                  <c:v>121</c:v>
                </c:pt>
                <c:pt idx="63">
                  <c:v>87</c:v>
                </c:pt>
                <c:pt idx="64">
                  <c:v>85</c:v>
                </c:pt>
                <c:pt idx="65">
                  <c:v>85</c:v>
                </c:pt>
                <c:pt idx="66">
                  <c:v>85</c:v>
                </c:pt>
                <c:pt idx="67">
                  <c:v>97</c:v>
                </c:pt>
                <c:pt idx="68">
                  <c:v>97</c:v>
                </c:pt>
                <c:pt idx="69">
                  <c:v>96</c:v>
                </c:pt>
                <c:pt idx="70">
                  <c:v>96</c:v>
                </c:pt>
                <c:pt idx="71">
                  <c:v>95</c:v>
                </c:pt>
                <c:pt idx="72">
                  <c:v>93</c:v>
                </c:pt>
                <c:pt idx="73">
                  <c:v>93</c:v>
                </c:pt>
                <c:pt idx="74">
                  <c:v>89</c:v>
                </c:pt>
                <c:pt idx="75">
                  <c:v>84</c:v>
                </c:pt>
                <c:pt idx="76">
                  <c:v>94</c:v>
                </c:pt>
                <c:pt idx="77">
                  <c:v>94</c:v>
                </c:pt>
                <c:pt idx="78">
                  <c:v>94</c:v>
                </c:pt>
                <c:pt idx="79">
                  <c:v>93</c:v>
                </c:pt>
                <c:pt idx="80">
                  <c:v>74</c:v>
                </c:pt>
                <c:pt idx="81">
                  <c:v>124</c:v>
                </c:pt>
                <c:pt idx="82">
                  <c:v>116</c:v>
                </c:pt>
                <c:pt idx="83">
                  <c:v>113</c:v>
                </c:pt>
                <c:pt idx="84">
                  <c:v>112</c:v>
                </c:pt>
                <c:pt idx="85">
                  <c:v>86</c:v>
                </c:pt>
                <c:pt idx="86">
                  <c:v>89</c:v>
                </c:pt>
                <c:pt idx="87">
                  <c:v>89</c:v>
                </c:pt>
                <c:pt idx="88">
                  <c:v>79</c:v>
                </c:pt>
                <c:pt idx="89">
                  <c:v>78</c:v>
                </c:pt>
                <c:pt idx="90">
                  <c:v>98</c:v>
                </c:pt>
                <c:pt idx="91">
                  <c:v>73</c:v>
                </c:pt>
                <c:pt idx="92">
                  <c:v>67</c:v>
                </c:pt>
                <c:pt idx="93">
                  <c:v>67</c:v>
                </c:pt>
                <c:pt idx="94">
                  <c:v>108</c:v>
                </c:pt>
                <c:pt idx="95">
                  <c:v>108</c:v>
                </c:pt>
                <c:pt idx="96">
                  <c:v>108</c:v>
                </c:pt>
                <c:pt idx="97">
                  <c:v>107</c:v>
                </c:pt>
                <c:pt idx="98">
                  <c:v>107</c:v>
                </c:pt>
                <c:pt idx="99">
                  <c:v>107</c:v>
                </c:pt>
                <c:pt idx="100">
                  <c:v>102</c:v>
                </c:pt>
                <c:pt idx="101">
                  <c:v>102</c:v>
                </c:pt>
                <c:pt idx="102">
                  <c:v>100</c:v>
                </c:pt>
                <c:pt idx="103">
                  <c:v>114</c:v>
                </c:pt>
                <c:pt idx="104">
                  <c:v>114</c:v>
                </c:pt>
                <c:pt idx="105">
                  <c:v>114</c:v>
                </c:pt>
                <c:pt idx="106">
                  <c:v>96</c:v>
                </c:pt>
                <c:pt idx="107">
                  <c:v>95</c:v>
                </c:pt>
                <c:pt idx="108">
                  <c:v>95</c:v>
                </c:pt>
                <c:pt idx="109">
                  <c:v>92</c:v>
                </c:pt>
                <c:pt idx="110">
                  <c:v>90</c:v>
                </c:pt>
                <c:pt idx="111">
                  <c:v>90</c:v>
                </c:pt>
                <c:pt idx="112">
                  <c:v>88</c:v>
                </c:pt>
                <c:pt idx="113">
                  <c:v>94</c:v>
                </c:pt>
                <c:pt idx="114">
                  <c:v>94</c:v>
                </c:pt>
                <c:pt idx="115">
                  <c:v>80</c:v>
                </c:pt>
                <c:pt idx="116">
                  <c:v>80</c:v>
                </c:pt>
                <c:pt idx="117">
                  <c:v>76</c:v>
                </c:pt>
                <c:pt idx="118">
                  <c:v>76</c:v>
                </c:pt>
                <c:pt idx="119">
                  <c:v>72</c:v>
                </c:pt>
                <c:pt idx="120">
                  <c:v>72</c:v>
                </c:pt>
                <c:pt idx="121">
                  <c:v>70</c:v>
                </c:pt>
                <c:pt idx="122">
                  <c:v>66</c:v>
                </c:pt>
                <c:pt idx="123">
                  <c:v>66</c:v>
                </c:pt>
                <c:pt idx="124">
                  <c:v>70</c:v>
                </c:pt>
                <c:pt idx="125">
                  <c:v>70</c:v>
                </c:pt>
                <c:pt idx="126">
                  <c:v>62</c:v>
                </c:pt>
                <c:pt idx="127">
                  <c:v>58</c:v>
                </c:pt>
                <c:pt idx="128">
                  <c:v>58</c:v>
                </c:pt>
                <c:pt idx="129">
                  <c:v>58</c:v>
                </c:pt>
                <c:pt idx="130">
                  <c:v>58</c:v>
                </c:pt>
                <c:pt idx="131">
                  <c:v>58</c:v>
                </c:pt>
                <c:pt idx="132">
                  <c:v>58</c:v>
                </c:pt>
                <c:pt idx="133">
                  <c:v>58</c:v>
                </c:pt>
                <c:pt idx="134">
                  <c:v>58</c:v>
                </c:pt>
                <c:pt idx="135">
                  <c:v>57</c:v>
                </c:pt>
                <c:pt idx="136">
                  <c:v>73</c:v>
                </c:pt>
                <c:pt idx="137">
                  <c:v>73</c:v>
                </c:pt>
                <c:pt idx="138">
                  <c:v>73</c:v>
                </c:pt>
                <c:pt idx="139">
                  <c:v>73</c:v>
                </c:pt>
                <c:pt idx="140">
                  <c:v>71</c:v>
                </c:pt>
                <c:pt idx="141">
                  <c:v>71</c:v>
                </c:pt>
                <c:pt idx="142">
                  <c:v>71</c:v>
                </c:pt>
                <c:pt idx="143">
                  <c:v>67</c:v>
                </c:pt>
                <c:pt idx="144">
                  <c:v>72</c:v>
                </c:pt>
                <c:pt idx="145">
                  <c:v>72</c:v>
                </c:pt>
                <c:pt idx="146">
                  <c:v>73</c:v>
                </c:pt>
                <c:pt idx="147">
                  <c:v>73</c:v>
                </c:pt>
                <c:pt idx="148">
                  <c:v>73</c:v>
                </c:pt>
                <c:pt idx="149">
                  <c:v>73</c:v>
                </c:pt>
                <c:pt idx="150">
                  <c:v>73</c:v>
                </c:pt>
                <c:pt idx="151">
                  <c:v>72</c:v>
                </c:pt>
                <c:pt idx="152">
                  <c:v>70</c:v>
                </c:pt>
                <c:pt idx="153">
                  <c:v>70</c:v>
                </c:pt>
                <c:pt idx="154">
                  <c:v>70</c:v>
                </c:pt>
                <c:pt idx="155">
                  <c:v>70</c:v>
                </c:pt>
                <c:pt idx="156">
                  <c:v>70</c:v>
                </c:pt>
                <c:pt idx="157">
                  <c:v>70</c:v>
                </c:pt>
                <c:pt idx="158">
                  <c:v>68</c:v>
                </c:pt>
                <c:pt idx="159">
                  <c:v>68</c:v>
                </c:pt>
                <c:pt idx="160">
                  <c:v>68</c:v>
                </c:pt>
                <c:pt idx="161">
                  <c:v>68</c:v>
                </c:pt>
                <c:pt idx="162">
                  <c:v>68</c:v>
                </c:pt>
                <c:pt idx="163">
                  <c:v>60</c:v>
                </c:pt>
                <c:pt idx="164">
                  <c:v>55</c:v>
                </c:pt>
                <c:pt idx="165">
                  <c:v>50</c:v>
                </c:pt>
                <c:pt idx="166">
                  <c:v>50</c:v>
                </c:pt>
                <c:pt idx="167">
                  <c:v>50</c:v>
                </c:pt>
                <c:pt idx="168">
                  <c:v>74</c:v>
                </c:pt>
                <c:pt idx="169">
                  <c:v>74</c:v>
                </c:pt>
                <c:pt idx="170">
                  <c:v>68</c:v>
                </c:pt>
                <c:pt idx="171">
                  <c:v>68</c:v>
                </c:pt>
                <c:pt idx="172">
                  <c:v>68</c:v>
                </c:pt>
                <c:pt idx="173">
                  <c:v>68</c:v>
                </c:pt>
                <c:pt idx="174">
                  <c:v>57</c:v>
                </c:pt>
                <c:pt idx="175">
                  <c:v>57</c:v>
                </c:pt>
                <c:pt idx="176">
                  <c:v>62</c:v>
                </c:pt>
                <c:pt idx="177">
                  <c:v>62</c:v>
                </c:pt>
                <c:pt idx="178">
                  <c:v>62</c:v>
                </c:pt>
                <c:pt idx="179">
                  <c:v>62</c:v>
                </c:pt>
                <c:pt idx="180">
                  <c:v>58</c:v>
                </c:pt>
                <c:pt idx="181">
                  <c:v>58</c:v>
                </c:pt>
                <c:pt idx="182">
                  <c:v>54</c:v>
                </c:pt>
                <c:pt idx="183">
                  <c:v>54</c:v>
                </c:pt>
                <c:pt idx="184">
                  <c:v>54</c:v>
                </c:pt>
                <c:pt idx="185">
                  <c:v>54</c:v>
                </c:pt>
                <c:pt idx="186">
                  <c:v>53</c:v>
                </c:pt>
                <c:pt idx="187">
                  <c:v>46</c:v>
                </c:pt>
                <c:pt idx="188">
                  <c:v>41</c:v>
                </c:pt>
                <c:pt idx="189">
                  <c:v>41</c:v>
                </c:pt>
                <c:pt idx="190">
                  <c:v>31</c:v>
                </c:pt>
                <c:pt idx="191">
                  <c:v>31</c:v>
                </c:pt>
                <c:pt idx="192">
                  <c:v>31</c:v>
                </c:pt>
                <c:pt idx="193">
                  <c:v>36</c:v>
                </c:pt>
                <c:pt idx="194">
                  <c:v>36</c:v>
                </c:pt>
                <c:pt idx="195">
                  <c:v>36</c:v>
                </c:pt>
                <c:pt idx="196">
                  <c:v>36</c:v>
                </c:pt>
                <c:pt idx="197">
                  <c:v>73</c:v>
                </c:pt>
                <c:pt idx="198">
                  <c:v>73</c:v>
                </c:pt>
                <c:pt idx="199">
                  <c:v>73</c:v>
                </c:pt>
                <c:pt idx="200">
                  <c:v>68</c:v>
                </c:pt>
                <c:pt idx="201">
                  <c:v>68</c:v>
                </c:pt>
                <c:pt idx="202">
                  <c:v>82</c:v>
                </c:pt>
                <c:pt idx="203">
                  <c:v>82</c:v>
                </c:pt>
                <c:pt idx="204">
                  <c:v>80</c:v>
                </c:pt>
                <c:pt idx="205">
                  <c:v>50</c:v>
                </c:pt>
                <c:pt idx="206">
                  <c:v>50</c:v>
                </c:pt>
                <c:pt idx="207">
                  <c:v>43</c:v>
                </c:pt>
                <c:pt idx="208">
                  <c:v>52</c:v>
                </c:pt>
                <c:pt idx="209">
                  <c:v>52</c:v>
                </c:pt>
                <c:pt idx="210">
                  <c:v>52</c:v>
                </c:pt>
                <c:pt idx="211">
                  <c:v>47</c:v>
                </c:pt>
                <c:pt idx="212">
                  <c:v>52</c:v>
                </c:pt>
                <c:pt idx="213">
                  <c:v>52</c:v>
                </c:pt>
                <c:pt idx="214">
                  <c:v>43</c:v>
                </c:pt>
                <c:pt idx="215">
                  <c:v>41</c:v>
                </c:pt>
                <c:pt idx="216">
                  <c:v>41</c:v>
                </c:pt>
                <c:pt idx="217">
                  <c:v>41</c:v>
                </c:pt>
                <c:pt idx="218">
                  <c:v>41</c:v>
                </c:pt>
                <c:pt idx="219">
                  <c:v>34</c:v>
                </c:pt>
                <c:pt idx="220">
                  <c:v>34</c:v>
                </c:pt>
                <c:pt idx="221">
                  <c:v>32</c:v>
                </c:pt>
                <c:pt idx="222">
                  <c:v>47</c:v>
                </c:pt>
                <c:pt idx="223">
                  <c:v>38</c:v>
                </c:pt>
                <c:pt idx="224">
                  <c:v>32</c:v>
                </c:pt>
                <c:pt idx="225">
                  <c:v>32</c:v>
                </c:pt>
                <c:pt idx="226">
                  <c:v>31</c:v>
                </c:pt>
                <c:pt idx="227">
                  <c:v>44</c:v>
                </c:pt>
                <c:pt idx="228">
                  <c:v>44</c:v>
                </c:pt>
                <c:pt idx="229">
                  <c:v>28</c:v>
                </c:pt>
                <c:pt idx="230">
                  <c:v>28</c:v>
                </c:pt>
                <c:pt idx="231">
                  <c:v>25</c:v>
                </c:pt>
                <c:pt idx="232">
                  <c:v>43</c:v>
                </c:pt>
                <c:pt idx="233">
                  <c:v>31</c:v>
                </c:pt>
                <c:pt idx="234">
                  <c:v>31</c:v>
                </c:pt>
                <c:pt idx="235">
                  <c:v>31</c:v>
                </c:pt>
                <c:pt idx="236">
                  <c:v>25</c:v>
                </c:pt>
                <c:pt idx="237">
                  <c:v>36</c:v>
                </c:pt>
                <c:pt idx="238">
                  <c:v>36</c:v>
                </c:pt>
                <c:pt idx="239">
                  <c:v>31</c:v>
                </c:pt>
                <c:pt idx="240">
                  <c:v>23</c:v>
                </c:pt>
                <c:pt idx="241">
                  <c:v>23</c:v>
                </c:pt>
                <c:pt idx="242">
                  <c:v>43</c:v>
                </c:pt>
                <c:pt idx="243">
                  <c:v>43</c:v>
                </c:pt>
                <c:pt idx="244">
                  <c:v>42</c:v>
                </c:pt>
                <c:pt idx="245">
                  <c:v>42</c:v>
                </c:pt>
                <c:pt idx="246">
                  <c:v>32</c:v>
                </c:pt>
                <c:pt idx="247">
                  <c:v>52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'simulation commandes'!#REF!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val>
            <c:numRef>
              <c:f>'simulation commandes'!#REF!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'simulation commandes'!$Y$4</c:f>
              <c:strCache>
                <c:ptCount val="1"/>
                <c:pt idx="0">
                  <c:v>stock moyen</c:v>
                </c:pt>
              </c:strCache>
            </c:strRef>
          </c:tx>
          <c:marker>
            <c:symbol val="none"/>
          </c:marker>
          <c:val>
            <c:numRef>
              <c:f>'simulation commandes'!$Y$5:$Y$252</c:f>
              <c:numCache>
                <c:formatCode>0.0</c:formatCode>
                <c:ptCount val="248"/>
                <c:pt idx="0">
                  <c:v>31.325999999999997</c:v>
                </c:pt>
                <c:pt idx="1">
                  <c:v>31.325999999999997</c:v>
                </c:pt>
                <c:pt idx="2">
                  <c:v>31.325999999999997</c:v>
                </c:pt>
                <c:pt idx="3">
                  <c:v>31.325999999999997</c:v>
                </c:pt>
                <c:pt idx="4">
                  <c:v>31.325999999999997</c:v>
                </c:pt>
                <c:pt idx="5">
                  <c:v>31.325999999999997</c:v>
                </c:pt>
                <c:pt idx="6">
                  <c:v>31.325999999999997</c:v>
                </c:pt>
                <c:pt idx="7">
                  <c:v>31.325999999999997</c:v>
                </c:pt>
                <c:pt idx="8">
                  <c:v>31.325999999999997</c:v>
                </c:pt>
                <c:pt idx="9">
                  <c:v>31.325999999999997</c:v>
                </c:pt>
                <c:pt idx="10">
                  <c:v>31.325999999999997</c:v>
                </c:pt>
                <c:pt idx="11">
                  <c:v>31.325999999999997</c:v>
                </c:pt>
                <c:pt idx="12">
                  <c:v>31.325999999999997</c:v>
                </c:pt>
                <c:pt idx="13">
                  <c:v>31.325999999999997</c:v>
                </c:pt>
                <c:pt idx="14">
                  <c:v>31.325999999999997</c:v>
                </c:pt>
                <c:pt idx="15">
                  <c:v>31.325999999999997</c:v>
                </c:pt>
                <c:pt idx="16">
                  <c:v>31.325999999999997</c:v>
                </c:pt>
                <c:pt idx="17">
                  <c:v>31.325999999999997</c:v>
                </c:pt>
                <c:pt idx="18">
                  <c:v>31.325999999999997</c:v>
                </c:pt>
                <c:pt idx="19">
                  <c:v>31.325999999999997</c:v>
                </c:pt>
                <c:pt idx="20">
                  <c:v>31.325999999999997</c:v>
                </c:pt>
                <c:pt idx="21">
                  <c:v>31.325999999999997</c:v>
                </c:pt>
                <c:pt idx="22">
                  <c:v>31.325999999999997</c:v>
                </c:pt>
                <c:pt idx="23">
                  <c:v>31.325999999999997</c:v>
                </c:pt>
                <c:pt idx="24">
                  <c:v>31.325999999999997</c:v>
                </c:pt>
                <c:pt idx="25">
                  <c:v>31.325999999999997</c:v>
                </c:pt>
                <c:pt idx="26">
                  <c:v>52.5</c:v>
                </c:pt>
                <c:pt idx="27">
                  <c:v>52.5</c:v>
                </c:pt>
                <c:pt idx="28">
                  <c:v>52.5</c:v>
                </c:pt>
                <c:pt idx="29">
                  <c:v>52.5</c:v>
                </c:pt>
                <c:pt idx="30">
                  <c:v>52.5</c:v>
                </c:pt>
                <c:pt idx="31">
                  <c:v>52.5</c:v>
                </c:pt>
                <c:pt idx="32">
                  <c:v>52.5</c:v>
                </c:pt>
                <c:pt idx="33">
                  <c:v>52.5</c:v>
                </c:pt>
                <c:pt idx="34">
                  <c:v>52.5</c:v>
                </c:pt>
                <c:pt idx="35">
                  <c:v>52.5</c:v>
                </c:pt>
                <c:pt idx="36">
                  <c:v>52.5</c:v>
                </c:pt>
                <c:pt idx="37">
                  <c:v>52.5</c:v>
                </c:pt>
                <c:pt idx="38">
                  <c:v>52.5</c:v>
                </c:pt>
                <c:pt idx="39">
                  <c:v>52.5</c:v>
                </c:pt>
                <c:pt idx="40">
                  <c:v>52.5</c:v>
                </c:pt>
                <c:pt idx="41">
                  <c:v>52.5</c:v>
                </c:pt>
                <c:pt idx="42">
                  <c:v>31.325999999999997</c:v>
                </c:pt>
                <c:pt idx="43">
                  <c:v>31.325999999999997</c:v>
                </c:pt>
                <c:pt idx="44">
                  <c:v>31.325999999999997</c:v>
                </c:pt>
                <c:pt idx="45">
                  <c:v>31.325999999999997</c:v>
                </c:pt>
                <c:pt idx="46">
                  <c:v>31.325999999999997</c:v>
                </c:pt>
                <c:pt idx="47">
                  <c:v>31.325999999999997</c:v>
                </c:pt>
                <c:pt idx="48">
                  <c:v>31.325999999999997</c:v>
                </c:pt>
                <c:pt idx="49">
                  <c:v>31.325999999999997</c:v>
                </c:pt>
                <c:pt idx="50">
                  <c:v>31.325999999999997</c:v>
                </c:pt>
                <c:pt idx="51">
                  <c:v>31.325999999999997</c:v>
                </c:pt>
                <c:pt idx="52">
                  <c:v>31.325999999999997</c:v>
                </c:pt>
                <c:pt idx="53">
                  <c:v>31.325999999999997</c:v>
                </c:pt>
                <c:pt idx="54">
                  <c:v>31.325999999999997</c:v>
                </c:pt>
                <c:pt idx="55">
                  <c:v>31.325999999999997</c:v>
                </c:pt>
                <c:pt idx="56">
                  <c:v>31.325999999999997</c:v>
                </c:pt>
                <c:pt idx="57">
                  <c:v>31.325999999999997</c:v>
                </c:pt>
                <c:pt idx="58">
                  <c:v>31.325999999999997</c:v>
                </c:pt>
                <c:pt idx="59">
                  <c:v>31.325999999999997</c:v>
                </c:pt>
                <c:pt idx="60">
                  <c:v>31.325999999999997</c:v>
                </c:pt>
                <c:pt idx="61">
                  <c:v>31.325999999999997</c:v>
                </c:pt>
                <c:pt idx="62">
                  <c:v>31.325999999999997</c:v>
                </c:pt>
                <c:pt idx="63">
                  <c:v>31.325999999999997</c:v>
                </c:pt>
                <c:pt idx="64">
                  <c:v>31.325999999999997</c:v>
                </c:pt>
                <c:pt idx="65">
                  <c:v>31.325999999999997</c:v>
                </c:pt>
                <c:pt idx="66">
                  <c:v>31.325999999999997</c:v>
                </c:pt>
                <c:pt idx="67">
                  <c:v>31.325999999999997</c:v>
                </c:pt>
                <c:pt idx="68">
                  <c:v>31.325999999999997</c:v>
                </c:pt>
                <c:pt idx="69">
                  <c:v>31.325999999999997</c:v>
                </c:pt>
                <c:pt idx="70">
                  <c:v>31.325999999999997</c:v>
                </c:pt>
                <c:pt idx="71">
                  <c:v>31.325999999999997</c:v>
                </c:pt>
                <c:pt idx="72">
                  <c:v>31.325999999999997</c:v>
                </c:pt>
                <c:pt idx="73">
                  <c:v>31.325999999999997</c:v>
                </c:pt>
                <c:pt idx="74">
                  <c:v>31.325999999999997</c:v>
                </c:pt>
                <c:pt idx="75">
                  <c:v>31.325999999999997</c:v>
                </c:pt>
                <c:pt idx="76">
                  <c:v>31.325999999999997</c:v>
                </c:pt>
                <c:pt idx="77">
                  <c:v>31.325999999999997</c:v>
                </c:pt>
                <c:pt idx="78">
                  <c:v>31.325999999999997</c:v>
                </c:pt>
                <c:pt idx="79">
                  <c:v>31.325999999999997</c:v>
                </c:pt>
                <c:pt idx="80">
                  <c:v>31.325999999999997</c:v>
                </c:pt>
                <c:pt idx="81">
                  <c:v>31.325999999999997</c:v>
                </c:pt>
                <c:pt idx="82">
                  <c:v>31.325999999999997</c:v>
                </c:pt>
                <c:pt idx="83">
                  <c:v>31.325999999999997</c:v>
                </c:pt>
                <c:pt idx="84">
                  <c:v>31.325999999999997</c:v>
                </c:pt>
                <c:pt idx="85">
                  <c:v>31.325999999999997</c:v>
                </c:pt>
                <c:pt idx="86">
                  <c:v>31.325999999999997</c:v>
                </c:pt>
                <c:pt idx="87">
                  <c:v>31.325999999999997</c:v>
                </c:pt>
                <c:pt idx="88">
                  <c:v>31.325999999999997</c:v>
                </c:pt>
                <c:pt idx="89">
                  <c:v>31.325999999999997</c:v>
                </c:pt>
                <c:pt idx="90">
                  <c:v>31.325999999999997</c:v>
                </c:pt>
                <c:pt idx="91">
                  <c:v>31.325999999999997</c:v>
                </c:pt>
                <c:pt idx="92">
                  <c:v>31.325999999999997</c:v>
                </c:pt>
                <c:pt idx="93">
                  <c:v>31.325999999999997</c:v>
                </c:pt>
                <c:pt idx="94">
                  <c:v>31.325999999999997</c:v>
                </c:pt>
                <c:pt idx="95">
                  <c:v>31.325999999999997</c:v>
                </c:pt>
                <c:pt idx="96">
                  <c:v>31.325999999999997</c:v>
                </c:pt>
                <c:pt idx="97">
                  <c:v>31.325999999999997</c:v>
                </c:pt>
                <c:pt idx="98">
                  <c:v>31.325999999999997</c:v>
                </c:pt>
                <c:pt idx="99">
                  <c:v>31.325999999999997</c:v>
                </c:pt>
                <c:pt idx="100">
                  <c:v>31.325999999999997</c:v>
                </c:pt>
                <c:pt idx="101">
                  <c:v>31.325999999999997</c:v>
                </c:pt>
                <c:pt idx="102">
                  <c:v>31.325999999999997</c:v>
                </c:pt>
                <c:pt idx="103">
                  <c:v>31.325999999999997</c:v>
                </c:pt>
                <c:pt idx="104">
                  <c:v>31.325999999999997</c:v>
                </c:pt>
                <c:pt idx="105">
                  <c:v>31.325999999999997</c:v>
                </c:pt>
                <c:pt idx="106">
                  <c:v>31.325999999999997</c:v>
                </c:pt>
                <c:pt idx="107">
                  <c:v>31.325999999999997</c:v>
                </c:pt>
                <c:pt idx="108">
                  <c:v>31.325999999999997</c:v>
                </c:pt>
                <c:pt idx="109">
                  <c:v>31.325999999999997</c:v>
                </c:pt>
                <c:pt idx="110">
                  <c:v>31.325999999999997</c:v>
                </c:pt>
                <c:pt idx="111">
                  <c:v>31.325999999999997</c:v>
                </c:pt>
                <c:pt idx="112">
                  <c:v>31.325999999999997</c:v>
                </c:pt>
                <c:pt idx="113">
                  <c:v>31.325999999999997</c:v>
                </c:pt>
                <c:pt idx="114">
                  <c:v>31.325999999999997</c:v>
                </c:pt>
                <c:pt idx="115">
                  <c:v>31.325999999999997</c:v>
                </c:pt>
                <c:pt idx="116">
                  <c:v>31.325999999999997</c:v>
                </c:pt>
                <c:pt idx="117">
                  <c:v>31.325999999999997</c:v>
                </c:pt>
                <c:pt idx="118">
                  <c:v>31.325999999999997</c:v>
                </c:pt>
                <c:pt idx="119">
                  <c:v>31.325999999999997</c:v>
                </c:pt>
                <c:pt idx="120">
                  <c:v>31.325999999999997</c:v>
                </c:pt>
                <c:pt idx="121">
                  <c:v>31.325999999999997</c:v>
                </c:pt>
                <c:pt idx="122">
                  <c:v>31.325999999999997</c:v>
                </c:pt>
                <c:pt idx="123">
                  <c:v>31.325999999999997</c:v>
                </c:pt>
                <c:pt idx="124">
                  <c:v>31.325999999999997</c:v>
                </c:pt>
                <c:pt idx="125">
                  <c:v>31.325999999999997</c:v>
                </c:pt>
                <c:pt idx="126">
                  <c:v>31.325999999999997</c:v>
                </c:pt>
                <c:pt idx="127">
                  <c:v>31.325999999999997</c:v>
                </c:pt>
                <c:pt idx="128">
                  <c:v>31.325999999999997</c:v>
                </c:pt>
                <c:pt idx="129">
                  <c:v>31.325999999999997</c:v>
                </c:pt>
                <c:pt idx="130">
                  <c:v>31.325999999999997</c:v>
                </c:pt>
                <c:pt idx="131">
                  <c:v>31.325999999999997</c:v>
                </c:pt>
                <c:pt idx="132">
                  <c:v>31.325999999999997</c:v>
                </c:pt>
                <c:pt idx="133">
                  <c:v>31.325999999999997</c:v>
                </c:pt>
                <c:pt idx="134">
                  <c:v>31.325999999999997</c:v>
                </c:pt>
                <c:pt idx="135">
                  <c:v>31.325999999999997</c:v>
                </c:pt>
                <c:pt idx="136">
                  <c:v>31.325999999999997</c:v>
                </c:pt>
                <c:pt idx="137">
                  <c:v>31.325999999999997</c:v>
                </c:pt>
                <c:pt idx="138">
                  <c:v>31.325999999999997</c:v>
                </c:pt>
                <c:pt idx="139">
                  <c:v>31.325999999999997</c:v>
                </c:pt>
                <c:pt idx="140">
                  <c:v>31.325999999999997</c:v>
                </c:pt>
                <c:pt idx="141">
                  <c:v>31.325999999999997</c:v>
                </c:pt>
                <c:pt idx="142">
                  <c:v>31.325999999999997</c:v>
                </c:pt>
                <c:pt idx="143">
                  <c:v>31.325999999999997</c:v>
                </c:pt>
                <c:pt idx="144">
                  <c:v>31.325999999999997</c:v>
                </c:pt>
                <c:pt idx="145">
                  <c:v>31.325999999999997</c:v>
                </c:pt>
                <c:pt idx="146">
                  <c:v>31.325999999999997</c:v>
                </c:pt>
                <c:pt idx="147">
                  <c:v>31.325999999999997</c:v>
                </c:pt>
                <c:pt idx="148">
                  <c:v>31.325999999999997</c:v>
                </c:pt>
                <c:pt idx="149">
                  <c:v>31.325999999999997</c:v>
                </c:pt>
                <c:pt idx="150">
                  <c:v>31.325999999999997</c:v>
                </c:pt>
                <c:pt idx="151">
                  <c:v>31.325999999999997</c:v>
                </c:pt>
                <c:pt idx="152">
                  <c:v>31.325999999999997</c:v>
                </c:pt>
                <c:pt idx="153">
                  <c:v>31.325999999999997</c:v>
                </c:pt>
                <c:pt idx="154">
                  <c:v>31.325999999999997</c:v>
                </c:pt>
                <c:pt idx="155">
                  <c:v>31.325999999999997</c:v>
                </c:pt>
                <c:pt idx="156">
                  <c:v>31.325999999999997</c:v>
                </c:pt>
                <c:pt idx="157">
                  <c:v>31.325999999999997</c:v>
                </c:pt>
                <c:pt idx="158">
                  <c:v>31.325999999999997</c:v>
                </c:pt>
                <c:pt idx="159">
                  <c:v>31.325999999999997</c:v>
                </c:pt>
                <c:pt idx="160">
                  <c:v>31.325999999999997</c:v>
                </c:pt>
                <c:pt idx="161">
                  <c:v>31.325999999999997</c:v>
                </c:pt>
                <c:pt idx="162">
                  <c:v>31.325999999999997</c:v>
                </c:pt>
                <c:pt idx="163">
                  <c:v>31.325999999999997</c:v>
                </c:pt>
                <c:pt idx="164">
                  <c:v>31.325999999999997</c:v>
                </c:pt>
                <c:pt idx="165">
                  <c:v>31.325999999999997</c:v>
                </c:pt>
                <c:pt idx="166">
                  <c:v>31.325999999999997</c:v>
                </c:pt>
                <c:pt idx="167">
                  <c:v>31.325999999999997</c:v>
                </c:pt>
                <c:pt idx="168">
                  <c:v>31.325999999999997</c:v>
                </c:pt>
                <c:pt idx="169">
                  <c:v>31.325999999999997</c:v>
                </c:pt>
                <c:pt idx="170">
                  <c:v>31.325999999999997</c:v>
                </c:pt>
                <c:pt idx="171">
                  <c:v>31.325999999999997</c:v>
                </c:pt>
                <c:pt idx="172">
                  <c:v>31.325999999999997</c:v>
                </c:pt>
                <c:pt idx="173">
                  <c:v>31.325999999999997</c:v>
                </c:pt>
                <c:pt idx="174">
                  <c:v>31.325999999999997</c:v>
                </c:pt>
                <c:pt idx="175">
                  <c:v>31.325999999999997</c:v>
                </c:pt>
                <c:pt idx="176">
                  <c:v>31.325999999999997</c:v>
                </c:pt>
                <c:pt idx="177">
                  <c:v>31.325999999999997</c:v>
                </c:pt>
                <c:pt idx="178">
                  <c:v>31.325999999999997</c:v>
                </c:pt>
                <c:pt idx="179">
                  <c:v>31.325999999999997</c:v>
                </c:pt>
                <c:pt idx="180">
                  <c:v>31.325999999999997</c:v>
                </c:pt>
                <c:pt idx="181">
                  <c:v>31.325999999999997</c:v>
                </c:pt>
                <c:pt idx="182">
                  <c:v>31.325999999999997</c:v>
                </c:pt>
                <c:pt idx="183">
                  <c:v>31.325999999999997</c:v>
                </c:pt>
                <c:pt idx="184">
                  <c:v>31.325999999999997</c:v>
                </c:pt>
                <c:pt idx="185">
                  <c:v>31.325999999999997</c:v>
                </c:pt>
                <c:pt idx="186">
                  <c:v>31.325999999999997</c:v>
                </c:pt>
                <c:pt idx="187">
                  <c:v>31.325999999999997</c:v>
                </c:pt>
                <c:pt idx="188">
                  <c:v>31.325999999999997</c:v>
                </c:pt>
                <c:pt idx="189">
                  <c:v>31.325999999999997</c:v>
                </c:pt>
                <c:pt idx="190">
                  <c:v>31.325999999999997</c:v>
                </c:pt>
                <c:pt idx="191">
                  <c:v>31.325999999999997</c:v>
                </c:pt>
                <c:pt idx="192">
                  <c:v>31.325999999999997</c:v>
                </c:pt>
                <c:pt idx="193">
                  <c:v>31.325999999999997</c:v>
                </c:pt>
                <c:pt idx="194">
                  <c:v>31.325999999999997</c:v>
                </c:pt>
                <c:pt idx="195">
                  <c:v>31.325999999999997</c:v>
                </c:pt>
                <c:pt idx="196">
                  <c:v>31.325999999999997</c:v>
                </c:pt>
                <c:pt idx="197">
                  <c:v>31.325999999999997</c:v>
                </c:pt>
                <c:pt idx="198">
                  <c:v>31.325999999999997</c:v>
                </c:pt>
                <c:pt idx="199">
                  <c:v>31.325999999999997</c:v>
                </c:pt>
                <c:pt idx="200">
                  <c:v>31.325999999999997</c:v>
                </c:pt>
                <c:pt idx="201">
                  <c:v>31.325999999999997</c:v>
                </c:pt>
                <c:pt idx="202">
                  <c:v>31.325999999999997</c:v>
                </c:pt>
                <c:pt idx="203">
                  <c:v>31.325999999999997</c:v>
                </c:pt>
                <c:pt idx="204">
                  <c:v>31.325999999999997</c:v>
                </c:pt>
                <c:pt idx="205">
                  <c:v>31.325999999999997</c:v>
                </c:pt>
                <c:pt idx="206">
                  <c:v>31.325999999999997</c:v>
                </c:pt>
                <c:pt idx="207">
                  <c:v>31.325999999999997</c:v>
                </c:pt>
                <c:pt idx="208">
                  <c:v>31.325999999999997</c:v>
                </c:pt>
                <c:pt idx="209">
                  <c:v>31.325999999999997</c:v>
                </c:pt>
                <c:pt idx="210">
                  <c:v>31.325999999999997</c:v>
                </c:pt>
                <c:pt idx="211">
                  <c:v>31.325999999999997</c:v>
                </c:pt>
                <c:pt idx="212">
                  <c:v>31.325999999999997</c:v>
                </c:pt>
                <c:pt idx="213">
                  <c:v>31.325999999999997</c:v>
                </c:pt>
                <c:pt idx="214">
                  <c:v>31.325999999999997</c:v>
                </c:pt>
                <c:pt idx="215">
                  <c:v>31.325999999999997</c:v>
                </c:pt>
                <c:pt idx="216">
                  <c:v>31.325999999999997</c:v>
                </c:pt>
                <c:pt idx="217">
                  <c:v>31.325999999999997</c:v>
                </c:pt>
                <c:pt idx="218">
                  <c:v>31.325999999999997</c:v>
                </c:pt>
                <c:pt idx="219">
                  <c:v>31.325999999999997</c:v>
                </c:pt>
                <c:pt idx="220">
                  <c:v>31.325999999999997</c:v>
                </c:pt>
                <c:pt idx="221">
                  <c:v>31.325999999999997</c:v>
                </c:pt>
                <c:pt idx="222">
                  <c:v>31.325999999999997</c:v>
                </c:pt>
                <c:pt idx="223">
                  <c:v>31.325999999999997</c:v>
                </c:pt>
                <c:pt idx="224">
                  <c:v>31.325999999999997</c:v>
                </c:pt>
                <c:pt idx="225">
                  <c:v>31.325999999999997</c:v>
                </c:pt>
                <c:pt idx="226">
                  <c:v>31.325999999999997</c:v>
                </c:pt>
                <c:pt idx="227">
                  <c:v>31.325999999999997</c:v>
                </c:pt>
                <c:pt idx="228">
                  <c:v>31.325999999999997</c:v>
                </c:pt>
                <c:pt idx="229">
                  <c:v>31.325999999999997</c:v>
                </c:pt>
                <c:pt idx="230">
                  <c:v>31.325999999999997</c:v>
                </c:pt>
                <c:pt idx="231">
                  <c:v>31.325999999999997</c:v>
                </c:pt>
                <c:pt idx="232">
                  <c:v>31.325999999999997</c:v>
                </c:pt>
                <c:pt idx="233">
                  <c:v>31.325999999999997</c:v>
                </c:pt>
                <c:pt idx="234">
                  <c:v>31.325999999999997</c:v>
                </c:pt>
                <c:pt idx="235">
                  <c:v>31.325999999999997</c:v>
                </c:pt>
                <c:pt idx="236">
                  <c:v>31.325999999999997</c:v>
                </c:pt>
                <c:pt idx="237">
                  <c:v>31.325999999999997</c:v>
                </c:pt>
                <c:pt idx="238">
                  <c:v>31.325999999999997</c:v>
                </c:pt>
                <c:pt idx="239">
                  <c:v>31.325999999999997</c:v>
                </c:pt>
                <c:pt idx="240">
                  <c:v>31.325999999999997</c:v>
                </c:pt>
                <c:pt idx="241">
                  <c:v>31.325999999999997</c:v>
                </c:pt>
                <c:pt idx="242">
                  <c:v>31.325999999999997</c:v>
                </c:pt>
                <c:pt idx="243">
                  <c:v>31.325999999999997</c:v>
                </c:pt>
                <c:pt idx="244">
                  <c:v>31.325999999999997</c:v>
                </c:pt>
                <c:pt idx="245">
                  <c:v>31.325999999999997</c:v>
                </c:pt>
                <c:pt idx="246">
                  <c:v>31.325999999999997</c:v>
                </c:pt>
                <c:pt idx="247">
                  <c:v>31.325999999999997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440192"/>
        <c:axId val="194675456"/>
      </c:lineChart>
      <c:catAx>
        <c:axId val="194440192"/>
        <c:scaling>
          <c:orientation val="minMax"/>
        </c:scaling>
        <c:delete val="0"/>
        <c:axPos val="b"/>
        <c:majorTickMark val="out"/>
        <c:minorTickMark val="none"/>
        <c:tickLblPos val="nextTo"/>
        <c:crossAx val="194675456"/>
        <c:crosses val="autoZero"/>
        <c:auto val="1"/>
        <c:lblAlgn val="ctr"/>
        <c:lblOffset val="100"/>
        <c:noMultiLvlLbl val="0"/>
      </c:catAx>
      <c:valAx>
        <c:axId val="194675456"/>
        <c:scaling>
          <c:orientation val="minMax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440192"/>
        <c:crosses val="autoZero"/>
        <c:crossBetween val="between"/>
      </c:valAx>
    </c:plotArea>
    <c:legend>
      <c:legendPos val="b"/>
      <c:overlay val="0"/>
    </c:legend>
    <c:plotVisOnly val="0"/>
    <c:dispBlanksAs val="zero"/>
    <c:showDLblsOverMax val="0"/>
  </c:chart>
  <c:printSettings>
    <c:headerFooter>
      <c:oddHeader>&amp;L&amp;"-,Gras"BELIER ASSOCIES&amp;C&amp;"-,Gras"&amp;14Simulation 
DD MRP&amp;"-,Normal"&amp;11
&amp;R&amp;D</c:oddHeader>
    </c:headerFooter>
    <c:pageMargins b="0.74803149606299213" l="0.70866141732283472" r="0.70866141732283472" t="0.74803149606299213" header="0.31496062992125984" footer="0.31496062992125984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4"/>
          <c:order val="0"/>
          <c:tx>
            <c:strRef>
              <c:f>'simulation commandes'!$B$4</c:f>
              <c:strCache>
                <c:ptCount val="1"/>
                <c:pt idx="0">
                  <c:v>qte commande client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val>
            <c:numRef>
              <c:f>'simulation commandes'!$B$5:$B$252</c:f>
              <c:numCache>
                <c:formatCode>General</c:formatCode>
                <c:ptCount val="248"/>
                <c:pt idx="4">
                  <c:v>11</c:v>
                </c:pt>
                <c:pt idx="8">
                  <c:v>1</c:v>
                </c:pt>
                <c:pt idx="13">
                  <c:v>4</c:v>
                </c:pt>
                <c:pt idx="16">
                  <c:v>10</c:v>
                </c:pt>
                <c:pt idx="22">
                  <c:v>2</c:v>
                </c:pt>
                <c:pt idx="30">
                  <c:v>1</c:v>
                </c:pt>
                <c:pt idx="31">
                  <c:v>8</c:v>
                </c:pt>
                <c:pt idx="32">
                  <c:v>2</c:v>
                </c:pt>
                <c:pt idx="37">
                  <c:v>15</c:v>
                </c:pt>
                <c:pt idx="45">
                  <c:v>2</c:v>
                </c:pt>
                <c:pt idx="47">
                  <c:v>1</c:v>
                </c:pt>
                <c:pt idx="48">
                  <c:v>6</c:v>
                </c:pt>
                <c:pt idx="53">
                  <c:v>10</c:v>
                </c:pt>
                <c:pt idx="56">
                  <c:v>2</c:v>
                </c:pt>
                <c:pt idx="57">
                  <c:v>2</c:v>
                </c:pt>
                <c:pt idx="59">
                  <c:v>2</c:v>
                </c:pt>
                <c:pt idx="62">
                  <c:v>34</c:v>
                </c:pt>
                <c:pt idx="63">
                  <c:v>2</c:v>
                </c:pt>
                <c:pt idx="66">
                  <c:v>10</c:v>
                </c:pt>
                <c:pt idx="70">
                  <c:v>1</c:v>
                </c:pt>
                <c:pt idx="71">
                  <c:v>2</c:v>
                </c:pt>
                <c:pt idx="74">
                  <c:v>1</c:v>
                </c:pt>
                <c:pt idx="75">
                  <c:v>1</c:v>
                </c:pt>
                <c:pt idx="78">
                  <c:v>1</c:v>
                </c:pt>
                <c:pt idx="79">
                  <c:v>14</c:v>
                </c:pt>
                <c:pt idx="81">
                  <c:v>7</c:v>
                </c:pt>
                <c:pt idx="82">
                  <c:v>3</c:v>
                </c:pt>
                <c:pt idx="83">
                  <c:v>1</c:v>
                </c:pt>
                <c:pt idx="84">
                  <c:v>26</c:v>
                </c:pt>
                <c:pt idx="87">
                  <c:v>10</c:v>
                </c:pt>
                <c:pt idx="90">
                  <c:v>1</c:v>
                </c:pt>
                <c:pt idx="91">
                  <c:v>6</c:v>
                </c:pt>
                <c:pt idx="96">
                  <c:v>1</c:v>
                </c:pt>
                <c:pt idx="99">
                  <c:v>6</c:v>
                </c:pt>
                <c:pt idx="105">
                  <c:v>18</c:v>
                </c:pt>
                <c:pt idx="106">
                  <c:v>1</c:v>
                </c:pt>
                <c:pt idx="108">
                  <c:v>3</c:v>
                </c:pt>
                <c:pt idx="109">
                  <c:v>2</c:v>
                </c:pt>
                <c:pt idx="111">
                  <c:v>2</c:v>
                </c:pt>
                <c:pt idx="112">
                  <c:v>3</c:v>
                </c:pt>
                <c:pt idx="114">
                  <c:v>14</c:v>
                </c:pt>
                <c:pt idx="117">
                  <c:v>6</c:v>
                </c:pt>
                <c:pt idx="118">
                  <c:v>4</c:v>
                </c:pt>
                <c:pt idx="120">
                  <c:v>2</c:v>
                </c:pt>
                <c:pt idx="125">
                  <c:v>8</c:v>
                </c:pt>
                <c:pt idx="134">
                  <c:v>1</c:v>
                </c:pt>
                <c:pt idx="139">
                  <c:v>2</c:v>
                </c:pt>
                <c:pt idx="143">
                  <c:v>1</c:v>
                </c:pt>
                <c:pt idx="145">
                  <c:v>4</c:v>
                </c:pt>
                <c:pt idx="150">
                  <c:v>1</c:v>
                </c:pt>
                <c:pt idx="151">
                  <c:v>2</c:v>
                </c:pt>
                <c:pt idx="162">
                  <c:v>8</c:v>
                </c:pt>
                <c:pt idx="164">
                  <c:v>5</c:v>
                </c:pt>
                <c:pt idx="169">
                  <c:v>6</c:v>
                </c:pt>
                <c:pt idx="173">
                  <c:v>1</c:v>
                </c:pt>
                <c:pt idx="179">
                  <c:v>4</c:v>
                </c:pt>
                <c:pt idx="181">
                  <c:v>10</c:v>
                </c:pt>
                <c:pt idx="185">
                  <c:v>1</c:v>
                </c:pt>
                <c:pt idx="186">
                  <c:v>7</c:v>
                </c:pt>
                <c:pt idx="187">
                  <c:v>5</c:v>
                </c:pt>
                <c:pt idx="189">
                  <c:v>10</c:v>
                </c:pt>
                <c:pt idx="199">
                  <c:v>1</c:v>
                </c:pt>
                <c:pt idx="203">
                  <c:v>2</c:v>
                </c:pt>
                <c:pt idx="204">
                  <c:v>30</c:v>
                </c:pt>
                <c:pt idx="206">
                  <c:v>7</c:v>
                </c:pt>
                <c:pt idx="207">
                  <c:v>5</c:v>
                </c:pt>
                <c:pt idx="210">
                  <c:v>5</c:v>
                </c:pt>
                <c:pt idx="213">
                  <c:v>9</c:v>
                </c:pt>
                <c:pt idx="214">
                  <c:v>2</c:v>
                </c:pt>
                <c:pt idx="218">
                  <c:v>7</c:v>
                </c:pt>
                <c:pt idx="220">
                  <c:v>2</c:v>
                </c:pt>
                <c:pt idx="222">
                  <c:v>9</c:v>
                </c:pt>
                <c:pt idx="223">
                  <c:v>6</c:v>
                </c:pt>
                <c:pt idx="225">
                  <c:v>1</c:v>
                </c:pt>
                <c:pt idx="226">
                  <c:v>6</c:v>
                </c:pt>
                <c:pt idx="228">
                  <c:v>2</c:v>
                </c:pt>
                <c:pt idx="231">
                  <c:v>2</c:v>
                </c:pt>
                <c:pt idx="232">
                  <c:v>12</c:v>
                </c:pt>
                <c:pt idx="235">
                  <c:v>6</c:v>
                </c:pt>
                <c:pt idx="238">
                  <c:v>5</c:v>
                </c:pt>
                <c:pt idx="239">
                  <c:v>8</c:v>
                </c:pt>
                <c:pt idx="243">
                  <c:v>1</c:v>
                </c:pt>
                <c:pt idx="245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521344"/>
        <c:axId val="194531328"/>
      </c:barChart>
      <c:lineChart>
        <c:grouping val="standard"/>
        <c:varyColors val="0"/>
        <c:ser>
          <c:idx val="5"/>
          <c:order val="1"/>
          <c:tx>
            <c:strRef>
              <c:f>'simulation commandes'!$P$4</c:f>
              <c:strCache>
                <c:ptCount val="1"/>
                <c:pt idx="0">
                  <c:v>CMJ prévue</c:v>
                </c:pt>
              </c:strCache>
            </c:strRef>
          </c:tx>
          <c:marker>
            <c:symbol val="none"/>
          </c:marker>
          <c:val>
            <c:numRef>
              <c:f>'simulation commandes'!$P$5:$P$252</c:f>
              <c:numCache>
                <c:formatCode>0.0</c:formatCode>
                <c:ptCount val="248"/>
                <c:pt idx="0">
                  <c:v>2.27</c:v>
                </c:pt>
                <c:pt idx="1">
                  <c:v>2.27</c:v>
                </c:pt>
                <c:pt idx="2">
                  <c:v>2.27</c:v>
                </c:pt>
                <c:pt idx="3">
                  <c:v>2.27</c:v>
                </c:pt>
                <c:pt idx="4">
                  <c:v>2.27</c:v>
                </c:pt>
                <c:pt idx="5">
                  <c:v>2.27</c:v>
                </c:pt>
                <c:pt idx="6">
                  <c:v>2.27</c:v>
                </c:pt>
                <c:pt idx="7">
                  <c:v>2.27</c:v>
                </c:pt>
                <c:pt idx="8">
                  <c:v>2.27</c:v>
                </c:pt>
                <c:pt idx="9">
                  <c:v>2.27</c:v>
                </c:pt>
                <c:pt idx="10">
                  <c:v>2.27</c:v>
                </c:pt>
                <c:pt idx="11">
                  <c:v>2.27</c:v>
                </c:pt>
                <c:pt idx="12">
                  <c:v>2.27</c:v>
                </c:pt>
                <c:pt idx="13">
                  <c:v>2.27</c:v>
                </c:pt>
                <c:pt idx="14">
                  <c:v>2.27</c:v>
                </c:pt>
                <c:pt idx="15">
                  <c:v>2.27</c:v>
                </c:pt>
                <c:pt idx="16">
                  <c:v>2.27</c:v>
                </c:pt>
                <c:pt idx="17">
                  <c:v>2.27</c:v>
                </c:pt>
                <c:pt idx="18">
                  <c:v>2.27</c:v>
                </c:pt>
                <c:pt idx="19">
                  <c:v>2.27</c:v>
                </c:pt>
                <c:pt idx="20">
                  <c:v>2.27</c:v>
                </c:pt>
                <c:pt idx="21">
                  <c:v>2.27</c:v>
                </c:pt>
                <c:pt idx="22">
                  <c:v>2.27</c:v>
                </c:pt>
                <c:pt idx="23">
                  <c:v>2.27</c:v>
                </c:pt>
                <c:pt idx="24">
                  <c:v>2.27</c:v>
                </c:pt>
                <c:pt idx="25">
                  <c:v>2.27</c:v>
                </c:pt>
                <c:pt idx="26">
                  <c:v>3.5</c:v>
                </c:pt>
                <c:pt idx="27">
                  <c:v>3.5</c:v>
                </c:pt>
                <c:pt idx="28">
                  <c:v>3.5</c:v>
                </c:pt>
                <c:pt idx="29">
                  <c:v>3.5</c:v>
                </c:pt>
                <c:pt idx="30">
                  <c:v>3.5</c:v>
                </c:pt>
                <c:pt idx="31">
                  <c:v>3.5</c:v>
                </c:pt>
                <c:pt idx="32">
                  <c:v>3.5</c:v>
                </c:pt>
                <c:pt idx="33">
                  <c:v>3.5</c:v>
                </c:pt>
                <c:pt idx="34">
                  <c:v>3.5</c:v>
                </c:pt>
                <c:pt idx="35">
                  <c:v>3.5</c:v>
                </c:pt>
                <c:pt idx="36">
                  <c:v>3.5</c:v>
                </c:pt>
                <c:pt idx="37">
                  <c:v>3.5</c:v>
                </c:pt>
                <c:pt idx="38">
                  <c:v>3.5</c:v>
                </c:pt>
                <c:pt idx="39">
                  <c:v>3.5</c:v>
                </c:pt>
                <c:pt idx="40">
                  <c:v>3.5</c:v>
                </c:pt>
                <c:pt idx="41">
                  <c:v>3.5</c:v>
                </c:pt>
                <c:pt idx="42">
                  <c:v>2.27</c:v>
                </c:pt>
                <c:pt idx="43">
                  <c:v>2.27</c:v>
                </c:pt>
                <c:pt idx="44">
                  <c:v>2.27</c:v>
                </c:pt>
                <c:pt idx="45">
                  <c:v>2.27</c:v>
                </c:pt>
                <c:pt idx="46">
                  <c:v>2.27</c:v>
                </c:pt>
                <c:pt idx="47">
                  <c:v>2.27</c:v>
                </c:pt>
                <c:pt idx="48">
                  <c:v>2.27</c:v>
                </c:pt>
                <c:pt idx="49">
                  <c:v>2.27</c:v>
                </c:pt>
                <c:pt idx="50">
                  <c:v>2.27</c:v>
                </c:pt>
                <c:pt idx="51">
                  <c:v>2.27</c:v>
                </c:pt>
                <c:pt idx="52">
                  <c:v>2.27</c:v>
                </c:pt>
                <c:pt idx="53">
                  <c:v>2.27</c:v>
                </c:pt>
                <c:pt idx="54">
                  <c:v>2.27</c:v>
                </c:pt>
                <c:pt idx="55">
                  <c:v>2.27</c:v>
                </c:pt>
                <c:pt idx="56">
                  <c:v>2.27</c:v>
                </c:pt>
                <c:pt idx="57">
                  <c:v>2.27</c:v>
                </c:pt>
                <c:pt idx="58">
                  <c:v>2.27</c:v>
                </c:pt>
                <c:pt idx="59">
                  <c:v>2.27</c:v>
                </c:pt>
                <c:pt idx="60">
                  <c:v>2.27</c:v>
                </c:pt>
                <c:pt idx="61">
                  <c:v>2.27</c:v>
                </c:pt>
                <c:pt idx="62">
                  <c:v>2.27</c:v>
                </c:pt>
                <c:pt idx="63">
                  <c:v>2.27</c:v>
                </c:pt>
                <c:pt idx="64">
                  <c:v>2.27</c:v>
                </c:pt>
                <c:pt idx="65">
                  <c:v>2.27</c:v>
                </c:pt>
                <c:pt idx="66">
                  <c:v>2.27</c:v>
                </c:pt>
                <c:pt idx="67">
                  <c:v>2.27</c:v>
                </c:pt>
                <c:pt idx="68">
                  <c:v>2.27</c:v>
                </c:pt>
                <c:pt idx="69">
                  <c:v>2.27</c:v>
                </c:pt>
                <c:pt idx="70">
                  <c:v>2.27</c:v>
                </c:pt>
                <c:pt idx="71">
                  <c:v>2.27</c:v>
                </c:pt>
                <c:pt idx="72">
                  <c:v>2.27</c:v>
                </c:pt>
                <c:pt idx="73">
                  <c:v>2.27</c:v>
                </c:pt>
                <c:pt idx="74">
                  <c:v>2.27</c:v>
                </c:pt>
                <c:pt idx="75">
                  <c:v>2.27</c:v>
                </c:pt>
                <c:pt idx="76">
                  <c:v>2.27</c:v>
                </c:pt>
                <c:pt idx="77">
                  <c:v>2.27</c:v>
                </c:pt>
                <c:pt idx="78">
                  <c:v>2.27</c:v>
                </c:pt>
                <c:pt idx="79">
                  <c:v>2.27</c:v>
                </c:pt>
                <c:pt idx="80">
                  <c:v>2.27</c:v>
                </c:pt>
                <c:pt idx="81">
                  <c:v>2.27</c:v>
                </c:pt>
                <c:pt idx="82">
                  <c:v>2.27</c:v>
                </c:pt>
                <c:pt idx="83">
                  <c:v>2.27</c:v>
                </c:pt>
                <c:pt idx="84">
                  <c:v>2.27</c:v>
                </c:pt>
                <c:pt idx="85">
                  <c:v>2.27</c:v>
                </c:pt>
                <c:pt idx="86">
                  <c:v>2.27</c:v>
                </c:pt>
                <c:pt idx="87">
                  <c:v>2.27</c:v>
                </c:pt>
                <c:pt idx="88">
                  <c:v>2.27</c:v>
                </c:pt>
                <c:pt idx="89">
                  <c:v>2.27</c:v>
                </c:pt>
                <c:pt idx="90">
                  <c:v>2.27</c:v>
                </c:pt>
                <c:pt idx="91">
                  <c:v>2.27</c:v>
                </c:pt>
                <c:pt idx="92">
                  <c:v>2.27</c:v>
                </c:pt>
                <c:pt idx="93">
                  <c:v>2.27</c:v>
                </c:pt>
                <c:pt idx="94">
                  <c:v>2.27</c:v>
                </c:pt>
                <c:pt idx="95">
                  <c:v>2.27</c:v>
                </c:pt>
                <c:pt idx="96">
                  <c:v>2.27</c:v>
                </c:pt>
                <c:pt idx="97">
                  <c:v>2.27</c:v>
                </c:pt>
                <c:pt idx="98">
                  <c:v>2.27</c:v>
                </c:pt>
                <c:pt idx="99">
                  <c:v>2.27</c:v>
                </c:pt>
                <c:pt idx="100">
                  <c:v>2.27</c:v>
                </c:pt>
                <c:pt idx="101">
                  <c:v>2.27</c:v>
                </c:pt>
                <c:pt idx="102">
                  <c:v>2.27</c:v>
                </c:pt>
                <c:pt idx="103">
                  <c:v>2.27</c:v>
                </c:pt>
                <c:pt idx="104">
                  <c:v>2.27</c:v>
                </c:pt>
                <c:pt idx="105">
                  <c:v>2.27</c:v>
                </c:pt>
                <c:pt idx="106">
                  <c:v>2.27</c:v>
                </c:pt>
                <c:pt idx="107">
                  <c:v>2.27</c:v>
                </c:pt>
                <c:pt idx="108">
                  <c:v>2.27</c:v>
                </c:pt>
                <c:pt idx="109">
                  <c:v>2.27</c:v>
                </c:pt>
                <c:pt idx="110">
                  <c:v>2.27</c:v>
                </c:pt>
                <c:pt idx="111">
                  <c:v>2.27</c:v>
                </c:pt>
                <c:pt idx="112">
                  <c:v>2.27</c:v>
                </c:pt>
                <c:pt idx="113">
                  <c:v>2.27</c:v>
                </c:pt>
                <c:pt idx="114">
                  <c:v>2.27</c:v>
                </c:pt>
                <c:pt idx="115">
                  <c:v>2.27</c:v>
                </c:pt>
                <c:pt idx="116">
                  <c:v>2.27</c:v>
                </c:pt>
                <c:pt idx="117">
                  <c:v>2.27</c:v>
                </c:pt>
                <c:pt idx="118">
                  <c:v>2.27</c:v>
                </c:pt>
                <c:pt idx="119">
                  <c:v>2.27</c:v>
                </c:pt>
                <c:pt idx="120">
                  <c:v>2.27</c:v>
                </c:pt>
                <c:pt idx="121">
                  <c:v>2.27</c:v>
                </c:pt>
                <c:pt idx="122">
                  <c:v>2.27</c:v>
                </c:pt>
                <c:pt idx="123">
                  <c:v>2.27</c:v>
                </c:pt>
                <c:pt idx="124">
                  <c:v>2.27</c:v>
                </c:pt>
                <c:pt idx="125">
                  <c:v>2.27</c:v>
                </c:pt>
                <c:pt idx="126">
                  <c:v>2.27</c:v>
                </c:pt>
                <c:pt idx="127">
                  <c:v>2.27</c:v>
                </c:pt>
                <c:pt idx="128">
                  <c:v>2.27</c:v>
                </c:pt>
                <c:pt idx="129">
                  <c:v>2.27</c:v>
                </c:pt>
                <c:pt idx="130">
                  <c:v>2.27</c:v>
                </c:pt>
                <c:pt idx="131">
                  <c:v>2.27</c:v>
                </c:pt>
                <c:pt idx="132">
                  <c:v>2.27</c:v>
                </c:pt>
                <c:pt idx="133">
                  <c:v>2.27</c:v>
                </c:pt>
                <c:pt idx="134">
                  <c:v>2.27</c:v>
                </c:pt>
                <c:pt idx="135">
                  <c:v>2.27</c:v>
                </c:pt>
                <c:pt idx="136">
                  <c:v>2.27</c:v>
                </c:pt>
                <c:pt idx="137">
                  <c:v>2.27</c:v>
                </c:pt>
                <c:pt idx="138">
                  <c:v>2.27</c:v>
                </c:pt>
                <c:pt idx="139">
                  <c:v>2.27</c:v>
                </c:pt>
                <c:pt idx="140">
                  <c:v>2.27</c:v>
                </c:pt>
                <c:pt idx="141">
                  <c:v>2.27</c:v>
                </c:pt>
                <c:pt idx="142">
                  <c:v>2.27</c:v>
                </c:pt>
                <c:pt idx="143">
                  <c:v>2.27</c:v>
                </c:pt>
                <c:pt idx="144">
                  <c:v>2.27</c:v>
                </c:pt>
                <c:pt idx="145">
                  <c:v>2.27</c:v>
                </c:pt>
                <c:pt idx="146">
                  <c:v>2.27</c:v>
                </c:pt>
                <c:pt idx="147">
                  <c:v>2.27</c:v>
                </c:pt>
                <c:pt idx="148">
                  <c:v>2.27</c:v>
                </c:pt>
                <c:pt idx="149">
                  <c:v>2.27</c:v>
                </c:pt>
                <c:pt idx="150">
                  <c:v>2.27</c:v>
                </c:pt>
                <c:pt idx="151">
                  <c:v>2.27</c:v>
                </c:pt>
                <c:pt idx="152">
                  <c:v>2.27</c:v>
                </c:pt>
                <c:pt idx="153">
                  <c:v>2.27</c:v>
                </c:pt>
                <c:pt idx="154">
                  <c:v>2.27</c:v>
                </c:pt>
                <c:pt idx="155">
                  <c:v>2.27</c:v>
                </c:pt>
                <c:pt idx="156">
                  <c:v>2.27</c:v>
                </c:pt>
                <c:pt idx="157">
                  <c:v>2.27</c:v>
                </c:pt>
                <c:pt idx="158">
                  <c:v>2.27</c:v>
                </c:pt>
                <c:pt idx="159">
                  <c:v>2.27</c:v>
                </c:pt>
                <c:pt idx="160">
                  <c:v>2.27</c:v>
                </c:pt>
                <c:pt idx="161">
                  <c:v>2.27</c:v>
                </c:pt>
                <c:pt idx="162">
                  <c:v>2.27</c:v>
                </c:pt>
                <c:pt idx="163">
                  <c:v>2.27</c:v>
                </c:pt>
                <c:pt idx="164">
                  <c:v>2.27</c:v>
                </c:pt>
                <c:pt idx="165">
                  <c:v>2.27</c:v>
                </c:pt>
                <c:pt idx="166">
                  <c:v>2.27</c:v>
                </c:pt>
                <c:pt idx="167">
                  <c:v>2.27</c:v>
                </c:pt>
                <c:pt idx="168">
                  <c:v>2.27</c:v>
                </c:pt>
                <c:pt idx="169">
                  <c:v>2.27</c:v>
                </c:pt>
                <c:pt idx="170">
                  <c:v>2.27</c:v>
                </c:pt>
                <c:pt idx="171">
                  <c:v>2.27</c:v>
                </c:pt>
                <c:pt idx="172">
                  <c:v>2.27</c:v>
                </c:pt>
                <c:pt idx="173">
                  <c:v>2.27</c:v>
                </c:pt>
                <c:pt idx="174">
                  <c:v>2.27</c:v>
                </c:pt>
                <c:pt idx="175">
                  <c:v>2.27</c:v>
                </c:pt>
                <c:pt idx="176">
                  <c:v>2.27</c:v>
                </c:pt>
                <c:pt idx="177">
                  <c:v>2.27</c:v>
                </c:pt>
                <c:pt idx="178">
                  <c:v>2.27</c:v>
                </c:pt>
                <c:pt idx="179">
                  <c:v>2.27</c:v>
                </c:pt>
                <c:pt idx="180">
                  <c:v>2.27</c:v>
                </c:pt>
                <c:pt idx="181">
                  <c:v>2.27</c:v>
                </c:pt>
                <c:pt idx="182">
                  <c:v>2.27</c:v>
                </c:pt>
                <c:pt idx="183">
                  <c:v>2.27</c:v>
                </c:pt>
                <c:pt idx="184">
                  <c:v>2.27</c:v>
                </c:pt>
                <c:pt idx="185">
                  <c:v>2.27</c:v>
                </c:pt>
                <c:pt idx="186">
                  <c:v>2.27</c:v>
                </c:pt>
                <c:pt idx="187">
                  <c:v>2.27</c:v>
                </c:pt>
                <c:pt idx="188">
                  <c:v>2.27</c:v>
                </c:pt>
                <c:pt idx="189">
                  <c:v>2.27</c:v>
                </c:pt>
                <c:pt idx="190">
                  <c:v>2.27</c:v>
                </c:pt>
                <c:pt idx="191">
                  <c:v>2.27</c:v>
                </c:pt>
                <c:pt idx="192">
                  <c:v>2.27</c:v>
                </c:pt>
                <c:pt idx="193">
                  <c:v>2.27</c:v>
                </c:pt>
                <c:pt idx="194">
                  <c:v>2.27</c:v>
                </c:pt>
                <c:pt idx="195">
                  <c:v>2.27</c:v>
                </c:pt>
                <c:pt idx="196">
                  <c:v>2.27</c:v>
                </c:pt>
                <c:pt idx="197">
                  <c:v>2.27</c:v>
                </c:pt>
                <c:pt idx="198">
                  <c:v>2.27</c:v>
                </c:pt>
                <c:pt idx="199">
                  <c:v>2.27</c:v>
                </c:pt>
                <c:pt idx="200">
                  <c:v>2.27</c:v>
                </c:pt>
                <c:pt idx="201">
                  <c:v>2.27</c:v>
                </c:pt>
                <c:pt idx="202">
                  <c:v>2.27</c:v>
                </c:pt>
                <c:pt idx="203">
                  <c:v>2.27</c:v>
                </c:pt>
                <c:pt idx="204">
                  <c:v>2.27</c:v>
                </c:pt>
                <c:pt idx="205">
                  <c:v>2.27</c:v>
                </c:pt>
                <c:pt idx="206">
                  <c:v>2.27</c:v>
                </c:pt>
                <c:pt idx="207">
                  <c:v>2.27</c:v>
                </c:pt>
                <c:pt idx="208">
                  <c:v>2.27</c:v>
                </c:pt>
                <c:pt idx="209">
                  <c:v>2.27</c:v>
                </c:pt>
                <c:pt idx="210">
                  <c:v>2.27</c:v>
                </c:pt>
                <c:pt idx="211">
                  <c:v>2.27</c:v>
                </c:pt>
                <c:pt idx="212">
                  <c:v>2.27</c:v>
                </c:pt>
                <c:pt idx="213">
                  <c:v>2.27</c:v>
                </c:pt>
                <c:pt idx="214">
                  <c:v>2.27</c:v>
                </c:pt>
                <c:pt idx="215">
                  <c:v>2.27</c:v>
                </c:pt>
                <c:pt idx="216">
                  <c:v>2.27</c:v>
                </c:pt>
                <c:pt idx="217">
                  <c:v>2.27</c:v>
                </c:pt>
                <c:pt idx="218">
                  <c:v>2.27</c:v>
                </c:pt>
                <c:pt idx="219">
                  <c:v>2.27</c:v>
                </c:pt>
                <c:pt idx="220">
                  <c:v>2.27</c:v>
                </c:pt>
                <c:pt idx="221">
                  <c:v>2.27</c:v>
                </c:pt>
                <c:pt idx="222">
                  <c:v>2.27</c:v>
                </c:pt>
                <c:pt idx="223">
                  <c:v>2.27</c:v>
                </c:pt>
                <c:pt idx="224">
                  <c:v>2.27</c:v>
                </c:pt>
                <c:pt idx="225">
                  <c:v>2.27</c:v>
                </c:pt>
                <c:pt idx="226">
                  <c:v>2.27</c:v>
                </c:pt>
                <c:pt idx="227">
                  <c:v>2.27</c:v>
                </c:pt>
                <c:pt idx="228">
                  <c:v>2.27</c:v>
                </c:pt>
                <c:pt idx="229">
                  <c:v>2.27</c:v>
                </c:pt>
                <c:pt idx="230">
                  <c:v>2.27</c:v>
                </c:pt>
                <c:pt idx="231">
                  <c:v>2.27</c:v>
                </c:pt>
                <c:pt idx="232">
                  <c:v>2.27</c:v>
                </c:pt>
                <c:pt idx="233">
                  <c:v>2.27</c:v>
                </c:pt>
                <c:pt idx="234">
                  <c:v>2.27</c:v>
                </c:pt>
                <c:pt idx="235">
                  <c:v>2.27</c:v>
                </c:pt>
                <c:pt idx="236">
                  <c:v>2.27</c:v>
                </c:pt>
                <c:pt idx="237">
                  <c:v>2.27</c:v>
                </c:pt>
                <c:pt idx="238">
                  <c:v>2.27</c:v>
                </c:pt>
                <c:pt idx="239">
                  <c:v>2.27</c:v>
                </c:pt>
                <c:pt idx="240">
                  <c:v>2.27</c:v>
                </c:pt>
                <c:pt idx="241">
                  <c:v>2.27</c:v>
                </c:pt>
                <c:pt idx="242">
                  <c:v>2.27</c:v>
                </c:pt>
                <c:pt idx="243">
                  <c:v>2.27</c:v>
                </c:pt>
                <c:pt idx="244">
                  <c:v>2.27</c:v>
                </c:pt>
                <c:pt idx="245">
                  <c:v>2.27</c:v>
                </c:pt>
                <c:pt idx="246">
                  <c:v>2.27</c:v>
                </c:pt>
                <c:pt idx="247">
                  <c:v>2.27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'simulation commandes'!$L$4</c:f>
              <c:strCache>
                <c:ptCount val="1"/>
                <c:pt idx="0">
                  <c:v>seuil PIC</c:v>
                </c:pt>
              </c:strCache>
            </c:strRef>
          </c:tx>
          <c:spPr>
            <a:ln>
              <a:solidFill>
                <a:srgbClr val="FF0000"/>
              </a:solidFill>
              <a:prstDash val="dash"/>
            </a:ln>
          </c:spPr>
          <c:marker>
            <c:symbol val="none"/>
          </c:marker>
          <c:val>
            <c:numRef>
              <c:f>'simulation commandes'!$L$5:$L$252</c:f>
              <c:numCache>
                <c:formatCode>0</c:formatCode>
                <c:ptCount val="248"/>
                <c:pt idx="0">
                  <c:v>13</c:v>
                </c:pt>
                <c:pt idx="1">
                  <c:v>13</c:v>
                </c:pt>
                <c:pt idx="2">
                  <c:v>13</c:v>
                </c:pt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  <c:pt idx="10">
                  <c:v>13</c:v>
                </c:pt>
                <c:pt idx="11">
                  <c:v>13</c:v>
                </c:pt>
                <c:pt idx="12">
                  <c:v>13</c:v>
                </c:pt>
                <c:pt idx="13">
                  <c:v>13</c:v>
                </c:pt>
                <c:pt idx="14">
                  <c:v>13</c:v>
                </c:pt>
                <c:pt idx="15">
                  <c:v>13</c:v>
                </c:pt>
                <c:pt idx="16">
                  <c:v>13</c:v>
                </c:pt>
                <c:pt idx="17">
                  <c:v>13</c:v>
                </c:pt>
                <c:pt idx="18">
                  <c:v>13</c:v>
                </c:pt>
                <c:pt idx="19">
                  <c:v>13</c:v>
                </c:pt>
                <c:pt idx="20">
                  <c:v>13</c:v>
                </c:pt>
                <c:pt idx="21">
                  <c:v>13</c:v>
                </c:pt>
                <c:pt idx="22">
                  <c:v>13</c:v>
                </c:pt>
                <c:pt idx="23">
                  <c:v>13</c:v>
                </c:pt>
                <c:pt idx="24">
                  <c:v>13</c:v>
                </c:pt>
                <c:pt idx="25">
                  <c:v>13</c:v>
                </c:pt>
                <c:pt idx="26">
                  <c:v>19.6875</c:v>
                </c:pt>
                <c:pt idx="27">
                  <c:v>19.6875</c:v>
                </c:pt>
                <c:pt idx="28">
                  <c:v>19.6875</c:v>
                </c:pt>
                <c:pt idx="29">
                  <c:v>19.6875</c:v>
                </c:pt>
                <c:pt idx="30">
                  <c:v>19.6875</c:v>
                </c:pt>
                <c:pt idx="31">
                  <c:v>19.6875</c:v>
                </c:pt>
                <c:pt idx="32">
                  <c:v>19.6875</c:v>
                </c:pt>
                <c:pt idx="33">
                  <c:v>19.6875</c:v>
                </c:pt>
                <c:pt idx="34">
                  <c:v>19.6875</c:v>
                </c:pt>
                <c:pt idx="35">
                  <c:v>19.6875</c:v>
                </c:pt>
                <c:pt idx="36">
                  <c:v>19.6875</c:v>
                </c:pt>
                <c:pt idx="37">
                  <c:v>19.6875</c:v>
                </c:pt>
                <c:pt idx="38">
                  <c:v>19.6875</c:v>
                </c:pt>
                <c:pt idx="39">
                  <c:v>19.6875</c:v>
                </c:pt>
                <c:pt idx="40">
                  <c:v>19.6875</c:v>
                </c:pt>
                <c:pt idx="41">
                  <c:v>19.6875</c:v>
                </c:pt>
                <c:pt idx="42">
                  <c:v>13</c:v>
                </c:pt>
                <c:pt idx="43">
                  <c:v>13</c:v>
                </c:pt>
                <c:pt idx="44">
                  <c:v>13</c:v>
                </c:pt>
                <c:pt idx="45">
                  <c:v>13</c:v>
                </c:pt>
                <c:pt idx="46">
                  <c:v>13</c:v>
                </c:pt>
                <c:pt idx="47">
                  <c:v>13</c:v>
                </c:pt>
                <c:pt idx="48">
                  <c:v>13</c:v>
                </c:pt>
                <c:pt idx="49">
                  <c:v>13</c:v>
                </c:pt>
                <c:pt idx="50">
                  <c:v>13</c:v>
                </c:pt>
                <c:pt idx="51">
                  <c:v>13</c:v>
                </c:pt>
                <c:pt idx="52">
                  <c:v>13</c:v>
                </c:pt>
                <c:pt idx="53">
                  <c:v>13</c:v>
                </c:pt>
                <c:pt idx="54">
                  <c:v>13</c:v>
                </c:pt>
                <c:pt idx="55">
                  <c:v>13</c:v>
                </c:pt>
                <c:pt idx="56">
                  <c:v>13</c:v>
                </c:pt>
                <c:pt idx="57">
                  <c:v>13</c:v>
                </c:pt>
                <c:pt idx="58">
                  <c:v>13</c:v>
                </c:pt>
                <c:pt idx="59">
                  <c:v>13</c:v>
                </c:pt>
                <c:pt idx="60">
                  <c:v>13</c:v>
                </c:pt>
                <c:pt idx="61">
                  <c:v>13</c:v>
                </c:pt>
                <c:pt idx="62">
                  <c:v>13</c:v>
                </c:pt>
                <c:pt idx="63">
                  <c:v>13</c:v>
                </c:pt>
                <c:pt idx="64">
                  <c:v>13</c:v>
                </c:pt>
                <c:pt idx="65">
                  <c:v>13</c:v>
                </c:pt>
                <c:pt idx="66">
                  <c:v>13</c:v>
                </c:pt>
                <c:pt idx="67">
                  <c:v>13</c:v>
                </c:pt>
                <c:pt idx="68">
                  <c:v>13</c:v>
                </c:pt>
                <c:pt idx="69">
                  <c:v>13</c:v>
                </c:pt>
                <c:pt idx="70">
                  <c:v>13</c:v>
                </c:pt>
                <c:pt idx="71">
                  <c:v>13</c:v>
                </c:pt>
                <c:pt idx="72">
                  <c:v>13</c:v>
                </c:pt>
                <c:pt idx="73">
                  <c:v>13</c:v>
                </c:pt>
                <c:pt idx="74">
                  <c:v>13</c:v>
                </c:pt>
                <c:pt idx="75">
                  <c:v>13</c:v>
                </c:pt>
                <c:pt idx="76">
                  <c:v>13</c:v>
                </c:pt>
                <c:pt idx="77">
                  <c:v>13</c:v>
                </c:pt>
                <c:pt idx="78">
                  <c:v>13</c:v>
                </c:pt>
                <c:pt idx="79">
                  <c:v>13</c:v>
                </c:pt>
                <c:pt idx="80">
                  <c:v>13</c:v>
                </c:pt>
                <c:pt idx="81">
                  <c:v>13</c:v>
                </c:pt>
                <c:pt idx="82">
                  <c:v>13</c:v>
                </c:pt>
                <c:pt idx="83">
                  <c:v>13</c:v>
                </c:pt>
                <c:pt idx="84">
                  <c:v>13</c:v>
                </c:pt>
                <c:pt idx="85">
                  <c:v>13</c:v>
                </c:pt>
                <c:pt idx="86">
                  <c:v>13</c:v>
                </c:pt>
                <c:pt idx="87">
                  <c:v>13</c:v>
                </c:pt>
                <c:pt idx="88">
                  <c:v>13</c:v>
                </c:pt>
                <c:pt idx="89">
                  <c:v>13</c:v>
                </c:pt>
                <c:pt idx="90">
                  <c:v>13</c:v>
                </c:pt>
                <c:pt idx="91">
                  <c:v>13</c:v>
                </c:pt>
                <c:pt idx="92">
                  <c:v>13</c:v>
                </c:pt>
                <c:pt idx="93">
                  <c:v>13</c:v>
                </c:pt>
                <c:pt idx="94">
                  <c:v>13</c:v>
                </c:pt>
                <c:pt idx="95">
                  <c:v>13</c:v>
                </c:pt>
                <c:pt idx="96">
                  <c:v>13</c:v>
                </c:pt>
                <c:pt idx="97">
                  <c:v>13</c:v>
                </c:pt>
                <c:pt idx="98">
                  <c:v>13</c:v>
                </c:pt>
                <c:pt idx="99">
                  <c:v>13</c:v>
                </c:pt>
                <c:pt idx="100">
                  <c:v>13</c:v>
                </c:pt>
                <c:pt idx="101">
                  <c:v>13</c:v>
                </c:pt>
                <c:pt idx="102">
                  <c:v>13</c:v>
                </c:pt>
                <c:pt idx="103">
                  <c:v>13</c:v>
                </c:pt>
                <c:pt idx="104">
                  <c:v>13</c:v>
                </c:pt>
                <c:pt idx="105">
                  <c:v>13</c:v>
                </c:pt>
                <c:pt idx="106">
                  <c:v>13</c:v>
                </c:pt>
                <c:pt idx="107">
                  <c:v>13</c:v>
                </c:pt>
                <c:pt idx="108">
                  <c:v>13</c:v>
                </c:pt>
                <c:pt idx="109">
                  <c:v>13</c:v>
                </c:pt>
                <c:pt idx="110">
                  <c:v>13</c:v>
                </c:pt>
                <c:pt idx="111">
                  <c:v>13</c:v>
                </c:pt>
                <c:pt idx="112">
                  <c:v>13</c:v>
                </c:pt>
                <c:pt idx="113">
                  <c:v>13</c:v>
                </c:pt>
                <c:pt idx="114">
                  <c:v>13</c:v>
                </c:pt>
                <c:pt idx="115">
                  <c:v>13</c:v>
                </c:pt>
                <c:pt idx="116">
                  <c:v>13</c:v>
                </c:pt>
                <c:pt idx="117">
                  <c:v>13</c:v>
                </c:pt>
                <c:pt idx="118">
                  <c:v>13</c:v>
                </c:pt>
                <c:pt idx="119">
                  <c:v>13</c:v>
                </c:pt>
                <c:pt idx="120">
                  <c:v>13</c:v>
                </c:pt>
                <c:pt idx="121">
                  <c:v>13</c:v>
                </c:pt>
                <c:pt idx="122">
                  <c:v>13</c:v>
                </c:pt>
                <c:pt idx="123">
                  <c:v>13</c:v>
                </c:pt>
                <c:pt idx="124">
                  <c:v>13</c:v>
                </c:pt>
                <c:pt idx="125">
                  <c:v>13</c:v>
                </c:pt>
                <c:pt idx="126">
                  <c:v>13</c:v>
                </c:pt>
                <c:pt idx="127">
                  <c:v>13</c:v>
                </c:pt>
                <c:pt idx="128">
                  <c:v>13</c:v>
                </c:pt>
                <c:pt idx="129">
                  <c:v>13</c:v>
                </c:pt>
                <c:pt idx="130">
                  <c:v>13</c:v>
                </c:pt>
                <c:pt idx="131">
                  <c:v>13</c:v>
                </c:pt>
                <c:pt idx="132">
                  <c:v>13</c:v>
                </c:pt>
                <c:pt idx="133">
                  <c:v>13</c:v>
                </c:pt>
                <c:pt idx="134">
                  <c:v>13</c:v>
                </c:pt>
                <c:pt idx="135">
                  <c:v>13</c:v>
                </c:pt>
                <c:pt idx="136">
                  <c:v>13</c:v>
                </c:pt>
                <c:pt idx="137">
                  <c:v>13</c:v>
                </c:pt>
                <c:pt idx="138">
                  <c:v>13</c:v>
                </c:pt>
                <c:pt idx="139">
                  <c:v>13</c:v>
                </c:pt>
                <c:pt idx="140">
                  <c:v>13</c:v>
                </c:pt>
                <c:pt idx="141">
                  <c:v>13</c:v>
                </c:pt>
                <c:pt idx="142">
                  <c:v>13</c:v>
                </c:pt>
                <c:pt idx="143">
                  <c:v>13</c:v>
                </c:pt>
                <c:pt idx="144">
                  <c:v>13</c:v>
                </c:pt>
                <c:pt idx="145">
                  <c:v>13</c:v>
                </c:pt>
                <c:pt idx="146">
                  <c:v>13</c:v>
                </c:pt>
                <c:pt idx="147">
                  <c:v>13</c:v>
                </c:pt>
                <c:pt idx="148">
                  <c:v>13</c:v>
                </c:pt>
                <c:pt idx="149">
                  <c:v>13</c:v>
                </c:pt>
                <c:pt idx="150">
                  <c:v>13</c:v>
                </c:pt>
                <c:pt idx="151">
                  <c:v>13</c:v>
                </c:pt>
                <c:pt idx="152">
                  <c:v>13</c:v>
                </c:pt>
                <c:pt idx="153">
                  <c:v>13</c:v>
                </c:pt>
                <c:pt idx="154">
                  <c:v>13</c:v>
                </c:pt>
                <c:pt idx="155">
                  <c:v>13</c:v>
                </c:pt>
                <c:pt idx="156">
                  <c:v>13</c:v>
                </c:pt>
                <c:pt idx="157">
                  <c:v>13</c:v>
                </c:pt>
                <c:pt idx="158">
                  <c:v>13</c:v>
                </c:pt>
                <c:pt idx="159">
                  <c:v>13</c:v>
                </c:pt>
                <c:pt idx="160">
                  <c:v>13</c:v>
                </c:pt>
                <c:pt idx="161">
                  <c:v>13</c:v>
                </c:pt>
                <c:pt idx="162">
                  <c:v>13</c:v>
                </c:pt>
                <c:pt idx="163">
                  <c:v>13</c:v>
                </c:pt>
                <c:pt idx="164">
                  <c:v>13</c:v>
                </c:pt>
                <c:pt idx="165">
                  <c:v>13</c:v>
                </c:pt>
                <c:pt idx="166">
                  <c:v>13</c:v>
                </c:pt>
                <c:pt idx="167">
                  <c:v>13</c:v>
                </c:pt>
                <c:pt idx="168">
                  <c:v>13</c:v>
                </c:pt>
                <c:pt idx="169">
                  <c:v>13</c:v>
                </c:pt>
                <c:pt idx="170">
                  <c:v>13</c:v>
                </c:pt>
                <c:pt idx="171">
                  <c:v>13</c:v>
                </c:pt>
                <c:pt idx="172">
                  <c:v>13</c:v>
                </c:pt>
                <c:pt idx="173">
                  <c:v>13</c:v>
                </c:pt>
                <c:pt idx="174">
                  <c:v>13</c:v>
                </c:pt>
                <c:pt idx="175">
                  <c:v>13</c:v>
                </c:pt>
                <c:pt idx="176">
                  <c:v>13</c:v>
                </c:pt>
                <c:pt idx="177">
                  <c:v>13</c:v>
                </c:pt>
                <c:pt idx="178">
                  <c:v>13</c:v>
                </c:pt>
                <c:pt idx="179">
                  <c:v>13</c:v>
                </c:pt>
                <c:pt idx="180">
                  <c:v>13</c:v>
                </c:pt>
                <c:pt idx="181">
                  <c:v>13</c:v>
                </c:pt>
                <c:pt idx="182">
                  <c:v>13</c:v>
                </c:pt>
                <c:pt idx="183">
                  <c:v>13</c:v>
                </c:pt>
                <c:pt idx="184">
                  <c:v>13</c:v>
                </c:pt>
                <c:pt idx="185">
                  <c:v>13</c:v>
                </c:pt>
                <c:pt idx="186">
                  <c:v>13</c:v>
                </c:pt>
                <c:pt idx="187">
                  <c:v>13</c:v>
                </c:pt>
                <c:pt idx="188">
                  <c:v>13</c:v>
                </c:pt>
                <c:pt idx="189">
                  <c:v>13</c:v>
                </c:pt>
                <c:pt idx="190">
                  <c:v>13</c:v>
                </c:pt>
                <c:pt idx="191">
                  <c:v>13</c:v>
                </c:pt>
                <c:pt idx="192">
                  <c:v>13</c:v>
                </c:pt>
                <c:pt idx="193">
                  <c:v>13</c:v>
                </c:pt>
                <c:pt idx="194">
                  <c:v>13</c:v>
                </c:pt>
                <c:pt idx="195">
                  <c:v>13</c:v>
                </c:pt>
                <c:pt idx="196">
                  <c:v>13</c:v>
                </c:pt>
                <c:pt idx="197">
                  <c:v>13</c:v>
                </c:pt>
                <c:pt idx="198">
                  <c:v>13</c:v>
                </c:pt>
                <c:pt idx="199">
                  <c:v>13</c:v>
                </c:pt>
                <c:pt idx="200">
                  <c:v>13</c:v>
                </c:pt>
                <c:pt idx="201">
                  <c:v>13</c:v>
                </c:pt>
                <c:pt idx="202">
                  <c:v>13</c:v>
                </c:pt>
                <c:pt idx="203">
                  <c:v>13</c:v>
                </c:pt>
                <c:pt idx="204">
                  <c:v>13</c:v>
                </c:pt>
                <c:pt idx="205">
                  <c:v>13</c:v>
                </c:pt>
                <c:pt idx="206">
                  <c:v>13</c:v>
                </c:pt>
                <c:pt idx="207">
                  <c:v>13</c:v>
                </c:pt>
                <c:pt idx="208">
                  <c:v>13</c:v>
                </c:pt>
                <c:pt idx="209">
                  <c:v>13</c:v>
                </c:pt>
                <c:pt idx="210">
                  <c:v>13</c:v>
                </c:pt>
                <c:pt idx="211">
                  <c:v>13</c:v>
                </c:pt>
                <c:pt idx="212">
                  <c:v>13</c:v>
                </c:pt>
                <c:pt idx="213">
                  <c:v>13</c:v>
                </c:pt>
                <c:pt idx="214">
                  <c:v>13</c:v>
                </c:pt>
                <c:pt idx="215">
                  <c:v>13</c:v>
                </c:pt>
                <c:pt idx="216">
                  <c:v>13</c:v>
                </c:pt>
                <c:pt idx="217">
                  <c:v>13</c:v>
                </c:pt>
                <c:pt idx="218">
                  <c:v>13</c:v>
                </c:pt>
                <c:pt idx="219">
                  <c:v>13</c:v>
                </c:pt>
                <c:pt idx="220">
                  <c:v>13</c:v>
                </c:pt>
                <c:pt idx="221">
                  <c:v>13</c:v>
                </c:pt>
                <c:pt idx="222">
                  <c:v>13</c:v>
                </c:pt>
                <c:pt idx="223">
                  <c:v>13</c:v>
                </c:pt>
                <c:pt idx="224">
                  <c:v>13</c:v>
                </c:pt>
                <c:pt idx="225">
                  <c:v>13</c:v>
                </c:pt>
                <c:pt idx="226">
                  <c:v>13</c:v>
                </c:pt>
                <c:pt idx="227">
                  <c:v>13</c:v>
                </c:pt>
                <c:pt idx="228">
                  <c:v>13</c:v>
                </c:pt>
                <c:pt idx="229">
                  <c:v>13</c:v>
                </c:pt>
                <c:pt idx="230">
                  <c:v>13</c:v>
                </c:pt>
                <c:pt idx="231">
                  <c:v>13</c:v>
                </c:pt>
                <c:pt idx="232">
                  <c:v>13</c:v>
                </c:pt>
                <c:pt idx="233">
                  <c:v>13</c:v>
                </c:pt>
                <c:pt idx="234">
                  <c:v>13</c:v>
                </c:pt>
                <c:pt idx="235">
                  <c:v>13</c:v>
                </c:pt>
                <c:pt idx="236">
                  <c:v>13</c:v>
                </c:pt>
                <c:pt idx="237">
                  <c:v>13</c:v>
                </c:pt>
                <c:pt idx="238">
                  <c:v>13</c:v>
                </c:pt>
                <c:pt idx="239">
                  <c:v>13</c:v>
                </c:pt>
                <c:pt idx="240">
                  <c:v>13</c:v>
                </c:pt>
                <c:pt idx="241">
                  <c:v>13</c:v>
                </c:pt>
                <c:pt idx="242">
                  <c:v>13</c:v>
                </c:pt>
                <c:pt idx="243">
                  <c:v>13</c:v>
                </c:pt>
                <c:pt idx="244">
                  <c:v>13</c:v>
                </c:pt>
                <c:pt idx="245">
                  <c:v>13</c:v>
                </c:pt>
                <c:pt idx="246">
                  <c:v>13</c:v>
                </c:pt>
                <c:pt idx="247">
                  <c:v>13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521344"/>
        <c:axId val="194531328"/>
      </c:lineChart>
      <c:catAx>
        <c:axId val="194521344"/>
        <c:scaling>
          <c:orientation val="minMax"/>
        </c:scaling>
        <c:delete val="0"/>
        <c:axPos val="b"/>
        <c:majorTickMark val="out"/>
        <c:minorTickMark val="none"/>
        <c:tickLblPos val="nextTo"/>
        <c:crossAx val="194531328"/>
        <c:crosses val="autoZero"/>
        <c:auto val="1"/>
        <c:lblAlgn val="ctr"/>
        <c:lblOffset val="100"/>
        <c:noMultiLvlLbl val="0"/>
      </c:catAx>
      <c:valAx>
        <c:axId val="194531328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4521344"/>
        <c:crosses val="autoZero"/>
        <c:crossBetween val="between"/>
      </c:valAx>
    </c:plotArea>
    <c:legend>
      <c:legendPos val="b"/>
      <c:overlay val="0"/>
    </c:legend>
    <c:plotVisOnly val="0"/>
    <c:dispBlanksAs val="zero"/>
    <c:showDLblsOverMax val="0"/>
  </c:chart>
  <c:printSettings>
    <c:headerFooter>
      <c:oddHeader>&amp;L&amp;"-,Gras"BELIER ASSOCIES&amp;C&amp;"-,Gras"&amp;14Simulation 
DD MRP&amp;"-,Normal"&amp;11
&amp;R&amp;D</c:oddHeader>
    </c:headerFooter>
    <c:pageMargins b="0.74803149606299213" l="0.70866141732283472" r="0.70866141732283472" t="0.74803149606299213" header="0.31496062992125984" footer="0.31496062992125984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'simulation commandes'!$F$4</c:f>
              <c:strCache>
                <c:ptCount val="1"/>
                <c:pt idx="0">
                  <c:v>qte en appro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val>
            <c:numRef>
              <c:f>'simulation commandes'!$F$5:$F$252</c:f>
              <c:numCache>
                <c:formatCode>0</c:formatCode>
                <c:ptCount val="248"/>
                <c:pt idx="6">
                  <c:v>10</c:v>
                </c:pt>
                <c:pt idx="17">
                  <c:v>38</c:v>
                </c:pt>
                <c:pt idx="26">
                  <c:v>20</c:v>
                </c:pt>
                <c:pt idx="46">
                  <c:v>13</c:v>
                </c:pt>
                <c:pt idx="51">
                  <c:v>4</c:v>
                </c:pt>
                <c:pt idx="56">
                  <c:v>22</c:v>
                </c:pt>
                <c:pt idx="61">
                  <c:v>71</c:v>
                </c:pt>
                <c:pt idx="66">
                  <c:v>22</c:v>
                </c:pt>
                <c:pt idx="75">
                  <c:v>11</c:v>
                </c:pt>
                <c:pt idx="80">
                  <c:v>50</c:v>
                </c:pt>
                <c:pt idx="85">
                  <c:v>3</c:v>
                </c:pt>
                <c:pt idx="89">
                  <c:v>20</c:v>
                </c:pt>
                <c:pt idx="93">
                  <c:v>42</c:v>
                </c:pt>
                <c:pt idx="99">
                  <c:v>1</c:v>
                </c:pt>
                <c:pt idx="102">
                  <c:v>14</c:v>
                </c:pt>
                <c:pt idx="112">
                  <c:v>9</c:v>
                </c:pt>
                <c:pt idx="117">
                  <c:v>6</c:v>
                </c:pt>
                <c:pt idx="123">
                  <c:v>4</c:v>
                </c:pt>
                <c:pt idx="135">
                  <c:v>16</c:v>
                </c:pt>
                <c:pt idx="143">
                  <c:v>6</c:v>
                </c:pt>
                <c:pt idx="145">
                  <c:v>5</c:v>
                </c:pt>
                <c:pt idx="167">
                  <c:v>24</c:v>
                </c:pt>
                <c:pt idx="175">
                  <c:v>5</c:v>
                </c:pt>
                <c:pt idx="181">
                  <c:v>6</c:v>
                </c:pt>
                <c:pt idx="192">
                  <c:v>5</c:v>
                </c:pt>
                <c:pt idx="196">
                  <c:v>37</c:v>
                </c:pt>
                <c:pt idx="201">
                  <c:v>14</c:v>
                </c:pt>
                <c:pt idx="207">
                  <c:v>14</c:v>
                </c:pt>
                <c:pt idx="211">
                  <c:v>5</c:v>
                </c:pt>
                <c:pt idx="221">
                  <c:v>15</c:v>
                </c:pt>
                <c:pt idx="226">
                  <c:v>19</c:v>
                </c:pt>
                <c:pt idx="231">
                  <c:v>20</c:v>
                </c:pt>
                <c:pt idx="236">
                  <c:v>12</c:v>
                </c:pt>
                <c:pt idx="241">
                  <c:v>20</c:v>
                </c:pt>
                <c:pt idx="246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558976"/>
        <c:axId val="194560768"/>
      </c:barChart>
      <c:lineChart>
        <c:grouping val="standard"/>
        <c:varyColors val="0"/>
        <c:ser>
          <c:idx val="5"/>
          <c:order val="0"/>
          <c:tx>
            <c:strRef>
              <c:f>'simulation commandes'!$P$4</c:f>
              <c:strCache>
                <c:ptCount val="1"/>
                <c:pt idx="0">
                  <c:v>CMJ prévue</c:v>
                </c:pt>
              </c:strCache>
            </c:strRef>
          </c:tx>
          <c:marker>
            <c:symbol val="none"/>
          </c:marker>
          <c:val>
            <c:numRef>
              <c:f>'simulation commandes'!$P$5:$P$252</c:f>
              <c:numCache>
                <c:formatCode>0.0</c:formatCode>
                <c:ptCount val="248"/>
                <c:pt idx="0">
                  <c:v>2.27</c:v>
                </c:pt>
                <c:pt idx="1">
                  <c:v>2.27</c:v>
                </c:pt>
                <c:pt idx="2">
                  <c:v>2.27</c:v>
                </c:pt>
                <c:pt idx="3">
                  <c:v>2.27</c:v>
                </c:pt>
                <c:pt idx="4">
                  <c:v>2.27</c:v>
                </c:pt>
                <c:pt idx="5">
                  <c:v>2.27</c:v>
                </c:pt>
                <c:pt idx="6">
                  <c:v>2.27</c:v>
                </c:pt>
                <c:pt idx="7">
                  <c:v>2.27</c:v>
                </c:pt>
                <c:pt idx="8">
                  <c:v>2.27</c:v>
                </c:pt>
                <c:pt idx="9">
                  <c:v>2.27</c:v>
                </c:pt>
                <c:pt idx="10">
                  <c:v>2.27</c:v>
                </c:pt>
                <c:pt idx="11">
                  <c:v>2.27</c:v>
                </c:pt>
                <c:pt idx="12">
                  <c:v>2.27</c:v>
                </c:pt>
                <c:pt idx="13">
                  <c:v>2.27</c:v>
                </c:pt>
                <c:pt idx="14">
                  <c:v>2.27</c:v>
                </c:pt>
                <c:pt idx="15">
                  <c:v>2.27</c:v>
                </c:pt>
                <c:pt idx="16">
                  <c:v>2.27</c:v>
                </c:pt>
                <c:pt idx="17">
                  <c:v>2.27</c:v>
                </c:pt>
                <c:pt idx="18">
                  <c:v>2.27</c:v>
                </c:pt>
                <c:pt idx="19">
                  <c:v>2.27</c:v>
                </c:pt>
                <c:pt idx="20">
                  <c:v>2.27</c:v>
                </c:pt>
                <c:pt idx="21">
                  <c:v>2.27</c:v>
                </c:pt>
                <c:pt idx="22">
                  <c:v>2.27</c:v>
                </c:pt>
                <c:pt idx="23">
                  <c:v>2.27</c:v>
                </c:pt>
                <c:pt idx="24">
                  <c:v>2.27</c:v>
                </c:pt>
                <c:pt idx="25">
                  <c:v>2.27</c:v>
                </c:pt>
                <c:pt idx="26">
                  <c:v>3.5</c:v>
                </c:pt>
                <c:pt idx="27">
                  <c:v>3.5</c:v>
                </c:pt>
                <c:pt idx="28">
                  <c:v>3.5</c:v>
                </c:pt>
                <c:pt idx="29">
                  <c:v>3.5</c:v>
                </c:pt>
                <c:pt idx="30">
                  <c:v>3.5</c:v>
                </c:pt>
                <c:pt idx="31">
                  <c:v>3.5</c:v>
                </c:pt>
                <c:pt idx="32">
                  <c:v>3.5</c:v>
                </c:pt>
                <c:pt idx="33">
                  <c:v>3.5</c:v>
                </c:pt>
                <c:pt idx="34">
                  <c:v>3.5</c:v>
                </c:pt>
                <c:pt idx="35">
                  <c:v>3.5</c:v>
                </c:pt>
                <c:pt idx="36">
                  <c:v>3.5</c:v>
                </c:pt>
                <c:pt idx="37">
                  <c:v>3.5</c:v>
                </c:pt>
                <c:pt idx="38">
                  <c:v>3.5</c:v>
                </c:pt>
                <c:pt idx="39">
                  <c:v>3.5</c:v>
                </c:pt>
                <c:pt idx="40">
                  <c:v>3.5</c:v>
                </c:pt>
                <c:pt idx="41">
                  <c:v>3.5</c:v>
                </c:pt>
                <c:pt idx="42">
                  <c:v>2.27</c:v>
                </c:pt>
                <c:pt idx="43">
                  <c:v>2.27</c:v>
                </c:pt>
                <c:pt idx="44">
                  <c:v>2.27</c:v>
                </c:pt>
                <c:pt idx="45">
                  <c:v>2.27</c:v>
                </c:pt>
                <c:pt idx="46">
                  <c:v>2.27</c:v>
                </c:pt>
                <c:pt idx="47">
                  <c:v>2.27</c:v>
                </c:pt>
                <c:pt idx="48">
                  <c:v>2.27</c:v>
                </c:pt>
                <c:pt idx="49">
                  <c:v>2.27</c:v>
                </c:pt>
                <c:pt idx="50">
                  <c:v>2.27</c:v>
                </c:pt>
                <c:pt idx="51">
                  <c:v>2.27</c:v>
                </c:pt>
                <c:pt idx="52">
                  <c:v>2.27</c:v>
                </c:pt>
                <c:pt idx="53">
                  <c:v>2.27</c:v>
                </c:pt>
                <c:pt idx="54">
                  <c:v>2.27</c:v>
                </c:pt>
                <c:pt idx="55">
                  <c:v>2.27</c:v>
                </c:pt>
                <c:pt idx="56">
                  <c:v>2.27</c:v>
                </c:pt>
                <c:pt idx="57">
                  <c:v>2.27</c:v>
                </c:pt>
                <c:pt idx="58">
                  <c:v>2.27</c:v>
                </c:pt>
                <c:pt idx="59">
                  <c:v>2.27</c:v>
                </c:pt>
                <c:pt idx="60">
                  <c:v>2.27</c:v>
                </c:pt>
                <c:pt idx="61">
                  <c:v>2.27</c:v>
                </c:pt>
                <c:pt idx="62">
                  <c:v>2.27</c:v>
                </c:pt>
                <c:pt idx="63">
                  <c:v>2.27</c:v>
                </c:pt>
                <c:pt idx="64">
                  <c:v>2.27</c:v>
                </c:pt>
                <c:pt idx="65">
                  <c:v>2.27</c:v>
                </c:pt>
                <c:pt idx="66">
                  <c:v>2.27</c:v>
                </c:pt>
                <c:pt idx="67">
                  <c:v>2.27</c:v>
                </c:pt>
                <c:pt idx="68">
                  <c:v>2.27</c:v>
                </c:pt>
                <c:pt idx="69">
                  <c:v>2.27</c:v>
                </c:pt>
                <c:pt idx="70">
                  <c:v>2.27</c:v>
                </c:pt>
                <c:pt idx="71">
                  <c:v>2.27</c:v>
                </c:pt>
                <c:pt idx="72">
                  <c:v>2.27</c:v>
                </c:pt>
                <c:pt idx="73">
                  <c:v>2.27</c:v>
                </c:pt>
                <c:pt idx="74">
                  <c:v>2.27</c:v>
                </c:pt>
                <c:pt idx="75">
                  <c:v>2.27</c:v>
                </c:pt>
                <c:pt idx="76">
                  <c:v>2.27</c:v>
                </c:pt>
                <c:pt idx="77">
                  <c:v>2.27</c:v>
                </c:pt>
                <c:pt idx="78">
                  <c:v>2.27</c:v>
                </c:pt>
                <c:pt idx="79">
                  <c:v>2.27</c:v>
                </c:pt>
                <c:pt idx="80">
                  <c:v>2.27</c:v>
                </c:pt>
                <c:pt idx="81">
                  <c:v>2.27</c:v>
                </c:pt>
                <c:pt idx="82">
                  <c:v>2.27</c:v>
                </c:pt>
                <c:pt idx="83">
                  <c:v>2.27</c:v>
                </c:pt>
                <c:pt idx="84">
                  <c:v>2.27</c:v>
                </c:pt>
                <c:pt idx="85">
                  <c:v>2.27</c:v>
                </c:pt>
                <c:pt idx="86">
                  <c:v>2.27</c:v>
                </c:pt>
                <c:pt idx="87">
                  <c:v>2.27</c:v>
                </c:pt>
                <c:pt idx="88">
                  <c:v>2.27</c:v>
                </c:pt>
                <c:pt idx="89">
                  <c:v>2.27</c:v>
                </c:pt>
                <c:pt idx="90">
                  <c:v>2.27</c:v>
                </c:pt>
                <c:pt idx="91">
                  <c:v>2.27</c:v>
                </c:pt>
                <c:pt idx="92">
                  <c:v>2.27</c:v>
                </c:pt>
                <c:pt idx="93">
                  <c:v>2.27</c:v>
                </c:pt>
                <c:pt idx="94">
                  <c:v>2.27</c:v>
                </c:pt>
                <c:pt idx="95">
                  <c:v>2.27</c:v>
                </c:pt>
                <c:pt idx="96">
                  <c:v>2.27</c:v>
                </c:pt>
                <c:pt idx="97">
                  <c:v>2.27</c:v>
                </c:pt>
                <c:pt idx="98">
                  <c:v>2.27</c:v>
                </c:pt>
                <c:pt idx="99">
                  <c:v>2.27</c:v>
                </c:pt>
                <c:pt idx="100">
                  <c:v>2.27</c:v>
                </c:pt>
                <c:pt idx="101">
                  <c:v>2.27</c:v>
                </c:pt>
                <c:pt idx="102">
                  <c:v>2.27</c:v>
                </c:pt>
                <c:pt idx="103">
                  <c:v>2.27</c:v>
                </c:pt>
                <c:pt idx="104">
                  <c:v>2.27</c:v>
                </c:pt>
                <c:pt idx="105">
                  <c:v>2.27</c:v>
                </c:pt>
                <c:pt idx="106">
                  <c:v>2.27</c:v>
                </c:pt>
                <c:pt idx="107">
                  <c:v>2.27</c:v>
                </c:pt>
                <c:pt idx="108">
                  <c:v>2.27</c:v>
                </c:pt>
                <c:pt idx="109">
                  <c:v>2.27</c:v>
                </c:pt>
                <c:pt idx="110">
                  <c:v>2.27</c:v>
                </c:pt>
                <c:pt idx="111">
                  <c:v>2.27</c:v>
                </c:pt>
                <c:pt idx="112">
                  <c:v>2.27</c:v>
                </c:pt>
                <c:pt idx="113">
                  <c:v>2.27</c:v>
                </c:pt>
                <c:pt idx="114">
                  <c:v>2.27</c:v>
                </c:pt>
                <c:pt idx="115">
                  <c:v>2.27</c:v>
                </c:pt>
                <c:pt idx="116">
                  <c:v>2.27</c:v>
                </c:pt>
                <c:pt idx="117">
                  <c:v>2.27</c:v>
                </c:pt>
                <c:pt idx="118">
                  <c:v>2.27</c:v>
                </c:pt>
                <c:pt idx="119">
                  <c:v>2.27</c:v>
                </c:pt>
                <c:pt idx="120">
                  <c:v>2.27</c:v>
                </c:pt>
                <c:pt idx="121">
                  <c:v>2.27</c:v>
                </c:pt>
                <c:pt idx="122">
                  <c:v>2.27</c:v>
                </c:pt>
                <c:pt idx="123">
                  <c:v>2.27</c:v>
                </c:pt>
                <c:pt idx="124">
                  <c:v>2.27</c:v>
                </c:pt>
                <c:pt idx="125">
                  <c:v>2.27</c:v>
                </c:pt>
                <c:pt idx="126">
                  <c:v>2.27</c:v>
                </c:pt>
                <c:pt idx="127">
                  <c:v>2.27</c:v>
                </c:pt>
                <c:pt idx="128">
                  <c:v>2.27</c:v>
                </c:pt>
                <c:pt idx="129">
                  <c:v>2.27</c:v>
                </c:pt>
                <c:pt idx="130">
                  <c:v>2.27</c:v>
                </c:pt>
                <c:pt idx="131">
                  <c:v>2.27</c:v>
                </c:pt>
                <c:pt idx="132">
                  <c:v>2.27</c:v>
                </c:pt>
                <c:pt idx="133">
                  <c:v>2.27</c:v>
                </c:pt>
                <c:pt idx="134">
                  <c:v>2.27</c:v>
                </c:pt>
                <c:pt idx="135">
                  <c:v>2.27</c:v>
                </c:pt>
                <c:pt idx="136">
                  <c:v>2.27</c:v>
                </c:pt>
                <c:pt idx="137">
                  <c:v>2.27</c:v>
                </c:pt>
                <c:pt idx="138">
                  <c:v>2.27</c:v>
                </c:pt>
                <c:pt idx="139">
                  <c:v>2.27</c:v>
                </c:pt>
                <c:pt idx="140">
                  <c:v>2.27</c:v>
                </c:pt>
                <c:pt idx="141">
                  <c:v>2.27</c:v>
                </c:pt>
                <c:pt idx="142">
                  <c:v>2.27</c:v>
                </c:pt>
                <c:pt idx="143">
                  <c:v>2.27</c:v>
                </c:pt>
                <c:pt idx="144">
                  <c:v>2.27</c:v>
                </c:pt>
                <c:pt idx="145">
                  <c:v>2.27</c:v>
                </c:pt>
                <c:pt idx="146">
                  <c:v>2.27</c:v>
                </c:pt>
                <c:pt idx="147">
                  <c:v>2.27</c:v>
                </c:pt>
                <c:pt idx="148">
                  <c:v>2.27</c:v>
                </c:pt>
                <c:pt idx="149">
                  <c:v>2.27</c:v>
                </c:pt>
                <c:pt idx="150">
                  <c:v>2.27</c:v>
                </c:pt>
                <c:pt idx="151">
                  <c:v>2.27</c:v>
                </c:pt>
                <c:pt idx="152">
                  <c:v>2.27</c:v>
                </c:pt>
                <c:pt idx="153">
                  <c:v>2.27</c:v>
                </c:pt>
                <c:pt idx="154">
                  <c:v>2.27</c:v>
                </c:pt>
                <c:pt idx="155">
                  <c:v>2.27</c:v>
                </c:pt>
                <c:pt idx="156">
                  <c:v>2.27</c:v>
                </c:pt>
                <c:pt idx="157">
                  <c:v>2.27</c:v>
                </c:pt>
                <c:pt idx="158">
                  <c:v>2.27</c:v>
                </c:pt>
                <c:pt idx="159">
                  <c:v>2.27</c:v>
                </c:pt>
                <c:pt idx="160">
                  <c:v>2.27</c:v>
                </c:pt>
                <c:pt idx="161">
                  <c:v>2.27</c:v>
                </c:pt>
                <c:pt idx="162">
                  <c:v>2.27</c:v>
                </c:pt>
                <c:pt idx="163">
                  <c:v>2.27</c:v>
                </c:pt>
                <c:pt idx="164">
                  <c:v>2.27</c:v>
                </c:pt>
                <c:pt idx="165">
                  <c:v>2.27</c:v>
                </c:pt>
                <c:pt idx="166">
                  <c:v>2.27</c:v>
                </c:pt>
                <c:pt idx="167">
                  <c:v>2.27</c:v>
                </c:pt>
                <c:pt idx="168">
                  <c:v>2.27</c:v>
                </c:pt>
                <c:pt idx="169">
                  <c:v>2.27</c:v>
                </c:pt>
                <c:pt idx="170">
                  <c:v>2.27</c:v>
                </c:pt>
                <c:pt idx="171">
                  <c:v>2.27</c:v>
                </c:pt>
                <c:pt idx="172">
                  <c:v>2.27</c:v>
                </c:pt>
                <c:pt idx="173">
                  <c:v>2.27</c:v>
                </c:pt>
                <c:pt idx="174">
                  <c:v>2.27</c:v>
                </c:pt>
                <c:pt idx="175">
                  <c:v>2.27</c:v>
                </c:pt>
                <c:pt idx="176">
                  <c:v>2.27</c:v>
                </c:pt>
                <c:pt idx="177">
                  <c:v>2.27</c:v>
                </c:pt>
                <c:pt idx="178">
                  <c:v>2.27</c:v>
                </c:pt>
                <c:pt idx="179">
                  <c:v>2.27</c:v>
                </c:pt>
                <c:pt idx="180">
                  <c:v>2.27</c:v>
                </c:pt>
                <c:pt idx="181">
                  <c:v>2.27</c:v>
                </c:pt>
                <c:pt idx="182">
                  <c:v>2.27</c:v>
                </c:pt>
                <c:pt idx="183">
                  <c:v>2.27</c:v>
                </c:pt>
                <c:pt idx="184">
                  <c:v>2.27</c:v>
                </c:pt>
                <c:pt idx="185">
                  <c:v>2.27</c:v>
                </c:pt>
                <c:pt idx="186">
                  <c:v>2.27</c:v>
                </c:pt>
                <c:pt idx="187">
                  <c:v>2.27</c:v>
                </c:pt>
                <c:pt idx="188">
                  <c:v>2.27</c:v>
                </c:pt>
                <c:pt idx="189">
                  <c:v>2.27</c:v>
                </c:pt>
                <c:pt idx="190">
                  <c:v>2.27</c:v>
                </c:pt>
                <c:pt idx="191">
                  <c:v>2.27</c:v>
                </c:pt>
                <c:pt idx="192">
                  <c:v>2.27</c:v>
                </c:pt>
                <c:pt idx="193">
                  <c:v>2.27</c:v>
                </c:pt>
                <c:pt idx="194">
                  <c:v>2.27</c:v>
                </c:pt>
                <c:pt idx="195">
                  <c:v>2.27</c:v>
                </c:pt>
                <c:pt idx="196">
                  <c:v>2.27</c:v>
                </c:pt>
                <c:pt idx="197">
                  <c:v>2.27</c:v>
                </c:pt>
                <c:pt idx="198">
                  <c:v>2.27</c:v>
                </c:pt>
                <c:pt idx="199">
                  <c:v>2.27</c:v>
                </c:pt>
                <c:pt idx="200">
                  <c:v>2.27</c:v>
                </c:pt>
                <c:pt idx="201">
                  <c:v>2.27</c:v>
                </c:pt>
                <c:pt idx="202">
                  <c:v>2.27</c:v>
                </c:pt>
                <c:pt idx="203">
                  <c:v>2.27</c:v>
                </c:pt>
                <c:pt idx="204">
                  <c:v>2.27</c:v>
                </c:pt>
                <c:pt idx="205">
                  <c:v>2.27</c:v>
                </c:pt>
                <c:pt idx="206">
                  <c:v>2.27</c:v>
                </c:pt>
                <c:pt idx="207">
                  <c:v>2.27</c:v>
                </c:pt>
                <c:pt idx="208">
                  <c:v>2.27</c:v>
                </c:pt>
                <c:pt idx="209">
                  <c:v>2.27</c:v>
                </c:pt>
                <c:pt idx="210">
                  <c:v>2.27</c:v>
                </c:pt>
                <c:pt idx="211">
                  <c:v>2.27</c:v>
                </c:pt>
                <c:pt idx="212">
                  <c:v>2.27</c:v>
                </c:pt>
                <c:pt idx="213">
                  <c:v>2.27</c:v>
                </c:pt>
                <c:pt idx="214">
                  <c:v>2.27</c:v>
                </c:pt>
                <c:pt idx="215">
                  <c:v>2.27</c:v>
                </c:pt>
                <c:pt idx="216">
                  <c:v>2.27</c:v>
                </c:pt>
                <c:pt idx="217">
                  <c:v>2.27</c:v>
                </c:pt>
                <c:pt idx="218">
                  <c:v>2.27</c:v>
                </c:pt>
                <c:pt idx="219">
                  <c:v>2.27</c:v>
                </c:pt>
                <c:pt idx="220">
                  <c:v>2.27</c:v>
                </c:pt>
                <c:pt idx="221">
                  <c:v>2.27</c:v>
                </c:pt>
                <c:pt idx="222">
                  <c:v>2.27</c:v>
                </c:pt>
                <c:pt idx="223">
                  <c:v>2.27</c:v>
                </c:pt>
                <c:pt idx="224">
                  <c:v>2.27</c:v>
                </c:pt>
                <c:pt idx="225">
                  <c:v>2.27</c:v>
                </c:pt>
                <c:pt idx="226">
                  <c:v>2.27</c:v>
                </c:pt>
                <c:pt idx="227">
                  <c:v>2.27</c:v>
                </c:pt>
                <c:pt idx="228">
                  <c:v>2.27</c:v>
                </c:pt>
                <c:pt idx="229">
                  <c:v>2.27</c:v>
                </c:pt>
                <c:pt idx="230">
                  <c:v>2.27</c:v>
                </c:pt>
                <c:pt idx="231">
                  <c:v>2.27</c:v>
                </c:pt>
                <c:pt idx="232">
                  <c:v>2.27</c:v>
                </c:pt>
                <c:pt idx="233">
                  <c:v>2.27</c:v>
                </c:pt>
                <c:pt idx="234">
                  <c:v>2.27</c:v>
                </c:pt>
                <c:pt idx="235">
                  <c:v>2.27</c:v>
                </c:pt>
                <c:pt idx="236">
                  <c:v>2.27</c:v>
                </c:pt>
                <c:pt idx="237">
                  <c:v>2.27</c:v>
                </c:pt>
                <c:pt idx="238">
                  <c:v>2.27</c:v>
                </c:pt>
                <c:pt idx="239">
                  <c:v>2.27</c:v>
                </c:pt>
                <c:pt idx="240">
                  <c:v>2.27</c:v>
                </c:pt>
                <c:pt idx="241">
                  <c:v>2.27</c:v>
                </c:pt>
                <c:pt idx="242">
                  <c:v>2.27</c:v>
                </c:pt>
                <c:pt idx="243">
                  <c:v>2.27</c:v>
                </c:pt>
                <c:pt idx="244">
                  <c:v>2.27</c:v>
                </c:pt>
                <c:pt idx="245">
                  <c:v>2.27</c:v>
                </c:pt>
                <c:pt idx="246">
                  <c:v>2.27</c:v>
                </c:pt>
                <c:pt idx="247">
                  <c:v>2.27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'simulation commandes'!$L$4</c:f>
              <c:strCache>
                <c:ptCount val="1"/>
                <c:pt idx="0">
                  <c:v>seuil PIC</c:v>
                </c:pt>
              </c:strCache>
            </c:strRef>
          </c:tx>
          <c:spPr>
            <a:ln>
              <a:solidFill>
                <a:srgbClr val="FF0000"/>
              </a:solidFill>
              <a:prstDash val="dash"/>
            </a:ln>
          </c:spPr>
          <c:marker>
            <c:symbol val="none"/>
          </c:marker>
          <c:val>
            <c:numRef>
              <c:f>'simulation commandes'!$L$5:$L$252</c:f>
              <c:numCache>
                <c:formatCode>0</c:formatCode>
                <c:ptCount val="248"/>
                <c:pt idx="0">
                  <c:v>13</c:v>
                </c:pt>
                <c:pt idx="1">
                  <c:v>13</c:v>
                </c:pt>
                <c:pt idx="2">
                  <c:v>13</c:v>
                </c:pt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  <c:pt idx="10">
                  <c:v>13</c:v>
                </c:pt>
                <c:pt idx="11">
                  <c:v>13</c:v>
                </c:pt>
                <c:pt idx="12">
                  <c:v>13</c:v>
                </c:pt>
                <c:pt idx="13">
                  <c:v>13</c:v>
                </c:pt>
                <c:pt idx="14">
                  <c:v>13</c:v>
                </c:pt>
                <c:pt idx="15">
                  <c:v>13</c:v>
                </c:pt>
                <c:pt idx="16">
                  <c:v>13</c:v>
                </c:pt>
                <c:pt idx="17">
                  <c:v>13</c:v>
                </c:pt>
                <c:pt idx="18">
                  <c:v>13</c:v>
                </c:pt>
                <c:pt idx="19">
                  <c:v>13</c:v>
                </c:pt>
                <c:pt idx="20">
                  <c:v>13</c:v>
                </c:pt>
                <c:pt idx="21">
                  <c:v>13</c:v>
                </c:pt>
                <c:pt idx="22">
                  <c:v>13</c:v>
                </c:pt>
                <c:pt idx="23">
                  <c:v>13</c:v>
                </c:pt>
                <c:pt idx="24">
                  <c:v>13</c:v>
                </c:pt>
                <c:pt idx="25">
                  <c:v>13</c:v>
                </c:pt>
                <c:pt idx="26">
                  <c:v>19.6875</c:v>
                </c:pt>
                <c:pt idx="27">
                  <c:v>19.6875</c:v>
                </c:pt>
                <c:pt idx="28">
                  <c:v>19.6875</c:v>
                </c:pt>
                <c:pt idx="29">
                  <c:v>19.6875</c:v>
                </c:pt>
                <c:pt idx="30">
                  <c:v>19.6875</c:v>
                </c:pt>
                <c:pt idx="31">
                  <c:v>19.6875</c:v>
                </c:pt>
                <c:pt idx="32">
                  <c:v>19.6875</c:v>
                </c:pt>
                <c:pt idx="33">
                  <c:v>19.6875</c:v>
                </c:pt>
                <c:pt idx="34">
                  <c:v>19.6875</c:v>
                </c:pt>
                <c:pt idx="35">
                  <c:v>19.6875</c:v>
                </c:pt>
                <c:pt idx="36">
                  <c:v>19.6875</c:v>
                </c:pt>
                <c:pt idx="37">
                  <c:v>19.6875</c:v>
                </c:pt>
                <c:pt idx="38">
                  <c:v>19.6875</c:v>
                </c:pt>
                <c:pt idx="39">
                  <c:v>19.6875</c:v>
                </c:pt>
                <c:pt idx="40">
                  <c:v>19.6875</c:v>
                </c:pt>
                <c:pt idx="41">
                  <c:v>19.6875</c:v>
                </c:pt>
                <c:pt idx="42">
                  <c:v>13</c:v>
                </c:pt>
                <c:pt idx="43">
                  <c:v>13</c:v>
                </c:pt>
                <c:pt idx="44">
                  <c:v>13</c:v>
                </c:pt>
                <c:pt idx="45">
                  <c:v>13</c:v>
                </c:pt>
                <c:pt idx="46">
                  <c:v>13</c:v>
                </c:pt>
                <c:pt idx="47">
                  <c:v>13</c:v>
                </c:pt>
                <c:pt idx="48">
                  <c:v>13</c:v>
                </c:pt>
                <c:pt idx="49">
                  <c:v>13</c:v>
                </c:pt>
                <c:pt idx="50">
                  <c:v>13</c:v>
                </c:pt>
                <c:pt idx="51">
                  <c:v>13</c:v>
                </c:pt>
                <c:pt idx="52">
                  <c:v>13</c:v>
                </c:pt>
                <c:pt idx="53">
                  <c:v>13</c:v>
                </c:pt>
                <c:pt idx="54">
                  <c:v>13</c:v>
                </c:pt>
                <c:pt idx="55">
                  <c:v>13</c:v>
                </c:pt>
                <c:pt idx="56">
                  <c:v>13</c:v>
                </c:pt>
                <c:pt idx="57">
                  <c:v>13</c:v>
                </c:pt>
                <c:pt idx="58">
                  <c:v>13</c:v>
                </c:pt>
                <c:pt idx="59">
                  <c:v>13</c:v>
                </c:pt>
                <c:pt idx="60">
                  <c:v>13</c:v>
                </c:pt>
                <c:pt idx="61">
                  <c:v>13</c:v>
                </c:pt>
                <c:pt idx="62">
                  <c:v>13</c:v>
                </c:pt>
                <c:pt idx="63">
                  <c:v>13</c:v>
                </c:pt>
                <c:pt idx="64">
                  <c:v>13</c:v>
                </c:pt>
                <c:pt idx="65">
                  <c:v>13</c:v>
                </c:pt>
                <c:pt idx="66">
                  <c:v>13</c:v>
                </c:pt>
                <c:pt idx="67">
                  <c:v>13</c:v>
                </c:pt>
                <c:pt idx="68">
                  <c:v>13</c:v>
                </c:pt>
                <c:pt idx="69">
                  <c:v>13</c:v>
                </c:pt>
                <c:pt idx="70">
                  <c:v>13</c:v>
                </c:pt>
                <c:pt idx="71">
                  <c:v>13</c:v>
                </c:pt>
                <c:pt idx="72">
                  <c:v>13</c:v>
                </c:pt>
                <c:pt idx="73">
                  <c:v>13</c:v>
                </c:pt>
                <c:pt idx="74">
                  <c:v>13</c:v>
                </c:pt>
                <c:pt idx="75">
                  <c:v>13</c:v>
                </c:pt>
                <c:pt idx="76">
                  <c:v>13</c:v>
                </c:pt>
                <c:pt idx="77">
                  <c:v>13</c:v>
                </c:pt>
                <c:pt idx="78">
                  <c:v>13</c:v>
                </c:pt>
                <c:pt idx="79">
                  <c:v>13</c:v>
                </c:pt>
                <c:pt idx="80">
                  <c:v>13</c:v>
                </c:pt>
                <c:pt idx="81">
                  <c:v>13</c:v>
                </c:pt>
                <c:pt idx="82">
                  <c:v>13</c:v>
                </c:pt>
                <c:pt idx="83">
                  <c:v>13</c:v>
                </c:pt>
                <c:pt idx="84">
                  <c:v>13</c:v>
                </c:pt>
                <c:pt idx="85">
                  <c:v>13</c:v>
                </c:pt>
                <c:pt idx="86">
                  <c:v>13</c:v>
                </c:pt>
                <c:pt idx="87">
                  <c:v>13</c:v>
                </c:pt>
                <c:pt idx="88">
                  <c:v>13</c:v>
                </c:pt>
                <c:pt idx="89">
                  <c:v>13</c:v>
                </c:pt>
                <c:pt idx="90">
                  <c:v>13</c:v>
                </c:pt>
                <c:pt idx="91">
                  <c:v>13</c:v>
                </c:pt>
                <c:pt idx="92">
                  <c:v>13</c:v>
                </c:pt>
                <c:pt idx="93">
                  <c:v>13</c:v>
                </c:pt>
                <c:pt idx="94">
                  <c:v>13</c:v>
                </c:pt>
                <c:pt idx="95">
                  <c:v>13</c:v>
                </c:pt>
                <c:pt idx="96">
                  <c:v>13</c:v>
                </c:pt>
                <c:pt idx="97">
                  <c:v>13</c:v>
                </c:pt>
                <c:pt idx="98">
                  <c:v>13</c:v>
                </c:pt>
                <c:pt idx="99">
                  <c:v>13</c:v>
                </c:pt>
                <c:pt idx="100">
                  <c:v>13</c:v>
                </c:pt>
                <c:pt idx="101">
                  <c:v>13</c:v>
                </c:pt>
                <c:pt idx="102">
                  <c:v>13</c:v>
                </c:pt>
                <c:pt idx="103">
                  <c:v>13</c:v>
                </c:pt>
                <c:pt idx="104">
                  <c:v>13</c:v>
                </c:pt>
                <c:pt idx="105">
                  <c:v>13</c:v>
                </c:pt>
                <c:pt idx="106">
                  <c:v>13</c:v>
                </c:pt>
                <c:pt idx="107">
                  <c:v>13</c:v>
                </c:pt>
                <c:pt idx="108">
                  <c:v>13</c:v>
                </c:pt>
                <c:pt idx="109">
                  <c:v>13</c:v>
                </c:pt>
                <c:pt idx="110">
                  <c:v>13</c:v>
                </c:pt>
                <c:pt idx="111">
                  <c:v>13</c:v>
                </c:pt>
                <c:pt idx="112">
                  <c:v>13</c:v>
                </c:pt>
                <c:pt idx="113">
                  <c:v>13</c:v>
                </c:pt>
                <c:pt idx="114">
                  <c:v>13</c:v>
                </c:pt>
                <c:pt idx="115">
                  <c:v>13</c:v>
                </c:pt>
                <c:pt idx="116">
                  <c:v>13</c:v>
                </c:pt>
                <c:pt idx="117">
                  <c:v>13</c:v>
                </c:pt>
                <c:pt idx="118">
                  <c:v>13</c:v>
                </c:pt>
                <c:pt idx="119">
                  <c:v>13</c:v>
                </c:pt>
                <c:pt idx="120">
                  <c:v>13</c:v>
                </c:pt>
                <c:pt idx="121">
                  <c:v>13</c:v>
                </c:pt>
                <c:pt idx="122">
                  <c:v>13</c:v>
                </c:pt>
                <c:pt idx="123">
                  <c:v>13</c:v>
                </c:pt>
                <c:pt idx="124">
                  <c:v>13</c:v>
                </c:pt>
                <c:pt idx="125">
                  <c:v>13</c:v>
                </c:pt>
                <c:pt idx="126">
                  <c:v>13</c:v>
                </c:pt>
                <c:pt idx="127">
                  <c:v>13</c:v>
                </c:pt>
                <c:pt idx="128">
                  <c:v>13</c:v>
                </c:pt>
                <c:pt idx="129">
                  <c:v>13</c:v>
                </c:pt>
                <c:pt idx="130">
                  <c:v>13</c:v>
                </c:pt>
                <c:pt idx="131">
                  <c:v>13</c:v>
                </c:pt>
                <c:pt idx="132">
                  <c:v>13</c:v>
                </c:pt>
                <c:pt idx="133">
                  <c:v>13</c:v>
                </c:pt>
                <c:pt idx="134">
                  <c:v>13</c:v>
                </c:pt>
                <c:pt idx="135">
                  <c:v>13</c:v>
                </c:pt>
                <c:pt idx="136">
                  <c:v>13</c:v>
                </c:pt>
                <c:pt idx="137">
                  <c:v>13</c:v>
                </c:pt>
                <c:pt idx="138">
                  <c:v>13</c:v>
                </c:pt>
                <c:pt idx="139">
                  <c:v>13</c:v>
                </c:pt>
                <c:pt idx="140">
                  <c:v>13</c:v>
                </c:pt>
                <c:pt idx="141">
                  <c:v>13</c:v>
                </c:pt>
                <c:pt idx="142">
                  <c:v>13</c:v>
                </c:pt>
                <c:pt idx="143">
                  <c:v>13</c:v>
                </c:pt>
                <c:pt idx="144">
                  <c:v>13</c:v>
                </c:pt>
                <c:pt idx="145">
                  <c:v>13</c:v>
                </c:pt>
                <c:pt idx="146">
                  <c:v>13</c:v>
                </c:pt>
                <c:pt idx="147">
                  <c:v>13</c:v>
                </c:pt>
                <c:pt idx="148">
                  <c:v>13</c:v>
                </c:pt>
                <c:pt idx="149">
                  <c:v>13</c:v>
                </c:pt>
                <c:pt idx="150">
                  <c:v>13</c:v>
                </c:pt>
                <c:pt idx="151">
                  <c:v>13</c:v>
                </c:pt>
                <c:pt idx="152">
                  <c:v>13</c:v>
                </c:pt>
                <c:pt idx="153">
                  <c:v>13</c:v>
                </c:pt>
                <c:pt idx="154">
                  <c:v>13</c:v>
                </c:pt>
                <c:pt idx="155">
                  <c:v>13</c:v>
                </c:pt>
                <c:pt idx="156">
                  <c:v>13</c:v>
                </c:pt>
                <c:pt idx="157">
                  <c:v>13</c:v>
                </c:pt>
                <c:pt idx="158">
                  <c:v>13</c:v>
                </c:pt>
                <c:pt idx="159">
                  <c:v>13</c:v>
                </c:pt>
                <c:pt idx="160">
                  <c:v>13</c:v>
                </c:pt>
                <c:pt idx="161">
                  <c:v>13</c:v>
                </c:pt>
                <c:pt idx="162">
                  <c:v>13</c:v>
                </c:pt>
                <c:pt idx="163">
                  <c:v>13</c:v>
                </c:pt>
                <c:pt idx="164">
                  <c:v>13</c:v>
                </c:pt>
                <c:pt idx="165">
                  <c:v>13</c:v>
                </c:pt>
                <c:pt idx="166">
                  <c:v>13</c:v>
                </c:pt>
                <c:pt idx="167">
                  <c:v>13</c:v>
                </c:pt>
                <c:pt idx="168">
                  <c:v>13</c:v>
                </c:pt>
                <c:pt idx="169">
                  <c:v>13</c:v>
                </c:pt>
                <c:pt idx="170">
                  <c:v>13</c:v>
                </c:pt>
                <c:pt idx="171">
                  <c:v>13</c:v>
                </c:pt>
                <c:pt idx="172">
                  <c:v>13</c:v>
                </c:pt>
                <c:pt idx="173">
                  <c:v>13</c:v>
                </c:pt>
                <c:pt idx="174">
                  <c:v>13</c:v>
                </c:pt>
                <c:pt idx="175">
                  <c:v>13</c:v>
                </c:pt>
                <c:pt idx="176">
                  <c:v>13</c:v>
                </c:pt>
                <c:pt idx="177">
                  <c:v>13</c:v>
                </c:pt>
                <c:pt idx="178">
                  <c:v>13</c:v>
                </c:pt>
                <c:pt idx="179">
                  <c:v>13</c:v>
                </c:pt>
                <c:pt idx="180">
                  <c:v>13</c:v>
                </c:pt>
                <c:pt idx="181">
                  <c:v>13</c:v>
                </c:pt>
                <c:pt idx="182">
                  <c:v>13</c:v>
                </c:pt>
                <c:pt idx="183">
                  <c:v>13</c:v>
                </c:pt>
                <c:pt idx="184">
                  <c:v>13</c:v>
                </c:pt>
                <c:pt idx="185">
                  <c:v>13</c:v>
                </c:pt>
                <c:pt idx="186">
                  <c:v>13</c:v>
                </c:pt>
                <c:pt idx="187">
                  <c:v>13</c:v>
                </c:pt>
                <c:pt idx="188">
                  <c:v>13</c:v>
                </c:pt>
                <c:pt idx="189">
                  <c:v>13</c:v>
                </c:pt>
                <c:pt idx="190">
                  <c:v>13</c:v>
                </c:pt>
                <c:pt idx="191">
                  <c:v>13</c:v>
                </c:pt>
                <c:pt idx="192">
                  <c:v>13</c:v>
                </c:pt>
                <c:pt idx="193">
                  <c:v>13</c:v>
                </c:pt>
                <c:pt idx="194">
                  <c:v>13</c:v>
                </c:pt>
                <c:pt idx="195">
                  <c:v>13</c:v>
                </c:pt>
                <c:pt idx="196">
                  <c:v>13</c:v>
                </c:pt>
                <c:pt idx="197">
                  <c:v>13</c:v>
                </c:pt>
                <c:pt idx="198">
                  <c:v>13</c:v>
                </c:pt>
                <c:pt idx="199">
                  <c:v>13</c:v>
                </c:pt>
                <c:pt idx="200">
                  <c:v>13</c:v>
                </c:pt>
                <c:pt idx="201">
                  <c:v>13</c:v>
                </c:pt>
                <c:pt idx="202">
                  <c:v>13</c:v>
                </c:pt>
                <c:pt idx="203">
                  <c:v>13</c:v>
                </c:pt>
                <c:pt idx="204">
                  <c:v>13</c:v>
                </c:pt>
                <c:pt idx="205">
                  <c:v>13</c:v>
                </c:pt>
                <c:pt idx="206">
                  <c:v>13</c:v>
                </c:pt>
                <c:pt idx="207">
                  <c:v>13</c:v>
                </c:pt>
                <c:pt idx="208">
                  <c:v>13</c:v>
                </c:pt>
                <c:pt idx="209">
                  <c:v>13</c:v>
                </c:pt>
                <c:pt idx="210">
                  <c:v>13</c:v>
                </c:pt>
                <c:pt idx="211">
                  <c:v>13</c:v>
                </c:pt>
                <c:pt idx="212">
                  <c:v>13</c:v>
                </c:pt>
                <c:pt idx="213">
                  <c:v>13</c:v>
                </c:pt>
                <c:pt idx="214">
                  <c:v>13</c:v>
                </c:pt>
                <c:pt idx="215">
                  <c:v>13</c:v>
                </c:pt>
                <c:pt idx="216">
                  <c:v>13</c:v>
                </c:pt>
                <c:pt idx="217">
                  <c:v>13</c:v>
                </c:pt>
                <c:pt idx="218">
                  <c:v>13</c:v>
                </c:pt>
                <c:pt idx="219">
                  <c:v>13</c:v>
                </c:pt>
                <c:pt idx="220">
                  <c:v>13</c:v>
                </c:pt>
                <c:pt idx="221">
                  <c:v>13</c:v>
                </c:pt>
                <c:pt idx="222">
                  <c:v>13</c:v>
                </c:pt>
                <c:pt idx="223">
                  <c:v>13</c:v>
                </c:pt>
                <c:pt idx="224">
                  <c:v>13</c:v>
                </c:pt>
                <c:pt idx="225">
                  <c:v>13</c:v>
                </c:pt>
                <c:pt idx="226">
                  <c:v>13</c:v>
                </c:pt>
                <c:pt idx="227">
                  <c:v>13</c:v>
                </c:pt>
                <c:pt idx="228">
                  <c:v>13</c:v>
                </c:pt>
                <c:pt idx="229">
                  <c:v>13</c:v>
                </c:pt>
                <c:pt idx="230">
                  <c:v>13</c:v>
                </c:pt>
                <c:pt idx="231">
                  <c:v>13</c:v>
                </c:pt>
                <c:pt idx="232">
                  <c:v>13</c:v>
                </c:pt>
                <c:pt idx="233">
                  <c:v>13</c:v>
                </c:pt>
                <c:pt idx="234">
                  <c:v>13</c:v>
                </c:pt>
                <c:pt idx="235">
                  <c:v>13</c:v>
                </c:pt>
                <c:pt idx="236">
                  <c:v>13</c:v>
                </c:pt>
                <c:pt idx="237">
                  <c:v>13</c:v>
                </c:pt>
                <c:pt idx="238">
                  <c:v>13</c:v>
                </c:pt>
                <c:pt idx="239">
                  <c:v>13</c:v>
                </c:pt>
                <c:pt idx="240">
                  <c:v>13</c:v>
                </c:pt>
                <c:pt idx="241">
                  <c:v>13</c:v>
                </c:pt>
                <c:pt idx="242">
                  <c:v>13</c:v>
                </c:pt>
                <c:pt idx="243">
                  <c:v>13</c:v>
                </c:pt>
                <c:pt idx="244">
                  <c:v>13</c:v>
                </c:pt>
                <c:pt idx="245">
                  <c:v>13</c:v>
                </c:pt>
                <c:pt idx="246">
                  <c:v>13</c:v>
                </c:pt>
                <c:pt idx="247">
                  <c:v>13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558976"/>
        <c:axId val="194560768"/>
      </c:lineChart>
      <c:catAx>
        <c:axId val="194558976"/>
        <c:scaling>
          <c:orientation val="minMax"/>
        </c:scaling>
        <c:delete val="0"/>
        <c:axPos val="b"/>
        <c:majorTickMark val="out"/>
        <c:minorTickMark val="none"/>
        <c:tickLblPos val="nextTo"/>
        <c:crossAx val="194560768"/>
        <c:crosses val="autoZero"/>
        <c:auto val="1"/>
        <c:lblAlgn val="ctr"/>
        <c:lblOffset val="100"/>
        <c:noMultiLvlLbl val="0"/>
      </c:catAx>
      <c:valAx>
        <c:axId val="194560768"/>
        <c:scaling>
          <c:orientation val="minMax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4558976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overlay val="0"/>
    </c:legend>
    <c:plotVisOnly val="0"/>
    <c:dispBlanksAs val="zero"/>
    <c:showDLblsOverMax val="0"/>
  </c:chart>
  <c:printSettings>
    <c:headerFooter>
      <c:oddHeader>&amp;L&amp;"-,Gras"BELIER ASSOCIES&amp;C&amp;"-,Gras"&amp;14Simulation 
DD MRP&amp;"-,Normal"&amp;11
&amp;R&amp;D</c:oddHeader>
    </c:headerFooter>
    <c:pageMargins b="0.74803149606299213" l="0.70866141732283472" r="0.70866141732283472" t="0.74803149606299213" header="0.31496062992125984" footer="0.31496062992125984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2"/>
          <c:order val="2"/>
          <c:tx>
            <c:strRef>
              <c:f>'simulation commandes'!$V$4</c:f>
              <c:strCache>
                <c:ptCount val="1"/>
                <c:pt idx="0">
                  <c:v>RZ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val>
            <c:numRef>
              <c:f>'simulation commandes'!$V$5:$V$252</c:f>
              <c:numCache>
                <c:formatCode>0</c:formatCode>
                <c:ptCount val="248"/>
                <c:pt idx="0">
                  <c:v>24.515999999999998</c:v>
                </c:pt>
                <c:pt idx="1">
                  <c:v>24.515999999999998</c:v>
                </c:pt>
                <c:pt idx="2">
                  <c:v>24.515999999999998</c:v>
                </c:pt>
                <c:pt idx="3">
                  <c:v>24.515999999999998</c:v>
                </c:pt>
                <c:pt idx="4">
                  <c:v>24.515999999999998</c:v>
                </c:pt>
                <c:pt idx="5">
                  <c:v>24.515999999999998</c:v>
                </c:pt>
                <c:pt idx="6">
                  <c:v>24.515999999999998</c:v>
                </c:pt>
                <c:pt idx="7">
                  <c:v>24.515999999999998</c:v>
                </c:pt>
                <c:pt idx="8">
                  <c:v>24.515999999999998</c:v>
                </c:pt>
                <c:pt idx="9">
                  <c:v>24.515999999999998</c:v>
                </c:pt>
                <c:pt idx="10">
                  <c:v>24.515999999999998</c:v>
                </c:pt>
                <c:pt idx="11">
                  <c:v>24.515999999999998</c:v>
                </c:pt>
                <c:pt idx="12">
                  <c:v>24.515999999999998</c:v>
                </c:pt>
                <c:pt idx="13">
                  <c:v>24.515999999999998</c:v>
                </c:pt>
                <c:pt idx="14">
                  <c:v>24.515999999999998</c:v>
                </c:pt>
                <c:pt idx="15">
                  <c:v>24.515999999999998</c:v>
                </c:pt>
                <c:pt idx="16">
                  <c:v>24.515999999999998</c:v>
                </c:pt>
                <c:pt idx="17">
                  <c:v>24.515999999999998</c:v>
                </c:pt>
                <c:pt idx="18">
                  <c:v>24.515999999999998</c:v>
                </c:pt>
                <c:pt idx="19">
                  <c:v>24.515999999999998</c:v>
                </c:pt>
                <c:pt idx="20">
                  <c:v>24.515999999999998</c:v>
                </c:pt>
                <c:pt idx="21">
                  <c:v>24.515999999999998</c:v>
                </c:pt>
                <c:pt idx="22">
                  <c:v>24.515999999999998</c:v>
                </c:pt>
                <c:pt idx="23">
                  <c:v>24.515999999999998</c:v>
                </c:pt>
                <c:pt idx="24">
                  <c:v>24.515999999999998</c:v>
                </c:pt>
                <c:pt idx="25">
                  <c:v>24.515999999999998</c:v>
                </c:pt>
                <c:pt idx="26">
                  <c:v>39.375</c:v>
                </c:pt>
                <c:pt idx="27">
                  <c:v>39.375</c:v>
                </c:pt>
                <c:pt idx="28">
                  <c:v>39.375</c:v>
                </c:pt>
                <c:pt idx="29">
                  <c:v>39.375</c:v>
                </c:pt>
                <c:pt idx="30">
                  <c:v>39.375</c:v>
                </c:pt>
                <c:pt idx="31">
                  <c:v>39.375</c:v>
                </c:pt>
                <c:pt idx="32">
                  <c:v>39.375</c:v>
                </c:pt>
                <c:pt idx="33">
                  <c:v>39.375</c:v>
                </c:pt>
                <c:pt idx="34">
                  <c:v>39.375</c:v>
                </c:pt>
                <c:pt idx="35">
                  <c:v>39.375</c:v>
                </c:pt>
                <c:pt idx="36">
                  <c:v>39.375</c:v>
                </c:pt>
                <c:pt idx="37">
                  <c:v>39.375</c:v>
                </c:pt>
                <c:pt idx="38">
                  <c:v>39.375</c:v>
                </c:pt>
                <c:pt idx="39">
                  <c:v>39.375</c:v>
                </c:pt>
                <c:pt idx="40">
                  <c:v>39.375</c:v>
                </c:pt>
                <c:pt idx="41">
                  <c:v>39.375</c:v>
                </c:pt>
                <c:pt idx="42">
                  <c:v>24.515999999999998</c:v>
                </c:pt>
                <c:pt idx="43">
                  <c:v>24.515999999999998</c:v>
                </c:pt>
                <c:pt idx="44">
                  <c:v>24.515999999999998</c:v>
                </c:pt>
                <c:pt idx="45">
                  <c:v>24.515999999999998</c:v>
                </c:pt>
                <c:pt idx="46">
                  <c:v>24.515999999999998</c:v>
                </c:pt>
                <c:pt idx="47">
                  <c:v>24.515999999999998</c:v>
                </c:pt>
                <c:pt idx="48">
                  <c:v>24.515999999999998</c:v>
                </c:pt>
                <c:pt idx="49">
                  <c:v>24.515999999999998</c:v>
                </c:pt>
                <c:pt idx="50">
                  <c:v>24.515999999999998</c:v>
                </c:pt>
                <c:pt idx="51">
                  <c:v>24.515999999999998</c:v>
                </c:pt>
                <c:pt idx="52">
                  <c:v>24.515999999999998</c:v>
                </c:pt>
                <c:pt idx="53">
                  <c:v>24.515999999999998</c:v>
                </c:pt>
                <c:pt idx="54">
                  <c:v>24.515999999999998</c:v>
                </c:pt>
                <c:pt idx="55">
                  <c:v>24.515999999999998</c:v>
                </c:pt>
                <c:pt idx="56">
                  <c:v>24.515999999999998</c:v>
                </c:pt>
                <c:pt idx="57">
                  <c:v>24.515999999999998</c:v>
                </c:pt>
                <c:pt idx="58">
                  <c:v>24.515999999999998</c:v>
                </c:pt>
                <c:pt idx="59">
                  <c:v>24.515999999999998</c:v>
                </c:pt>
                <c:pt idx="60">
                  <c:v>24.515999999999998</c:v>
                </c:pt>
                <c:pt idx="61">
                  <c:v>24.515999999999998</c:v>
                </c:pt>
                <c:pt idx="62">
                  <c:v>24.515999999999998</c:v>
                </c:pt>
                <c:pt idx="63">
                  <c:v>24.515999999999998</c:v>
                </c:pt>
                <c:pt idx="64">
                  <c:v>24.515999999999998</c:v>
                </c:pt>
                <c:pt idx="65">
                  <c:v>24.515999999999998</c:v>
                </c:pt>
                <c:pt idx="66">
                  <c:v>24.515999999999998</c:v>
                </c:pt>
                <c:pt idx="67">
                  <c:v>24.515999999999998</c:v>
                </c:pt>
                <c:pt idx="68">
                  <c:v>24.515999999999998</c:v>
                </c:pt>
                <c:pt idx="69">
                  <c:v>24.515999999999998</c:v>
                </c:pt>
                <c:pt idx="70">
                  <c:v>24.515999999999998</c:v>
                </c:pt>
                <c:pt idx="71">
                  <c:v>24.515999999999998</c:v>
                </c:pt>
                <c:pt idx="72">
                  <c:v>24.515999999999998</c:v>
                </c:pt>
                <c:pt idx="73">
                  <c:v>24.515999999999998</c:v>
                </c:pt>
                <c:pt idx="74">
                  <c:v>24.515999999999998</c:v>
                </c:pt>
                <c:pt idx="75">
                  <c:v>24.515999999999998</c:v>
                </c:pt>
                <c:pt idx="76">
                  <c:v>24.515999999999998</c:v>
                </c:pt>
                <c:pt idx="77">
                  <c:v>24.515999999999998</c:v>
                </c:pt>
                <c:pt idx="78">
                  <c:v>24.515999999999998</c:v>
                </c:pt>
                <c:pt idx="79">
                  <c:v>24.515999999999998</c:v>
                </c:pt>
                <c:pt idx="80">
                  <c:v>24.515999999999998</c:v>
                </c:pt>
                <c:pt idx="81">
                  <c:v>24.515999999999998</c:v>
                </c:pt>
                <c:pt idx="82">
                  <c:v>24.515999999999998</c:v>
                </c:pt>
                <c:pt idx="83">
                  <c:v>24.515999999999998</c:v>
                </c:pt>
                <c:pt idx="84">
                  <c:v>24.515999999999998</c:v>
                </c:pt>
                <c:pt idx="85">
                  <c:v>24.515999999999998</c:v>
                </c:pt>
                <c:pt idx="86">
                  <c:v>24.515999999999998</c:v>
                </c:pt>
                <c:pt idx="87">
                  <c:v>24.515999999999998</c:v>
                </c:pt>
                <c:pt idx="88">
                  <c:v>24.515999999999998</c:v>
                </c:pt>
                <c:pt idx="89">
                  <c:v>24.515999999999998</c:v>
                </c:pt>
                <c:pt idx="90">
                  <c:v>24.515999999999998</c:v>
                </c:pt>
                <c:pt idx="91">
                  <c:v>24.515999999999998</c:v>
                </c:pt>
                <c:pt idx="92">
                  <c:v>24.515999999999998</c:v>
                </c:pt>
                <c:pt idx="93">
                  <c:v>24.515999999999998</c:v>
                </c:pt>
                <c:pt idx="94">
                  <c:v>24.515999999999998</c:v>
                </c:pt>
                <c:pt idx="95">
                  <c:v>24.515999999999998</c:v>
                </c:pt>
                <c:pt idx="96">
                  <c:v>24.515999999999998</c:v>
                </c:pt>
                <c:pt idx="97">
                  <c:v>24.515999999999998</c:v>
                </c:pt>
                <c:pt idx="98">
                  <c:v>24.515999999999998</c:v>
                </c:pt>
                <c:pt idx="99">
                  <c:v>24.515999999999998</c:v>
                </c:pt>
                <c:pt idx="100">
                  <c:v>24.515999999999998</c:v>
                </c:pt>
                <c:pt idx="101">
                  <c:v>24.515999999999998</c:v>
                </c:pt>
                <c:pt idx="102">
                  <c:v>24.515999999999998</c:v>
                </c:pt>
                <c:pt idx="103">
                  <c:v>24.515999999999998</c:v>
                </c:pt>
                <c:pt idx="104">
                  <c:v>24.515999999999998</c:v>
                </c:pt>
                <c:pt idx="105">
                  <c:v>24.515999999999998</c:v>
                </c:pt>
                <c:pt idx="106">
                  <c:v>24.515999999999998</c:v>
                </c:pt>
                <c:pt idx="107">
                  <c:v>24.515999999999998</c:v>
                </c:pt>
                <c:pt idx="108">
                  <c:v>24.515999999999998</c:v>
                </c:pt>
                <c:pt idx="109">
                  <c:v>24.515999999999998</c:v>
                </c:pt>
                <c:pt idx="110">
                  <c:v>24.515999999999998</c:v>
                </c:pt>
                <c:pt idx="111">
                  <c:v>24.515999999999998</c:v>
                </c:pt>
                <c:pt idx="112">
                  <c:v>24.515999999999998</c:v>
                </c:pt>
                <c:pt idx="113">
                  <c:v>24.515999999999998</c:v>
                </c:pt>
                <c:pt idx="114">
                  <c:v>24.515999999999998</c:v>
                </c:pt>
                <c:pt idx="115">
                  <c:v>24.515999999999998</c:v>
                </c:pt>
                <c:pt idx="116">
                  <c:v>24.515999999999998</c:v>
                </c:pt>
                <c:pt idx="117">
                  <c:v>24.515999999999998</c:v>
                </c:pt>
                <c:pt idx="118">
                  <c:v>24.515999999999998</c:v>
                </c:pt>
                <c:pt idx="119">
                  <c:v>24.515999999999998</c:v>
                </c:pt>
                <c:pt idx="120">
                  <c:v>24.515999999999998</c:v>
                </c:pt>
                <c:pt idx="121">
                  <c:v>24.515999999999998</c:v>
                </c:pt>
                <c:pt idx="122">
                  <c:v>24.515999999999998</c:v>
                </c:pt>
                <c:pt idx="123">
                  <c:v>24.515999999999998</c:v>
                </c:pt>
                <c:pt idx="124">
                  <c:v>24.515999999999998</c:v>
                </c:pt>
                <c:pt idx="125">
                  <c:v>24.515999999999998</c:v>
                </c:pt>
                <c:pt idx="126">
                  <c:v>24.515999999999998</c:v>
                </c:pt>
                <c:pt idx="127">
                  <c:v>24.515999999999998</c:v>
                </c:pt>
                <c:pt idx="128">
                  <c:v>24.515999999999998</c:v>
                </c:pt>
                <c:pt idx="129">
                  <c:v>24.515999999999998</c:v>
                </c:pt>
                <c:pt idx="130">
                  <c:v>24.515999999999998</c:v>
                </c:pt>
                <c:pt idx="131">
                  <c:v>24.515999999999998</c:v>
                </c:pt>
                <c:pt idx="132">
                  <c:v>24.515999999999998</c:v>
                </c:pt>
                <c:pt idx="133">
                  <c:v>24.515999999999998</c:v>
                </c:pt>
                <c:pt idx="134">
                  <c:v>24.515999999999998</c:v>
                </c:pt>
                <c:pt idx="135">
                  <c:v>24.515999999999998</c:v>
                </c:pt>
                <c:pt idx="136">
                  <c:v>24.515999999999998</c:v>
                </c:pt>
                <c:pt idx="137">
                  <c:v>24.515999999999998</c:v>
                </c:pt>
                <c:pt idx="138">
                  <c:v>24.515999999999998</c:v>
                </c:pt>
                <c:pt idx="139">
                  <c:v>24.515999999999998</c:v>
                </c:pt>
                <c:pt idx="140">
                  <c:v>24.515999999999998</c:v>
                </c:pt>
                <c:pt idx="141">
                  <c:v>24.515999999999998</c:v>
                </c:pt>
                <c:pt idx="142">
                  <c:v>24.515999999999998</c:v>
                </c:pt>
                <c:pt idx="143">
                  <c:v>24.515999999999998</c:v>
                </c:pt>
                <c:pt idx="144">
                  <c:v>24.515999999999998</c:v>
                </c:pt>
                <c:pt idx="145">
                  <c:v>24.515999999999998</c:v>
                </c:pt>
                <c:pt idx="146">
                  <c:v>24.515999999999998</c:v>
                </c:pt>
                <c:pt idx="147">
                  <c:v>24.515999999999998</c:v>
                </c:pt>
                <c:pt idx="148">
                  <c:v>24.515999999999998</c:v>
                </c:pt>
                <c:pt idx="149">
                  <c:v>24.515999999999998</c:v>
                </c:pt>
                <c:pt idx="150">
                  <c:v>24.515999999999998</c:v>
                </c:pt>
                <c:pt idx="151">
                  <c:v>24.515999999999998</c:v>
                </c:pt>
                <c:pt idx="152">
                  <c:v>24.515999999999998</c:v>
                </c:pt>
                <c:pt idx="153">
                  <c:v>24.515999999999998</c:v>
                </c:pt>
                <c:pt idx="154">
                  <c:v>24.515999999999998</c:v>
                </c:pt>
                <c:pt idx="155">
                  <c:v>24.515999999999998</c:v>
                </c:pt>
                <c:pt idx="156">
                  <c:v>24.515999999999998</c:v>
                </c:pt>
                <c:pt idx="157">
                  <c:v>24.515999999999998</c:v>
                </c:pt>
                <c:pt idx="158">
                  <c:v>24.515999999999998</c:v>
                </c:pt>
                <c:pt idx="159">
                  <c:v>24.515999999999998</c:v>
                </c:pt>
                <c:pt idx="160">
                  <c:v>24.515999999999998</c:v>
                </c:pt>
                <c:pt idx="161">
                  <c:v>24.515999999999998</c:v>
                </c:pt>
                <c:pt idx="162">
                  <c:v>24.515999999999998</c:v>
                </c:pt>
                <c:pt idx="163">
                  <c:v>24.515999999999998</c:v>
                </c:pt>
                <c:pt idx="164">
                  <c:v>24.515999999999998</c:v>
                </c:pt>
                <c:pt idx="165">
                  <c:v>24.515999999999998</c:v>
                </c:pt>
                <c:pt idx="166">
                  <c:v>24.515999999999998</c:v>
                </c:pt>
                <c:pt idx="167">
                  <c:v>24.515999999999998</c:v>
                </c:pt>
                <c:pt idx="168">
                  <c:v>24.515999999999998</c:v>
                </c:pt>
                <c:pt idx="169">
                  <c:v>24.515999999999998</c:v>
                </c:pt>
                <c:pt idx="170">
                  <c:v>24.515999999999998</c:v>
                </c:pt>
                <c:pt idx="171">
                  <c:v>24.515999999999998</c:v>
                </c:pt>
                <c:pt idx="172">
                  <c:v>24.515999999999998</c:v>
                </c:pt>
                <c:pt idx="173">
                  <c:v>24.515999999999998</c:v>
                </c:pt>
                <c:pt idx="174">
                  <c:v>24.515999999999998</c:v>
                </c:pt>
                <c:pt idx="175">
                  <c:v>24.515999999999998</c:v>
                </c:pt>
                <c:pt idx="176">
                  <c:v>24.515999999999998</c:v>
                </c:pt>
                <c:pt idx="177">
                  <c:v>24.515999999999998</c:v>
                </c:pt>
                <c:pt idx="178">
                  <c:v>24.515999999999998</c:v>
                </c:pt>
                <c:pt idx="179">
                  <c:v>24.515999999999998</c:v>
                </c:pt>
                <c:pt idx="180">
                  <c:v>24.515999999999998</c:v>
                </c:pt>
                <c:pt idx="181">
                  <c:v>24.515999999999998</c:v>
                </c:pt>
                <c:pt idx="182">
                  <c:v>24.515999999999998</c:v>
                </c:pt>
                <c:pt idx="183">
                  <c:v>24.515999999999998</c:v>
                </c:pt>
                <c:pt idx="184">
                  <c:v>24.515999999999998</c:v>
                </c:pt>
                <c:pt idx="185">
                  <c:v>24.515999999999998</c:v>
                </c:pt>
                <c:pt idx="186">
                  <c:v>24.515999999999998</c:v>
                </c:pt>
                <c:pt idx="187">
                  <c:v>24.515999999999998</c:v>
                </c:pt>
                <c:pt idx="188">
                  <c:v>24.515999999999998</c:v>
                </c:pt>
                <c:pt idx="189">
                  <c:v>24.515999999999998</c:v>
                </c:pt>
                <c:pt idx="190">
                  <c:v>24.515999999999998</c:v>
                </c:pt>
                <c:pt idx="191">
                  <c:v>24.515999999999998</c:v>
                </c:pt>
                <c:pt idx="192">
                  <c:v>24.515999999999998</c:v>
                </c:pt>
                <c:pt idx="193">
                  <c:v>24.515999999999998</c:v>
                </c:pt>
                <c:pt idx="194">
                  <c:v>24.515999999999998</c:v>
                </c:pt>
                <c:pt idx="195">
                  <c:v>24.515999999999998</c:v>
                </c:pt>
                <c:pt idx="196">
                  <c:v>24.515999999999998</c:v>
                </c:pt>
                <c:pt idx="197">
                  <c:v>24.515999999999998</c:v>
                </c:pt>
                <c:pt idx="198">
                  <c:v>24.515999999999998</c:v>
                </c:pt>
                <c:pt idx="199">
                  <c:v>24.515999999999998</c:v>
                </c:pt>
                <c:pt idx="200">
                  <c:v>24.515999999999998</c:v>
                </c:pt>
                <c:pt idx="201">
                  <c:v>24.515999999999998</c:v>
                </c:pt>
                <c:pt idx="202">
                  <c:v>24.515999999999998</c:v>
                </c:pt>
                <c:pt idx="203">
                  <c:v>24.515999999999998</c:v>
                </c:pt>
                <c:pt idx="204">
                  <c:v>24.515999999999998</c:v>
                </c:pt>
                <c:pt idx="205">
                  <c:v>24.515999999999998</c:v>
                </c:pt>
                <c:pt idx="206">
                  <c:v>24.515999999999998</c:v>
                </c:pt>
                <c:pt idx="207">
                  <c:v>24.515999999999998</c:v>
                </c:pt>
                <c:pt idx="208">
                  <c:v>24.515999999999998</c:v>
                </c:pt>
                <c:pt idx="209">
                  <c:v>24.515999999999998</c:v>
                </c:pt>
                <c:pt idx="210">
                  <c:v>24.515999999999998</c:v>
                </c:pt>
                <c:pt idx="211">
                  <c:v>24.515999999999998</c:v>
                </c:pt>
                <c:pt idx="212">
                  <c:v>24.515999999999998</c:v>
                </c:pt>
                <c:pt idx="213">
                  <c:v>24.515999999999998</c:v>
                </c:pt>
                <c:pt idx="214">
                  <c:v>24.515999999999998</c:v>
                </c:pt>
                <c:pt idx="215">
                  <c:v>24.515999999999998</c:v>
                </c:pt>
                <c:pt idx="216">
                  <c:v>24.515999999999998</c:v>
                </c:pt>
                <c:pt idx="217">
                  <c:v>24.515999999999998</c:v>
                </c:pt>
                <c:pt idx="218">
                  <c:v>24.515999999999998</c:v>
                </c:pt>
                <c:pt idx="219">
                  <c:v>24.515999999999998</c:v>
                </c:pt>
                <c:pt idx="220">
                  <c:v>24.515999999999998</c:v>
                </c:pt>
                <c:pt idx="221">
                  <c:v>24.515999999999998</c:v>
                </c:pt>
                <c:pt idx="222">
                  <c:v>24.515999999999998</c:v>
                </c:pt>
                <c:pt idx="223">
                  <c:v>24.515999999999998</c:v>
                </c:pt>
                <c:pt idx="224">
                  <c:v>24.515999999999998</c:v>
                </c:pt>
                <c:pt idx="225">
                  <c:v>24.515999999999998</c:v>
                </c:pt>
                <c:pt idx="226">
                  <c:v>24.515999999999998</c:v>
                </c:pt>
                <c:pt idx="227">
                  <c:v>24.515999999999998</c:v>
                </c:pt>
                <c:pt idx="228">
                  <c:v>24.515999999999998</c:v>
                </c:pt>
                <c:pt idx="229">
                  <c:v>24.515999999999998</c:v>
                </c:pt>
                <c:pt idx="230">
                  <c:v>24.515999999999998</c:v>
                </c:pt>
                <c:pt idx="231">
                  <c:v>24.515999999999998</c:v>
                </c:pt>
                <c:pt idx="232">
                  <c:v>24.515999999999998</c:v>
                </c:pt>
                <c:pt idx="233">
                  <c:v>24.515999999999998</c:v>
                </c:pt>
                <c:pt idx="234">
                  <c:v>24.515999999999998</c:v>
                </c:pt>
                <c:pt idx="235">
                  <c:v>24.515999999999998</c:v>
                </c:pt>
                <c:pt idx="236">
                  <c:v>24.515999999999998</c:v>
                </c:pt>
                <c:pt idx="237">
                  <c:v>24.515999999999998</c:v>
                </c:pt>
                <c:pt idx="238">
                  <c:v>24.515999999999998</c:v>
                </c:pt>
                <c:pt idx="239">
                  <c:v>24.515999999999998</c:v>
                </c:pt>
                <c:pt idx="240">
                  <c:v>24.515999999999998</c:v>
                </c:pt>
                <c:pt idx="241">
                  <c:v>24.515999999999998</c:v>
                </c:pt>
                <c:pt idx="242">
                  <c:v>24.515999999999998</c:v>
                </c:pt>
                <c:pt idx="243">
                  <c:v>24.515999999999998</c:v>
                </c:pt>
                <c:pt idx="244">
                  <c:v>24.515999999999998</c:v>
                </c:pt>
                <c:pt idx="245">
                  <c:v>24.515999999999998</c:v>
                </c:pt>
                <c:pt idx="246">
                  <c:v>24.515999999999998</c:v>
                </c:pt>
                <c:pt idx="247">
                  <c:v>24.515999999999998</c:v>
                </c:pt>
              </c:numCache>
            </c:numRef>
          </c:val>
        </c:ser>
        <c:ser>
          <c:idx val="3"/>
          <c:order val="3"/>
          <c:tx>
            <c:strRef>
              <c:f>'simulation commandes'!$W$4</c:f>
              <c:strCache>
                <c:ptCount val="1"/>
                <c:pt idx="0">
                  <c:v>YZ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val>
            <c:numRef>
              <c:f>'simulation commandes'!$W$5:$W$252</c:f>
              <c:numCache>
                <c:formatCode>0</c:formatCode>
                <c:ptCount val="248"/>
                <c:pt idx="0">
                  <c:v>34.049999999999997</c:v>
                </c:pt>
                <c:pt idx="1">
                  <c:v>34.049999999999997</c:v>
                </c:pt>
                <c:pt idx="2">
                  <c:v>34.049999999999997</c:v>
                </c:pt>
                <c:pt idx="3">
                  <c:v>34.049999999999997</c:v>
                </c:pt>
                <c:pt idx="4">
                  <c:v>34.049999999999997</c:v>
                </c:pt>
                <c:pt idx="5">
                  <c:v>34.049999999999997</c:v>
                </c:pt>
                <c:pt idx="6">
                  <c:v>34.049999999999997</c:v>
                </c:pt>
                <c:pt idx="7">
                  <c:v>34.049999999999997</c:v>
                </c:pt>
                <c:pt idx="8">
                  <c:v>34.049999999999997</c:v>
                </c:pt>
                <c:pt idx="9">
                  <c:v>34.049999999999997</c:v>
                </c:pt>
                <c:pt idx="10">
                  <c:v>34.049999999999997</c:v>
                </c:pt>
                <c:pt idx="11">
                  <c:v>34.049999999999997</c:v>
                </c:pt>
                <c:pt idx="12">
                  <c:v>34.049999999999997</c:v>
                </c:pt>
                <c:pt idx="13">
                  <c:v>34.049999999999997</c:v>
                </c:pt>
                <c:pt idx="14">
                  <c:v>34.049999999999997</c:v>
                </c:pt>
                <c:pt idx="15">
                  <c:v>34.049999999999997</c:v>
                </c:pt>
                <c:pt idx="16">
                  <c:v>34.049999999999997</c:v>
                </c:pt>
                <c:pt idx="17">
                  <c:v>34.049999999999997</c:v>
                </c:pt>
                <c:pt idx="18">
                  <c:v>34.049999999999997</c:v>
                </c:pt>
                <c:pt idx="19">
                  <c:v>34.049999999999997</c:v>
                </c:pt>
                <c:pt idx="20">
                  <c:v>34.049999999999997</c:v>
                </c:pt>
                <c:pt idx="21">
                  <c:v>34.049999999999997</c:v>
                </c:pt>
                <c:pt idx="22">
                  <c:v>34.049999999999997</c:v>
                </c:pt>
                <c:pt idx="23">
                  <c:v>34.049999999999997</c:v>
                </c:pt>
                <c:pt idx="24">
                  <c:v>34.049999999999997</c:v>
                </c:pt>
                <c:pt idx="25">
                  <c:v>34.049999999999997</c:v>
                </c:pt>
                <c:pt idx="26">
                  <c:v>52.5</c:v>
                </c:pt>
                <c:pt idx="27">
                  <c:v>52.5</c:v>
                </c:pt>
                <c:pt idx="28">
                  <c:v>52.5</c:v>
                </c:pt>
                <c:pt idx="29">
                  <c:v>52.5</c:v>
                </c:pt>
                <c:pt idx="30">
                  <c:v>52.5</c:v>
                </c:pt>
                <c:pt idx="31">
                  <c:v>52.5</c:v>
                </c:pt>
                <c:pt idx="32">
                  <c:v>52.5</c:v>
                </c:pt>
                <c:pt idx="33">
                  <c:v>52.5</c:v>
                </c:pt>
                <c:pt idx="34">
                  <c:v>52.5</c:v>
                </c:pt>
                <c:pt idx="35">
                  <c:v>52.5</c:v>
                </c:pt>
                <c:pt idx="36">
                  <c:v>52.5</c:v>
                </c:pt>
                <c:pt idx="37">
                  <c:v>52.5</c:v>
                </c:pt>
                <c:pt idx="38">
                  <c:v>52.5</c:v>
                </c:pt>
                <c:pt idx="39">
                  <c:v>52.5</c:v>
                </c:pt>
                <c:pt idx="40">
                  <c:v>52.5</c:v>
                </c:pt>
                <c:pt idx="41">
                  <c:v>52.5</c:v>
                </c:pt>
                <c:pt idx="42">
                  <c:v>34.049999999999997</c:v>
                </c:pt>
                <c:pt idx="43">
                  <c:v>34.049999999999997</c:v>
                </c:pt>
                <c:pt idx="44">
                  <c:v>34.049999999999997</c:v>
                </c:pt>
                <c:pt idx="45">
                  <c:v>34.049999999999997</c:v>
                </c:pt>
                <c:pt idx="46">
                  <c:v>34.049999999999997</c:v>
                </c:pt>
                <c:pt idx="47">
                  <c:v>34.049999999999997</c:v>
                </c:pt>
                <c:pt idx="48">
                  <c:v>34.049999999999997</c:v>
                </c:pt>
                <c:pt idx="49">
                  <c:v>34.049999999999997</c:v>
                </c:pt>
                <c:pt idx="50">
                  <c:v>34.049999999999997</c:v>
                </c:pt>
                <c:pt idx="51">
                  <c:v>34.049999999999997</c:v>
                </c:pt>
                <c:pt idx="52">
                  <c:v>34.049999999999997</c:v>
                </c:pt>
                <c:pt idx="53">
                  <c:v>34.049999999999997</c:v>
                </c:pt>
                <c:pt idx="54">
                  <c:v>34.049999999999997</c:v>
                </c:pt>
                <c:pt idx="55">
                  <c:v>34.049999999999997</c:v>
                </c:pt>
                <c:pt idx="56">
                  <c:v>34.049999999999997</c:v>
                </c:pt>
                <c:pt idx="57">
                  <c:v>34.049999999999997</c:v>
                </c:pt>
                <c:pt idx="58">
                  <c:v>34.049999999999997</c:v>
                </c:pt>
                <c:pt idx="59">
                  <c:v>34.049999999999997</c:v>
                </c:pt>
                <c:pt idx="60">
                  <c:v>34.049999999999997</c:v>
                </c:pt>
                <c:pt idx="61">
                  <c:v>34.049999999999997</c:v>
                </c:pt>
                <c:pt idx="62">
                  <c:v>34.049999999999997</c:v>
                </c:pt>
                <c:pt idx="63">
                  <c:v>34.049999999999997</c:v>
                </c:pt>
                <c:pt idx="64">
                  <c:v>34.049999999999997</c:v>
                </c:pt>
                <c:pt idx="65">
                  <c:v>34.049999999999997</c:v>
                </c:pt>
                <c:pt idx="66">
                  <c:v>34.049999999999997</c:v>
                </c:pt>
                <c:pt idx="67">
                  <c:v>34.049999999999997</c:v>
                </c:pt>
                <c:pt idx="68">
                  <c:v>34.049999999999997</c:v>
                </c:pt>
                <c:pt idx="69">
                  <c:v>34.049999999999997</c:v>
                </c:pt>
                <c:pt idx="70">
                  <c:v>34.049999999999997</c:v>
                </c:pt>
                <c:pt idx="71">
                  <c:v>34.049999999999997</c:v>
                </c:pt>
                <c:pt idx="72">
                  <c:v>34.049999999999997</c:v>
                </c:pt>
                <c:pt idx="73">
                  <c:v>34.049999999999997</c:v>
                </c:pt>
                <c:pt idx="74">
                  <c:v>34.049999999999997</c:v>
                </c:pt>
                <c:pt idx="75">
                  <c:v>34.049999999999997</c:v>
                </c:pt>
                <c:pt idx="76">
                  <c:v>34.049999999999997</c:v>
                </c:pt>
                <c:pt idx="77">
                  <c:v>34.049999999999997</c:v>
                </c:pt>
                <c:pt idx="78">
                  <c:v>34.049999999999997</c:v>
                </c:pt>
                <c:pt idx="79">
                  <c:v>34.049999999999997</c:v>
                </c:pt>
                <c:pt idx="80">
                  <c:v>34.049999999999997</c:v>
                </c:pt>
                <c:pt idx="81">
                  <c:v>34.049999999999997</c:v>
                </c:pt>
                <c:pt idx="82">
                  <c:v>34.049999999999997</c:v>
                </c:pt>
                <c:pt idx="83">
                  <c:v>34.049999999999997</c:v>
                </c:pt>
                <c:pt idx="84">
                  <c:v>34.049999999999997</c:v>
                </c:pt>
                <c:pt idx="85">
                  <c:v>34.049999999999997</c:v>
                </c:pt>
                <c:pt idx="86">
                  <c:v>34.049999999999997</c:v>
                </c:pt>
                <c:pt idx="87">
                  <c:v>34.049999999999997</c:v>
                </c:pt>
                <c:pt idx="88">
                  <c:v>34.049999999999997</c:v>
                </c:pt>
                <c:pt idx="89">
                  <c:v>34.049999999999997</c:v>
                </c:pt>
                <c:pt idx="90">
                  <c:v>34.049999999999997</c:v>
                </c:pt>
                <c:pt idx="91">
                  <c:v>34.049999999999997</c:v>
                </c:pt>
                <c:pt idx="92">
                  <c:v>34.049999999999997</c:v>
                </c:pt>
                <c:pt idx="93">
                  <c:v>34.049999999999997</c:v>
                </c:pt>
                <c:pt idx="94">
                  <c:v>34.049999999999997</c:v>
                </c:pt>
                <c:pt idx="95">
                  <c:v>34.049999999999997</c:v>
                </c:pt>
                <c:pt idx="96">
                  <c:v>34.049999999999997</c:v>
                </c:pt>
                <c:pt idx="97">
                  <c:v>34.049999999999997</c:v>
                </c:pt>
                <c:pt idx="98">
                  <c:v>34.049999999999997</c:v>
                </c:pt>
                <c:pt idx="99">
                  <c:v>34.049999999999997</c:v>
                </c:pt>
                <c:pt idx="100">
                  <c:v>34.049999999999997</c:v>
                </c:pt>
                <c:pt idx="101">
                  <c:v>34.049999999999997</c:v>
                </c:pt>
                <c:pt idx="102">
                  <c:v>34.049999999999997</c:v>
                </c:pt>
                <c:pt idx="103">
                  <c:v>34.049999999999997</c:v>
                </c:pt>
                <c:pt idx="104">
                  <c:v>34.049999999999997</c:v>
                </c:pt>
                <c:pt idx="105">
                  <c:v>34.049999999999997</c:v>
                </c:pt>
                <c:pt idx="106">
                  <c:v>34.049999999999997</c:v>
                </c:pt>
                <c:pt idx="107">
                  <c:v>34.049999999999997</c:v>
                </c:pt>
                <c:pt idx="108">
                  <c:v>34.049999999999997</c:v>
                </c:pt>
                <c:pt idx="109">
                  <c:v>34.049999999999997</c:v>
                </c:pt>
                <c:pt idx="110">
                  <c:v>34.049999999999997</c:v>
                </c:pt>
                <c:pt idx="111">
                  <c:v>34.049999999999997</c:v>
                </c:pt>
                <c:pt idx="112">
                  <c:v>34.049999999999997</c:v>
                </c:pt>
                <c:pt idx="113">
                  <c:v>34.049999999999997</c:v>
                </c:pt>
                <c:pt idx="114">
                  <c:v>34.049999999999997</c:v>
                </c:pt>
                <c:pt idx="115">
                  <c:v>34.049999999999997</c:v>
                </c:pt>
                <c:pt idx="116">
                  <c:v>34.049999999999997</c:v>
                </c:pt>
                <c:pt idx="117">
                  <c:v>34.049999999999997</c:v>
                </c:pt>
                <c:pt idx="118">
                  <c:v>34.049999999999997</c:v>
                </c:pt>
                <c:pt idx="119">
                  <c:v>34.049999999999997</c:v>
                </c:pt>
                <c:pt idx="120">
                  <c:v>34.049999999999997</c:v>
                </c:pt>
                <c:pt idx="121">
                  <c:v>34.049999999999997</c:v>
                </c:pt>
                <c:pt idx="122">
                  <c:v>34.049999999999997</c:v>
                </c:pt>
                <c:pt idx="123">
                  <c:v>34.049999999999997</c:v>
                </c:pt>
                <c:pt idx="124">
                  <c:v>34.049999999999997</c:v>
                </c:pt>
                <c:pt idx="125">
                  <c:v>34.049999999999997</c:v>
                </c:pt>
                <c:pt idx="126">
                  <c:v>34.049999999999997</c:v>
                </c:pt>
                <c:pt idx="127">
                  <c:v>34.049999999999997</c:v>
                </c:pt>
                <c:pt idx="128">
                  <c:v>34.049999999999997</c:v>
                </c:pt>
                <c:pt idx="129">
                  <c:v>34.049999999999997</c:v>
                </c:pt>
                <c:pt idx="130">
                  <c:v>34.049999999999997</c:v>
                </c:pt>
                <c:pt idx="131">
                  <c:v>34.049999999999997</c:v>
                </c:pt>
                <c:pt idx="132">
                  <c:v>34.049999999999997</c:v>
                </c:pt>
                <c:pt idx="133">
                  <c:v>34.049999999999997</c:v>
                </c:pt>
                <c:pt idx="134">
                  <c:v>34.049999999999997</c:v>
                </c:pt>
                <c:pt idx="135">
                  <c:v>34.049999999999997</c:v>
                </c:pt>
                <c:pt idx="136">
                  <c:v>34.049999999999997</c:v>
                </c:pt>
                <c:pt idx="137">
                  <c:v>34.049999999999997</c:v>
                </c:pt>
                <c:pt idx="138">
                  <c:v>34.049999999999997</c:v>
                </c:pt>
                <c:pt idx="139">
                  <c:v>34.049999999999997</c:v>
                </c:pt>
                <c:pt idx="140">
                  <c:v>34.049999999999997</c:v>
                </c:pt>
                <c:pt idx="141">
                  <c:v>34.049999999999997</c:v>
                </c:pt>
                <c:pt idx="142">
                  <c:v>34.049999999999997</c:v>
                </c:pt>
                <c:pt idx="143">
                  <c:v>34.049999999999997</c:v>
                </c:pt>
                <c:pt idx="144">
                  <c:v>34.049999999999997</c:v>
                </c:pt>
                <c:pt idx="145">
                  <c:v>34.049999999999997</c:v>
                </c:pt>
                <c:pt idx="146">
                  <c:v>34.049999999999997</c:v>
                </c:pt>
                <c:pt idx="147">
                  <c:v>34.049999999999997</c:v>
                </c:pt>
                <c:pt idx="148">
                  <c:v>34.049999999999997</c:v>
                </c:pt>
                <c:pt idx="149">
                  <c:v>34.049999999999997</c:v>
                </c:pt>
                <c:pt idx="150">
                  <c:v>34.049999999999997</c:v>
                </c:pt>
                <c:pt idx="151">
                  <c:v>34.049999999999997</c:v>
                </c:pt>
                <c:pt idx="152">
                  <c:v>34.049999999999997</c:v>
                </c:pt>
                <c:pt idx="153">
                  <c:v>34.049999999999997</c:v>
                </c:pt>
                <c:pt idx="154">
                  <c:v>34.049999999999997</c:v>
                </c:pt>
                <c:pt idx="155">
                  <c:v>34.049999999999997</c:v>
                </c:pt>
                <c:pt idx="156">
                  <c:v>34.049999999999997</c:v>
                </c:pt>
                <c:pt idx="157">
                  <c:v>34.049999999999997</c:v>
                </c:pt>
                <c:pt idx="158">
                  <c:v>34.049999999999997</c:v>
                </c:pt>
                <c:pt idx="159">
                  <c:v>34.049999999999997</c:v>
                </c:pt>
                <c:pt idx="160">
                  <c:v>34.049999999999997</c:v>
                </c:pt>
                <c:pt idx="161">
                  <c:v>34.049999999999997</c:v>
                </c:pt>
                <c:pt idx="162">
                  <c:v>34.049999999999997</c:v>
                </c:pt>
                <c:pt idx="163">
                  <c:v>34.049999999999997</c:v>
                </c:pt>
                <c:pt idx="164">
                  <c:v>34.049999999999997</c:v>
                </c:pt>
                <c:pt idx="165">
                  <c:v>34.049999999999997</c:v>
                </c:pt>
                <c:pt idx="166">
                  <c:v>34.049999999999997</c:v>
                </c:pt>
                <c:pt idx="167">
                  <c:v>34.049999999999997</c:v>
                </c:pt>
                <c:pt idx="168">
                  <c:v>34.049999999999997</c:v>
                </c:pt>
                <c:pt idx="169">
                  <c:v>34.049999999999997</c:v>
                </c:pt>
                <c:pt idx="170">
                  <c:v>34.049999999999997</c:v>
                </c:pt>
                <c:pt idx="171">
                  <c:v>34.049999999999997</c:v>
                </c:pt>
                <c:pt idx="172">
                  <c:v>34.049999999999997</c:v>
                </c:pt>
                <c:pt idx="173">
                  <c:v>34.049999999999997</c:v>
                </c:pt>
                <c:pt idx="174">
                  <c:v>34.049999999999997</c:v>
                </c:pt>
                <c:pt idx="175">
                  <c:v>34.049999999999997</c:v>
                </c:pt>
                <c:pt idx="176">
                  <c:v>34.049999999999997</c:v>
                </c:pt>
                <c:pt idx="177">
                  <c:v>34.049999999999997</c:v>
                </c:pt>
                <c:pt idx="178">
                  <c:v>34.049999999999997</c:v>
                </c:pt>
                <c:pt idx="179">
                  <c:v>34.049999999999997</c:v>
                </c:pt>
                <c:pt idx="180">
                  <c:v>34.049999999999997</c:v>
                </c:pt>
                <c:pt idx="181">
                  <c:v>34.049999999999997</c:v>
                </c:pt>
                <c:pt idx="182">
                  <c:v>34.049999999999997</c:v>
                </c:pt>
                <c:pt idx="183">
                  <c:v>34.049999999999997</c:v>
                </c:pt>
                <c:pt idx="184">
                  <c:v>34.049999999999997</c:v>
                </c:pt>
                <c:pt idx="185">
                  <c:v>34.049999999999997</c:v>
                </c:pt>
                <c:pt idx="186">
                  <c:v>34.049999999999997</c:v>
                </c:pt>
                <c:pt idx="187">
                  <c:v>34.049999999999997</c:v>
                </c:pt>
                <c:pt idx="188">
                  <c:v>34.049999999999997</c:v>
                </c:pt>
                <c:pt idx="189">
                  <c:v>34.049999999999997</c:v>
                </c:pt>
                <c:pt idx="190">
                  <c:v>34.049999999999997</c:v>
                </c:pt>
                <c:pt idx="191">
                  <c:v>34.049999999999997</c:v>
                </c:pt>
                <c:pt idx="192">
                  <c:v>34.049999999999997</c:v>
                </c:pt>
                <c:pt idx="193">
                  <c:v>34.049999999999997</c:v>
                </c:pt>
                <c:pt idx="194">
                  <c:v>34.049999999999997</c:v>
                </c:pt>
                <c:pt idx="195">
                  <c:v>34.049999999999997</c:v>
                </c:pt>
                <c:pt idx="196">
                  <c:v>34.049999999999997</c:v>
                </c:pt>
                <c:pt idx="197">
                  <c:v>34.049999999999997</c:v>
                </c:pt>
                <c:pt idx="198">
                  <c:v>34.049999999999997</c:v>
                </c:pt>
                <c:pt idx="199">
                  <c:v>34.049999999999997</c:v>
                </c:pt>
                <c:pt idx="200">
                  <c:v>34.049999999999997</c:v>
                </c:pt>
                <c:pt idx="201">
                  <c:v>34.049999999999997</c:v>
                </c:pt>
                <c:pt idx="202">
                  <c:v>34.049999999999997</c:v>
                </c:pt>
                <c:pt idx="203">
                  <c:v>34.049999999999997</c:v>
                </c:pt>
                <c:pt idx="204">
                  <c:v>34.049999999999997</c:v>
                </c:pt>
                <c:pt idx="205">
                  <c:v>34.049999999999997</c:v>
                </c:pt>
                <c:pt idx="206">
                  <c:v>34.049999999999997</c:v>
                </c:pt>
                <c:pt idx="207">
                  <c:v>34.049999999999997</c:v>
                </c:pt>
                <c:pt idx="208">
                  <c:v>34.049999999999997</c:v>
                </c:pt>
                <c:pt idx="209">
                  <c:v>34.049999999999997</c:v>
                </c:pt>
                <c:pt idx="210">
                  <c:v>34.049999999999997</c:v>
                </c:pt>
                <c:pt idx="211">
                  <c:v>34.049999999999997</c:v>
                </c:pt>
                <c:pt idx="212">
                  <c:v>34.049999999999997</c:v>
                </c:pt>
                <c:pt idx="213">
                  <c:v>34.049999999999997</c:v>
                </c:pt>
                <c:pt idx="214">
                  <c:v>34.049999999999997</c:v>
                </c:pt>
                <c:pt idx="215">
                  <c:v>34.049999999999997</c:v>
                </c:pt>
                <c:pt idx="216">
                  <c:v>34.049999999999997</c:v>
                </c:pt>
                <c:pt idx="217">
                  <c:v>34.049999999999997</c:v>
                </c:pt>
                <c:pt idx="218">
                  <c:v>34.049999999999997</c:v>
                </c:pt>
                <c:pt idx="219">
                  <c:v>34.049999999999997</c:v>
                </c:pt>
                <c:pt idx="220">
                  <c:v>34.049999999999997</c:v>
                </c:pt>
                <c:pt idx="221">
                  <c:v>34.049999999999997</c:v>
                </c:pt>
                <c:pt idx="222">
                  <c:v>34.049999999999997</c:v>
                </c:pt>
                <c:pt idx="223">
                  <c:v>34.049999999999997</c:v>
                </c:pt>
                <c:pt idx="224">
                  <c:v>34.049999999999997</c:v>
                </c:pt>
                <c:pt idx="225">
                  <c:v>34.049999999999997</c:v>
                </c:pt>
                <c:pt idx="226">
                  <c:v>34.049999999999997</c:v>
                </c:pt>
                <c:pt idx="227">
                  <c:v>34.049999999999997</c:v>
                </c:pt>
                <c:pt idx="228">
                  <c:v>34.049999999999997</c:v>
                </c:pt>
                <c:pt idx="229">
                  <c:v>34.049999999999997</c:v>
                </c:pt>
                <c:pt idx="230">
                  <c:v>34.049999999999997</c:v>
                </c:pt>
                <c:pt idx="231">
                  <c:v>34.049999999999997</c:v>
                </c:pt>
                <c:pt idx="232">
                  <c:v>34.049999999999997</c:v>
                </c:pt>
                <c:pt idx="233">
                  <c:v>34.049999999999997</c:v>
                </c:pt>
                <c:pt idx="234">
                  <c:v>34.049999999999997</c:v>
                </c:pt>
                <c:pt idx="235">
                  <c:v>34.049999999999997</c:v>
                </c:pt>
                <c:pt idx="236">
                  <c:v>34.049999999999997</c:v>
                </c:pt>
                <c:pt idx="237">
                  <c:v>34.049999999999997</c:v>
                </c:pt>
                <c:pt idx="238">
                  <c:v>34.049999999999997</c:v>
                </c:pt>
                <c:pt idx="239">
                  <c:v>34.049999999999997</c:v>
                </c:pt>
                <c:pt idx="240">
                  <c:v>34.049999999999997</c:v>
                </c:pt>
                <c:pt idx="241">
                  <c:v>34.049999999999997</c:v>
                </c:pt>
                <c:pt idx="242">
                  <c:v>34.049999999999997</c:v>
                </c:pt>
                <c:pt idx="243">
                  <c:v>34.049999999999997</c:v>
                </c:pt>
                <c:pt idx="244">
                  <c:v>34.049999999999997</c:v>
                </c:pt>
                <c:pt idx="245">
                  <c:v>34.049999999999997</c:v>
                </c:pt>
                <c:pt idx="246">
                  <c:v>34.049999999999997</c:v>
                </c:pt>
                <c:pt idx="247">
                  <c:v>34.049999999999997</c:v>
                </c:pt>
              </c:numCache>
            </c:numRef>
          </c:val>
        </c:ser>
        <c:ser>
          <c:idx val="4"/>
          <c:order val="4"/>
          <c:tx>
            <c:strRef>
              <c:f>'simulation commandes'!$X$4</c:f>
              <c:strCache>
                <c:ptCount val="1"/>
                <c:pt idx="0">
                  <c:v>GZ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val>
            <c:numRef>
              <c:f>'simulation commandes'!$X$5:$X$252</c:f>
              <c:numCache>
                <c:formatCode>0</c:formatCode>
                <c:ptCount val="248"/>
                <c:pt idx="0">
                  <c:v>13.62</c:v>
                </c:pt>
                <c:pt idx="1">
                  <c:v>13.62</c:v>
                </c:pt>
                <c:pt idx="2">
                  <c:v>13.62</c:v>
                </c:pt>
                <c:pt idx="3">
                  <c:v>13.62</c:v>
                </c:pt>
                <c:pt idx="4">
                  <c:v>13.62</c:v>
                </c:pt>
                <c:pt idx="5">
                  <c:v>13.62</c:v>
                </c:pt>
                <c:pt idx="6">
                  <c:v>13.62</c:v>
                </c:pt>
                <c:pt idx="7">
                  <c:v>13.62</c:v>
                </c:pt>
                <c:pt idx="8">
                  <c:v>13.62</c:v>
                </c:pt>
                <c:pt idx="9">
                  <c:v>13.62</c:v>
                </c:pt>
                <c:pt idx="10">
                  <c:v>13.62</c:v>
                </c:pt>
                <c:pt idx="11">
                  <c:v>13.62</c:v>
                </c:pt>
                <c:pt idx="12">
                  <c:v>13.62</c:v>
                </c:pt>
                <c:pt idx="13">
                  <c:v>13.62</c:v>
                </c:pt>
                <c:pt idx="14">
                  <c:v>13.62</c:v>
                </c:pt>
                <c:pt idx="15">
                  <c:v>13.62</c:v>
                </c:pt>
                <c:pt idx="16">
                  <c:v>13.62</c:v>
                </c:pt>
                <c:pt idx="17">
                  <c:v>13.62</c:v>
                </c:pt>
                <c:pt idx="18">
                  <c:v>13.62</c:v>
                </c:pt>
                <c:pt idx="19">
                  <c:v>13.62</c:v>
                </c:pt>
                <c:pt idx="20">
                  <c:v>13.62</c:v>
                </c:pt>
                <c:pt idx="21">
                  <c:v>13.62</c:v>
                </c:pt>
                <c:pt idx="22">
                  <c:v>13.62</c:v>
                </c:pt>
                <c:pt idx="23">
                  <c:v>13.62</c:v>
                </c:pt>
                <c:pt idx="24">
                  <c:v>13.62</c:v>
                </c:pt>
                <c:pt idx="25">
                  <c:v>13.62</c:v>
                </c:pt>
                <c:pt idx="26">
                  <c:v>26.25</c:v>
                </c:pt>
                <c:pt idx="27">
                  <c:v>26.25</c:v>
                </c:pt>
                <c:pt idx="28">
                  <c:v>26.25</c:v>
                </c:pt>
                <c:pt idx="29">
                  <c:v>26.25</c:v>
                </c:pt>
                <c:pt idx="30">
                  <c:v>26.25</c:v>
                </c:pt>
                <c:pt idx="31">
                  <c:v>26.25</c:v>
                </c:pt>
                <c:pt idx="32">
                  <c:v>26.25</c:v>
                </c:pt>
                <c:pt idx="33">
                  <c:v>26.25</c:v>
                </c:pt>
                <c:pt idx="34">
                  <c:v>26.25</c:v>
                </c:pt>
                <c:pt idx="35">
                  <c:v>26.25</c:v>
                </c:pt>
                <c:pt idx="36">
                  <c:v>26.25</c:v>
                </c:pt>
                <c:pt idx="37">
                  <c:v>26.25</c:v>
                </c:pt>
                <c:pt idx="38">
                  <c:v>26.25</c:v>
                </c:pt>
                <c:pt idx="39">
                  <c:v>26.25</c:v>
                </c:pt>
                <c:pt idx="40">
                  <c:v>26.25</c:v>
                </c:pt>
                <c:pt idx="41">
                  <c:v>26.25</c:v>
                </c:pt>
                <c:pt idx="42">
                  <c:v>13.62</c:v>
                </c:pt>
                <c:pt idx="43">
                  <c:v>13.62</c:v>
                </c:pt>
                <c:pt idx="44">
                  <c:v>13.62</c:v>
                </c:pt>
                <c:pt idx="45">
                  <c:v>13.62</c:v>
                </c:pt>
                <c:pt idx="46">
                  <c:v>13.62</c:v>
                </c:pt>
                <c:pt idx="47">
                  <c:v>13.62</c:v>
                </c:pt>
                <c:pt idx="48">
                  <c:v>13.62</c:v>
                </c:pt>
                <c:pt idx="49">
                  <c:v>13.62</c:v>
                </c:pt>
                <c:pt idx="50">
                  <c:v>13.62</c:v>
                </c:pt>
                <c:pt idx="51">
                  <c:v>13.62</c:v>
                </c:pt>
                <c:pt idx="52">
                  <c:v>13.62</c:v>
                </c:pt>
                <c:pt idx="53">
                  <c:v>13.62</c:v>
                </c:pt>
                <c:pt idx="54">
                  <c:v>13.62</c:v>
                </c:pt>
                <c:pt idx="55">
                  <c:v>13.62</c:v>
                </c:pt>
                <c:pt idx="56">
                  <c:v>13.62</c:v>
                </c:pt>
                <c:pt idx="57">
                  <c:v>13.62</c:v>
                </c:pt>
                <c:pt idx="58">
                  <c:v>13.62</c:v>
                </c:pt>
                <c:pt idx="59">
                  <c:v>13.62</c:v>
                </c:pt>
                <c:pt idx="60">
                  <c:v>13.62</c:v>
                </c:pt>
                <c:pt idx="61">
                  <c:v>13.62</c:v>
                </c:pt>
                <c:pt idx="62">
                  <c:v>13.62</c:v>
                </c:pt>
                <c:pt idx="63">
                  <c:v>13.62</c:v>
                </c:pt>
                <c:pt idx="64">
                  <c:v>13.62</c:v>
                </c:pt>
                <c:pt idx="65">
                  <c:v>13.62</c:v>
                </c:pt>
                <c:pt idx="66">
                  <c:v>13.62</c:v>
                </c:pt>
                <c:pt idx="67">
                  <c:v>13.62</c:v>
                </c:pt>
                <c:pt idx="68">
                  <c:v>13.62</c:v>
                </c:pt>
                <c:pt idx="69">
                  <c:v>13.62</c:v>
                </c:pt>
                <c:pt idx="70">
                  <c:v>13.62</c:v>
                </c:pt>
                <c:pt idx="71">
                  <c:v>13.62</c:v>
                </c:pt>
                <c:pt idx="72">
                  <c:v>13.62</c:v>
                </c:pt>
                <c:pt idx="73">
                  <c:v>13.62</c:v>
                </c:pt>
                <c:pt idx="74">
                  <c:v>13.62</c:v>
                </c:pt>
                <c:pt idx="75">
                  <c:v>13.62</c:v>
                </c:pt>
                <c:pt idx="76">
                  <c:v>13.62</c:v>
                </c:pt>
                <c:pt idx="77">
                  <c:v>13.62</c:v>
                </c:pt>
                <c:pt idx="78">
                  <c:v>13.62</c:v>
                </c:pt>
                <c:pt idx="79">
                  <c:v>13.62</c:v>
                </c:pt>
                <c:pt idx="80">
                  <c:v>13.62</c:v>
                </c:pt>
                <c:pt idx="81">
                  <c:v>13.62</c:v>
                </c:pt>
                <c:pt idx="82">
                  <c:v>13.62</c:v>
                </c:pt>
                <c:pt idx="83">
                  <c:v>13.62</c:v>
                </c:pt>
                <c:pt idx="84">
                  <c:v>13.62</c:v>
                </c:pt>
                <c:pt idx="85">
                  <c:v>13.62</c:v>
                </c:pt>
                <c:pt idx="86">
                  <c:v>13.62</c:v>
                </c:pt>
                <c:pt idx="87">
                  <c:v>13.62</c:v>
                </c:pt>
                <c:pt idx="88">
                  <c:v>13.62</c:v>
                </c:pt>
                <c:pt idx="89">
                  <c:v>13.62</c:v>
                </c:pt>
                <c:pt idx="90">
                  <c:v>13.62</c:v>
                </c:pt>
                <c:pt idx="91">
                  <c:v>13.62</c:v>
                </c:pt>
                <c:pt idx="92">
                  <c:v>13.62</c:v>
                </c:pt>
                <c:pt idx="93">
                  <c:v>13.62</c:v>
                </c:pt>
                <c:pt idx="94">
                  <c:v>13.62</c:v>
                </c:pt>
                <c:pt idx="95">
                  <c:v>13.62</c:v>
                </c:pt>
                <c:pt idx="96">
                  <c:v>13.62</c:v>
                </c:pt>
                <c:pt idx="97">
                  <c:v>13.62</c:v>
                </c:pt>
                <c:pt idx="98">
                  <c:v>13.62</c:v>
                </c:pt>
                <c:pt idx="99">
                  <c:v>13.62</c:v>
                </c:pt>
                <c:pt idx="100">
                  <c:v>13.62</c:v>
                </c:pt>
                <c:pt idx="101">
                  <c:v>13.62</c:v>
                </c:pt>
                <c:pt idx="102">
                  <c:v>13.62</c:v>
                </c:pt>
                <c:pt idx="103">
                  <c:v>13.62</c:v>
                </c:pt>
                <c:pt idx="104">
                  <c:v>13.62</c:v>
                </c:pt>
                <c:pt idx="105">
                  <c:v>13.62</c:v>
                </c:pt>
                <c:pt idx="106">
                  <c:v>13.62</c:v>
                </c:pt>
                <c:pt idx="107">
                  <c:v>13.62</c:v>
                </c:pt>
                <c:pt idx="108">
                  <c:v>13.62</c:v>
                </c:pt>
                <c:pt idx="109">
                  <c:v>13.62</c:v>
                </c:pt>
                <c:pt idx="110">
                  <c:v>13.62</c:v>
                </c:pt>
                <c:pt idx="111">
                  <c:v>13.62</c:v>
                </c:pt>
                <c:pt idx="112">
                  <c:v>13.62</c:v>
                </c:pt>
                <c:pt idx="113">
                  <c:v>13.62</c:v>
                </c:pt>
                <c:pt idx="114">
                  <c:v>13.62</c:v>
                </c:pt>
                <c:pt idx="115">
                  <c:v>13.62</c:v>
                </c:pt>
                <c:pt idx="116">
                  <c:v>13.62</c:v>
                </c:pt>
                <c:pt idx="117">
                  <c:v>13.62</c:v>
                </c:pt>
                <c:pt idx="118">
                  <c:v>13.62</c:v>
                </c:pt>
                <c:pt idx="119">
                  <c:v>13.62</c:v>
                </c:pt>
                <c:pt idx="120">
                  <c:v>13.62</c:v>
                </c:pt>
                <c:pt idx="121">
                  <c:v>13.62</c:v>
                </c:pt>
                <c:pt idx="122">
                  <c:v>13.62</c:v>
                </c:pt>
                <c:pt idx="123">
                  <c:v>13.62</c:v>
                </c:pt>
                <c:pt idx="124">
                  <c:v>13.62</c:v>
                </c:pt>
                <c:pt idx="125">
                  <c:v>13.62</c:v>
                </c:pt>
                <c:pt idx="126">
                  <c:v>13.62</c:v>
                </c:pt>
                <c:pt idx="127">
                  <c:v>13.62</c:v>
                </c:pt>
                <c:pt idx="128">
                  <c:v>13.62</c:v>
                </c:pt>
                <c:pt idx="129">
                  <c:v>13.62</c:v>
                </c:pt>
                <c:pt idx="130">
                  <c:v>13.62</c:v>
                </c:pt>
                <c:pt idx="131">
                  <c:v>13.62</c:v>
                </c:pt>
                <c:pt idx="132">
                  <c:v>13.62</c:v>
                </c:pt>
                <c:pt idx="133">
                  <c:v>13.62</c:v>
                </c:pt>
                <c:pt idx="134">
                  <c:v>13.62</c:v>
                </c:pt>
                <c:pt idx="135">
                  <c:v>13.62</c:v>
                </c:pt>
                <c:pt idx="136">
                  <c:v>13.62</c:v>
                </c:pt>
                <c:pt idx="137">
                  <c:v>13.62</c:v>
                </c:pt>
                <c:pt idx="138">
                  <c:v>13.62</c:v>
                </c:pt>
                <c:pt idx="139">
                  <c:v>13.62</c:v>
                </c:pt>
                <c:pt idx="140">
                  <c:v>13.62</c:v>
                </c:pt>
                <c:pt idx="141">
                  <c:v>13.62</c:v>
                </c:pt>
                <c:pt idx="142">
                  <c:v>13.62</c:v>
                </c:pt>
                <c:pt idx="143">
                  <c:v>13.62</c:v>
                </c:pt>
                <c:pt idx="144">
                  <c:v>13.62</c:v>
                </c:pt>
                <c:pt idx="145">
                  <c:v>13.62</c:v>
                </c:pt>
                <c:pt idx="146">
                  <c:v>13.62</c:v>
                </c:pt>
                <c:pt idx="147">
                  <c:v>13.62</c:v>
                </c:pt>
                <c:pt idx="148">
                  <c:v>13.62</c:v>
                </c:pt>
                <c:pt idx="149">
                  <c:v>13.62</c:v>
                </c:pt>
                <c:pt idx="150">
                  <c:v>13.62</c:v>
                </c:pt>
                <c:pt idx="151">
                  <c:v>13.62</c:v>
                </c:pt>
                <c:pt idx="152">
                  <c:v>13.62</c:v>
                </c:pt>
                <c:pt idx="153">
                  <c:v>13.62</c:v>
                </c:pt>
                <c:pt idx="154">
                  <c:v>13.62</c:v>
                </c:pt>
                <c:pt idx="155">
                  <c:v>13.62</c:v>
                </c:pt>
                <c:pt idx="156">
                  <c:v>13.62</c:v>
                </c:pt>
                <c:pt idx="157">
                  <c:v>13.62</c:v>
                </c:pt>
                <c:pt idx="158">
                  <c:v>13.62</c:v>
                </c:pt>
                <c:pt idx="159">
                  <c:v>13.62</c:v>
                </c:pt>
                <c:pt idx="160">
                  <c:v>13.62</c:v>
                </c:pt>
                <c:pt idx="161">
                  <c:v>13.62</c:v>
                </c:pt>
                <c:pt idx="162">
                  <c:v>13.62</c:v>
                </c:pt>
                <c:pt idx="163">
                  <c:v>13.62</c:v>
                </c:pt>
                <c:pt idx="164">
                  <c:v>13.62</c:v>
                </c:pt>
                <c:pt idx="165">
                  <c:v>13.62</c:v>
                </c:pt>
                <c:pt idx="166">
                  <c:v>13.62</c:v>
                </c:pt>
                <c:pt idx="167">
                  <c:v>13.62</c:v>
                </c:pt>
                <c:pt idx="168">
                  <c:v>13.62</c:v>
                </c:pt>
                <c:pt idx="169">
                  <c:v>13.62</c:v>
                </c:pt>
                <c:pt idx="170">
                  <c:v>13.62</c:v>
                </c:pt>
                <c:pt idx="171">
                  <c:v>13.62</c:v>
                </c:pt>
                <c:pt idx="172">
                  <c:v>13.62</c:v>
                </c:pt>
                <c:pt idx="173">
                  <c:v>13.62</c:v>
                </c:pt>
                <c:pt idx="174">
                  <c:v>13.62</c:v>
                </c:pt>
                <c:pt idx="175">
                  <c:v>13.62</c:v>
                </c:pt>
                <c:pt idx="176">
                  <c:v>13.62</c:v>
                </c:pt>
                <c:pt idx="177">
                  <c:v>13.62</c:v>
                </c:pt>
                <c:pt idx="178">
                  <c:v>13.62</c:v>
                </c:pt>
                <c:pt idx="179">
                  <c:v>13.62</c:v>
                </c:pt>
                <c:pt idx="180">
                  <c:v>13.62</c:v>
                </c:pt>
                <c:pt idx="181">
                  <c:v>13.62</c:v>
                </c:pt>
                <c:pt idx="182">
                  <c:v>13.62</c:v>
                </c:pt>
                <c:pt idx="183">
                  <c:v>13.62</c:v>
                </c:pt>
                <c:pt idx="184">
                  <c:v>13.62</c:v>
                </c:pt>
                <c:pt idx="185">
                  <c:v>13.62</c:v>
                </c:pt>
                <c:pt idx="186">
                  <c:v>13.62</c:v>
                </c:pt>
                <c:pt idx="187">
                  <c:v>13.62</c:v>
                </c:pt>
                <c:pt idx="188">
                  <c:v>13.62</c:v>
                </c:pt>
                <c:pt idx="189">
                  <c:v>13.62</c:v>
                </c:pt>
                <c:pt idx="190">
                  <c:v>13.62</c:v>
                </c:pt>
                <c:pt idx="191">
                  <c:v>13.62</c:v>
                </c:pt>
                <c:pt idx="192">
                  <c:v>13.62</c:v>
                </c:pt>
                <c:pt idx="193">
                  <c:v>13.62</c:v>
                </c:pt>
                <c:pt idx="194">
                  <c:v>13.62</c:v>
                </c:pt>
                <c:pt idx="195">
                  <c:v>13.62</c:v>
                </c:pt>
                <c:pt idx="196">
                  <c:v>13.62</c:v>
                </c:pt>
                <c:pt idx="197">
                  <c:v>13.62</c:v>
                </c:pt>
                <c:pt idx="198">
                  <c:v>13.62</c:v>
                </c:pt>
                <c:pt idx="199">
                  <c:v>13.62</c:v>
                </c:pt>
                <c:pt idx="200">
                  <c:v>13.62</c:v>
                </c:pt>
                <c:pt idx="201">
                  <c:v>13.62</c:v>
                </c:pt>
                <c:pt idx="202">
                  <c:v>13.62</c:v>
                </c:pt>
                <c:pt idx="203">
                  <c:v>13.62</c:v>
                </c:pt>
                <c:pt idx="204">
                  <c:v>13.62</c:v>
                </c:pt>
                <c:pt idx="205">
                  <c:v>13.62</c:v>
                </c:pt>
                <c:pt idx="206">
                  <c:v>13.62</c:v>
                </c:pt>
                <c:pt idx="207">
                  <c:v>13.62</c:v>
                </c:pt>
                <c:pt idx="208">
                  <c:v>13.62</c:v>
                </c:pt>
                <c:pt idx="209">
                  <c:v>13.62</c:v>
                </c:pt>
                <c:pt idx="210">
                  <c:v>13.62</c:v>
                </c:pt>
                <c:pt idx="211">
                  <c:v>13.62</c:v>
                </c:pt>
                <c:pt idx="212">
                  <c:v>13.62</c:v>
                </c:pt>
                <c:pt idx="213">
                  <c:v>13.62</c:v>
                </c:pt>
                <c:pt idx="214">
                  <c:v>13.62</c:v>
                </c:pt>
                <c:pt idx="215">
                  <c:v>13.62</c:v>
                </c:pt>
                <c:pt idx="216">
                  <c:v>13.62</c:v>
                </c:pt>
                <c:pt idx="217">
                  <c:v>13.62</c:v>
                </c:pt>
                <c:pt idx="218">
                  <c:v>13.62</c:v>
                </c:pt>
                <c:pt idx="219">
                  <c:v>13.62</c:v>
                </c:pt>
                <c:pt idx="220">
                  <c:v>13.62</c:v>
                </c:pt>
                <c:pt idx="221">
                  <c:v>13.62</c:v>
                </c:pt>
                <c:pt idx="222">
                  <c:v>13.62</c:v>
                </c:pt>
                <c:pt idx="223">
                  <c:v>13.62</c:v>
                </c:pt>
                <c:pt idx="224">
                  <c:v>13.62</c:v>
                </c:pt>
                <c:pt idx="225">
                  <c:v>13.62</c:v>
                </c:pt>
                <c:pt idx="226">
                  <c:v>13.62</c:v>
                </c:pt>
                <c:pt idx="227">
                  <c:v>13.62</c:v>
                </c:pt>
                <c:pt idx="228">
                  <c:v>13.62</c:v>
                </c:pt>
                <c:pt idx="229">
                  <c:v>13.62</c:v>
                </c:pt>
                <c:pt idx="230">
                  <c:v>13.62</c:v>
                </c:pt>
                <c:pt idx="231">
                  <c:v>13.62</c:v>
                </c:pt>
                <c:pt idx="232">
                  <c:v>13.62</c:v>
                </c:pt>
                <c:pt idx="233">
                  <c:v>13.62</c:v>
                </c:pt>
                <c:pt idx="234">
                  <c:v>13.62</c:v>
                </c:pt>
                <c:pt idx="235">
                  <c:v>13.62</c:v>
                </c:pt>
                <c:pt idx="236">
                  <c:v>13.62</c:v>
                </c:pt>
                <c:pt idx="237">
                  <c:v>13.62</c:v>
                </c:pt>
                <c:pt idx="238">
                  <c:v>13.62</c:v>
                </c:pt>
                <c:pt idx="239">
                  <c:v>13.62</c:v>
                </c:pt>
                <c:pt idx="240">
                  <c:v>13.62</c:v>
                </c:pt>
                <c:pt idx="241">
                  <c:v>13.62</c:v>
                </c:pt>
                <c:pt idx="242">
                  <c:v>13.62</c:v>
                </c:pt>
                <c:pt idx="243">
                  <c:v>13.62</c:v>
                </c:pt>
                <c:pt idx="244">
                  <c:v>13.62</c:v>
                </c:pt>
                <c:pt idx="245">
                  <c:v>13.62</c:v>
                </c:pt>
                <c:pt idx="246">
                  <c:v>13.62</c:v>
                </c:pt>
                <c:pt idx="247">
                  <c:v>13.62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96405120"/>
        <c:axId val="196406656"/>
      </c:barChart>
      <c:lineChart>
        <c:grouping val="standard"/>
        <c:varyColors val="0"/>
        <c:ser>
          <c:idx val="0"/>
          <c:order val="0"/>
          <c:tx>
            <c:strRef>
              <c:f>'simulation commandes'!$E$4</c:f>
              <c:strCache>
                <c:ptCount val="1"/>
                <c:pt idx="0">
                  <c:v>stock début</c:v>
                </c:pt>
              </c:strCache>
            </c:strRef>
          </c:tx>
          <c:marker>
            <c:symbol val="circle"/>
            <c:size val="7"/>
          </c:marker>
          <c:val>
            <c:numRef>
              <c:f>'simulation commandes'!$E$5:$E$252</c:f>
              <c:numCache>
                <c:formatCode>0</c:formatCode>
                <c:ptCount val="248"/>
                <c:pt idx="0">
                  <c:v>34</c:v>
                </c:pt>
                <c:pt idx="1">
                  <c:v>34</c:v>
                </c:pt>
                <c:pt idx="2">
                  <c:v>34</c:v>
                </c:pt>
                <c:pt idx="3">
                  <c:v>34</c:v>
                </c:pt>
                <c:pt idx="4">
                  <c:v>34</c:v>
                </c:pt>
                <c:pt idx="5">
                  <c:v>22</c:v>
                </c:pt>
                <c:pt idx="6">
                  <c:v>22</c:v>
                </c:pt>
                <c:pt idx="7">
                  <c:v>32</c:v>
                </c:pt>
                <c:pt idx="8">
                  <c:v>32</c:v>
                </c:pt>
                <c:pt idx="9">
                  <c:v>31</c:v>
                </c:pt>
                <c:pt idx="10">
                  <c:v>31</c:v>
                </c:pt>
                <c:pt idx="11">
                  <c:v>31</c:v>
                </c:pt>
                <c:pt idx="12">
                  <c:v>31</c:v>
                </c:pt>
                <c:pt idx="13">
                  <c:v>30</c:v>
                </c:pt>
                <c:pt idx="14">
                  <c:v>26</c:v>
                </c:pt>
                <c:pt idx="15">
                  <c:v>26</c:v>
                </c:pt>
                <c:pt idx="16">
                  <c:v>26</c:v>
                </c:pt>
                <c:pt idx="17">
                  <c:v>16</c:v>
                </c:pt>
                <c:pt idx="18">
                  <c:v>53</c:v>
                </c:pt>
                <c:pt idx="19">
                  <c:v>53</c:v>
                </c:pt>
                <c:pt idx="20">
                  <c:v>53</c:v>
                </c:pt>
                <c:pt idx="21">
                  <c:v>53</c:v>
                </c:pt>
                <c:pt idx="22">
                  <c:v>53</c:v>
                </c:pt>
                <c:pt idx="23">
                  <c:v>51</c:v>
                </c:pt>
                <c:pt idx="24">
                  <c:v>51</c:v>
                </c:pt>
                <c:pt idx="25">
                  <c:v>51</c:v>
                </c:pt>
                <c:pt idx="26">
                  <c:v>51</c:v>
                </c:pt>
                <c:pt idx="27">
                  <c:v>71</c:v>
                </c:pt>
                <c:pt idx="28">
                  <c:v>71</c:v>
                </c:pt>
                <c:pt idx="29">
                  <c:v>71</c:v>
                </c:pt>
                <c:pt idx="30">
                  <c:v>71</c:v>
                </c:pt>
                <c:pt idx="31">
                  <c:v>69</c:v>
                </c:pt>
                <c:pt idx="32">
                  <c:v>61</c:v>
                </c:pt>
                <c:pt idx="33">
                  <c:v>59</c:v>
                </c:pt>
                <c:pt idx="34">
                  <c:v>59</c:v>
                </c:pt>
                <c:pt idx="35">
                  <c:v>59</c:v>
                </c:pt>
                <c:pt idx="36">
                  <c:v>59</c:v>
                </c:pt>
                <c:pt idx="37">
                  <c:v>59</c:v>
                </c:pt>
                <c:pt idx="38">
                  <c:v>44</c:v>
                </c:pt>
                <c:pt idx="39">
                  <c:v>44</c:v>
                </c:pt>
                <c:pt idx="40">
                  <c:v>44</c:v>
                </c:pt>
                <c:pt idx="41">
                  <c:v>44</c:v>
                </c:pt>
                <c:pt idx="42">
                  <c:v>44</c:v>
                </c:pt>
                <c:pt idx="43">
                  <c:v>44</c:v>
                </c:pt>
                <c:pt idx="44">
                  <c:v>43</c:v>
                </c:pt>
                <c:pt idx="45">
                  <c:v>43</c:v>
                </c:pt>
                <c:pt idx="46">
                  <c:v>41</c:v>
                </c:pt>
                <c:pt idx="47">
                  <c:v>54</c:v>
                </c:pt>
                <c:pt idx="48">
                  <c:v>53</c:v>
                </c:pt>
                <c:pt idx="49">
                  <c:v>47</c:v>
                </c:pt>
                <c:pt idx="50">
                  <c:v>47</c:v>
                </c:pt>
                <c:pt idx="51">
                  <c:v>47</c:v>
                </c:pt>
                <c:pt idx="52">
                  <c:v>51</c:v>
                </c:pt>
                <c:pt idx="53">
                  <c:v>51</c:v>
                </c:pt>
                <c:pt idx="54">
                  <c:v>41</c:v>
                </c:pt>
                <c:pt idx="55">
                  <c:v>38</c:v>
                </c:pt>
                <c:pt idx="56">
                  <c:v>38</c:v>
                </c:pt>
                <c:pt idx="57">
                  <c:v>58</c:v>
                </c:pt>
                <c:pt idx="58">
                  <c:v>56</c:v>
                </c:pt>
                <c:pt idx="59">
                  <c:v>56</c:v>
                </c:pt>
                <c:pt idx="60">
                  <c:v>50</c:v>
                </c:pt>
                <c:pt idx="61">
                  <c:v>50</c:v>
                </c:pt>
                <c:pt idx="62">
                  <c:v>121</c:v>
                </c:pt>
                <c:pt idx="63">
                  <c:v>87</c:v>
                </c:pt>
                <c:pt idx="64">
                  <c:v>85</c:v>
                </c:pt>
                <c:pt idx="65">
                  <c:v>85</c:v>
                </c:pt>
                <c:pt idx="66">
                  <c:v>85</c:v>
                </c:pt>
                <c:pt idx="67">
                  <c:v>97</c:v>
                </c:pt>
                <c:pt idx="68">
                  <c:v>97</c:v>
                </c:pt>
                <c:pt idx="69">
                  <c:v>96</c:v>
                </c:pt>
                <c:pt idx="70">
                  <c:v>96</c:v>
                </c:pt>
                <c:pt idx="71">
                  <c:v>95</c:v>
                </c:pt>
                <c:pt idx="72">
                  <c:v>93</c:v>
                </c:pt>
                <c:pt idx="73">
                  <c:v>93</c:v>
                </c:pt>
                <c:pt idx="74">
                  <c:v>89</c:v>
                </c:pt>
                <c:pt idx="75">
                  <c:v>84</c:v>
                </c:pt>
                <c:pt idx="76">
                  <c:v>94</c:v>
                </c:pt>
                <c:pt idx="77">
                  <c:v>94</c:v>
                </c:pt>
                <c:pt idx="78">
                  <c:v>94</c:v>
                </c:pt>
                <c:pt idx="79">
                  <c:v>93</c:v>
                </c:pt>
                <c:pt idx="80">
                  <c:v>74</c:v>
                </c:pt>
                <c:pt idx="81">
                  <c:v>124</c:v>
                </c:pt>
                <c:pt idx="82">
                  <c:v>116</c:v>
                </c:pt>
                <c:pt idx="83">
                  <c:v>113</c:v>
                </c:pt>
                <c:pt idx="84">
                  <c:v>112</c:v>
                </c:pt>
                <c:pt idx="85">
                  <c:v>86</c:v>
                </c:pt>
                <c:pt idx="86">
                  <c:v>89</c:v>
                </c:pt>
                <c:pt idx="87">
                  <c:v>89</c:v>
                </c:pt>
                <c:pt idx="88">
                  <c:v>79</c:v>
                </c:pt>
                <c:pt idx="89">
                  <c:v>78</c:v>
                </c:pt>
                <c:pt idx="90">
                  <c:v>98</c:v>
                </c:pt>
                <c:pt idx="91">
                  <c:v>73</c:v>
                </c:pt>
                <c:pt idx="92">
                  <c:v>67</c:v>
                </c:pt>
                <c:pt idx="93">
                  <c:v>67</c:v>
                </c:pt>
                <c:pt idx="94">
                  <c:v>108</c:v>
                </c:pt>
                <c:pt idx="95">
                  <c:v>108</c:v>
                </c:pt>
                <c:pt idx="96">
                  <c:v>108</c:v>
                </c:pt>
                <c:pt idx="97">
                  <c:v>107</c:v>
                </c:pt>
                <c:pt idx="98">
                  <c:v>107</c:v>
                </c:pt>
                <c:pt idx="99">
                  <c:v>107</c:v>
                </c:pt>
                <c:pt idx="100">
                  <c:v>102</c:v>
                </c:pt>
                <c:pt idx="101">
                  <c:v>102</c:v>
                </c:pt>
                <c:pt idx="102">
                  <c:v>100</c:v>
                </c:pt>
                <c:pt idx="103">
                  <c:v>114</c:v>
                </c:pt>
                <c:pt idx="104">
                  <c:v>114</c:v>
                </c:pt>
                <c:pt idx="105">
                  <c:v>114</c:v>
                </c:pt>
                <c:pt idx="106">
                  <c:v>96</c:v>
                </c:pt>
                <c:pt idx="107">
                  <c:v>95</c:v>
                </c:pt>
                <c:pt idx="108">
                  <c:v>95</c:v>
                </c:pt>
                <c:pt idx="109">
                  <c:v>92</c:v>
                </c:pt>
                <c:pt idx="110">
                  <c:v>90</c:v>
                </c:pt>
                <c:pt idx="111">
                  <c:v>90</c:v>
                </c:pt>
                <c:pt idx="112">
                  <c:v>88</c:v>
                </c:pt>
                <c:pt idx="113">
                  <c:v>94</c:v>
                </c:pt>
                <c:pt idx="114">
                  <c:v>94</c:v>
                </c:pt>
                <c:pt idx="115">
                  <c:v>80</c:v>
                </c:pt>
                <c:pt idx="116">
                  <c:v>80</c:v>
                </c:pt>
                <c:pt idx="117">
                  <c:v>76</c:v>
                </c:pt>
                <c:pt idx="118">
                  <c:v>76</c:v>
                </c:pt>
                <c:pt idx="119">
                  <c:v>72</c:v>
                </c:pt>
                <c:pt idx="120">
                  <c:v>72</c:v>
                </c:pt>
                <c:pt idx="121">
                  <c:v>70</c:v>
                </c:pt>
                <c:pt idx="122">
                  <c:v>66</c:v>
                </c:pt>
                <c:pt idx="123">
                  <c:v>66</c:v>
                </c:pt>
                <c:pt idx="124">
                  <c:v>70</c:v>
                </c:pt>
                <c:pt idx="125">
                  <c:v>70</c:v>
                </c:pt>
                <c:pt idx="126">
                  <c:v>62</c:v>
                </c:pt>
                <c:pt idx="127">
                  <c:v>58</c:v>
                </c:pt>
                <c:pt idx="128">
                  <c:v>58</c:v>
                </c:pt>
                <c:pt idx="129">
                  <c:v>58</c:v>
                </c:pt>
                <c:pt idx="130">
                  <c:v>58</c:v>
                </c:pt>
                <c:pt idx="131">
                  <c:v>58</c:v>
                </c:pt>
                <c:pt idx="132">
                  <c:v>58</c:v>
                </c:pt>
                <c:pt idx="133">
                  <c:v>58</c:v>
                </c:pt>
                <c:pt idx="134">
                  <c:v>58</c:v>
                </c:pt>
                <c:pt idx="135">
                  <c:v>57</c:v>
                </c:pt>
                <c:pt idx="136">
                  <c:v>73</c:v>
                </c:pt>
                <c:pt idx="137">
                  <c:v>73</c:v>
                </c:pt>
                <c:pt idx="138">
                  <c:v>73</c:v>
                </c:pt>
                <c:pt idx="139">
                  <c:v>73</c:v>
                </c:pt>
                <c:pt idx="140">
                  <c:v>71</c:v>
                </c:pt>
                <c:pt idx="141">
                  <c:v>71</c:v>
                </c:pt>
                <c:pt idx="142">
                  <c:v>71</c:v>
                </c:pt>
                <c:pt idx="143">
                  <c:v>67</c:v>
                </c:pt>
                <c:pt idx="144">
                  <c:v>72</c:v>
                </c:pt>
                <c:pt idx="145">
                  <c:v>72</c:v>
                </c:pt>
                <c:pt idx="146">
                  <c:v>73</c:v>
                </c:pt>
                <c:pt idx="147">
                  <c:v>73</c:v>
                </c:pt>
                <c:pt idx="148">
                  <c:v>73</c:v>
                </c:pt>
                <c:pt idx="149">
                  <c:v>73</c:v>
                </c:pt>
                <c:pt idx="150">
                  <c:v>73</c:v>
                </c:pt>
                <c:pt idx="151">
                  <c:v>72</c:v>
                </c:pt>
                <c:pt idx="152">
                  <c:v>70</c:v>
                </c:pt>
                <c:pt idx="153">
                  <c:v>70</c:v>
                </c:pt>
                <c:pt idx="154">
                  <c:v>70</c:v>
                </c:pt>
                <c:pt idx="155">
                  <c:v>70</c:v>
                </c:pt>
                <c:pt idx="156">
                  <c:v>70</c:v>
                </c:pt>
                <c:pt idx="157">
                  <c:v>70</c:v>
                </c:pt>
                <c:pt idx="158">
                  <c:v>68</c:v>
                </c:pt>
                <c:pt idx="159">
                  <c:v>68</c:v>
                </c:pt>
                <c:pt idx="160">
                  <c:v>68</c:v>
                </c:pt>
                <c:pt idx="161">
                  <c:v>68</c:v>
                </c:pt>
                <c:pt idx="162">
                  <c:v>68</c:v>
                </c:pt>
                <c:pt idx="163">
                  <c:v>60</c:v>
                </c:pt>
                <c:pt idx="164">
                  <c:v>55</c:v>
                </c:pt>
                <c:pt idx="165">
                  <c:v>50</c:v>
                </c:pt>
                <c:pt idx="166">
                  <c:v>50</c:v>
                </c:pt>
                <c:pt idx="167">
                  <c:v>50</c:v>
                </c:pt>
                <c:pt idx="168">
                  <c:v>74</c:v>
                </c:pt>
                <c:pt idx="169">
                  <c:v>74</c:v>
                </c:pt>
                <c:pt idx="170">
                  <c:v>68</c:v>
                </c:pt>
                <c:pt idx="171">
                  <c:v>68</c:v>
                </c:pt>
                <c:pt idx="172">
                  <c:v>68</c:v>
                </c:pt>
                <c:pt idx="173">
                  <c:v>68</c:v>
                </c:pt>
                <c:pt idx="174">
                  <c:v>57</c:v>
                </c:pt>
                <c:pt idx="175">
                  <c:v>57</c:v>
                </c:pt>
                <c:pt idx="176">
                  <c:v>62</c:v>
                </c:pt>
                <c:pt idx="177">
                  <c:v>62</c:v>
                </c:pt>
                <c:pt idx="178">
                  <c:v>62</c:v>
                </c:pt>
                <c:pt idx="179">
                  <c:v>62</c:v>
                </c:pt>
                <c:pt idx="180">
                  <c:v>58</c:v>
                </c:pt>
                <c:pt idx="181">
                  <c:v>58</c:v>
                </c:pt>
                <c:pt idx="182">
                  <c:v>54</c:v>
                </c:pt>
                <c:pt idx="183">
                  <c:v>54</c:v>
                </c:pt>
                <c:pt idx="184">
                  <c:v>54</c:v>
                </c:pt>
                <c:pt idx="185">
                  <c:v>54</c:v>
                </c:pt>
                <c:pt idx="186">
                  <c:v>53</c:v>
                </c:pt>
                <c:pt idx="187">
                  <c:v>46</c:v>
                </c:pt>
                <c:pt idx="188">
                  <c:v>41</c:v>
                </c:pt>
                <c:pt idx="189">
                  <c:v>41</c:v>
                </c:pt>
                <c:pt idx="190">
                  <c:v>31</c:v>
                </c:pt>
                <c:pt idx="191">
                  <c:v>31</c:v>
                </c:pt>
                <c:pt idx="192">
                  <c:v>31</c:v>
                </c:pt>
                <c:pt idx="193">
                  <c:v>36</c:v>
                </c:pt>
                <c:pt idx="194">
                  <c:v>36</c:v>
                </c:pt>
                <c:pt idx="195">
                  <c:v>36</c:v>
                </c:pt>
                <c:pt idx="196">
                  <c:v>36</c:v>
                </c:pt>
                <c:pt idx="197">
                  <c:v>73</c:v>
                </c:pt>
                <c:pt idx="198">
                  <c:v>73</c:v>
                </c:pt>
                <c:pt idx="199">
                  <c:v>73</c:v>
                </c:pt>
                <c:pt idx="200">
                  <c:v>68</c:v>
                </c:pt>
                <c:pt idx="201">
                  <c:v>68</c:v>
                </c:pt>
                <c:pt idx="202">
                  <c:v>82</c:v>
                </c:pt>
                <c:pt idx="203">
                  <c:v>82</c:v>
                </c:pt>
                <c:pt idx="204">
                  <c:v>80</c:v>
                </c:pt>
                <c:pt idx="205">
                  <c:v>50</c:v>
                </c:pt>
                <c:pt idx="206">
                  <c:v>50</c:v>
                </c:pt>
                <c:pt idx="207">
                  <c:v>43</c:v>
                </c:pt>
                <c:pt idx="208">
                  <c:v>52</c:v>
                </c:pt>
                <c:pt idx="209">
                  <c:v>52</c:v>
                </c:pt>
                <c:pt idx="210">
                  <c:v>52</c:v>
                </c:pt>
                <c:pt idx="211">
                  <c:v>47</c:v>
                </c:pt>
                <c:pt idx="212">
                  <c:v>52</c:v>
                </c:pt>
                <c:pt idx="213">
                  <c:v>52</c:v>
                </c:pt>
                <c:pt idx="214">
                  <c:v>43</c:v>
                </c:pt>
                <c:pt idx="215">
                  <c:v>41</c:v>
                </c:pt>
                <c:pt idx="216">
                  <c:v>41</c:v>
                </c:pt>
                <c:pt idx="217">
                  <c:v>41</c:v>
                </c:pt>
                <c:pt idx="218">
                  <c:v>41</c:v>
                </c:pt>
                <c:pt idx="219">
                  <c:v>34</c:v>
                </c:pt>
                <c:pt idx="220">
                  <c:v>34</c:v>
                </c:pt>
                <c:pt idx="221">
                  <c:v>32</c:v>
                </c:pt>
                <c:pt idx="222">
                  <c:v>47</c:v>
                </c:pt>
                <c:pt idx="223">
                  <c:v>38</c:v>
                </c:pt>
                <c:pt idx="224">
                  <c:v>32</c:v>
                </c:pt>
                <c:pt idx="225">
                  <c:v>32</c:v>
                </c:pt>
                <c:pt idx="226">
                  <c:v>31</c:v>
                </c:pt>
                <c:pt idx="227">
                  <c:v>44</c:v>
                </c:pt>
                <c:pt idx="228">
                  <c:v>44</c:v>
                </c:pt>
                <c:pt idx="229">
                  <c:v>28</c:v>
                </c:pt>
                <c:pt idx="230">
                  <c:v>28</c:v>
                </c:pt>
                <c:pt idx="231">
                  <c:v>25</c:v>
                </c:pt>
                <c:pt idx="232">
                  <c:v>43</c:v>
                </c:pt>
                <c:pt idx="233">
                  <c:v>31</c:v>
                </c:pt>
                <c:pt idx="234">
                  <c:v>31</c:v>
                </c:pt>
                <c:pt idx="235">
                  <c:v>31</c:v>
                </c:pt>
                <c:pt idx="236">
                  <c:v>25</c:v>
                </c:pt>
                <c:pt idx="237">
                  <c:v>36</c:v>
                </c:pt>
                <c:pt idx="238">
                  <c:v>36</c:v>
                </c:pt>
                <c:pt idx="239">
                  <c:v>31</c:v>
                </c:pt>
                <c:pt idx="240">
                  <c:v>23</c:v>
                </c:pt>
                <c:pt idx="241">
                  <c:v>23</c:v>
                </c:pt>
                <c:pt idx="242">
                  <c:v>43</c:v>
                </c:pt>
                <c:pt idx="243">
                  <c:v>43</c:v>
                </c:pt>
                <c:pt idx="244">
                  <c:v>42</c:v>
                </c:pt>
                <c:pt idx="245">
                  <c:v>42</c:v>
                </c:pt>
                <c:pt idx="246">
                  <c:v>32</c:v>
                </c:pt>
                <c:pt idx="247">
                  <c:v>52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'simulation commandes'!#REF!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val>
            <c:numRef>
              <c:f>'simulation commandes'!#REF!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'simulation commandes'!$Y$4</c:f>
              <c:strCache>
                <c:ptCount val="1"/>
                <c:pt idx="0">
                  <c:v>stock moyen</c:v>
                </c:pt>
              </c:strCache>
            </c:strRef>
          </c:tx>
          <c:marker>
            <c:symbol val="none"/>
          </c:marker>
          <c:val>
            <c:numRef>
              <c:f>'simulation commandes'!$Y$5:$Y$252</c:f>
              <c:numCache>
                <c:formatCode>0.0</c:formatCode>
                <c:ptCount val="248"/>
                <c:pt idx="0">
                  <c:v>31.325999999999997</c:v>
                </c:pt>
                <c:pt idx="1">
                  <c:v>31.325999999999997</c:v>
                </c:pt>
                <c:pt idx="2">
                  <c:v>31.325999999999997</c:v>
                </c:pt>
                <c:pt idx="3">
                  <c:v>31.325999999999997</c:v>
                </c:pt>
                <c:pt idx="4">
                  <c:v>31.325999999999997</c:v>
                </c:pt>
                <c:pt idx="5">
                  <c:v>31.325999999999997</c:v>
                </c:pt>
                <c:pt idx="6">
                  <c:v>31.325999999999997</c:v>
                </c:pt>
                <c:pt idx="7">
                  <c:v>31.325999999999997</c:v>
                </c:pt>
                <c:pt idx="8">
                  <c:v>31.325999999999997</c:v>
                </c:pt>
                <c:pt idx="9">
                  <c:v>31.325999999999997</c:v>
                </c:pt>
                <c:pt idx="10">
                  <c:v>31.325999999999997</c:v>
                </c:pt>
                <c:pt idx="11">
                  <c:v>31.325999999999997</c:v>
                </c:pt>
                <c:pt idx="12">
                  <c:v>31.325999999999997</c:v>
                </c:pt>
                <c:pt idx="13">
                  <c:v>31.325999999999997</c:v>
                </c:pt>
                <c:pt idx="14">
                  <c:v>31.325999999999997</c:v>
                </c:pt>
                <c:pt idx="15">
                  <c:v>31.325999999999997</c:v>
                </c:pt>
                <c:pt idx="16">
                  <c:v>31.325999999999997</c:v>
                </c:pt>
                <c:pt idx="17">
                  <c:v>31.325999999999997</c:v>
                </c:pt>
                <c:pt idx="18">
                  <c:v>31.325999999999997</c:v>
                </c:pt>
                <c:pt idx="19">
                  <c:v>31.325999999999997</c:v>
                </c:pt>
                <c:pt idx="20">
                  <c:v>31.325999999999997</c:v>
                </c:pt>
                <c:pt idx="21">
                  <c:v>31.325999999999997</c:v>
                </c:pt>
                <c:pt idx="22">
                  <c:v>31.325999999999997</c:v>
                </c:pt>
                <c:pt idx="23">
                  <c:v>31.325999999999997</c:v>
                </c:pt>
                <c:pt idx="24">
                  <c:v>31.325999999999997</c:v>
                </c:pt>
                <c:pt idx="25">
                  <c:v>31.325999999999997</c:v>
                </c:pt>
                <c:pt idx="26">
                  <c:v>52.5</c:v>
                </c:pt>
                <c:pt idx="27">
                  <c:v>52.5</c:v>
                </c:pt>
                <c:pt idx="28">
                  <c:v>52.5</c:v>
                </c:pt>
                <c:pt idx="29">
                  <c:v>52.5</c:v>
                </c:pt>
                <c:pt idx="30">
                  <c:v>52.5</c:v>
                </c:pt>
                <c:pt idx="31">
                  <c:v>52.5</c:v>
                </c:pt>
                <c:pt idx="32">
                  <c:v>52.5</c:v>
                </c:pt>
                <c:pt idx="33">
                  <c:v>52.5</c:v>
                </c:pt>
                <c:pt idx="34">
                  <c:v>52.5</c:v>
                </c:pt>
                <c:pt idx="35">
                  <c:v>52.5</c:v>
                </c:pt>
                <c:pt idx="36">
                  <c:v>52.5</c:v>
                </c:pt>
                <c:pt idx="37">
                  <c:v>52.5</c:v>
                </c:pt>
                <c:pt idx="38">
                  <c:v>52.5</c:v>
                </c:pt>
                <c:pt idx="39">
                  <c:v>52.5</c:v>
                </c:pt>
                <c:pt idx="40">
                  <c:v>52.5</c:v>
                </c:pt>
                <c:pt idx="41">
                  <c:v>52.5</c:v>
                </c:pt>
                <c:pt idx="42">
                  <c:v>31.325999999999997</c:v>
                </c:pt>
                <c:pt idx="43">
                  <c:v>31.325999999999997</c:v>
                </c:pt>
                <c:pt idx="44">
                  <c:v>31.325999999999997</c:v>
                </c:pt>
                <c:pt idx="45">
                  <c:v>31.325999999999997</c:v>
                </c:pt>
                <c:pt idx="46">
                  <c:v>31.325999999999997</c:v>
                </c:pt>
                <c:pt idx="47">
                  <c:v>31.325999999999997</c:v>
                </c:pt>
                <c:pt idx="48">
                  <c:v>31.325999999999997</c:v>
                </c:pt>
                <c:pt idx="49">
                  <c:v>31.325999999999997</c:v>
                </c:pt>
                <c:pt idx="50">
                  <c:v>31.325999999999997</c:v>
                </c:pt>
                <c:pt idx="51">
                  <c:v>31.325999999999997</c:v>
                </c:pt>
                <c:pt idx="52">
                  <c:v>31.325999999999997</c:v>
                </c:pt>
                <c:pt idx="53">
                  <c:v>31.325999999999997</c:v>
                </c:pt>
                <c:pt idx="54">
                  <c:v>31.325999999999997</c:v>
                </c:pt>
                <c:pt idx="55">
                  <c:v>31.325999999999997</c:v>
                </c:pt>
                <c:pt idx="56">
                  <c:v>31.325999999999997</c:v>
                </c:pt>
                <c:pt idx="57">
                  <c:v>31.325999999999997</c:v>
                </c:pt>
                <c:pt idx="58">
                  <c:v>31.325999999999997</c:v>
                </c:pt>
                <c:pt idx="59">
                  <c:v>31.325999999999997</c:v>
                </c:pt>
                <c:pt idx="60">
                  <c:v>31.325999999999997</c:v>
                </c:pt>
                <c:pt idx="61">
                  <c:v>31.325999999999997</c:v>
                </c:pt>
                <c:pt idx="62">
                  <c:v>31.325999999999997</c:v>
                </c:pt>
                <c:pt idx="63">
                  <c:v>31.325999999999997</c:v>
                </c:pt>
                <c:pt idx="64">
                  <c:v>31.325999999999997</c:v>
                </c:pt>
                <c:pt idx="65">
                  <c:v>31.325999999999997</c:v>
                </c:pt>
                <c:pt idx="66">
                  <c:v>31.325999999999997</c:v>
                </c:pt>
                <c:pt idx="67">
                  <c:v>31.325999999999997</c:v>
                </c:pt>
                <c:pt idx="68">
                  <c:v>31.325999999999997</c:v>
                </c:pt>
                <c:pt idx="69">
                  <c:v>31.325999999999997</c:v>
                </c:pt>
                <c:pt idx="70">
                  <c:v>31.325999999999997</c:v>
                </c:pt>
                <c:pt idx="71">
                  <c:v>31.325999999999997</c:v>
                </c:pt>
                <c:pt idx="72">
                  <c:v>31.325999999999997</c:v>
                </c:pt>
                <c:pt idx="73">
                  <c:v>31.325999999999997</c:v>
                </c:pt>
                <c:pt idx="74">
                  <c:v>31.325999999999997</c:v>
                </c:pt>
                <c:pt idx="75">
                  <c:v>31.325999999999997</c:v>
                </c:pt>
                <c:pt idx="76">
                  <c:v>31.325999999999997</c:v>
                </c:pt>
                <c:pt idx="77">
                  <c:v>31.325999999999997</c:v>
                </c:pt>
                <c:pt idx="78">
                  <c:v>31.325999999999997</c:v>
                </c:pt>
                <c:pt idx="79">
                  <c:v>31.325999999999997</c:v>
                </c:pt>
                <c:pt idx="80">
                  <c:v>31.325999999999997</c:v>
                </c:pt>
                <c:pt idx="81">
                  <c:v>31.325999999999997</c:v>
                </c:pt>
                <c:pt idx="82">
                  <c:v>31.325999999999997</c:v>
                </c:pt>
                <c:pt idx="83">
                  <c:v>31.325999999999997</c:v>
                </c:pt>
                <c:pt idx="84">
                  <c:v>31.325999999999997</c:v>
                </c:pt>
                <c:pt idx="85">
                  <c:v>31.325999999999997</c:v>
                </c:pt>
                <c:pt idx="86">
                  <c:v>31.325999999999997</c:v>
                </c:pt>
                <c:pt idx="87">
                  <c:v>31.325999999999997</c:v>
                </c:pt>
                <c:pt idx="88">
                  <c:v>31.325999999999997</c:v>
                </c:pt>
                <c:pt idx="89">
                  <c:v>31.325999999999997</c:v>
                </c:pt>
                <c:pt idx="90">
                  <c:v>31.325999999999997</c:v>
                </c:pt>
                <c:pt idx="91">
                  <c:v>31.325999999999997</c:v>
                </c:pt>
                <c:pt idx="92">
                  <c:v>31.325999999999997</c:v>
                </c:pt>
                <c:pt idx="93">
                  <c:v>31.325999999999997</c:v>
                </c:pt>
                <c:pt idx="94">
                  <c:v>31.325999999999997</c:v>
                </c:pt>
                <c:pt idx="95">
                  <c:v>31.325999999999997</c:v>
                </c:pt>
                <c:pt idx="96">
                  <c:v>31.325999999999997</c:v>
                </c:pt>
                <c:pt idx="97">
                  <c:v>31.325999999999997</c:v>
                </c:pt>
                <c:pt idx="98">
                  <c:v>31.325999999999997</c:v>
                </c:pt>
                <c:pt idx="99">
                  <c:v>31.325999999999997</c:v>
                </c:pt>
                <c:pt idx="100">
                  <c:v>31.325999999999997</c:v>
                </c:pt>
                <c:pt idx="101">
                  <c:v>31.325999999999997</c:v>
                </c:pt>
                <c:pt idx="102">
                  <c:v>31.325999999999997</c:v>
                </c:pt>
                <c:pt idx="103">
                  <c:v>31.325999999999997</c:v>
                </c:pt>
                <c:pt idx="104">
                  <c:v>31.325999999999997</c:v>
                </c:pt>
                <c:pt idx="105">
                  <c:v>31.325999999999997</c:v>
                </c:pt>
                <c:pt idx="106">
                  <c:v>31.325999999999997</c:v>
                </c:pt>
                <c:pt idx="107">
                  <c:v>31.325999999999997</c:v>
                </c:pt>
                <c:pt idx="108">
                  <c:v>31.325999999999997</c:v>
                </c:pt>
                <c:pt idx="109">
                  <c:v>31.325999999999997</c:v>
                </c:pt>
                <c:pt idx="110">
                  <c:v>31.325999999999997</c:v>
                </c:pt>
                <c:pt idx="111">
                  <c:v>31.325999999999997</c:v>
                </c:pt>
                <c:pt idx="112">
                  <c:v>31.325999999999997</c:v>
                </c:pt>
                <c:pt idx="113">
                  <c:v>31.325999999999997</c:v>
                </c:pt>
                <c:pt idx="114">
                  <c:v>31.325999999999997</c:v>
                </c:pt>
                <c:pt idx="115">
                  <c:v>31.325999999999997</c:v>
                </c:pt>
                <c:pt idx="116">
                  <c:v>31.325999999999997</c:v>
                </c:pt>
                <c:pt idx="117">
                  <c:v>31.325999999999997</c:v>
                </c:pt>
                <c:pt idx="118">
                  <c:v>31.325999999999997</c:v>
                </c:pt>
                <c:pt idx="119">
                  <c:v>31.325999999999997</c:v>
                </c:pt>
                <c:pt idx="120">
                  <c:v>31.325999999999997</c:v>
                </c:pt>
                <c:pt idx="121">
                  <c:v>31.325999999999997</c:v>
                </c:pt>
                <c:pt idx="122">
                  <c:v>31.325999999999997</c:v>
                </c:pt>
                <c:pt idx="123">
                  <c:v>31.325999999999997</c:v>
                </c:pt>
                <c:pt idx="124">
                  <c:v>31.325999999999997</c:v>
                </c:pt>
                <c:pt idx="125">
                  <c:v>31.325999999999997</c:v>
                </c:pt>
                <c:pt idx="126">
                  <c:v>31.325999999999997</c:v>
                </c:pt>
                <c:pt idx="127">
                  <c:v>31.325999999999997</c:v>
                </c:pt>
                <c:pt idx="128">
                  <c:v>31.325999999999997</c:v>
                </c:pt>
                <c:pt idx="129">
                  <c:v>31.325999999999997</c:v>
                </c:pt>
                <c:pt idx="130">
                  <c:v>31.325999999999997</c:v>
                </c:pt>
                <c:pt idx="131">
                  <c:v>31.325999999999997</c:v>
                </c:pt>
                <c:pt idx="132">
                  <c:v>31.325999999999997</c:v>
                </c:pt>
                <c:pt idx="133">
                  <c:v>31.325999999999997</c:v>
                </c:pt>
                <c:pt idx="134">
                  <c:v>31.325999999999997</c:v>
                </c:pt>
                <c:pt idx="135">
                  <c:v>31.325999999999997</c:v>
                </c:pt>
                <c:pt idx="136">
                  <c:v>31.325999999999997</c:v>
                </c:pt>
                <c:pt idx="137">
                  <c:v>31.325999999999997</c:v>
                </c:pt>
                <c:pt idx="138">
                  <c:v>31.325999999999997</c:v>
                </c:pt>
                <c:pt idx="139">
                  <c:v>31.325999999999997</c:v>
                </c:pt>
                <c:pt idx="140">
                  <c:v>31.325999999999997</c:v>
                </c:pt>
                <c:pt idx="141">
                  <c:v>31.325999999999997</c:v>
                </c:pt>
                <c:pt idx="142">
                  <c:v>31.325999999999997</c:v>
                </c:pt>
                <c:pt idx="143">
                  <c:v>31.325999999999997</c:v>
                </c:pt>
                <c:pt idx="144">
                  <c:v>31.325999999999997</c:v>
                </c:pt>
                <c:pt idx="145">
                  <c:v>31.325999999999997</c:v>
                </c:pt>
                <c:pt idx="146">
                  <c:v>31.325999999999997</c:v>
                </c:pt>
                <c:pt idx="147">
                  <c:v>31.325999999999997</c:v>
                </c:pt>
                <c:pt idx="148">
                  <c:v>31.325999999999997</c:v>
                </c:pt>
                <c:pt idx="149">
                  <c:v>31.325999999999997</c:v>
                </c:pt>
                <c:pt idx="150">
                  <c:v>31.325999999999997</c:v>
                </c:pt>
                <c:pt idx="151">
                  <c:v>31.325999999999997</c:v>
                </c:pt>
                <c:pt idx="152">
                  <c:v>31.325999999999997</c:v>
                </c:pt>
                <c:pt idx="153">
                  <c:v>31.325999999999997</c:v>
                </c:pt>
                <c:pt idx="154">
                  <c:v>31.325999999999997</c:v>
                </c:pt>
                <c:pt idx="155">
                  <c:v>31.325999999999997</c:v>
                </c:pt>
                <c:pt idx="156">
                  <c:v>31.325999999999997</c:v>
                </c:pt>
                <c:pt idx="157">
                  <c:v>31.325999999999997</c:v>
                </c:pt>
                <c:pt idx="158">
                  <c:v>31.325999999999997</c:v>
                </c:pt>
                <c:pt idx="159">
                  <c:v>31.325999999999997</c:v>
                </c:pt>
                <c:pt idx="160">
                  <c:v>31.325999999999997</c:v>
                </c:pt>
                <c:pt idx="161">
                  <c:v>31.325999999999997</c:v>
                </c:pt>
                <c:pt idx="162">
                  <c:v>31.325999999999997</c:v>
                </c:pt>
                <c:pt idx="163">
                  <c:v>31.325999999999997</c:v>
                </c:pt>
                <c:pt idx="164">
                  <c:v>31.325999999999997</c:v>
                </c:pt>
                <c:pt idx="165">
                  <c:v>31.325999999999997</c:v>
                </c:pt>
                <c:pt idx="166">
                  <c:v>31.325999999999997</c:v>
                </c:pt>
                <c:pt idx="167">
                  <c:v>31.325999999999997</c:v>
                </c:pt>
                <c:pt idx="168">
                  <c:v>31.325999999999997</c:v>
                </c:pt>
                <c:pt idx="169">
                  <c:v>31.325999999999997</c:v>
                </c:pt>
                <c:pt idx="170">
                  <c:v>31.325999999999997</c:v>
                </c:pt>
                <c:pt idx="171">
                  <c:v>31.325999999999997</c:v>
                </c:pt>
                <c:pt idx="172">
                  <c:v>31.325999999999997</c:v>
                </c:pt>
                <c:pt idx="173">
                  <c:v>31.325999999999997</c:v>
                </c:pt>
                <c:pt idx="174">
                  <c:v>31.325999999999997</c:v>
                </c:pt>
                <c:pt idx="175">
                  <c:v>31.325999999999997</c:v>
                </c:pt>
                <c:pt idx="176">
                  <c:v>31.325999999999997</c:v>
                </c:pt>
                <c:pt idx="177">
                  <c:v>31.325999999999997</c:v>
                </c:pt>
                <c:pt idx="178">
                  <c:v>31.325999999999997</c:v>
                </c:pt>
                <c:pt idx="179">
                  <c:v>31.325999999999997</c:v>
                </c:pt>
                <c:pt idx="180">
                  <c:v>31.325999999999997</c:v>
                </c:pt>
                <c:pt idx="181">
                  <c:v>31.325999999999997</c:v>
                </c:pt>
                <c:pt idx="182">
                  <c:v>31.325999999999997</c:v>
                </c:pt>
                <c:pt idx="183">
                  <c:v>31.325999999999997</c:v>
                </c:pt>
                <c:pt idx="184">
                  <c:v>31.325999999999997</c:v>
                </c:pt>
                <c:pt idx="185">
                  <c:v>31.325999999999997</c:v>
                </c:pt>
                <c:pt idx="186">
                  <c:v>31.325999999999997</c:v>
                </c:pt>
                <c:pt idx="187">
                  <c:v>31.325999999999997</c:v>
                </c:pt>
                <c:pt idx="188">
                  <c:v>31.325999999999997</c:v>
                </c:pt>
                <c:pt idx="189">
                  <c:v>31.325999999999997</c:v>
                </c:pt>
                <c:pt idx="190">
                  <c:v>31.325999999999997</c:v>
                </c:pt>
                <c:pt idx="191">
                  <c:v>31.325999999999997</c:v>
                </c:pt>
                <c:pt idx="192">
                  <c:v>31.325999999999997</c:v>
                </c:pt>
                <c:pt idx="193">
                  <c:v>31.325999999999997</c:v>
                </c:pt>
                <c:pt idx="194">
                  <c:v>31.325999999999997</c:v>
                </c:pt>
                <c:pt idx="195">
                  <c:v>31.325999999999997</c:v>
                </c:pt>
                <c:pt idx="196">
                  <c:v>31.325999999999997</c:v>
                </c:pt>
                <c:pt idx="197">
                  <c:v>31.325999999999997</c:v>
                </c:pt>
                <c:pt idx="198">
                  <c:v>31.325999999999997</c:v>
                </c:pt>
                <c:pt idx="199">
                  <c:v>31.325999999999997</c:v>
                </c:pt>
                <c:pt idx="200">
                  <c:v>31.325999999999997</c:v>
                </c:pt>
                <c:pt idx="201">
                  <c:v>31.325999999999997</c:v>
                </c:pt>
                <c:pt idx="202">
                  <c:v>31.325999999999997</c:v>
                </c:pt>
                <c:pt idx="203">
                  <c:v>31.325999999999997</c:v>
                </c:pt>
                <c:pt idx="204">
                  <c:v>31.325999999999997</c:v>
                </c:pt>
                <c:pt idx="205">
                  <c:v>31.325999999999997</c:v>
                </c:pt>
                <c:pt idx="206">
                  <c:v>31.325999999999997</c:v>
                </c:pt>
                <c:pt idx="207">
                  <c:v>31.325999999999997</c:v>
                </c:pt>
                <c:pt idx="208">
                  <c:v>31.325999999999997</c:v>
                </c:pt>
                <c:pt idx="209">
                  <c:v>31.325999999999997</c:v>
                </c:pt>
                <c:pt idx="210">
                  <c:v>31.325999999999997</c:v>
                </c:pt>
                <c:pt idx="211">
                  <c:v>31.325999999999997</c:v>
                </c:pt>
                <c:pt idx="212">
                  <c:v>31.325999999999997</c:v>
                </c:pt>
                <c:pt idx="213">
                  <c:v>31.325999999999997</c:v>
                </c:pt>
                <c:pt idx="214">
                  <c:v>31.325999999999997</c:v>
                </c:pt>
                <c:pt idx="215">
                  <c:v>31.325999999999997</c:v>
                </c:pt>
                <c:pt idx="216">
                  <c:v>31.325999999999997</c:v>
                </c:pt>
                <c:pt idx="217">
                  <c:v>31.325999999999997</c:v>
                </c:pt>
                <c:pt idx="218">
                  <c:v>31.325999999999997</c:v>
                </c:pt>
                <c:pt idx="219">
                  <c:v>31.325999999999997</c:v>
                </c:pt>
                <c:pt idx="220">
                  <c:v>31.325999999999997</c:v>
                </c:pt>
                <c:pt idx="221">
                  <c:v>31.325999999999997</c:v>
                </c:pt>
                <c:pt idx="222">
                  <c:v>31.325999999999997</c:v>
                </c:pt>
                <c:pt idx="223">
                  <c:v>31.325999999999997</c:v>
                </c:pt>
                <c:pt idx="224">
                  <c:v>31.325999999999997</c:v>
                </c:pt>
                <c:pt idx="225">
                  <c:v>31.325999999999997</c:v>
                </c:pt>
                <c:pt idx="226">
                  <c:v>31.325999999999997</c:v>
                </c:pt>
                <c:pt idx="227">
                  <c:v>31.325999999999997</c:v>
                </c:pt>
                <c:pt idx="228">
                  <c:v>31.325999999999997</c:v>
                </c:pt>
                <c:pt idx="229">
                  <c:v>31.325999999999997</c:v>
                </c:pt>
                <c:pt idx="230">
                  <c:v>31.325999999999997</c:v>
                </c:pt>
                <c:pt idx="231">
                  <c:v>31.325999999999997</c:v>
                </c:pt>
                <c:pt idx="232">
                  <c:v>31.325999999999997</c:v>
                </c:pt>
                <c:pt idx="233">
                  <c:v>31.325999999999997</c:v>
                </c:pt>
                <c:pt idx="234">
                  <c:v>31.325999999999997</c:v>
                </c:pt>
                <c:pt idx="235">
                  <c:v>31.325999999999997</c:v>
                </c:pt>
                <c:pt idx="236">
                  <c:v>31.325999999999997</c:v>
                </c:pt>
                <c:pt idx="237">
                  <c:v>31.325999999999997</c:v>
                </c:pt>
                <c:pt idx="238">
                  <c:v>31.325999999999997</c:v>
                </c:pt>
                <c:pt idx="239">
                  <c:v>31.325999999999997</c:v>
                </c:pt>
                <c:pt idx="240">
                  <c:v>31.325999999999997</c:v>
                </c:pt>
                <c:pt idx="241">
                  <c:v>31.325999999999997</c:v>
                </c:pt>
                <c:pt idx="242">
                  <c:v>31.325999999999997</c:v>
                </c:pt>
                <c:pt idx="243">
                  <c:v>31.325999999999997</c:v>
                </c:pt>
                <c:pt idx="244">
                  <c:v>31.325999999999997</c:v>
                </c:pt>
                <c:pt idx="245">
                  <c:v>31.325999999999997</c:v>
                </c:pt>
                <c:pt idx="246">
                  <c:v>31.325999999999997</c:v>
                </c:pt>
                <c:pt idx="247">
                  <c:v>31.325999999999997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405120"/>
        <c:axId val="196406656"/>
      </c:lineChart>
      <c:catAx>
        <c:axId val="196405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96406656"/>
        <c:crosses val="autoZero"/>
        <c:auto val="1"/>
        <c:lblAlgn val="ctr"/>
        <c:lblOffset val="100"/>
        <c:noMultiLvlLbl val="0"/>
      </c:catAx>
      <c:valAx>
        <c:axId val="196406656"/>
        <c:scaling>
          <c:orientation val="minMax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6405120"/>
        <c:crosses val="autoZero"/>
        <c:crossBetween val="between"/>
      </c:valAx>
    </c:plotArea>
    <c:legend>
      <c:legendPos val="b"/>
      <c:layout/>
      <c:overlay val="0"/>
    </c:legend>
    <c:plotVisOnly val="0"/>
    <c:dispBlanksAs val="zero"/>
    <c:showDLblsOverMax val="0"/>
  </c:chart>
  <c:printSettings>
    <c:headerFooter>
      <c:oddHeader>&amp;L&amp;"-,Gras"BELIER ASSOCIES&amp;C&amp;"-,Gras"&amp;14Simulation 
DD MRP&amp;"-,Normal"&amp;11
&amp;R&amp;D</c:oddHeader>
    </c:headerFooter>
    <c:pageMargins b="0.74803149606299213" l="0.70866141732283472" r="0.70866141732283472" t="0.74803149606299213" header="0.31496062992125984" footer="0.31496062992125984"/>
    <c:pageSetup paperSize="9" orientation="landscape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4"/>
          <c:order val="0"/>
          <c:tx>
            <c:strRef>
              <c:f>'simulation commandes'!$B$4</c:f>
              <c:strCache>
                <c:ptCount val="1"/>
                <c:pt idx="0">
                  <c:v>qte commande client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val>
            <c:numRef>
              <c:f>'simulation commandes'!$B$5:$B$252</c:f>
              <c:numCache>
                <c:formatCode>General</c:formatCode>
                <c:ptCount val="248"/>
                <c:pt idx="4">
                  <c:v>11</c:v>
                </c:pt>
                <c:pt idx="8">
                  <c:v>1</c:v>
                </c:pt>
                <c:pt idx="13">
                  <c:v>4</c:v>
                </c:pt>
                <c:pt idx="16">
                  <c:v>10</c:v>
                </c:pt>
                <c:pt idx="22">
                  <c:v>2</c:v>
                </c:pt>
                <c:pt idx="30">
                  <c:v>1</c:v>
                </c:pt>
                <c:pt idx="31">
                  <c:v>8</c:v>
                </c:pt>
                <c:pt idx="32">
                  <c:v>2</c:v>
                </c:pt>
                <c:pt idx="37">
                  <c:v>15</c:v>
                </c:pt>
                <c:pt idx="45">
                  <c:v>2</c:v>
                </c:pt>
                <c:pt idx="47">
                  <c:v>1</c:v>
                </c:pt>
                <c:pt idx="48">
                  <c:v>6</c:v>
                </c:pt>
                <c:pt idx="53">
                  <c:v>10</c:v>
                </c:pt>
                <c:pt idx="56">
                  <c:v>2</c:v>
                </c:pt>
                <c:pt idx="57">
                  <c:v>2</c:v>
                </c:pt>
                <c:pt idx="59">
                  <c:v>2</c:v>
                </c:pt>
                <c:pt idx="62">
                  <c:v>34</c:v>
                </c:pt>
                <c:pt idx="63">
                  <c:v>2</c:v>
                </c:pt>
                <c:pt idx="66">
                  <c:v>10</c:v>
                </c:pt>
                <c:pt idx="70">
                  <c:v>1</c:v>
                </c:pt>
                <c:pt idx="71">
                  <c:v>2</c:v>
                </c:pt>
                <c:pt idx="74">
                  <c:v>1</c:v>
                </c:pt>
                <c:pt idx="75">
                  <c:v>1</c:v>
                </c:pt>
                <c:pt idx="78">
                  <c:v>1</c:v>
                </c:pt>
                <c:pt idx="79">
                  <c:v>14</c:v>
                </c:pt>
                <c:pt idx="81">
                  <c:v>7</c:v>
                </c:pt>
                <c:pt idx="82">
                  <c:v>3</c:v>
                </c:pt>
                <c:pt idx="83">
                  <c:v>1</c:v>
                </c:pt>
                <c:pt idx="84">
                  <c:v>26</c:v>
                </c:pt>
                <c:pt idx="87">
                  <c:v>10</c:v>
                </c:pt>
                <c:pt idx="90">
                  <c:v>1</c:v>
                </c:pt>
                <c:pt idx="91">
                  <c:v>6</c:v>
                </c:pt>
                <c:pt idx="96">
                  <c:v>1</c:v>
                </c:pt>
                <c:pt idx="99">
                  <c:v>6</c:v>
                </c:pt>
                <c:pt idx="105">
                  <c:v>18</c:v>
                </c:pt>
                <c:pt idx="106">
                  <c:v>1</c:v>
                </c:pt>
                <c:pt idx="108">
                  <c:v>3</c:v>
                </c:pt>
                <c:pt idx="109">
                  <c:v>2</c:v>
                </c:pt>
                <c:pt idx="111">
                  <c:v>2</c:v>
                </c:pt>
                <c:pt idx="112">
                  <c:v>3</c:v>
                </c:pt>
                <c:pt idx="114">
                  <c:v>14</c:v>
                </c:pt>
                <c:pt idx="117">
                  <c:v>6</c:v>
                </c:pt>
                <c:pt idx="118">
                  <c:v>4</c:v>
                </c:pt>
                <c:pt idx="120">
                  <c:v>2</c:v>
                </c:pt>
                <c:pt idx="125">
                  <c:v>8</c:v>
                </c:pt>
                <c:pt idx="134">
                  <c:v>1</c:v>
                </c:pt>
                <c:pt idx="139">
                  <c:v>2</c:v>
                </c:pt>
                <c:pt idx="143">
                  <c:v>1</c:v>
                </c:pt>
                <c:pt idx="145">
                  <c:v>4</c:v>
                </c:pt>
                <c:pt idx="150">
                  <c:v>1</c:v>
                </c:pt>
                <c:pt idx="151">
                  <c:v>2</c:v>
                </c:pt>
                <c:pt idx="162">
                  <c:v>8</c:v>
                </c:pt>
                <c:pt idx="164">
                  <c:v>5</c:v>
                </c:pt>
                <c:pt idx="169">
                  <c:v>6</c:v>
                </c:pt>
                <c:pt idx="173">
                  <c:v>1</c:v>
                </c:pt>
                <c:pt idx="179">
                  <c:v>4</c:v>
                </c:pt>
                <c:pt idx="181">
                  <c:v>10</c:v>
                </c:pt>
                <c:pt idx="185">
                  <c:v>1</c:v>
                </c:pt>
                <c:pt idx="186">
                  <c:v>7</c:v>
                </c:pt>
                <c:pt idx="187">
                  <c:v>5</c:v>
                </c:pt>
                <c:pt idx="189">
                  <c:v>10</c:v>
                </c:pt>
                <c:pt idx="199">
                  <c:v>1</c:v>
                </c:pt>
                <c:pt idx="203">
                  <c:v>2</c:v>
                </c:pt>
                <c:pt idx="204">
                  <c:v>30</c:v>
                </c:pt>
                <c:pt idx="206">
                  <c:v>7</c:v>
                </c:pt>
                <c:pt idx="207">
                  <c:v>5</c:v>
                </c:pt>
                <c:pt idx="210">
                  <c:v>5</c:v>
                </c:pt>
                <c:pt idx="213">
                  <c:v>9</c:v>
                </c:pt>
                <c:pt idx="214">
                  <c:v>2</c:v>
                </c:pt>
                <c:pt idx="218">
                  <c:v>7</c:v>
                </c:pt>
                <c:pt idx="220">
                  <c:v>2</c:v>
                </c:pt>
                <c:pt idx="222">
                  <c:v>9</c:v>
                </c:pt>
                <c:pt idx="223">
                  <c:v>6</c:v>
                </c:pt>
                <c:pt idx="225">
                  <c:v>1</c:v>
                </c:pt>
                <c:pt idx="226">
                  <c:v>6</c:v>
                </c:pt>
                <c:pt idx="228">
                  <c:v>2</c:v>
                </c:pt>
                <c:pt idx="231">
                  <c:v>2</c:v>
                </c:pt>
                <c:pt idx="232">
                  <c:v>12</c:v>
                </c:pt>
                <c:pt idx="235">
                  <c:v>6</c:v>
                </c:pt>
                <c:pt idx="238">
                  <c:v>5</c:v>
                </c:pt>
                <c:pt idx="239">
                  <c:v>8</c:v>
                </c:pt>
                <c:pt idx="243">
                  <c:v>1</c:v>
                </c:pt>
                <c:pt idx="245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372736"/>
        <c:axId val="194374272"/>
      </c:barChart>
      <c:lineChart>
        <c:grouping val="standard"/>
        <c:varyColors val="0"/>
        <c:ser>
          <c:idx val="5"/>
          <c:order val="1"/>
          <c:tx>
            <c:strRef>
              <c:f>'simulation commandes'!$P$4</c:f>
              <c:strCache>
                <c:ptCount val="1"/>
                <c:pt idx="0">
                  <c:v>CMJ prévue</c:v>
                </c:pt>
              </c:strCache>
            </c:strRef>
          </c:tx>
          <c:marker>
            <c:symbol val="none"/>
          </c:marker>
          <c:val>
            <c:numRef>
              <c:f>'simulation commandes'!$P$5:$P$252</c:f>
              <c:numCache>
                <c:formatCode>0.0</c:formatCode>
                <c:ptCount val="248"/>
                <c:pt idx="0">
                  <c:v>2.27</c:v>
                </c:pt>
                <c:pt idx="1">
                  <c:v>2.27</c:v>
                </c:pt>
                <c:pt idx="2">
                  <c:v>2.27</c:v>
                </c:pt>
                <c:pt idx="3">
                  <c:v>2.27</c:v>
                </c:pt>
                <c:pt idx="4">
                  <c:v>2.27</c:v>
                </c:pt>
                <c:pt idx="5">
                  <c:v>2.27</c:v>
                </c:pt>
                <c:pt idx="6">
                  <c:v>2.27</c:v>
                </c:pt>
                <c:pt idx="7">
                  <c:v>2.27</c:v>
                </c:pt>
                <c:pt idx="8">
                  <c:v>2.27</c:v>
                </c:pt>
                <c:pt idx="9">
                  <c:v>2.27</c:v>
                </c:pt>
                <c:pt idx="10">
                  <c:v>2.27</c:v>
                </c:pt>
                <c:pt idx="11">
                  <c:v>2.27</c:v>
                </c:pt>
                <c:pt idx="12">
                  <c:v>2.27</c:v>
                </c:pt>
                <c:pt idx="13">
                  <c:v>2.27</c:v>
                </c:pt>
                <c:pt idx="14">
                  <c:v>2.27</c:v>
                </c:pt>
                <c:pt idx="15">
                  <c:v>2.27</c:v>
                </c:pt>
                <c:pt idx="16">
                  <c:v>2.27</c:v>
                </c:pt>
                <c:pt idx="17">
                  <c:v>2.27</c:v>
                </c:pt>
                <c:pt idx="18">
                  <c:v>2.27</c:v>
                </c:pt>
                <c:pt idx="19">
                  <c:v>2.27</c:v>
                </c:pt>
                <c:pt idx="20">
                  <c:v>2.27</c:v>
                </c:pt>
                <c:pt idx="21">
                  <c:v>2.27</c:v>
                </c:pt>
                <c:pt idx="22">
                  <c:v>2.27</c:v>
                </c:pt>
                <c:pt idx="23">
                  <c:v>2.27</c:v>
                </c:pt>
                <c:pt idx="24">
                  <c:v>2.27</c:v>
                </c:pt>
                <c:pt idx="25">
                  <c:v>2.27</c:v>
                </c:pt>
                <c:pt idx="26">
                  <c:v>3.5</c:v>
                </c:pt>
                <c:pt idx="27">
                  <c:v>3.5</c:v>
                </c:pt>
                <c:pt idx="28">
                  <c:v>3.5</c:v>
                </c:pt>
                <c:pt idx="29">
                  <c:v>3.5</c:v>
                </c:pt>
                <c:pt idx="30">
                  <c:v>3.5</c:v>
                </c:pt>
                <c:pt idx="31">
                  <c:v>3.5</c:v>
                </c:pt>
                <c:pt idx="32">
                  <c:v>3.5</c:v>
                </c:pt>
                <c:pt idx="33">
                  <c:v>3.5</c:v>
                </c:pt>
                <c:pt idx="34">
                  <c:v>3.5</c:v>
                </c:pt>
                <c:pt idx="35">
                  <c:v>3.5</c:v>
                </c:pt>
                <c:pt idx="36">
                  <c:v>3.5</c:v>
                </c:pt>
                <c:pt idx="37">
                  <c:v>3.5</c:v>
                </c:pt>
                <c:pt idx="38">
                  <c:v>3.5</c:v>
                </c:pt>
                <c:pt idx="39">
                  <c:v>3.5</c:v>
                </c:pt>
                <c:pt idx="40">
                  <c:v>3.5</c:v>
                </c:pt>
                <c:pt idx="41">
                  <c:v>3.5</c:v>
                </c:pt>
                <c:pt idx="42">
                  <c:v>2.27</c:v>
                </c:pt>
                <c:pt idx="43">
                  <c:v>2.27</c:v>
                </c:pt>
                <c:pt idx="44">
                  <c:v>2.27</c:v>
                </c:pt>
                <c:pt idx="45">
                  <c:v>2.27</c:v>
                </c:pt>
                <c:pt idx="46">
                  <c:v>2.27</c:v>
                </c:pt>
                <c:pt idx="47">
                  <c:v>2.27</c:v>
                </c:pt>
                <c:pt idx="48">
                  <c:v>2.27</c:v>
                </c:pt>
                <c:pt idx="49">
                  <c:v>2.27</c:v>
                </c:pt>
                <c:pt idx="50">
                  <c:v>2.27</c:v>
                </c:pt>
                <c:pt idx="51">
                  <c:v>2.27</c:v>
                </c:pt>
                <c:pt idx="52">
                  <c:v>2.27</c:v>
                </c:pt>
                <c:pt idx="53">
                  <c:v>2.27</c:v>
                </c:pt>
                <c:pt idx="54">
                  <c:v>2.27</c:v>
                </c:pt>
                <c:pt idx="55">
                  <c:v>2.27</c:v>
                </c:pt>
                <c:pt idx="56">
                  <c:v>2.27</c:v>
                </c:pt>
                <c:pt idx="57">
                  <c:v>2.27</c:v>
                </c:pt>
                <c:pt idx="58">
                  <c:v>2.27</c:v>
                </c:pt>
                <c:pt idx="59">
                  <c:v>2.27</c:v>
                </c:pt>
                <c:pt idx="60">
                  <c:v>2.27</c:v>
                </c:pt>
                <c:pt idx="61">
                  <c:v>2.27</c:v>
                </c:pt>
                <c:pt idx="62">
                  <c:v>2.27</c:v>
                </c:pt>
                <c:pt idx="63">
                  <c:v>2.27</c:v>
                </c:pt>
                <c:pt idx="64">
                  <c:v>2.27</c:v>
                </c:pt>
                <c:pt idx="65">
                  <c:v>2.27</c:v>
                </c:pt>
                <c:pt idx="66">
                  <c:v>2.27</c:v>
                </c:pt>
                <c:pt idx="67">
                  <c:v>2.27</c:v>
                </c:pt>
                <c:pt idx="68">
                  <c:v>2.27</c:v>
                </c:pt>
                <c:pt idx="69">
                  <c:v>2.27</c:v>
                </c:pt>
                <c:pt idx="70">
                  <c:v>2.27</c:v>
                </c:pt>
                <c:pt idx="71">
                  <c:v>2.27</c:v>
                </c:pt>
                <c:pt idx="72">
                  <c:v>2.27</c:v>
                </c:pt>
                <c:pt idx="73">
                  <c:v>2.27</c:v>
                </c:pt>
                <c:pt idx="74">
                  <c:v>2.27</c:v>
                </c:pt>
                <c:pt idx="75">
                  <c:v>2.27</c:v>
                </c:pt>
                <c:pt idx="76">
                  <c:v>2.27</c:v>
                </c:pt>
                <c:pt idx="77">
                  <c:v>2.27</c:v>
                </c:pt>
                <c:pt idx="78">
                  <c:v>2.27</c:v>
                </c:pt>
                <c:pt idx="79">
                  <c:v>2.27</c:v>
                </c:pt>
                <c:pt idx="80">
                  <c:v>2.27</c:v>
                </c:pt>
                <c:pt idx="81">
                  <c:v>2.27</c:v>
                </c:pt>
                <c:pt idx="82">
                  <c:v>2.27</c:v>
                </c:pt>
                <c:pt idx="83">
                  <c:v>2.27</c:v>
                </c:pt>
                <c:pt idx="84">
                  <c:v>2.27</c:v>
                </c:pt>
                <c:pt idx="85">
                  <c:v>2.27</c:v>
                </c:pt>
                <c:pt idx="86">
                  <c:v>2.27</c:v>
                </c:pt>
                <c:pt idx="87">
                  <c:v>2.27</c:v>
                </c:pt>
                <c:pt idx="88">
                  <c:v>2.27</c:v>
                </c:pt>
                <c:pt idx="89">
                  <c:v>2.27</c:v>
                </c:pt>
                <c:pt idx="90">
                  <c:v>2.27</c:v>
                </c:pt>
                <c:pt idx="91">
                  <c:v>2.27</c:v>
                </c:pt>
                <c:pt idx="92">
                  <c:v>2.27</c:v>
                </c:pt>
                <c:pt idx="93">
                  <c:v>2.27</c:v>
                </c:pt>
                <c:pt idx="94">
                  <c:v>2.27</c:v>
                </c:pt>
                <c:pt idx="95">
                  <c:v>2.27</c:v>
                </c:pt>
                <c:pt idx="96">
                  <c:v>2.27</c:v>
                </c:pt>
                <c:pt idx="97">
                  <c:v>2.27</c:v>
                </c:pt>
                <c:pt idx="98">
                  <c:v>2.27</c:v>
                </c:pt>
                <c:pt idx="99">
                  <c:v>2.27</c:v>
                </c:pt>
                <c:pt idx="100">
                  <c:v>2.27</c:v>
                </c:pt>
                <c:pt idx="101">
                  <c:v>2.27</c:v>
                </c:pt>
                <c:pt idx="102">
                  <c:v>2.27</c:v>
                </c:pt>
                <c:pt idx="103">
                  <c:v>2.27</c:v>
                </c:pt>
                <c:pt idx="104">
                  <c:v>2.27</c:v>
                </c:pt>
                <c:pt idx="105">
                  <c:v>2.27</c:v>
                </c:pt>
                <c:pt idx="106">
                  <c:v>2.27</c:v>
                </c:pt>
                <c:pt idx="107">
                  <c:v>2.27</c:v>
                </c:pt>
                <c:pt idx="108">
                  <c:v>2.27</c:v>
                </c:pt>
                <c:pt idx="109">
                  <c:v>2.27</c:v>
                </c:pt>
                <c:pt idx="110">
                  <c:v>2.27</c:v>
                </c:pt>
                <c:pt idx="111">
                  <c:v>2.27</c:v>
                </c:pt>
                <c:pt idx="112">
                  <c:v>2.27</c:v>
                </c:pt>
                <c:pt idx="113">
                  <c:v>2.27</c:v>
                </c:pt>
                <c:pt idx="114">
                  <c:v>2.27</c:v>
                </c:pt>
                <c:pt idx="115">
                  <c:v>2.27</c:v>
                </c:pt>
                <c:pt idx="116">
                  <c:v>2.27</c:v>
                </c:pt>
                <c:pt idx="117">
                  <c:v>2.27</c:v>
                </c:pt>
                <c:pt idx="118">
                  <c:v>2.27</c:v>
                </c:pt>
                <c:pt idx="119">
                  <c:v>2.27</c:v>
                </c:pt>
                <c:pt idx="120">
                  <c:v>2.27</c:v>
                </c:pt>
                <c:pt idx="121">
                  <c:v>2.27</c:v>
                </c:pt>
                <c:pt idx="122">
                  <c:v>2.27</c:v>
                </c:pt>
                <c:pt idx="123">
                  <c:v>2.27</c:v>
                </c:pt>
                <c:pt idx="124">
                  <c:v>2.27</c:v>
                </c:pt>
                <c:pt idx="125">
                  <c:v>2.27</c:v>
                </c:pt>
                <c:pt idx="126">
                  <c:v>2.27</c:v>
                </c:pt>
                <c:pt idx="127">
                  <c:v>2.27</c:v>
                </c:pt>
                <c:pt idx="128">
                  <c:v>2.27</c:v>
                </c:pt>
                <c:pt idx="129">
                  <c:v>2.27</c:v>
                </c:pt>
                <c:pt idx="130">
                  <c:v>2.27</c:v>
                </c:pt>
                <c:pt idx="131">
                  <c:v>2.27</c:v>
                </c:pt>
                <c:pt idx="132">
                  <c:v>2.27</c:v>
                </c:pt>
                <c:pt idx="133">
                  <c:v>2.27</c:v>
                </c:pt>
                <c:pt idx="134">
                  <c:v>2.27</c:v>
                </c:pt>
                <c:pt idx="135">
                  <c:v>2.27</c:v>
                </c:pt>
                <c:pt idx="136">
                  <c:v>2.27</c:v>
                </c:pt>
                <c:pt idx="137">
                  <c:v>2.27</c:v>
                </c:pt>
                <c:pt idx="138">
                  <c:v>2.27</c:v>
                </c:pt>
                <c:pt idx="139">
                  <c:v>2.27</c:v>
                </c:pt>
                <c:pt idx="140">
                  <c:v>2.27</c:v>
                </c:pt>
                <c:pt idx="141">
                  <c:v>2.27</c:v>
                </c:pt>
                <c:pt idx="142">
                  <c:v>2.27</c:v>
                </c:pt>
                <c:pt idx="143">
                  <c:v>2.27</c:v>
                </c:pt>
                <c:pt idx="144">
                  <c:v>2.27</c:v>
                </c:pt>
                <c:pt idx="145">
                  <c:v>2.27</c:v>
                </c:pt>
                <c:pt idx="146">
                  <c:v>2.27</c:v>
                </c:pt>
                <c:pt idx="147">
                  <c:v>2.27</c:v>
                </c:pt>
                <c:pt idx="148">
                  <c:v>2.27</c:v>
                </c:pt>
                <c:pt idx="149">
                  <c:v>2.27</c:v>
                </c:pt>
                <c:pt idx="150">
                  <c:v>2.27</c:v>
                </c:pt>
                <c:pt idx="151">
                  <c:v>2.27</c:v>
                </c:pt>
                <c:pt idx="152">
                  <c:v>2.27</c:v>
                </c:pt>
                <c:pt idx="153">
                  <c:v>2.27</c:v>
                </c:pt>
                <c:pt idx="154">
                  <c:v>2.27</c:v>
                </c:pt>
                <c:pt idx="155">
                  <c:v>2.27</c:v>
                </c:pt>
                <c:pt idx="156">
                  <c:v>2.27</c:v>
                </c:pt>
                <c:pt idx="157">
                  <c:v>2.27</c:v>
                </c:pt>
                <c:pt idx="158">
                  <c:v>2.27</c:v>
                </c:pt>
                <c:pt idx="159">
                  <c:v>2.27</c:v>
                </c:pt>
                <c:pt idx="160">
                  <c:v>2.27</c:v>
                </c:pt>
                <c:pt idx="161">
                  <c:v>2.27</c:v>
                </c:pt>
                <c:pt idx="162">
                  <c:v>2.27</c:v>
                </c:pt>
                <c:pt idx="163">
                  <c:v>2.27</c:v>
                </c:pt>
                <c:pt idx="164">
                  <c:v>2.27</c:v>
                </c:pt>
                <c:pt idx="165">
                  <c:v>2.27</c:v>
                </c:pt>
                <c:pt idx="166">
                  <c:v>2.27</c:v>
                </c:pt>
                <c:pt idx="167">
                  <c:v>2.27</c:v>
                </c:pt>
                <c:pt idx="168">
                  <c:v>2.27</c:v>
                </c:pt>
                <c:pt idx="169">
                  <c:v>2.27</c:v>
                </c:pt>
                <c:pt idx="170">
                  <c:v>2.27</c:v>
                </c:pt>
                <c:pt idx="171">
                  <c:v>2.27</c:v>
                </c:pt>
                <c:pt idx="172">
                  <c:v>2.27</c:v>
                </c:pt>
                <c:pt idx="173">
                  <c:v>2.27</c:v>
                </c:pt>
                <c:pt idx="174">
                  <c:v>2.27</c:v>
                </c:pt>
                <c:pt idx="175">
                  <c:v>2.27</c:v>
                </c:pt>
                <c:pt idx="176">
                  <c:v>2.27</c:v>
                </c:pt>
                <c:pt idx="177">
                  <c:v>2.27</c:v>
                </c:pt>
                <c:pt idx="178">
                  <c:v>2.27</c:v>
                </c:pt>
                <c:pt idx="179">
                  <c:v>2.27</c:v>
                </c:pt>
                <c:pt idx="180">
                  <c:v>2.27</c:v>
                </c:pt>
                <c:pt idx="181">
                  <c:v>2.27</c:v>
                </c:pt>
                <c:pt idx="182">
                  <c:v>2.27</c:v>
                </c:pt>
                <c:pt idx="183">
                  <c:v>2.27</c:v>
                </c:pt>
                <c:pt idx="184">
                  <c:v>2.27</c:v>
                </c:pt>
                <c:pt idx="185">
                  <c:v>2.27</c:v>
                </c:pt>
                <c:pt idx="186">
                  <c:v>2.27</c:v>
                </c:pt>
                <c:pt idx="187">
                  <c:v>2.27</c:v>
                </c:pt>
                <c:pt idx="188">
                  <c:v>2.27</c:v>
                </c:pt>
                <c:pt idx="189">
                  <c:v>2.27</c:v>
                </c:pt>
                <c:pt idx="190">
                  <c:v>2.27</c:v>
                </c:pt>
                <c:pt idx="191">
                  <c:v>2.27</c:v>
                </c:pt>
                <c:pt idx="192">
                  <c:v>2.27</c:v>
                </c:pt>
                <c:pt idx="193">
                  <c:v>2.27</c:v>
                </c:pt>
                <c:pt idx="194">
                  <c:v>2.27</c:v>
                </c:pt>
                <c:pt idx="195">
                  <c:v>2.27</c:v>
                </c:pt>
                <c:pt idx="196">
                  <c:v>2.27</c:v>
                </c:pt>
                <c:pt idx="197">
                  <c:v>2.27</c:v>
                </c:pt>
                <c:pt idx="198">
                  <c:v>2.27</c:v>
                </c:pt>
                <c:pt idx="199">
                  <c:v>2.27</c:v>
                </c:pt>
                <c:pt idx="200">
                  <c:v>2.27</c:v>
                </c:pt>
                <c:pt idx="201">
                  <c:v>2.27</c:v>
                </c:pt>
                <c:pt idx="202">
                  <c:v>2.27</c:v>
                </c:pt>
                <c:pt idx="203">
                  <c:v>2.27</c:v>
                </c:pt>
                <c:pt idx="204">
                  <c:v>2.27</c:v>
                </c:pt>
                <c:pt idx="205">
                  <c:v>2.27</c:v>
                </c:pt>
                <c:pt idx="206">
                  <c:v>2.27</c:v>
                </c:pt>
                <c:pt idx="207">
                  <c:v>2.27</c:v>
                </c:pt>
                <c:pt idx="208">
                  <c:v>2.27</c:v>
                </c:pt>
                <c:pt idx="209">
                  <c:v>2.27</c:v>
                </c:pt>
                <c:pt idx="210">
                  <c:v>2.27</c:v>
                </c:pt>
                <c:pt idx="211">
                  <c:v>2.27</c:v>
                </c:pt>
                <c:pt idx="212">
                  <c:v>2.27</c:v>
                </c:pt>
                <c:pt idx="213">
                  <c:v>2.27</c:v>
                </c:pt>
                <c:pt idx="214">
                  <c:v>2.27</c:v>
                </c:pt>
                <c:pt idx="215">
                  <c:v>2.27</c:v>
                </c:pt>
                <c:pt idx="216">
                  <c:v>2.27</c:v>
                </c:pt>
                <c:pt idx="217">
                  <c:v>2.27</c:v>
                </c:pt>
                <c:pt idx="218">
                  <c:v>2.27</c:v>
                </c:pt>
                <c:pt idx="219">
                  <c:v>2.27</c:v>
                </c:pt>
                <c:pt idx="220">
                  <c:v>2.27</c:v>
                </c:pt>
                <c:pt idx="221">
                  <c:v>2.27</c:v>
                </c:pt>
                <c:pt idx="222">
                  <c:v>2.27</c:v>
                </c:pt>
                <c:pt idx="223">
                  <c:v>2.27</c:v>
                </c:pt>
                <c:pt idx="224">
                  <c:v>2.27</c:v>
                </c:pt>
                <c:pt idx="225">
                  <c:v>2.27</c:v>
                </c:pt>
                <c:pt idx="226">
                  <c:v>2.27</c:v>
                </c:pt>
                <c:pt idx="227">
                  <c:v>2.27</c:v>
                </c:pt>
                <c:pt idx="228">
                  <c:v>2.27</c:v>
                </c:pt>
                <c:pt idx="229">
                  <c:v>2.27</c:v>
                </c:pt>
                <c:pt idx="230">
                  <c:v>2.27</c:v>
                </c:pt>
                <c:pt idx="231">
                  <c:v>2.27</c:v>
                </c:pt>
                <c:pt idx="232">
                  <c:v>2.27</c:v>
                </c:pt>
                <c:pt idx="233">
                  <c:v>2.27</c:v>
                </c:pt>
                <c:pt idx="234">
                  <c:v>2.27</c:v>
                </c:pt>
                <c:pt idx="235">
                  <c:v>2.27</c:v>
                </c:pt>
                <c:pt idx="236">
                  <c:v>2.27</c:v>
                </c:pt>
                <c:pt idx="237">
                  <c:v>2.27</c:v>
                </c:pt>
                <c:pt idx="238">
                  <c:v>2.27</c:v>
                </c:pt>
                <c:pt idx="239">
                  <c:v>2.27</c:v>
                </c:pt>
                <c:pt idx="240">
                  <c:v>2.27</c:v>
                </c:pt>
                <c:pt idx="241">
                  <c:v>2.27</c:v>
                </c:pt>
                <c:pt idx="242">
                  <c:v>2.27</c:v>
                </c:pt>
                <c:pt idx="243">
                  <c:v>2.27</c:v>
                </c:pt>
                <c:pt idx="244">
                  <c:v>2.27</c:v>
                </c:pt>
                <c:pt idx="245">
                  <c:v>2.27</c:v>
                </c:pt>
                <c:pt idx="246">
                  <c:v>2.27</c:v>
                </c:pt>
                <c:pt idx="247">
                  <c:v>2.27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'simulation commandes'!$L$4</c:f>
              <c:strCache>
                <c:ptCount val="1"/>
                <c:pt idx="0">
                  <c:v>seuil PIC</c:v>
                </c:pt>
              </c:strCache>
            </c:strRef>
          </c:tx>
          <c:spPr>
            <a:ln>
              <a:solidFill>
                <a:srgbClr val="FF0000"/>
              </a:solidFill>
              <a:prstDash val="dash"/>
            </a:ln>
          </c:spPr>
          <c:marker>
            <c:symbol val="none"/>
          </c:marker>
          <c:val>
            <c:numRef>
              <c:f>'simulation commandes'!$L$5:$L$252</c:f>
              <c:numCache>
                <c:formatCode>0</c:formatCode>
                <c:ptCount val="248"/>
                <c:pt idx="0">
                  <c:v>13</c:v>
                </c:pt>
                <c:pt idx="1">
                  <c:v>13</c:v>
                </c:pt>
                <c:pt idx="2">
                  <c:v>13</c:v>
                </c:pt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  <c:pt idx="10">
                  <c:v>13</c:v>
                </c:pt>
                <c:pt idx="11">
                  <c:v>13</c:v>
                </c:pt>
                <c:pt idx="12">
                  <c:v>13</c:v>
                </c:pt>
                <c:pt idx="13">
                  <c:v>13</c:v>
                </c:pt>
                <c:pt idx="14">
                  <c:v>13</c:v>
                </c:pt>
                <c:pt idx="15">
                  <c:v>13</c:v>
                </c:pt>
                <c:pt idx="16">
                  <c:v>13</c:v>
                </c:pt>
                <c:pt idx="17">
                  <c:v>13</c:v>
                </c:pt>
                <c:pt idx="18">
                  <c:v>13</c:v>
                </c:pt>
                <c:pt idx="19">
                  <c:v>13</c:v>
                </c:pt>
                <c:pt idx="20">
                  <c:v>13</c:v>
                </c:pt>
                <c:pt idx="21">
                  <c:v>13</c:v>
                </c:pt>
                <c:pt idx="22">
                  <c:v>13</c:v>
                </c:pt>
                <c:pt idx="23">
                  <c:v>13</c:v>
                </c:pt>
                <c:pt idx="24">
                  <c:v>13</c:v>
                </c:pt>
                <c:pt idx="25">
                  <c:v>13</c:v>
                </c:pt>
                <c:pt idx="26">
                  <c:v>19.6875</c:v>
                </c:pt>
                <c:pt idx="27">
                  <c:v>19.6875</c:v>
                </c:pt>
                <c:pt idx="28">
                  <c:v>19.6875</c:v>
                </c:pt>
                <c:pt idx="29">
                  <c:v>19.6875</c:v>
                </c:pt>
                <c:pt idx="30">
                  <c:v>19.6875</c:v>
                </c:pt>
                <c:pt idx="31">
                  <c:v>19.6875</c:v>
                </c:pt>
                <c:pt idx="32">
                  <c:v>19.6875</c:v>
                </c:pt>
                <c:pt idx="33">
                  <c:v>19.6875</c:v>
                </c:pt>
                <c:pt idx="34">
                  <c:v>19.6875</c:v>
                </c:pt>
                <c:pt idx="35">
                  <c:v>19.6875</c:v>
                </c:pt>
                <c:pt idx="36">
                  <c:v>19.6875</c:v>
                </c:pt>
                <c:pt idx="37">
                  <c:v>19.6875</c:v>
                </c:pt>
                <c:pt idx="38">
                  <c:v>19.6875</c:v>
                </c:pt>
                <c:pt idx="39">
                  <c:v>19.6875</c:v>
                </c:pt>
                <c:pt idx="40">
                  <c:v>19.6875</c:v>
                </c:pt>
                <c:pt idx="41">
                  <c:v>19.6875</c:v>
                </c:pt>
                <c:pt idx="42">
                  <c:v>13</c:v>
                </c:pt>
                <c:pt idx="43">
                  <c:v>13</c:v>
                </c:pt>
                <c:pt idx="44">
                  <c:v>13</c:v>
                </c:pt>
                <c:pt idx="45">
                  <c:v>13</c:v>
                </c:pt>
                <c:pt idx="46">
                  <c:v>13</c:v>
                </c:pt>
                <c:pt idx="47">
                  <c:v>13</c:v>
                </c:pt>
                <c:pt idx="48">
                  <c:v>13</c:v>
                </c:pt>
                <c:pt idx="49">
                  <c:v>13</c:v>
                </c:pt>
                <c:pt idx="50">
                  <c:v>13</c:v>
                </c:pt>
                <c:pt idx="51">
                  <c:v>13</c:v>
                </c:pt>
                <c:pt idx="52">
                  <c:v>13</c:v>
                </c:pt>
                <c:pt idx="53">
                  <c:v>13</c:v>
                </c:pt>
                <c:pt idx="54">
                  <c:v>13</c:v>
                </c:pt>
                <c:pt idx="55">
                  <c:v>13</c:v>
                </c:pt>
                <c:pt idx="56">
                  <c:v>13</c:v>
                </c:pt>
                <c:pt idx="57">
                  <c:v>13</c:v>
                </c:pt>
                <c:pt idx="58">
                  <c:v>13</c:v>
                </c:pt>
                <c:pt idx="59">
                  <c:v>13</c:v>
                </c:pt>
                <c:pt idx="60">
                  <c:v>13</c:v>
                </c:pt>
                <c:pt idx="61">
                  <c:v>13</c:v>
                </c:pt>
                <c:pt idx="62">
                  <c:v>13</c:v>
                </c:pt>
                <c:pt idx="63">
                  <c:v>13</c:v>
                </c:pt>
                <c:pt idx="64">
                  <c:v>13</c:v>
                </c:pt>
                <c:pt idx="65">
                  <c:v>13</c:v>
                </c:pt>
                <c:pt idx="66">
                  <c:v>13</c:v>
                </c:pt>
                <c:pt idx="67">
                  <c:v>13</c:v>
                </c:pt>
                <c:pt idx="68">
                  <c:v>13</c:v>
                </c:pt>
                <c:pt idx="69">
                  <c:v>13</c:v>
                </c:pt>
                <c:pt idx="70">
                  <c:v>13</c:v>
                </c:pt>
                <c:pt idx="71">
                  <c:v>13</c:v>
                </c:pt>
                <c:pt idx="72">
                  <c:v>13</c:v>
                </c:pt>
                <c:pt idx="73">
                  <c:v>13</c:v>
                </c:pt>
                <c:pt idx="74">
                  <c:v>13</c:v>
                </c:pt>
                <c:pt idx="75">
                  <c:v>13</c:v>
                </c:pt>
                <c:pt idx="76">
                  <c:v>13</c:v>
                </c:pt>
                <c:pt idx="77">
                  <c:v>13</c:v>
                </c:pt>
                <c:pt idx="78">
                  <c:v>13</c:v>
                </c:pt>
                <c:pt idx="79">
                  <c:v>13</c:v>
                </c:pt>
                <c:pt idx="80">
                  <c:v>13</c:v>
                </c:pt>
                <c:pt idx="81">
                  <c:v>13</c:v>
                </c:pt>
                <c:pt idx="82">
                  <c:v>13</c:v>
                </c:pt>
                <c:pt idx="83">
                  <c:v>13</c:v>
                </c:pt>
                <c:pt idx="84">
                  <c:v>13</c:v>
                </c:pt>
                <c:pt idx="85">
                  <c:v>13</c:v>
                </c:pt>
                <c:pt idx="86">
                  <c:v>13</c:v>
                </c:pt>
                <c:pt idx="87">
                  <c:v>13</c:v>
                </c:pt>
                <c:pt idx="88">
                  <c:v>13</c:v>
                </c:pt>
                <c:pt idx="89">
                  <c:v>13</c:v>
                </c:pt>
                <c:pt idx="90">
                  <c:v>13</c:v>
                </c:pt>
                <c:pt idx="91">
                  <c:v>13</c:v>
                </c:pt>
                <c:pt idx="92">
                  <c:v>13</c:v>
                </c:pt>
                <c:pt idx="93">
                  <c:v>13</c:v>
                </c:pt>
                <c:pt idx="94">
                  <c:v>13</c:v>
                </c:pt>
                <c:pt idx="95">
                  <c:v>13</c:v>
                </c:pt>
                <c:pt idx="96">
                  <c:v>13</c:v>
                </c:pt>
                <c:pt idx="97">
                  <c:v>13</c:v>
                </c:pt>
                <c:pt idx="98">
                  <c:v>13</c:v>
                </c:pt>
                <c:pt idx="99">
                  <c:v>13</c:v>
                </c:pt>
                <c:pt idx="100">
                  <c:v>13</c:v>
                </c:pt>
                <c:pt idx="101">
                  <c:v>13</c:v>
                </c:pt>
                <c:pt idx="102">
                  <c:v>13</c:v>
                </c:pt>
                <c:pt idx="103">
                  <c:v>13</c:v>
                </c:pt>
                <c:pt idx="104">
                  <c:v>13</c:v>
                </c:pt>
                <c:pt idx="105">
                  <c:v>13</c:v>
                </c:pt>
                <c:pt idx="106">
                  <c:v>13</c:v>
                </c:pt>
                <c:pt idx="107">
                  <c:v>13</c:v>
                </c:pt>
                <c:pt idx="108">
                  <c:v>13</c:v>
                </c:pt>
                <c:pt idx="109">
                  <c:v>13</c:v>
                </c:pt>
                <c:pt idx="110">
                  <c:v>13</c:v>
                </c:pt>
                <c:pt idx="111">
                  <c:v>13</c:v>
                </c:pt>
                <c:pt idx="112">
                  <c:v>13</c:v>
                </c:pt>
                <c:pt idx="113">
                  <c:v>13</c:v>
                </c:pt>
                <c:pt idx="114">
                  <c:v>13</c:v>
                </c:pt>
                <c:pt idx="115">
                  <c:v>13</c:v>
                </c:pt>
                <c:pt idx="116">
                  <c:v>13</c:v>
                </c:pt>
                <c:pt idx="117">
                  <c:v>13</c:v>
                </c:pt>
                <c:pt idx="118">
                  <c:v>13</c:v>
                </c:pt>
                <c:pt idx="119">
                  <c:v>13</c:v>
                </c:pt>
                <c:pt idx="120">
                  <c:v>13</c:v>
                </c:pt>
                <c:pt idx="121">
                  <c:v>13</c:v>
                </c:pt>
                <c:pt idx="122">
                  <c:v>13</c:v>
                </c:pt>
                <c:pt idx="123">
                  <c:v>13</c:v>
                </c:pt>
                <c:pt idx="124">
                  <c:v>13</c:v>
                </c:pt>
                <c:pt idx="125">
                  <c:v>13</c:v>
                </c:pt>
                <c:pt idx="126">
                  <c:v>13</c:v>
                </c:pt>
                <c:pt idx="127">
                  <c:v>13</c:v>
                </c:pt>
                <c:pt idx="128">
                  <c:v>13</c:v>
                </c:pt>
                <c:pt idx="129">
                  <c:v>13</c:v>
                </c:pt>
                <c:pt idx="130">
                  <c:v>13</c:v>
                </c:pt>
                <c:pt idx="131">
                  <c:v>13</c:v>
                </c:pt>
                <c:pt idx="132">
                  <c:v>13</c:v>
                </c:pt>
                <c:pt idx="133">
                  <c:v>13</c:v>
                </c:pt>
                <c:pt idx="134">
                  <c:v>13</c:v>
                </c:pt>
                <c:pt idx="135">
                  <c:v>13</c:v>
                </c:pt>
                <c:pt idx="136">
                  <c:v>13</c:v>
                </c:pt>
                <c:pt idx="137">
                  <c:v>13</c:v>
                </c:pt>
                <c:pt idx="138">
                  <c:v>13</c:v>
                </c:pt>
                <c:pt idx="139">
                  <c:v>13</c:v>
                </c:pt>
                <c:pt idx="140">
                  <c:v>13</c:v>
                </c:pt>
                <c:pt idx="141">
                  <c:v>13</c:v>
                </c:pt>
                <c:pt idx="142">
                  <c:v>13</c:v>
                </c:pt>
                <c:pt idx="143">
                  <c:v>13</c:v>
                </c:pt>
                <c:pt idx="144">
                  <c:v>13</c:v>
                </c:pt>
                <c:pt idx="145">
                  <c:v>13</c:v>
                </c:pt>
                <c:pt idx="146">
                  <c:v>13</c:v>
                </c:pt>
                <c:pt idx="147">
                  <c:v>13</c:v>
                </c:pt>
                <c:pt idx="148">
                  <c:v>13</c:v>
                </c:pt>
                <c:pt idx="149">
                  <c:v>13</c:v>
                </c:pt>
                <c:pt idx="150">
                  <c:v>13</c:v>
                </c:pt>
                <c:pt idx="151">
                  <c:v>13</c:v>
                </c:pt>
                <c:pt idx="152">
                  <c:v>13</c:v>
                </c:pt>
                <c:pt idx="153">
                  <c:v>13</c:v>
                </c:pt>
                <c:pt idx="154">
                  <c:v>13</c:v>
                </c:pt>
                <c:pt idx="155">
                  <c:v>13</c:v>
                </c:pt>
                <c:pt idx="156">
                  <c:v>13</c:v>
                </c:pt>
                <c:pt idx="157">
                  <c:v>13</c:v>
                </c:pt>
                <c:pt idx="158">
                  <c:v>13</c:v>
                </c:pt>
                <c:pt idx="159">
                  <c:v>13</c:v>
                </c:pt>
                <c:pt idx="160">
                  <c:v>13</c:v>
                </c:pt>
                <c:pt idx="161">
                  <c:v>13</c:v>
                </c:pt>
                <c:pt idx="162">
                  <c:v>13</c:v>
                </c:pt>
                <c:pt idx="163">
                  <c:v>13</c:v>
                </c:pt>
                <c:pt idx="164">
                  <c:v>13</c:v>
                </c:pt>
                <c:pt idx="165">
                  <c:v>13</c:v>
                </c:pt>
                <c:pt idx="166">
                  <c:v>13</c:v>
                </c:pt>
                <c:pt idx="167">
                  <c:v>13</c:v>
                </c:pt>
                <c:pt idx="168">
                  <c:v>13</c:v>
                </c:pt>
                <c:pt idx="169">
                  <c:v>13</c:v>
                </c:pt>
                <c:pt idx="170">
                  <c:v>13</c:v>
                </c:pt>
                <c:pt idx="171">
                  <c:v>13</c:v>
                </c:pt>
                <c:pt idx="172">
                  <c:v>13</c:v>
                </c:pt>
                <c:pt idx="173">
                  <c:v>13</c:v>
                </c:pt>
                <c:pt idx="174">
                  <c:v>13</c:v>
                </c:pt>
                <c:pt idx="175">
                  <c:v>13</c:v>
                </c:pt>
                <c:pt idx="176">
                  <c:v>13</c:v>
                </c:pt>
                <c:pt idx="177">
                  <c:v>13</c:v>
                </c:pt>
                <c:pt idx="178">
                  <c:v>13</c:v>
                </c:pt>
                <c:pt idx="179">
                  <c:v>13</c:v>
                </c:pt>
                <c:pt idx="180">
                  <c:v>13</c:v>
                </c:pt>
                <c:pt idx="181">
                  <c:v>13</c:v>
                </c:pt>
                <c:pt idx="182">
                  <c:v>13</c:v>
                </c:pt>
                <c:pt idx="183">
                  <c:v>13</c:v>
                </c:pt>
                <c:pt idx="184">
                  <c:v>13</c:v>
                </c:pt>
                <c:pt idx="185">
                  <c:v>13</c:v>
                </c:pt>
                <c:pt idx="186">
                  <c:v>13</c:v>
                </c:pt>
                <c:pt idx="187">
                  <c:v>13</c:v>
                </c:pt>
                <c:pt idx="188">
                  <c:v>13</c:v>
                </c:pt>
                <c:pt idx="189">
                  <c:v>13</c:v>
                </c:pt>
                <c:pt idx="190">
                  <c:v>13</c:v>
                </c:pt>
                <c:pt idx="191">
                  <c:v>13</c:v>
                </c:pt>
                <c:pt idx="192">
                  <c:v>13</c:v>
                </c:pt>
                <c:pt idx="193">
                  <c:v>13</c:v>
                </c:pt>
                <c:pt idx="194">
                  <c:v>13</c:v>
                </c:pt>
                <c:pt idx="195">
                  <c:v>13</c:v>
                </c:pt>
                <c:pt idx="196">
                  <c:v>13</c:v>
                </c:pt>
                <c:pt idx="197">
                  <c:v>13</c:v>
                </c:pt>
                <c:pt idx="198">
                  <c:v>13</c:v>
                </c:pt>
                <c:pt idx="199">
                  <c:v>13</c:v>
                </c:pt>
                <c:pt idx="200">
                  <c:v>13</c:v>
                </c:pt>
                <c:pt idx="201">
                  <c:v>13</c:v>
                </c:pt>
                <c:pt idx="202">
                  <c:v>13</c:v>
                </c:pt>
                <c:pt idx="203">
                  <c:v>13</c:v>
                </c:pt>
                <c:pt idx="204">
                  <c:v>13</c:v>
                </c:pt>
                <c:pt idx="205">
                  <c:v>13</c:v>
                </c:pt>
                <c:pt idx="206">
                  <c:v>13</c:v>
                </c:pt>
                <c:pt idx="207">
                  <c:v>13</c:v>
                </c:pt>
                <c:pt idx="208">
                  <c:v>13</c:v>
                </c:pt>
                <c:pt idx="209">
                  <c:v>13</c:v>
                </c:pt>
                <c:pt idx="210">
                  <c:v>13</c:v>
                </c:pt>
                <c:pt idx="211">
                  <c:v>13</c:v>
                </c:pt>
                <c:pt idx="212">
                  <c:v>13</c:v>
                </c:pt>
                <c:pt idx="213">
                  <c:v>13</c:v>
                </c:pt>
                <c:pt idx="214">
                  <c:v>13</c:v>
                </c:pt>
                <c:pt idx="215">
                  <c:v>13</c:v>
                </c:pt>
                <c:pt idx="216">
                  <c:v>13</c:v>
                </c:pt>
                <c:pt idx="217">
                  <c:v>13</c:v>
                </c:pt>
                <c:pt idx="218">
                  <c:v>13</c:v>
                </c:pt>
                <c:pt idx="219">
                  <c:v>13</c:v>
                </c:pt>
                <c:pt idx="220">
                  <c:v>13</c:v>
                </c:pt>
                <c:pt idx="221">
                  <c:v>13</c:v>
                </c:pt>
                <c:pt idx="222">
                  <c:v>13</c:v>
                </c:pt>
                <c:pt idx="223">
                  <c:v>13</c:v>
                </c:pt>
                <c:pt idx="224">
                  <c:v>13</c:v>
                </c:pt>
                <c:pt idx="225">
                  <c:v>13</c:v>
                </c:pt>
                <c:pt idx="226">
                  <c:v>13</c:v>
                </c:pt>
                <c:pt idx="227">
                  <c:v>13</c:v>
                </c:pt>
                <c:pt idx="228">
                  <c:v>13</c:v>
                </c:pt>
                <c:pt idx="229">
                  <c:v>13</c:v>
                </c:pt>
                <c:pt idx="230">
                  <c:v>13</c:v>
                </c:pt>
                <c:pt idx="231">
                  <c:v>13</c:v>
                </c:pt>
                <c:pt idx="232">
                  <c:v>13</c:v>
                </c:pt>
                <c:pt idx="233">
                  <c:v>13</c:v>
                </c:pt>
                <c:pt idx="234">
                  <c:v>13</c:v>
                </c:pt>
                <c:pt idx="235">
                  <c:v>13</c:v>
                </c:pt>
                <c:pt idx="236">
                  <c:v>13</c:v>
                </c:pt>
                <c:pt idx="237">
                  <c:v>13</c:v>
                </c:pt>
                <c:pt idx="238">
                  <c:v>13</c:v>
                </c:pt>
                <c:pt idx="239">
                  <c:v>13</c:v>
                </c:pt>
                <c:pt idx="240">
                  <c:v>13</c:v>
                </c:pt>
                <c:pt idx="241">
                  <c:v>13</c:v>
                </c:pt>
                <c:pt idx="242">
                  <c:v>13</c:v>
                </c:pt>
                <c:pt idx="243">
                  <c:v>13</c:v>
                </c:pt>
                <c:pt idx="244">
                  <c:v>13</c:v>
                </c:pt>
                <c:pt idx="245">
                  <c:v>13</c:v>
                </c:pt>
                <c:pt idx="246">
                  <c:v>13</c:v>
                </c:pt>
                <c:pt idx="247">
                  <c:v>13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4372736"/>
        <c:axId val="194374272"/>
      </c:lineChart>
      <c:catAx>
        <c:axId val="194372736"/>
        <c:scaling>
          <c:orientation val="minMax"/>
        </c:scaling>
        <c:delete val="0"/>
        <c:axPos val="b"/>
        <c:majorTickMark val="out"/>
        <c:minorTickMark val="none"/>
        <c:tickLblPos val="nextTo"/>
        <c:crossAx val="194374272"/>
        <c:crosses val="autoZero"/>
        <c:auto val="1"/>
        <c:lblAlgn val="ctr"/>
        <c:lblOffset val="100"/>
        <c:noMultiLvlLbl val="0"/>
      </c:catAx>
      <c:valAx>
        <c:axId val="194374272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4372736"/>
        <c:crosses val="autoZero"/>
        <c:crossBetween val="between"/>
      </c:valAx>
    </c:plotArea>
    <c:legend>
      <c:legendPos val="b"/>
      <c:overlay val="0"/>
    </c:legend>
    <c:plotVisOnly val="0"/>
    <c:dispBlanksAs val="zero"/>
    <c:showDLblsOverMax val="0"/>
  </c:chart>
  <c:printSettings>
    <c:headerFooter>
      <c:oddHeader>&amp;L&amp;"-,Gras"BELIER ASSOCIES&amp;C&amp;"-,Gras"&amp;14Simulation 
DD MRP&amp;"-,Normal"&amp;11
&amp;R&amp;D</c:oddHeader>
    </c:headerFooter>
    <c:pageMargins b="0.74803149606299213" l="0.70866141732283472" r="0.70866141732283472" t="0.74803149606299213" header="0.31496062992125984" footer="0.31496062992125984"/>
    <c:pageSetup paperSize="9"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strRef>
              <c:f>'simulation commandes'!$F$4</c:f>
              <c:strCache>
                <c:ptCount val="1"/>
                <c:pt idx="0">
                  <c:v>qte en appro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val>
            <c:numRef>
              <c:f>'simulation commandes'!$F$5:$F$252</c:f>
              <c:numCache>
                <c:formatCode>0</c:formatCode>
                <c:ptCount val="248"/>
                <c:pt idx="6">
                  <c:v>10</c:v>
                </c:pt>
                <c:pt idx="17">
                  <c:v>38</c:v>
                </c:pt>
                <c:pt idx="26">
                  <c:v>20</c:v>
                </c:pt>
                <c:pt idx="46">
                  <c:v>13</c:v>
                </c:pt>
                <c:pt idx="51">
                  <c:v>4</c:v>
                </c:pt>
                <c:pt idx="56">
                  <c:v>22</c:v>
                </c:pt>
                <c:pt idx="61">
                  <c:v>71</c:v>
                </c:pt>
                <c:pt idx="66">
                  <c:v>22</c:v>
                </c:pt>
                <c:pt idx="75">
                  <c:v>11</c:v>
                </c:pt>
                <c:pt idx="80">
                  <c:v>50</c:v>
                </c:pt>
                <c:pt idx="85">
                  <c:v>3</c:v>
                </c:pt>
                <c:pt idx="89">
                  <c:v>20</c:v>
                </c:pt>
                <c:pt idx="93">
                  <c:v>42</c:v>
                </c:pt>
                <c:pt idx="99">
                  <c:v>1</c:v>
                </c:pt>
                <c:pt idx="102">
                  <c:v>14</c:v>
                </c:pt>
                <c:pt idx="112">
                  <c:v>9</c:v>
                </c:pt>
                <c:pt idx="117">
                  <c:v>6</c:v>
                </c:pt>
                <c:pt idx="123">
                  <c:v>4</c:v>
                </c:pt>
                <c:pt idx="135">
                  <c:v>16</c:v>
                </c:pt>
                <c:pt idx="143">
                  <c:v>6</c:v>
                </c:pt>
                <c:pt idx="145">
                  <c:v>5</c:v>
                </c:pt>
                <c:pt idx="167">
                  <c:v>24</c:v>
                </c:pt>
                <c:pt idx="175">
                  <c:v>5</c:v>
                </c:pt>
                <c:pt idx="181">
                  <c:v>6</c:v>
                </c:pt>
                <c:pt idx="192">
                  <c:v>5</c:v>
                </c:pt>
                <c:pt idx="196">
                  <c:v>37</c:v>
                </c:pt>
                <c:pt idx="201">
                  <c:v>14</c:v>
                </c:pt>
                <c:pt idx="207">
                  <c:v>14</c:v>
                </c:pt>
                <c:pt idx="211">
                  <c:v>5</c:v>
                </c:pt>
                <c:pt idx="221">
                  <c:v>15</c:v>
                </c:pt>
                <c:pt idx="226">
                  <c:v>19</c:v>
                </c:pt>
                <c:pt idx="231">
                  <c:v>20</c:v>
                </c:pt>
                <c:pt idx="236">
                  <c:v>12</c:v>
                </c:pt>
                <c:pt idx="241">
                  <c:v>20</c:v>
                </c:pt>
                <c:pt idx="246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6275584"/>
        <c:axId val="196367488"/>
      </c:barChart>
      <c:lineChart>
        <c:grouping val="standard"/>
        <c:varyColors val="0"/>
        <c:ser>
          <c:idx val="5"/>
          <c:order val="0"/>
          <c:tx>
            <c:strRef>
              <c:f>'simulation commandes'!$P$4</c:f>
              <c:strCache>
                <c:ptCount val="1"/>
                <c:pt idx="0">
                  <c:v>CMJ prévue</c:v>
                </c:pt>
              </c:strCache>
            </c:strRef>
          </c:tx>
          <c:marker>
            <c:symbol val="none"/>
          </c:marker>
          <c:val>
            <c:numRef>
              <c:f>'simulation commandes'!$P$5:$P$252</c:f>
              <c:numCache>
                <c:formatCode>0.0</c:formatCode>
                <c:ptCount val="248"/>
                <c:pt idx="0">
                  <c:v>2.27</c:v>
                </c:pt>
                <c:pt idx="1">
                  <c:v>2.27</c:v>
                </c:pt>
                <c:pt idx="2">
                  <c:v>2.27</c:v>
                </c:pt>
                <c:pt idx="3">
                  <c:v>2.27</c:v>
                </c:pt>
                <c:pt idx="4">
                  <c:v>2.27</c:v>
                </c:pt>
                <c:pt idx="5">
                  <c:v>2.27</c:v>
                </c:pt>
                <c:pt idx="6">
                  <c:v>2.27</c:v>
                </c:pt>
                <c:pt idx="7">
                  <c:v>2.27</c:v>
                </c:pt>
                <c:pt idx="8">
                  <c:v>2.27</c:v>
                </c:pt>
                <c:pt idx="9">
                  <c:v>2.27</c:v>
                </c:pt>
                <c:pt idx="10">
                  <c:v>2.27</c:v>
                </c:pt>
                <c:pt idx="11">
                  <c:v>2.27</c:v>
                </c:pt>
                <c:pt idx="12">
                  <c:v>2.27</c:v>
                </c:pt>
                <c:pt idx="13">
                  <c:v>2.27</c:v>
                </c:pt>
                <c:pt idx="14">
                  <c:v>2.27</c:v>
                </c:pt>
                <c:pt idx="15">
                  <c:v>2.27</c:v>
                </c:pt>
                <c:pt idx="16">
                  <c:v>2.27</c:v>
                </c:pt>
                <c:pt idx="17">
                  <c:v>2.27</c:v>
                </c:pt>
                <c:pt idx="18">
                  <c:v>2.27</c:v>
                </c:pt>
                <c:pt idx="19">
                  <c:v>2.27</c:v>
                </c:pt>
                <c:pt idx="20">
                  <c:v>2.27</c:v>
                </c:pt>
                <c:pt idx="21">
                  <c:v>2.27</c:v>
                </c:pt>
                <c:pt idx="22">
                  <c:v>2.27</c:v>
                </c:pt>
                <c:pt idx="23">
                  <c:v>2.27</c:v>
                </c:pt>
                <c:pt idx="24">
                  <c:v>2.27</c:v>
                </c:pt>
                <c:pt idx="25">
                  <c:v>2.27</c:v>
                </c:pt>
                <c:pt idx="26">
                  <c:v>3.5</c:v>
                </c:pt>
                <c:pt idx="27">
                  <c:v>3.5</c:v>
                </c:pt>
                <c:pt idx="28">
                  <c:v>3.5</c:v>
                </c:pt>
                <c:pt idx="29">
                  <c:v>3.5</c:v>
                </c:pt>
                <c:pt idx="30">
                  <c:v>3.5</c:v>
                </c:pt>
                <c:pt idx="31">
                  <c:v>3.5</c:v>
                </c:pt>
                <c:pt idx="32">
                  <c:v>3.5</c:v>
                </c:pt>
                <c:pt idx="33">
                  <c:v>3.5</c:v>
                </c:pt>
                <c:pt idx="34">
                  <c:v>3.5</c:v>
                </c:pt>
                <c:pt idx="35">
                  <c:v>3.5</c:v>
                </c:pt>
                <c:pt idx="36">
                  <c:v>3.5</c:v>
                </c:pt>
                <c:pt idx="37">
                  <c:v>3.5</c:v>
                </c:pt>
                <c:pt idx="38">
                  <c:v>3.5</c:v>
                </c:pt>
                <c:pt idx="39">
                  <c:v>3.5</c:v>
                </c:pt>
                <c:pt idx="40">
                  <c:v>3.5</c:v>
                </c:pt>
                <c:pt idx="41">
                  <c:v>3.5</c:v>
                </c:pt>
                <c:pt idx="42">
                  <c:v>2.27</c:v>
                </c:pt>
                <c:pt idx="43">
                  <c:v>2.27</c:v>
                </c:pt>
                <c:pt idx="44">
                  <c:v>2.27</c:v>
                </c:pt>
                <c:pt idx="45">
                  <c:v>2.27</c:v>
                </c:pt>
                <c:pt idx="46">
                  <c:v>2.27</c:v>
                </c:pt>
                <c:pt idx="47">
                  <c:v>2.27</c:v>
                </c:pt>
                <c:pt idx="48">
                  <c:v>2.27</c:v>
                </c:pt>
                <c:pt idx="49">
                  <c:v>2.27</c:v>
                </c:pt>
                <c:pt idx="50">
                  <c:v>2.27</c:v>
                </c:pt>
                <c:pt idx="51">
                  <c:v>2.27</c:v>
                </c:pt>
                <c:pt idx="52">
                  <c:v>2.27</c:v>
                </c:pt>
                <c:pt idx="53">
                  <c:v>2.27</c:v>
                </c:pt>
                <c:pt idx="54">
                  <c:v>2.27</c:v>
                </c:pt>
                <c:pt idx="55">
                  <c:v>2.27</c:v>
                </c:pt>
                <c:pt idx="56">
                  <c:v>2.27</c:v>
                </c:pt>
                <c:pt idx="57">
                  <c:v>2.27</c:v>
                </c:pt>
                <c:pt idx="58">
                  <c:v>2.27</c:v>
                </c:pt>
                <c:pt idx="59">
                  <c:v>2.27</c:v>
                </c:pt>
                <c:pt idx="60">
                  <c:v>2.27</c:v>
                </c:pt>
                <c:pt idx="61">
                  <c:v>2.27</c:v>
                </c:pt>
                <c:pt idx="62">
                  <c:v>2.27</c:v>
                </c:pt>
                <c:pt idx="63">
                  <c:v>2.27</c:v>
                </c:pt>
                <c:pt idx="64">
                  <c:v>2.27</c:v>
                </c:pt>
                <c:pt idx="65">
                  <c:v>2.27</c:v>
                </c:pt>
                <c:pt idx="66">
                  <c:v>2.27</c:v>
                </c:pt>
                <c:pt idx="67">
                  <c:v>2.27</c:v>
                </c:pt>
                <c:pt idx="68">
                  <c:v>2.27</c:v>
                </c:pt>
                <c:pt idx="69">
                  <c:v>2.27</c:v>
                </c:pt>
                <c:pt idx="70">
                  <c:v>2.27</c:v>
                </c:pt>
                <c:pt idx="71">
                  <c:v>2.27</c:v>
                </c:pt>
                <c:pt idx="72">
                  <c:v>2.27</c:v>
                </c:pt>
                <c:pt idx="73">
                  <c:v>2.27</c:v>
                </c:pt>
                <c:pt idx="74">
                  <c:v>2.27</c:v>
                </c:pt>
                <c:pt idx="75">
                  <c:v>2.27</c:v>
                </c:pt>
                <c:pt idx="76">
                  <c:v>2.27</c:v>
                </c:pt>
                <c:pt idx="77">
                  <c:v>2.27</c:v>
                </c:pt>
                <c:pt idx="78">
                  <c:v>2.27</c:v>
                </c:pt>
                <c:pt idx="79">
                  <c:v>2.27</c:v>
                </c:pt>
                <c:pt idx="80">
                  <c:v>2.27</c:v>
                </c:pt>
                <c:pt idx="81">
                  <c:v>2.27</c:v>
                </c:pt>
                <c:pt idx="82">
                  <c:v>2.27</c:v>
                </c:pt>
                <c:pt idx="83">
                  <c:v>2.27</c:v>
                </c:pt>
                <c:pt idx="84">
                  <c:v>2.27</c:v>
                </c:pt>
                <c:pt idx="85">
                  <c:v>2.27</c:v>
                </c:pt>
                <c:pt idx="86">
                  <c:v>2.27</c:v>
                </c:pt>
                <c:pt idx="87">
                  <c:v>2.27</c:v>
                </c:pt>
                <c:pt idx="88">
                  <c:v>2.27</c:v>
                </c:pt>
                <c:pt idx="89">
                  <c:v>2.27</c:v>
                </c:pt>
                <c:pt idx="90">
                  <c:v>2.27</c:v>
                </c:pt>
                <c:pt idx="91">
                  <c:v>2.27</c:v>
                </c:pt>
                <c:pt idx="92">
                  <c:v>2.27</c:v>
                </c:pt>
                <c:pt idx="93">
                  <c:v>2.27</c:v>
                </c:pt>
                <c:pt idx="94">
                  <c:v>2.27</c:v>
                </c:pt>
                <c:pt idx="95">
                  <c:v>2.27</c:v>
                </c:pt>
                <c:pt idx="96">
                  <c:v>2.27</c:v>
                </c:pt>
                <c:pt idx="97">
                  <c:v>2.27</c:v>
                </c:pt>
                <c:pt idx="98">
                  <c:v>2.27</c:v>
                </c:pt>
                <c:pt idx="99">
                  <c:v>2.27</c:v>
                </c:pt>
                <c:pt idx="100">
                  <c:v>2.27</c:v>
                </c:pt>
                <c:pt idx="101">
                  <c:v>2.27</c:v>
                </c:pt>
                <c:pt idx="102">
                  <c:v>2.27</c:v>
                </c:pt>
                <c:pt idx="103">
                  <c:v>2.27</c:v>
                </c:pt>
                <c:pt idx="104">
                  <c:v>2.27</c:v>
                </c:pt>
                <c:pt idx="105">
                  <c:v>2.27</c:v>
                </c:pt>
                <c:pt idx="106">
                  <c:v>2.27</c:v>
                </c:pt>
                <c:pt idx="107">
                  <c:v>2.27</c:v>
                </c:pt>
                <c:pt idx="108">
                  <c:v>2.27</c:v>
                </c:pt>
                <c:pt idx="109">
                  <c:v>2.27</c:v>
                </c:pt>
                <c:pt idx="110">
                  <c:v>2.27</c:v>
                </c:pt>
                <c:pt idx="111">
                  <c:v>2.27</c:v>
                </c:pt>
                <c:pt idx="112">
                  <c:v>2.27</c:v>
                </c:pt>
                <c:pt idx="113">
                  <c:v>2.27</c:v>
                </c:pt>
                <c:pt idx="114">
                  <c:v>2.27</c:v>
                </c:pt>
                <c:pt idx="115">
                  <c:v>2.27</c:v>
                </c:pt>
                <c:pt idx="116">
                  <c:v>2.27</c:v>
                </c:pt>
                <c:pt idx="117">
                  <c:v>2.27</c:v>
                </c:pt>
                <c:pt idx="118">
                  <c:v>2.27</c:v>
                </c:pt>
                <c:pt idx="119">
                  <c:v>2.27</c:v>
                </c:pt>
                <c:pt idx="120">
                  <c:v>2.27</c:v>
                </c:pt>
                <c:pt idx="121">
                  <c:v>2.27</c:v>
                </c:pt>
                <c:pt idx="122">
                  <c:v>2.27</c:v>
                </c:pt>
                <c:pt idx="123">
                  <c:v>2.27</c:v>
                </c:pt>
                <c:pt idx="124">
                  <c:v>2.27</c:v>
                </c:pt>
                <c:pt idx="125">
                  <c:v>2.27</c:v>
                </c:pt>
                <c:pt idx="126">
                  <c:v>2.27</c:v>
                </c:pt>
                <c:pt idx="127">
                  <c:v>2.27</c:v>
                </c:pt>
                <c:pt idx="128">
                  <c:v>2.27</c:v>
                </c:pt>
                <c:pt idx="129">
                  <c:v>2.27</c:v>
                </c:pt>
                <c:pt idx="130">
                  <c:v>2.27</c:v>
                </c:pt>
                <c:pt idx="131">
                  <c:v>2.27</c:v>
                </c:pt>
                <c:pt idx="132">
                  <c:v>2.27</c:v>
                </c:pt>
                <c:pt idx="133">
                  <c:v>2.27</c:v>
                </c:pt>
                <c:pt idx="134">
                  <c:v>2.27</c:v>
                </c:pt>
                <c:pt idx="135">
                  <c:v>2.27</c:v>
                </c:pt>
                <c:pt idx="136">
                  <c:v>2.27</c:v>
                </c:pt>
                <c:pt idx="137">
                  <c:v>2.27</c:v>
                </c:pt>
                <c:pt idx="138">
                  <c:v>2.27</c:v>
                </c:pt>
                <c:pt idx="139">
                  <c:v>2.27</c:v>
                </c:pt>
                <c:pt idx="140">
                  <c:v>2.27</c:v>
                </c:pt>
                <c:pt idx="141">
                  <c:v>2.27</c:v>
                </c:pt>
                <c:pt idx="142">
                  <c:v>2.27</c:v>
                </c:pt>
                <c:pt idx="143">
                  <c:v>2.27</c:v>
                </c:pt>
                <c:pt idx="144">
                  <c:v>2.27</c:v>
                </c:pt>
                <c:pt idx="145">
                  <c:v>2.27</c:v>
                </c:pt>
                <c:pt idx="146">
                  <c:v>2.27</c:v>
                </c:pt>
                <c:pt idx="147">
                  <c:v>2.27</c:v>
                </c:pt>
                <c:pt idx="148">
                  <c:v>2.27</c:v>
                </c:pt>
                <c:pt idx="149">
                  <c:v>2.27</c:v>
                </c:pt>
                <c:pt idx="150">
                  <c:v>2.27</c:v>
                </c:pt>
                <c:pt idx="151">
                  <c:v>2.27</c:v>
                </c:pt>
                <c:pt idx="152">
                  <c:v>2.27</c:v>
                </c:pt>
                <c:pt idx="153">
                  <c:v>2.27</c:v>
                </c:pt>
                <c:pt idx="154">
                  <c:v>2.27</c:v>
                </c:pt>
                <c:pt idx="155">
                  <c:v>2.27</c:v>
                </c:pt>
                <c:pt idx="156">
                  <c:v>2.27</c:v>
                </c:pt>
                <c:pt idx="157">
                  <c:v>2.27</c:v>
                </c:pt>
                <c:pt idx="158">
                  <c:v>2.27</c:v>
                </c:pt>
                <c:pt idx="159">
                  <c:v>2.27</c:v>
                </c:pt>
                <c:pt idx="160">
                  <c:v>2.27</c:v>
                </c:pt>
                <c:pt idx="161">
                  <c:v>2.27</c:v>
                </c:pt>
                <c:pt idx="162">
                  <c:v>2.27</c:v>
                </c:pt>
                <c:pt idx="163">
                  <c:v>2.27</c:v>
                </c:pt>
                <c:pt idx="164">
                  <c:v>2.27</c:v>
                </c:pt>
                <c:pt idx="165">
                  <c:v>2.27</c:v>
                </c:pt>
                <c:pt idx="166">
                  <c:v>2.27</c:v>
                </c:pt>
                <c:pt idx="167">
                  <c:v>2.27</c:v>
                </c:pt>
                <c:pt idx="168">
                  <c:v>2.27</c:v>
                </c:pt>
                <c:pt idx="169">
                  <c:v>2.27</c:v>
                </c:pt>
                <c:pt idx="170">
                  <c:v>2.27</c:v>
                </c:pt>
                <c:pt idx="171">
                  <c:v>2.27</c:v>
                </c:pt>
                <c:pt idx="172">
                  <c:v>2.27</c:v>
                </c:pt>
                <c:pt idx="173">
                  <c:v>2.27</c:v>
                </c:pt>
                <c:pt idx="174">
                  <c:v>2.27</c:v>
                </c:pt>
                <c:pt idx="175">
                  <c:v>2.27</c:v>
                </c:pt>
                <c:pt idx="176">
                  <c:v>2.27</c:v>
                </c:pt>
                <c:pt idx="177">
                  <c:v>2.27</c:v>
                </c:pt>
                <c:pt idx="178">
                  <c:v>2.27</c:v>
                </c:pt>
                <c:pt idx="179">
                  <c:v>2.27</c:v>
                </c:pt>
                <c:pt idx="180">
                  <c:v>2.27</c:v>
                </c:pt>
                <c:pt idx="181">
                  <c:v>2.27</c:v>
                </c:pt>
                <c:pt idx="182">
                  <c:v>2.27</c:v>
                </c:pt>
                <c:pt idx="183">
                  <c:v>2.27</c:v>
                </c:pt>
                <c:pt idx="184">
                  <c:v>2.27</c:v>
                </c:pt>
                <c:pt idx="185">
                  <c:v>2.27</c:v>
                </c:pt>
                <c:pt idx="186">
                  <c:v>2.27</c:v>
                </c:pt>
                <c:pt idx="187">
                  <c:v>2.27</c:v>
                </c:pt>
                <c:pt idx="188">
                  <c:v>2.27</c:v>
                </c:pt>
                <c:pt idx="189">
                  <c:v>2.27</c:v>
                </c:pt>
                <c:pt idx="190">
                  <c:v>2.27</c:v>
                </c:pt>
                <c:pt idx="191">
                  <c:v>2.27</c:v>
                </c:pt>
                <c:pt idx="192">
                  <c:v>2.27</c:v>
                </c:pt>
                <c:pt idx="193">
                  <c:v>2.27</c:v>
                </c:pt>
                <c:pt idx="194">
                  <c:v>2.27</c:v>
                </c:pt>
                <c:pt idx="195">
                  <c:v>2.27</c:v>
                </c:pt>
                <c:pt idx="196">
                  <c:v>2.27</c:v>
                </c:pt>
                <c:pt idx="197">
                  <c:v>2.27</c:v>
                </c:pt>
                <c:pt idx="198">
                  <c:v>2.27</c:v>
                </c:pt>
                <c:pt idx="199">
                  <c:v>2.27</c:v>
                </c:pt>
                <c:pt idx="200">
                  <c:v>2.27</c:v>
                </c:pt>
                <c:pt idx="201">
                  <c:v>2.27</c:v>
                </c:pt>
                <c:pt idx="202">
                  <c:v>2.27</c:v>
                </c:pt>
                <c:pt idx="203">
                  <c:v>2.27</c:v>
                </c:pt>
                <c:pt idx="204">
                  <c:v>2.27</c:v>
                </c:pt>
                <c:pt idx="205">
                  <c:v>2.27</c:v>
                </c:pt>
                <c:pt idx="206">
                  <c:v>2.27</c:v>
                </c:pt>
                <c:pt idx="207">
                  <c:v>2.27</c:v>
                </c:pt>
                <c:pt idx="208">
                  <c:v>2.27</c:v>
                </c:pt>
                <c:pt idx="209">
                  <c:v>2.27</c:v>
                </c:pt>
                <c:pt idx="210">
                  <c:v>2.27</c:v>
                </c:pt>
                <c:pt idx="211">
                  <c:v>2.27</c:v>
                </c:pt>
                <c:pt idx="212">
                  <c:v>2.27</c:v>
                </c:pt>
                <c:pt idx="213">
                  <c:v>2.27</c:v>
                </c:pt>
                <c:pt idx="214">
                  <c:v>2.27</c:v>
                </c:pt>
                <c:pt idx="215">
                  <c:v>2.27</c:v>
                </c:pt>
                <c:pt idx="216">
                  <c:v>2.27</c:v>
                </c:pt>
                <c:pt idx="217">
                  <c:v>2.27</c:v>
                </c:pt>
                <c:pt idx="218">
                  <c:v>2.27</c:v>
                </c:pt>
                <c:pt idx="219">
                  <c:v>2.27</c:v>
                </c:pt>
                <c:pt idx="220">
                  <c:v>2.27</c:v>
                </c:pt>
                <c:pt idx="221">
                  <c:v>2.27</c:v>
                </c:pt>
                <c:pt idx="222">
                  <c:v>2.27</c:v>
                </c:pt>
                <c:pt idx="223">
                  <c:v>2.27</c:v>
                </c:pt>
                <c:pt idx="224">
                  <c:v>2.27</c:v>
                </c:pt>
                <c:pt idx="225">
                  <c:v>2.27</c:v>
                </c:pt>
                <c:pt idx="226">
                  <c:v>2.27</c:v>
                </c:pt>
                <c:pt idx="227">
                  <c:v>2.27</c:v>
                </c:pt>
                <c:pt idx="228">
                  <c:v>2.27</c:v>
                </c:pt>
                <c:pt idx="229">
                  <c:v>2.27</c:v>
                </c:pt>
                <c:pt idx="230">
                  <c:v>2.27</c:v>
                </c:pt>
                <c:pt idx="231">
                  <c:v>2.27</c:v>
                </c:pt>
                <c:pt idx="232">
                  <c:v>2.27</c:v>
                </c:pt>
                <c:pt idx="233">
                  <c:v>2.27</c:v>
                </c:pt>
                <c:pt idx="234">
                  <c:v>2.27</c:v>
                </c:pt>
                <c:pt idx="235">
                  <c:v>2.27</c:v>
                </c:pt>
                <c:pt idx="236">
                  <c:v>2.27</c:v>
                </c:pt>
                <c:pt idx="237">
                  <c:v>2.27</c:v>
                </c:pt>
                <c:pt idx="238">
                  <c:v>2.27</c:v>
                </c:pt>
                <c:pt idx="239">
                  <c:v>2.27</c:v>
                </c:pt>
                <c:pt idx="240">
                  <c:v>2.27</c:v>
                </c:pt>
                <c:pt idx="241">
                  <c:v>2.27</c:v>
                </c:pt>
                <c:pt idx="242">
                  <c:v>2.27</c:v>
                </c:pt>
                <c:pt idx="243">
                  <c:v>2.27</c:v>
                </c:pt>
                <c:pt idx="244">
                  <c:v>2.27</c:v>
                </c:pt>
                <c:pt idx="245">
                  <c:v>2.27</c:v>
                </c:pt>
                <c:pt idx="246">
                  <c:v>2.27</c:v>
                </c:pt>
                <c:pt idx="247">
                  <c:v>2.27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'simulation commandes'!$L$4</c:f>
              <c:strCache>
                <c:ptCount val="1"/>
                <c:pt idx="0">
                  <c:v>seuil PIC</c:v>
                </c:pt>
              </c:strCache>
            </c:strRef>
          </c:tx>
          <c:spPr>
            <a:ln>
              <a:solidFill>
                <a:srgbClr val="FF0000"/>
              </a:solidFill>
              <a:prstDash val="dash"/>
            </a:ln>
          </c:spPr>
          <c:marker>
            <c:symbol val="none"/>
          </c:marker>
          <c:val>
            <c:numRef>
              <c:f>'simulation commandes'!$L$5:$L$252</c:f>
              <c:numCache>
                <c:formatCode>0</c:formatCode>
                <c:ptCount val="248"/>
                <c:pt idx="0">
                  <c:v>13</c:v>
                </c:pt>
                <c:pt idx="1">
                  <c:v>13</c:v>
                </c:pt>
                <c:pt idx="2">
                  <c:v>13</c:v>
                </c:pt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  <c:pt idx="10">
                  <c:v>13</c:v>
                </c:pt>
                <c:pt idx="11">
                  <c:v>13</c:v>
                </c:pt>
                <c:pt idx="12">
                  <c:v>13</c:v>
                </c:pt>
                <c:pt idx="13">
                  <c:v>13</c:v>
                </c:pt>
                <c:pt idx="14">
                  <c:v>13</c:v>
                </c:pt>
                <c:pt idx="15">
                  <c:v>13</c:v>
                </c:pt>
                <c:pt idx="16">
                  <c:v>13</c:v>
                </c:pt>
                <c:pt idx="17">
                  <c:v>13</c:v>
                </c:pt>
                <c:pt idx="18">
                  <c:v>13</c:v>
                </c:pt>
                <c:pt idx="19">
                  <c:v>13</c:v>
                </c:pt>
                <c:pt idx="20">
                  <c:v>13</c:v>
                </c:pt>
                <c:pt idx="21">
                  <c:v>13</c:v>
                </c:pt>
                <c:pt idx="22">
                  <c:v>13</c:v>
                </c:pt>
                <c:pt idx="23">
                  <c:v>13</c:v>
                </c:pt>
                <c:pt idx="24">
                  <c:v>13</c:v>
                </c:pt>
                <c:pt idx="25">
                  <c:v>13</c:v>
                </c:pt>
                <c:pt idx="26">
                  <c:v>19.6875</c:v>
                </c:pt>
                <c:pt idx="27">
                  <c:v>19.6875</c:v>
                </c:pt>
                <c:pt idx="28">
                  <c:v>19.6875</c:v>
                </c:pt>
                <c:pt idx="29">
                  <c:v>19.6875</c:v>
                </c:pt>
                <c:pt idx="30">
                  <c:v>19.6875</c:v>
                </c:pt>
                <c:pt idx="31">
                  <c:v>19.6875</c:v>
                </c:pt>
                <c:pt idx="32">
                  <c:v>19.6875</c:v>
                </c:pt>
                <c:pt idx="33">
                  <c:v>19.6875</c:v>
                </c:pt>
                <c:pt idx="34">
                  <c:v>19.6875</c:v>
                </c:pt>
                <c:pt idx="35">
                  <c:v>19.6875</c:v>
                </c:pt>
                <c:pt idx="36">
                  <c:v>19.6875</c:v>
                </c:pt>
                <c:pt idx="37">
                  <c:v>19.6875</c:v>
                </c:pt>
                <c:pt idx="38">
                  <c:v>19.6875</c:v>
                </c:pt>
                <c:pt idx="39">
                  <c:v>19.6875</c:v>
                </c:pt>
                <c:pt idx="40">
                  <c:v>19.6875</c:v>
                </c:pt>
                <c:pt idx="41">
                  <c:v>19.6875</c:v>
                </c:pt>
                <c:pt idx="42">
                  <c:v>13</c:v>
                </c:pt>
                <c:pt idx="43">
                  <c:v>13</c:v>
                </c:pt>
                <c:pt idx="44">
                  <c:v>13</c:v>
                </c:pt>
                <c:pt idx="45">
                  <c:v>13</c:v>
                </c:pt>
                <c:pt idx="46">
                  <c:v>13</c:v>
                </c:pt>
                <c:pt idx="47">
                  <c:v>13</c:v>
                </c:pt>
                <c:pt idx="48">
                  <c:v>13</c:v>
                </c:pt>
                <c:pt idx="49">
                  <c:v>13</c:v>
                </c:pt>
                <c:pt idx="50">
                  <c:v>13</c:v>
                </c:pt>
                <c:pt idx="51">
                  <c:v>13</c:v>
                </c:pt>
                <c:pt idx="52">
                  <c:v>13</c:v>
                </c:pt>
                <c:pt idx="53">
                  <c:v>13</c:v>
                </c:pt>
                <c:pt idx="54">
                  <c:v>13</c:v>
                </c:pt>
                <c:pt idx="55">
                  <c:v>13</c:v>
                </c:pt>
                <c:pt idx="56">
                  <c:v>13</c:v>
                </c:pt>
                <c:pt idx="57">
                  <c:v>13</c:v>
                </c:pt>
                <c:pt idx="58">
                  <c:v>13</c:v>
                </c:pt>
                <c:pt idx="59">
                  <c:v>13</c:v>
                </c:pt>
                <c:pt idx="60">
                  <c:v>13</c:v>
                </c:pt>
                <c:pt idx="61">
                  <c:v>13</c:v>
                </c:pt>
                <c:pt idx="62">
                  <c:v>13</c:v>
                </c:pt>
                <c:pt idx="63">
                  <c:v>13</c:v>
                </c:pt>
                <c:pt idx="64">
                  <c:v>13</c:v>
                </c:pt>
                <c:pt idx="65">
                  <c:v>13</c:v>
                </c:pt>
                <c:pt idx="66">
                  <c:v>13</c:v>
                </c:pt>
                <c:pt idx="67">
                  <c:v>13</c:v>
                </c:pt>
                <c:pt idx="68">
                  <c:v>13</c:v>
                </c:pt>
                <c:pt idx="69">
                  <c:v>13</c:v>
                </c:pt>
                <c:pt idx="70">
                  <c:v>13</c:v>
                </c:pt>
                <c:pt idx="71">
                  <c:v>13</c:v>
                </c:pt>
                <c:pt idx="72">
                  <c:v>13</c:v>
                </c:pt>
                <c:pt idx="73">
                  <c:v>13</c:v>
                </c:pt>
                <c:pt idx="74">
                  <c:v>13</c:v>
                </c:pt>
                <c:pt idx="75">
                  <c:v>13</c:v>
                </c:pt>
                <c:pt idx="76">
                  <c:v>13</c:v>
                </c:pt>
                <c:pt idx="77">
                  <c:v>13</c:v>
                </c:pt>
                <c:pt idx="78">
                  <c:v>13</c:v>
                </c:pt>
                <c:pt idx="79">
                  <c:v>13</c:v>
                </c:pt>
                <c:pt idx="80">
                  <c:v>13</c:v>
                </c:pt>
                <c:pt idx="81">
                  <c:v>13</c:v>
                </c:pt>
                <c:pt idx="82">
                  <c:v>13</c:v>
                </c:pt>
                <c:pt idx="83">
                  <c:v>13</c:v>
                </c:pt>
                <c:pt idx="84">
                  <c:v>13</c:v>
                </c:pt>
                <c:pt idx="85">
                  <c:v>13</c:v>
                </c:pt>
                <c:pt idx="86">
                  <c:v>13</c:v>
                </c:pt>
                <c:pt idx="87">
                  <c:v>13</c:v>
                </c:pt>
                <c:pt idx="88">
                  <c:v>13</c:v>
                </c:pt>
                <c:pt idx="89">
                  <c:v>13</c:v>
                </c:pt>
                <c:pt idx="90">
                  <c:v>13</c:v>
                </c:pt>
                <c:pt idx="91">
                  <c:v>13</c:v>
                </c:pt>
                <c:pt idx="92">
                  <c:v>13</c:v>
                </c:pt>
                <c:pt idx="93">
                  <c:v>13</c:v>
                </c:pt>
                <c:pt idx="94">
                  <c:v>13</c:v>
                </c:pt>
                <c:pt idx="95">
                  <c:v>13</c:v>
                </c:pt>
                <c:pt idx="96">
                  <c:v>13</c:v>
                </c:pt>
                <c:pt idx="97">
                  <c:v>13</c:v>
                </c:pt>
                <c:pt idx="98">
                  <c:v>13</c:v>
                </c:pt>
                <c:pt idx="99">
                  <c:v>13</c:v>
                </c:pt>
                <c:pt idx="100">
                  <c:v>13</c:v>
                </c:pt>
                <c:pt idx="101">
                  <c:v>13</c:v>
                </c:pt>
                <c:pt idx="102">
                  <c:v>13</c:v>
                </c:pt>
                <c:pt idx="103">
                  <c:v>13</c:v>
                </c:pt>
                <c:pt idx="104">
                  <c:v>13</c:v>
                </c:pt>
                <c:pt idx="105">
                  <c:v>13</c:v>
                </c:pt>
                <c:pt idx="106">
                  <c:v>13</c:v>
                </c:pt>
                <c:pt idx="107">
                  <c:v>13</c:v>
                </c:pt>
                <c:pt idx="108">
                  <c:v>13</c:v>
                </c:pt>
                <c:pt idx="109">
                  <c:v>13</c:v>
                </c:pt>
                <c:pt idx="110">
                  <c:v>13</c:v>
                </c:pt>
                <c:pt idx="111">
                  <c:v>13</c:v>
                </c:pt>
                <c:pt idx="112">
                  <c:v>13</c:v>
                </c:pt>
                <c:pt idx="113">
                  <c:v>13</c:v>
                </c:pt>
                <c:pt idx="114">
                  <c:v>13</c:v>
                </c:pt>
                <c:pt idx="115">
                  <c:v>13</c:v>
                </c:pt>
                <c:pt idx="116">
                  <c:v>13</c:v>
                </c:pt>
                <c:pt idx="117">
                  <c:v>13</c:v>
                </c:pt>
                <c:pt idx="118">
                  <c:v>13</c:v>
                </c:pt>
                <c:pt idx="119">
                  <c:v>13</c:v>
                </c:pt>
                <c:pt idx="120">
                  <c:v>13</c:v>
                </c:pt>
                <c:pt idx="121">
                  <c:v>13</c:v>
                </c:pt>
                <c:pt idx="122">
                  <c:v>13</c:v>
                </c:pt>
                <c:pt idx="123">
                  <c:v>13</c:v>
                </c:pt>
                <c:pt idx="124">
                  <c:v>13</c:v>
                </c:pt>
                <c:pt idx="125">
                  <c:v>13</c:v>
                </c:pt>
                <c:pt idx="126">
                  <c:v>13</c:v>
                </c:pt>
                <c:pt idx="127">
                  <c:v>13</c:v>
                </c:pt>
                <c:pt idx="128">
                  <c:v>13</c:v>
                </c:pt>
                <c:pt idx="129">
                  <c:v>13</c:v>
                </c:pt>
                <c:pt idx="130">
                  <c:v>13</c:v>
                </c:pt>
                <c:pt idx="131">
                  <c:v>13</c:v>
                </c:pt>
                <c:pt idx="132">
                  <c:v>13</c:v>
                </c:pt>
                <c:pt idx="133">
                  <c:v>13</c:v>
                </c:pt>
                <c:pt idx="134">
                  <c:v>13</c:v>
                </c:pt>
                <c:pt idx="135">
                  <c:v>13</c:v>
                </c:pt>
                <c:pt idx="136">
                  <c:v>13</c:v>
                </c:pt>
                <c:pt idx="137">
                  <c:v>13</c:v>
                </c:pt>
                <c:pt idx="138">
                  <c:v>13</c:v>
                </c:pt>
                <c:pt idx="139">
                  <c:v>13</c:v>
                </c:pt>
                <c:pt idx="140">
                  <c:v>13</c:v>
                </c:pt>
                <c:pt idx="141">
                  <c:v>13</c:v>
                </c:pt>
                <c:pt idx="142">
                  <c:v>13</c:v>
                </c:pt>
                <c:pt idx="143">
                  <c:v>13</c:v>
                </c:pt>
                <c:pt idx="144">
                  <c:v>13</c:v>
                </c:pt>
                <c:pt idx="145">
                  <c:v>13</c:v>
                </c:pt>
                <c:pt idx="146">
                  <c:v>13</c:v>
                </c:pt>
                <c:pt idx="147">
                  <c:v>13</c:v>
                </c:pt>
                <c:pt idx="148">
                  <c:v>13</c:v>
                </c:pt>
                <c:pt idx="149">
                  <c:v>13</c:v>
                </c:pt>
                <c:pt idx="150">
                  <c:v>13</c:v>
                </c:pt>
                <c:pt idx="151">
                  <c:v>13</c:v>
                </c:pt>
                <c:pt idx="152">
                  <c:v>13</c:v>
                </c:pt>
                <c:pt idx="153">
                  <c:v>13</c:v>
                </c:pt>
                <c:pt idx="154">
                  <c:v>13</c:v>
                </c:pt>
                <c:pt idx="155">
                  <c:v>13</c:v>
                </c:pt>
                <c:pt idx="156">
                  <c:v>13</c:v>
                </c:pt>
                <c:pt idx="157">
                  <c:v>13</c:v>
                </c:pt>
                <c:pt idx="158">
                  <c:v>13</c:v>
                </c:pt>
                <c:pt idx="159">
                  <c:v>13</c:v>
                </c:pt>
                <c:pt idx="160">
                  <c:v>13</c:v>
                </c:pt>
                <c:pt idx="161">
                  <c:v>13</c:v>
                </c:pt>
                <c:pt idx="162">
                  <c:v>13</c:v>
                </c:pt>
                <c:pt idx="163">
                  <c:v>13</c:v>
                </c:pt>
                <c:pt idx="164">
                  <c:v>13</c:v>
                </c:pt>
                <c:pt idx="165">
                  <c:v>13</c:v>
                </c:pt>
                <c:pt idx="166">
                  <c:v>13</c:v>
                </c:pt>
                <c:pt idx="167">
                  <c:v>13</c:v>
                </c:pt>
                <c:pt idx="168">
                  <c:v>13</c:v>
                </c:pt>
                <c:pt idx="169">
                  <c:v>13</c:v>
                </c:pt>
                <c:pt idx="170">
                  <c:v>13</c:v>
                </c:pt>
                <c:pt idx="171">
                  <c:v>13</c:v>
                </c:pt>
                <c:pt idx="172">
                  <c:v>13</c:v>
                </c:pt>
                <c:pt idx="173">
                  <c:v>13</c:v>
                </c:pt>
                <c:pt idx="174">
                  <c:v>13</c:v>
                </c:pt>
                <c:pt idx="175">
                  <c:v>13</c:v>
                </c:pt>
                <c:pt idx="176">
                  <c:v>13</c:v>
                </c:pt>
                <c:pt idx="177">
                  <c:v>13</c:v>
                </c:pt>
                <c:pt idx="178">
                  <c:v>13</c:v>
                </c:pt>
                <c:pt idx="179">
                  <c:v>13</c:v>
                </c:pt>
                <c:pt idx="180">
                  <c:v>13</c:v>
                </c:pt>
                <c:pt idx="181">
                  <c:v>13</c:v>
                </c:pt>
                <c:pt idx="182">
                  <c:v>13</c:v>
                </c:pt>
                <c:pt idx="183">
                  <c:v>13</c:v>
                </c:pt>
                <c:pt idx="184">
                  <c:v>13</c:v>
                </c:pt>
                <c:pt idx="185">
                  <c:v>13</c:v>
                </c:pt>
                <c:pt idx="186">
                  <c:v>13</c:v>
                </c:pt>
                <c:pt idx="187">
                  <c:v>13</c:v>
                </c:pt>
                <c:pt idx="188">
                  <c:v>13</c:v>
                </c:pt>
                <c:pt idx="189">
                  <c:v>13</c:v>
                </c:pt>
                <c:pt idx="190">
                  <c:v>13</c:v>
                </c:pt>
                <c:pt idx="191">
                  <c:v>13</c:v>
                </c:pt>
                <c:pt idx="192">
                  <c:v>13</c:v>
                </c:pt>
                <c:pt idx="193">
                  <c:v>13</c:v>
                </c:pt>
                <c:pt idx="194">
                  <c:v>13</c:v>
                </c:pt>
                <c:pt idx="195">
                  <c:v>13</c:v>
                </c:pt>
                <c:pt idx="196">
                  <c:v>13</c:v>
                </c:pt>
                <c:pt idx="197">
                  <c:v>13</c:v>
                </c:pt>
                <c:pt idx="198">
                  <c:v>13</c:v>
                </c:pt>
                <c:pt idx="199">
                  <c:v>13</c:v>
                </c:pt>
                <c:pt idx="200">
                  <c:v>13</c:v>
                </c:pt>
                <c:pt idx="201">
                  <c:v>13</c:v>
                </c:pt>
                <c:pt idx="202">
                  <c:v>13</c:v>
                </c:pt>
                <c:pt idx="203">
                  <c:v>13</c:v>
                </c:pt>
                <c:pt idx="204">
                  <c:v>13</c:v>
                </c:pt>
                <c:pt idx="205">
                  <c:v>13</c:v>
                </c:pt>
                <c:pt idx="206">
                  <c:v>13</c:v>
                </c:pt>
                <c:pt idx="207">
                  <c:v>13</c:v>
                </c:pt>
                <c:pt idx="208">
                  <c:v>13</c:v>
                </c:pt>
                <c:pt idx="209">
                  <c:v>13</c:v>
                </c:pt>
                <c:pt idx="210">
                  <c:v>13</c:v>
                </c:pt>
                <c:pt idx="211">
                  <c:v>13</c:v>
                </c:pt>
                <c:pt idx="212">
                  <c:v>13</c:v>
                </c:pt>
                <c:pt idx="213">
                  <c:v>13</c:v>
                </c:pt>
                <c:pt idx="214">
                  <c:v>13</c:v>
                </c:pt>
                <c:pt idx="215">
                  <c:v>13</c:v>
                </c:pt>
                <c:pt idx="216">
                  <c:v>13</c:v>
                </c:pt>
                <c:pt idx="217">
                  <c:v>13</c:v>
                </c:pt>
                <c:pt idx="218">
                  <c:v>13</c:v>
                </c:pt>
                <c:pt idx="219">
                  <c:v>13</c:v>
                </c:pt>
                <c:pt idx="220">
                  <c:v>13</c:v>
                </c:pt>
                <c:pt idx="221">
                  <c:v>13</c:v>
                </c:pt>
                <c:pt idx="222">
                  <c:v>13</c:v>
                </c:pt>
                <c:pt idx="223">
                  <c:v>13</c:v>
                </c:pt>
                <c:pt idx="224">
                  <c:v>13</c:v>
                </c:pt>
                <c:pt idx="225">
                  <c:v>13</c:v>
                </c:pt>
                <c:pt idx="226">
                  <c:v>13</c:v>
                </c:pt>
                <c:pt idx="227">
                  <c:v>13</c:v>
                </c:pt>
                <c:pt idx="228">
                  <c:v>13</c:v>
                </c:pt>
                <c:pt idx="229">
                  <c:v>13</c:v>
                </c:pt>
                <c:pt idx="230">
                  <c:v>13</c:v>
                </c:pt>
                <c:pt idx="231">
                  <c:v>13</c:v>
                </c:pt>
                <c:pt idx="232">
                  <c:v>13</c:v>
                </c:pt>
                <c:pt idx="233">
                  <c:v>13</c:v>
                </c:pt>
                <c:pt idx="234">
                  <c:v>13</c:v>
                </c:pt>
                <c:pt idx="235">
                  <c:v>13</c:v>
                </c:pt>
                <c:pt idx="236">
                  <c:v>13</c:v>
                </c:pt>
                <c:pt idx="237">
                  <c:v>13</c:v>
                </c:pt>
                <c:pt idx="238">
                  <c:v>13</c:v>
                </c:pt>
                <c:pt idx="239">
                  <c:v>13</c:v>
                </c:pt>
                <c:pt idx="240">
                  <c:v>13</c:v>
                </c:pt>
                <c:pt idx="241">
                  <c:v>13</c:v>
                </c:pt>
                <c:pt idx="242">
                  <c:v>13</c:v>
                </c:pt>
                <c:pt idx="243">
                  <c:v>13</c:v>
                </c:pt>
                <c:pt idx="244">
                  <c:v>13</c:v>
                </c:pt>
                <c:pt idx="245">
                  <c:v>13</c:v>
                </c:pt>
                <c:pt idx="246">
                  <c:v>13</c:v>
                </c:pt>
                <c:pt idx="247">
                  <c:v>13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275584"/>
        <c:axId val="196367488"/>
      </c:lineChart>
      <c:catAx>
        <c:axId val="196275584"/>
        <c:scaling>
          <c:orientation val="minMax"/>
        </c:scaling>
        <c:delete val="0"/>
        <c:axPos val="b"/>
        <c:majorTickMark val="out"/>
        <c:minorTickMark val="none"/>
        <c:tickLblPos val="nextTo"/>
        <c:crossAx val="196367488"/>
        <c:crosses val="autoZero"/>
        <c:auto val="1"/>
        <c:lblAlgn val="ctr"/>
        <c:lblOffset val="100"/>
        <c:noMultiLvlLbl val="0"/>
      </c:catAx>
      <c:valAx>
        <c:axId val="196367488"/>
        <c:scaling>
          <c:orientation val="minMax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96275584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overlay val="0"/>
    </c:legend>
    <c:plotVisOnly val="0"/>
    <c:dispBlanksAs val="zero"/>
    <c:showDLblsOverMax val="0"/>
  </c:chart>
  <c:printSettings>
    <c:headerFooter>
      <c:oddHeader>&amp;L&amp;"-,Gras"BELIER ASSOCIES&amp;C&amp;"-,Gras"&amp;14Simulation 
DD MRP&amp;"-,Normal"&amp;11
&amp;R&amp;D</c:oddHeader>
    </c:headerFooter>
    <c:pageMargins b="0.74803149606299213" l="0.70866141732283472" r="0.70866141732283472" t="0.74803149606299213" header="0.31496062992125984" footer="0.31496062992125984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177164</xdr:colOff>
      <xdr:row>1</xdr:row>
      <xdr:rowOff>99754</xdr:rowOff>
    </xdr:from>
    <xdr:to>
      <xdr:col>13</xdr:col>
      <xdr:colOff>583622</xdr:colOff>
      <xdr:row>25</xdr:row>
      <xdr:rowOff>129887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3</xdr:row>
      <xdr:rowOff>10886</xdr:rowOff>
    </xdr:from>
    <xdr:to>
      <xdr:col>24</xdr:col>
      <xdr:colOff>707572</xdr:colOff>
      <xdr:row>42</xdr:row>
      <xdr:rowOff>65314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97971</xdr:colOff>
      <xdr:row>44</xdr:row>
      <xdr:rowOff>54430</xdr:rowOff>
    </xdr:from>
    <xdr:to>
      <xdr:col>24</xdr:col>
      <xdr:colOff>729343</xdr:colOff>
      <xdr:row>65</xdr:row>
      <xdr:rowOff>32657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68</xdr:row>
      <xdr:rowOff>0</xdr:rowOff>
    </xdr:from>
    <xdr:to>
      <xdr:col>24</xdr:col>
      <xdr:colOff>631372</xdr:colOff>
      <xdr:row>88</xdr:row>
      <xdr:rowOff>163284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3</xdr:row>
      <xdr:rowOff>10886</xdr:rowOff>
    </xdr:from>
    <xdr:to>
      <xdr:col>24</xdr:col>
      <xdr:colOff>707572</xdr:colOff>
      <xdr:row>42</xdr:row>
      <xdr:rowOff>65314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97971</xdr:colOff>
      <xdr:row>44</xdr:row>
      <xdr:rowOff>54430</xdr:rowOff>
    </xdr:from>
    <xdr:to>
      <xdr:col>24</xdr:col>
      <xdr:colOff>729343</xdr:colOff>
      <xdr:row>65</xdr:row>
      <xdr:rowOff>32657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68</xdr:row>
      <xdr:rowOff>0</xdr:rowOff>
    </xdr:from>
    <xdr:to>
      <xdr:col>24</xdr:col>
      <xdr:colOff>631372</xdr:colOff>
      <xdr:row>88</xdr:row>
      <xdr:rowOff>163284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2424546</xdr:colOff>
      <xdr:row>10</xdr:row>
      <xdr:rowOff>173182</xdr:rowOff>
    </xdr:from>
    <xdr:to>
      <xdr:col>39</xdr:col>
      <xdr:colOff>375227</xdr:colOff>
      <xdr:row>53</xdr:row>
      <xdr:rowOff>173182</xdr:rowOff>
    </xdr:to>
    <xdr:sp macro="" textlink="">
      <xdr:nvSpPr>
        <xdr:cNvPr id="5" name="ZoneTexte 4"/>
        <xdr:cNvSpPr txBox="1"/>
      </xdr:nvSpPr>
      <xdr:spPr>
        <a:xfrm>
          <a:off x="21936364" y="2337955"/>
          <a:ext cx="9669318" cy="86879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</a:t>
          </a:r>
          <a:r>
            <a:rPr lang="fr-FR" sz="1100" baseline="0"/>
            <a:t> les graphs  et donc mon objectif est de  choisir dans un menu déroulant lequel affiché er quelle sdonnées affichées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ouzi ALAOUI" refreshedDate="42740.434537847221" createdVersion="4" refreshedVersion="4" minRefreshableVersion="3" recordCount="29">
  <cacheSource type="worksheet">
    <worksheetSource ref="G2:H31" sheet="Feuil1"/>
  </cacheSource>
  <cacheFields count="2">
    <cacheField name="date" numFmtId="14">
      <sharedItems containsSemiMixedTypes="0" containsNonDate="0" containsDate="1" containsString="0" minDate="2015-01-08T00:00:00" maxDate="2015-12-25T00:00:00" count="28">
        <d v="2015-01-08T00:00:00"/>
        <d v="2015-01-20T00:00:00"/>
        <d v="2015-01-27T00:00:00"/>
        <d v="2015-02-13T00:00:00"/>
        <d v="2015-03-04T00:00:00"/>
        <d v="2015-03-19T00:00:00"/>
        <d v="2015-03-26T00:00:00"/>
        <d v="2015-04-09T00:00:00"/>
        <d v="2015-04-16T00:00:00"/>
        <d v="2015-04-17T00:00:00"/>
        <d v="2015-04-24T00:00:00"/>
        <d v="2015-04-28T00:00:00"/>
        <d v="2015-05-11T00:00:00"/>
        <d v="2015-05-13T00:00:00"/>
        <d v="2015-05-19T00:00:00"/>
        <d v="2015-05-29T00:00:00"/>
        <d v="2015-06-19T00:00:00"/>
        <d v="2015-06-26T00:00:00"/>
        <d v="2015-07-03T00:00:00"/>
        <d v="2015-07-28T00:00:00"/>
        <d v="2015-08-18T00:00:00"/>
        <d v="2015-08-26T00:00:00"/>
        <d v="2015-09-09T00:00:00"/>
        <d v="2015-10-15T00:00:00"/>
        <d v="2015-11-25T00:00:00"/>
        <d v="2015-11-27T00:00:00"/>
        <d v="2015-12-07T00:00:00"/>
        <d v="2015-12-24T00:00:00"/>
      </sharedItems>
    </cacheField>
    <cacheField name="écart inventaire" numFmtId="4">
      <sharedItems containsSemiMixedTypes="0" containsString="0" containsNumber="1" containsInteger="1" minValue="-24" maxValue="5" count="9">
        <n v="-1"/>
        <n v="-3"/>
        <n v="-4"/>
        <n v="-2"/>
        <n v="-5"/>
        <n v="-24"/>
        <n v="-10"/>
        <n v="-14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aouzi ALAOUI" refreshedDate="42740.442888310186" createdVersion="4" refreshedVersion="4" minRefreshableVersion="3" recordCount="135">
  <cacheSource type="worksheet">
    <worksheetSource ref="A2:B137" sheet="Feuil1"/>
  </cacheSource>
  <cacheFields count="2">
    <cacheField name="date" numFmtId="14">
      <sharedItems containsSemiMixedTypes="0" containsNonDate="0" containsDate="1" containsString="0" minDate="2015-01-07T00:00:00" maxDate="2015-12-23T00:00:00" count="84">
        <d v="2015-01-07T00:00:00"/>
        <d v="2015-01-13T00:00:00"/>
        <d v="2015-01-20T00:00:00"/>
        <d v="2015-01-23T00:00:00"/>
        <d v="2015-02-02T00:00:00"/>
        <d v="2015-02-12T00:00:00"/>
        <d v="2015-02-13T00:00:00"/>
        <d v="2015-02-16T00:00:00"/>
        <d v="2015-02-23T00:00:00"/>
        <d v="2015-03-05T00:00:00"/>
        <d v="2015-03-09T00:00:00"/>
        <d v="2015-03-10T00:00:00"/>
        <d v="2015-03-17T00:00:00"/>
        <d v="2015-03-20T00:00:00"/>
        <d v="2015-03-23T00:00:00"/>
        <d v="2015-03-25T00:00:00"/>
        <d v="2015-03-30T00:00:00"/>
        <d v="2015-03-31T00:00:00"/>
        <d v="2015-04-03T00:00:00"/>
        <d v="2015-04-10T00:00:00"/>
        <d v="2015-04-13T00:00:00"/>
        <d v="2015-04-16T00:00:00"/>
        <d v="2015-04-17T00:00:00"/>
        <d v="2015-04-22T00:00:00"/>
        <d v="2015-04-23T00:00:00"/>
        <d v="2015-04-27T00:00:00"/>
        <d v="2015-04-28T00:00:00"/>
        <d v="2015-04-29T00:00:00"/>
        <d v="2015-04-30T00:00:00"/>
        <d v="2015-05-06T00:00:00"/>
        <d v="2015-05-12T00:00:00"/>
        <d v="2015-05-13T00:00:00"/>
        <d v="2015-05-21T00:00:00"/>
        <d v="2015-05-26T00:00:00"/>
        <d v="2015-06-03T00:00:00"/>
        <d v="2015-06-04T00:00:00"/>
        <d v="2015-06-08T00:00:00"/>
        <d v="2015-06-09T00:00:00"/>
        <d v="2015-06-11T00:00:00"/>
        <d v="2015-06-12T00:00:00"/>
        <d v="2015-06-16T00:00:00"/>
        <d v="2015-06-19T00:00:00"/>
        <d v="2015-06-22T00:00:00"/>
        <d v="2015-06-24T00:00:00"/>
        <d v="2015-07-01T00:00:00"/>
        <d v="2015-07-15T00:00:00"/>
        <d v="2015-07-22T00:00:00"/>
        <d v="2015-07-28T00:00:00"/>
        <d v="2015-07-30T00:00:00"/>
        <d v="2015-08-06T00:00:00"/>
        <d v="2015-08-07T00:00:00"/>
        <d v="2015-08-24T00:00:00"/>
        <d v="2015-08-26T00:00:00"/>
        <d v="2015-09-02T00:00:00"/>
        <d v="2015-09-08T00:00:00"/>
        <d v="2015-09-16T00:00:00"/>
        <d v="2015-09-18T00:00:00"/>
        <d v="2015-09-24T00:00:00"/>
        <d v="2015-09-25T00:00:00"/>
        <d v="2015-09-28T00:00:00"/>
        <d v="2015-09-30T00:00:00"/>
        <d v="2015-10-14T00:00:00"/>
        <d v="2015-10-20T00:00:00"/>
        <d v="2015-10-21T00:00:00"/>
        <d v="2015-10-23T00:00:00"/>
        <d v="2015-10-26T00:00:00"/>
        <d v="2015-10-29T00:00:00"/>
        <d v="2015-11-03T00:00:00"/>
        <d v="2015-11-04T00:00:00"/>
        <d v="2015-11-10T00:00:00"/>
        <d v="2015-11-12T00:00:00"/>
        <d v="2015-11-16T00:00:00"/>
        <d v="2015-11-17T00:00:00"/>
        <d v="2015-11-19T00:00:00"/>
        <d v="2015-11-20T00:00:00"/>
        <d v="2015-11-24T00:00:00"/>
        <d v="2015-11-27T00:00:00"/>
        <d v="2015-11-30T00:00:00"/>
        <d v="2015-12-03T00:00:00"/>
        <d v="2015-12-08T00:00:00"/>
        <d v="2015-12-09T00:00:00"/>
        <d v="2015-12-15T00:00:00"/>
        <d v="2015-12-17T00:00:00"/>
        <d v="2015-12-22T00:00:00"/>
      </sharedItems>
    </cacheField>
    <cacheField name="vente" numFmtId="0">
      <sharedItems containsSemiMixedTypes="0" containsString="0" containsNumber="1" containsInteger="1" minValue="1" maxValue="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Faouzi ALAOUI" refreshedDate="42740.4440181713" createdVersion="4" refreshedVersion="4" minRefreshableVersion="3" recordCount="54">
  <cacheSource type="worksheet">
    <worksheetSource ref="D2:E56" sheet="Feuil1"/>
  </cacheSource>
  <cacheFields count="2">
    <cacheField name="date" numFmtId="14">
      <sharedItems containsSemiMixedTypes="0" containsNonDate="0" containsDate="1" containsString="0" minDate="2015-01-09T00:00:00" maxDate="2015-12-19T00:00:00" count="35">
        <d v="2015-01-09T00:00:00"/>
        <d v="2015-01-26T00:00:00"/>
        <d v="2015-02-06T00:00:00"/>
        <d v="2015-03-06T00:00:00"/>
        <d v="2015-03-13T00:00:00"/>
        <d v="2015-03-20T00:00:00"/>
        <d v="2015-03-27T00:00:00"/>
        <d v="2015-04-03T00:00:00"/>
        <d v="2015-04-17T00:00:00"/>
        <d v="2015-04-24T00:00:00"/>
        <d v="2015-05-04T00:00:00"/>
        <d v="2015-05-11T00:00:00"/>
        <d v="2015-05-18T00:00:00"/>
        <d v="2015-05-26T00:00:00"/>
        <d v="2015-05-29T00:00:00"/>
        <d v="2015-06-12T00:00:00"/>
        <d v="2015-06-19T00:00:00"/>
        <d v="2015-06-29T00:00:00"/>
        <d v="2015-07-16T00:00:00"/>
        <d v="2015-07-28T00:00:00"/>
        <d v="2015-07-30T00:00:00"/>
        <d v="2015-08-31T00:00:00"/>
        <d v="2015-09-10T00:00:00"/>
        <d v="2015-09-18T00:00:00"/>
        <d v="2015-10-05T00:00:00"/>
        <d v="2015-10-09T00:00:00"/>
        <d v="2015-10-16T00:00:00"/>
        <d v="2015-10-26T00:00:00"/>
        <d v="2015-10-30T00:00:00"/>
        <d v="2015-11-13T00:00:00"/>
        <d v="2015-11-20T00:00:00"/>
        <d v="2015-11-27T00:00:00"/>
        <d v="2015-12-04T00:00:00"/>
        <d v="2015-12-11T00:00:00"/>
        <d v="2015-12-18T00:00:00"/>
      </sharedItems>
    </cacheField>
    <cacheField name="achat" numFmtId="4">
      <sharedItems containsSemiMixedTypes="0" containsString="0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</r>
  <r>
    <x v="1"/>
    <x v="0"/>
  </r>
  <r>
    <x v="2"/>
    <x v="0"/>
  </r>
  <r>
    <x v="3"/>
    <x v="0"/>
  </r>
  <r>
    <x v="4"/>
    <x v="0"/>
  </r>
  <r>
    <x v="5"/>
    <x v="1"/>
  </r>
  <r>
    <x v="6"/>
    <x v="2"/>
  </r>
  <r>
    <x v="7"/>
    <x v="0"/>
  </r>
  <r>
    <x v="8"/>
    <x v="2"/>
  </r>
  <r>
    <x v="9"/>
    <x v="2"/>
  </r>
  <r>
    <x v="9"/>
    <x v="3"/>
  </r>
  <r>
    <x v="10"/>
    <x v="4"/>
  </r>
  <r>
    <x v="11"/>
    <x v="0"/>
  </r>
  <r>
    <x v="12"/>
    <x v="0"/>
  </r>
  <r>
    <x v="13"/>
    <x v="5"/>
  </r>
  <r>
    <x v="14"/>
    <x v="0"/>
  </r>
  <r>
    <x v="15"/>
    <x v="3"/>
  </r>
  <r>
    <x v="16"/>
    <x v="2"/>
  </r>
  <r>
    <x v="17"/>
    <x v="2"/>
  </r>
  <r>
    <x v="18"/>
    <x v="2"/>
  </r>
  <r>
    <x v="19"/>
    <x v="2"/>
  </r>
  <r>
    <x v="20"/>
    <x v="3"/>
  </r>
  <r>
    <x v="21"/>
    <x v="4"/>
  </r>
  <r>
    <x v="22"/>
    <x v="6"/>
  </r>
  <r>
    <x v="23"/>
    <x v="2"/>
  </r>
  <r>
    <x v="24"/>
    <x v="7"/>
  </r>
  <r>
    <x v="25"/>
    <x v="1"/>
  </r>
  <r>
    <x v="26"/>
    <x v="0"/>
  </r>
  <r>
    <x v="27"/>
    <x v="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5">
  <r>
    <x v="0"/>
    <n v="10"/>
  </r>
  <r>
    <x v="0"/>
    <n v="1"/>
  </r>
  <r>
    <x v="1"/>
    <n v="1"/>
  </r>
  <r>
    <x v="2"/>
    <n v="1"/>
  </r>
  <r>
    <x v="2"/>
    <n v="1"/>
  </r>
  <r>
    <x v="2"/>
    <n v="2"/>
  </r>
  <r>
    <x v="3"/>
    <n v="10"/>
  </r>
  <r>
    <x v="4"/>
    <n v="2"/>
  </r>
  <r>
    <x v="5"/>
    <n v="1"/>
  </r>
  <r>
    <x v="6"/>
    <n v="2"/>
  </r>
  <r>
    <x v="6"/>
    <n v="4"/>
  </r>
  <r>
    <x v="6"/>
    <n v="2"/>
  </r>
  <r>
    <x v="7"/>
    <n v="2"/>
  </r>
  <r>
    <x v="8"/>
    <n v="3"/>
  </r>
  <r>
    <x v="8"/>
    <n v="12"/>
  </r>
  <r>
    <x v="9"/>
    <n v="2"/>
  </r>
  <r>
    <x v="10"/>
    <n v="1"/>
  </r>
  <r>
    <x v="11"/>
    <n v="1"/>
  </r>
  <r>
    <x v="11"/>
    <n v="5"/>
  </r>
  <r>
    <x v="12"/>
    <n v="10"/>
  </r>
  <r>
    <x v="13"/>
    <n v="2"/>
  </r>
  <r>
    <x v="14"/>
    <n v="2"/>
  </r>
  <r>
    <x v="15"/>
    <n v="2"/>
  </r>
  <r>
    <x v="16"/>
    <n v="34"/>
  </r>
  <r>
    <x v="17"/>
    <n v="1"/>
  </r>
  <r>
    <x v="17"/>
    <n v="1"/>
  </r>
  <r>
    <x v="18"/>
    <n v="10"/>
  </r>
  <r>
    <x v="19"/>
    <n v="1"/>
  </r>
  <r>
    <x v="20"/>
    <n v="2"/>
  </r>
  <r>
    <x v="21"/>
    <n v="1"/>
  </r>
  <r>
    <x v="22"/>
    <n v="1"/>
  </r>
  <r>
    <x v="23"/>
    <n v="1"/>
  </r>
  <r>
    <x v="24"/>
    <n v="5"/>
  </r>
  <r>
    <x v="24"/>
    <n v="4"/>
  </r>
  <r>
    <x v="24"/>
    <n v="5"/>
  </r>
  <r>
    <x v="25"/>
    <n v="1"/>
  </r>
  <r>
    <x v="25"/>
    <n v="6"/>
  </r>
  <r>
    <x v="26"/>
    <n v="1"/>
  </r>
  <r>
    <x v="26"/>
    <n v="1"/>
  </r>
  <r>
    <x v="26"/>
    <n v="1"/>
  </r>
  <r>
    <x v="27"/>
    <n v="1"/>
  </r>
  <r>
    <x v="28"/>
    <n v="26"/>
  </r>
  <r>
    <x v="29"/>
    <n v="10"/>
  </r>
  <r>
    <x v="30"/>
    <n v="1"/>
  </r>
  <r>
    <x v="31"/>
    <n v="2"/>
  </r>
  <r>
    <x v="31"/>
    <n v="4"/>
  </r>
  <r>
    <x v="32"/>
    <n v="1"/>
  </r>
  <r>
    <x v="33"/>
    <n v="6"/>
  </r>
  <r>
    <x v="34"/>
    <n v="4"/>
  </r>
  <r>
    <x v="34"/>
    <n v="2"/>
  </r>
  <r>
    <x v="34"/>
    <n v="2"/>
  </r>
  <r>
    <x v="34"/>
    <n v="4"/>
  </r>
  <r>
    <x v="34"/>
    <n v="6"/>
  </r>
  <r>
    <x v="35"/>
    <n v="1"/>
  </r>
  <r>
    <x v="36"/>
    <n v="3"/>
  </r>
  <r>
    <x v="37"/>
    <n v="2"/>
  </r>
  <r>
    <x v="38"/>
    <n v="2"/>
  </r>
  <r>
    <x v="39"/>
    <n v="1"/>
  </r>
  <r>
    <x v="39"/>
    <n v="2"/>
  </r>
  <r>
    <x v="40"/>
    <n v="2"/>
  </r>
  <r>
    <x v="40"/>
    <n v="2"/>
  </r>
  <r>
    <x v="40"/>
    <n v="2"/>
  </r>
  <r>
    <x v="40"/>
    <n v="4"/>
  </r>
  <r>
    <x v="40"/>
    <n v="4"/>
  </r>
  <r>
    <x v="41"/>
    <n v="6"/>
  </r>
  <r>
    <x v="42"/>
    <n v="1"/>
  </r>
  <r>
    <x v="42"/>
    <n v="3"/>
  </r>
  <r>
    <x v="43"/>
    <n v="2"/>
  </r>
  <r>
    <x v="44"/>
    <n v="2"/>
  </r>
  <r>
    <x v="44"/>
    <n v="2"/>
  </r>
  <r>
    <x v="44"/>
    <n v="2"/>
  </r>
  <r>
    <x v="44"/>
    <n v="2"/>
  </r>
  <r>
    <x v="45"/>
    <n v="1"/>
  </r>
  <r>
    <x v="46"/>
    <n v="2"/>
  </r>
  <r>
    <x v="47"/>
    <n v="1"/>
  </r>
  <r>
    <x v="48"/>
    <n v="2"/>
  </r>
  <r>
    <x v="48"/>
    <n v="2"/>
  </r>
  <r>
    <x v="49"/>
    <n v="1"/>
  </r>
  <r>
    <x v="50"/>
    <n v="2"/>
  </r>
  <r>
    <x v="51"/>
    <n v="8"/>
  </r>
  <r>
    <x v="52"/>
    <n v="2"/>
  </r>
  <r>
    <x v="52"/>
    <n v="3"/>
  </r>
  <r>
    <x v="53"/>
    <n v="2"/>
  </r>
  <r>
    <x v="53"/>
    <n v="4"/>
  </r>
  <r>
    <x v="54"/>
    <n v="1"/>
  </r>
  <r>
    <x v="55"/>
    <n v="2"/>
  </r>
  <r>
    <x v="55"/>
    <n v="2"/>
  </r>
  <r>
    <x v="56"/>
    <n v="10"/>
  </r>
  <r>
    <x v="57"/>
    <n v="1"/>
  </r>
  <r>
    <x v="58"/>
    <n v="1"/>
  </r>
  <r>
    <x v="58"/>
    <n v="4"/>
  </r>
  <r>
    <x v="58"/>
    <n v="2"/>
  </r>
  <r>
    <x v="59"/>
    <n v="3"/>
  </r>
  <r>
    <x v="59"/>
    <n v="2"/>
  </r>
  <r>
    <x v="60"/>
    <n v="10"/>
  </r>
  <r>
    <x v="61"/>
    <n v="1"/>
  </r>
  <r>
    <x v="62"/>
    <n v="2"/>
  </r>
  <r>
    <x v="63"/>
    <n v="30"/>
  </r>
  <r>
    <x v="64"/>
    <n v="4"/>
  </r>
  <r>
    <x v="64"/>
    <n v="1"/>
  </r>
  <r>
    <x v="64"/>
    <n v="2"/>
  </r>
  <r>
    <x v="65"/>
    <n v="5"/>
  </r>
  <r>
    <x v="66"/>
    <n v="2"/>
  </r>
  <r>
    <x v="66"/>
    <n v="3"/>
  </r>
  <r>
    <x v="67"/>
    <n v="2"/>
  </r>
  <r>
    <x v="67"/>
    <n v="5"/>
  </r>
  <r>
    <x v="67"/>
    <n v="2"/>
  </r>
  <r>
    <x v="68"/>
    <n v="2"/>
  </r>
  <r>
    <x v="69"/>
    <n v="7"/>
  </r>
  <r>
    <x v="70"/>
    <n v="2"/>
  </r>
  <r>
    <x v="71"/>
    <n v="1"/>
  </r>
  <r>
    <x v="71"/>
    <n v="8"/>
  </r>
  <r>
    <x v="72"/>
    <n v="2"/>
  </r>
  <r>
    <x v="72"/>
    <n v="4"/>
  </r>
  <r>
    <x v="73"/>
    <n v="1"/>
  </r>
  <r>
    <x v="74"/>
    <n v="1"/>
  </r>
  <r>
    <x v="74"/>
    <n v="2"/>
  </r>
  <r>
    <x v="74"/>
    <n v="1"/>
  </r>
  <r>
    <x v="74"/>
    <n v="2"/>
  </r>
  <r>
    <x v="75"/>
    <n v="1"/>
  </r>
  <r>
    <x v="75"/>
    <n v="1"/>
  </r>
  <r>
    <x v="76"/>
    <n v="1"/>
  </r>
  <r>
    <x v="76"/>
    <n v="1"/>
  </r>
  <r>
    <x v="77"/>
    <n v="4"/>
  </r>
  <r>
    <x v="77"/>
    <n v="8"/>
  </r>
  <r>
    <x v="78"/>
    <n v="6"/>
  </r>
  <r>
    <x v="79"/>
    <n v="5"/>
  </r>
  <r>
    <x v="80"/>
    <n v="1"/>
  </r>
  <r>
    <x v="80"/>
    <n v="3"/>
  </r>
  <r>
    <x v="80"/>
    <n v="1"/>
  </r>
  <r>
    <x v="80"/>
    <n v="3"/>
  </r>
  <r>
    <x v="81"/>
    <n v="1"/>
  </r>
  <r>
    <x v="82"/>
    <n v="10"/>
  </r>
  <r>
    <x v="83"/>
    <n v="6"/>
  </r>
  <r>
    <x v="83"/>
    <n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4">
  <r>
    <x v="0"/>
    <n v="10"/>
  </r>
  <r>
    <x v="1"/>
    <n v="8"/>
  </r>
  <r>
    <x v="1"/>
    <n v="20"/>
  </r>
  <r>
    <x v="1"/>
    <n v="10"/>
  </r>
  <r>
    <x v="2"/>
    <n v="20"/>
  </r>
  <r>
    <x v="3"/>
    <n v="11"/>
  </r>
  <r>
    <x v="3"/>
    <n v="2"/>
  </r>
  <r>
    <x v="4"/>
    <n v="4"/>
  </r>
  <r>
    <x v="5"/>
    <n v="20"/>
  </r>
  <r>
    <x v="5"/>
    <n v="2"/>
  </r>
  <r>
    <x v="6"/>
    <n v="50"/>
  </r>
  <r>
    <x v="6"/>
    <n v="4"/>
  </r>
  <r>
    <x v="6"/>
    <n v="14"/>
  </r>
  <r>
    <x v="6"/>
    <n v="3"/>
  </r>
  <r>
    <x v="7"/>
    <n v="22"/>
  </r>
  <r>
    <x v="8"/>
    <n v="3"/>
  </r>
  <r>
    <x v="8"/>
    <n v="8"/>
  </r>
  <r>
    <x v="9"/>
    <n v="14"/>
  </r>
  <r>
    <x v="9"/>
    <n v="1"/>
  </r>
  <r>
    <x v="9"/>
    <n v="23"/>
  </r>
  <r>
    <x v="9"/>
    <n v="12"/>
  </r>
  <r>
    <x v="10"/>
    <n v="3"/>
  </r>
  <r>
    <x v="11"/>
    <n v="20"/>
  </r>
  <r>
    <x v="12"/>
    <n v="16"/>
  </r>
  <r>
    <x v="12"/>
    <n v="26"/>
  </r>
  <r>
    <x v="13"/>
    <n v="1"/>
  </r>
  <r>
    <x v="14"/>
    <n v="14"/>
  </r>
  <r>
    <x v="15"/>
    <n v="4"/>
  </r>
  <r>
    <x v="15"/>
    <n v="5"/>
  </r>
  <r>
    <x v="16"/>
    <n v="6"/>
  </r>
  <r>
    <x v="17"/>
    <n v="1"/>
  </r>
  <r>
    <x v="17"/>
    <n v="3"/>
  </r>
  <r>
    <x v="18"/>
    <n v="3"/>
  </r>
  <r>
    <x v="18"/>
    <n v="13"/>
  </r>
  <r>
    <x v="19"/>
    <n v="6"/>
  </r>
  <r>
    <x v="20"/>
    <n v="5"/>
  </r>
  <r>
    <x v="21"/>
    <n v="14"/>
  </r>
  <r>
    <x v="21"/>
    <n v="10"/>
  </r>
  <r>
    <x v="22"/>
    <n v="5"/>
  </r>
  <r>
    <x v="23"/>
    <n v="6"/>
  </r>
  <r>
    <x v="24"/>
    <n v="5"/>
  </r>
  <r>
    <x v="25"/>
    <n v="37"/>
  </r>
  <r>
    <x v="26"/>
    <n v="14"/>
  </r>
  <r>
    <x v="27"/>
    <n v="10"/>
  </r>
  <r>
    <x v="27"/>
    <n v="4"/>
  </r>
  <r>
    <x v="28"/>
    <n v="1"/>
  </r>
  <r>
    <x v="28"/>
    <n v="4"/>
  </r>
  <r>
    <x v="29"/>
    <n v="15"/>
  </r>
  <r>
    <x v="30"/>
    <n v="11"/>
  </r>
  <r>
    <x v="30"/>
    <n v="8"/>
  </r>
  <r>
    <x v="31"/>
    <n v="20"/>
  </r>
  <r>
    <x v="32"/>
    <n v="12"/>
  </r>
  <r>
    <x v="33"/>
    <n v="20"/>
  </r>
  <r>
    <x v="34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30" firstHeaderRow="1" firstDataRow="1" firstDataCol="1"/>
  <pivotFields count="2">
    <pivotField axis="axisRow" numFmtId="14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dataField="1" numFmtId="4" showAll="0">
      <items count="10">
        <item x="5"/>
        <item x="7"/>
        <item x="6"/>
        <item x="4"/>
        <item x="2"/>
        <item x="1"/>
        <item x="3"/>
        <item x="0"/>
        <item x="8"/>
        <item t="default"/>
      </items>
    </pivotField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dataFields count="1">
    <dataField name="Ecart" fld="1" baseField="0" baseItem="0"/>
  </dataFields>
  <formats count="1">
    <format dxfId="19">
      <pivotArea type="all" dataOnly="0" outline="0" fieldPosition="0"/>
    </format>
  </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H32" firstHeaderRow="1" firstDataRow="1" firstDataCol="1"/>
  <pivotFields count="2">
    <pivotField axis="axisRow" numFmtId="14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dataField="1" numFmtId="4" showAl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Items count="1">
    <i/>
  </colItems>
  <dataFields count="1">
    <dataField name="Somme de écart inventaire" fld="1" baseField="0" baseItem="0"/>
  </dataFields>
  <formats count="4">
    <format dxfId="7">
      <pivotArea type="all" dataOnly="0" outline="0" fieldPosition="0"/>
    </format>
    <format dxfId="6">
      <pivotArea type="all" dataOnly="0" outline="0" fieldPosition="0"/>
    </format>
    <format dxfId="5">
      <pivotArea type="all" dataOnly="0" outline="0" fieldPosition="0"/>
    </format>
    <format dxfId="4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3:E39" firstHeaderRow="1" firstDataRow="1" firstDataCol="1"/>
  <pivotFields count="2">
    <pivotField axis="axisRow" numFmtId="14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dataField="1" numFmtId="4" showAll="0"/>
  </pivotFields>
  <rowFields count="1">
    <field x="0"/>
  </rowFields>
  <rowItems count="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 t="grand">
      <x/>
    </i>
  </rowItems>
  <colItems count="1">
    <i/>
  </colItems>
  <dataFields count="1">
    <dataField name="Somme de achat" fld="1" baseField="0" baseItem="0"/>
  </dataFields>
  <formats count="4">
    <format dxfId="11">
      <pivotArea type="all" dataOnly="0" outline="0" fieldPosition="0"/>
    </format>
    <format dxfId="10">
      <pivotArea type="all" dataOnly="0" outline="0" fieldPosition="0"/>
    </format>
    <format dxfId="9">
      <pivotArea type="all" dataOnly="0" outline="0" fieldPosition="0"/>
    </format>
    <format dxfId="8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88" firstHeaderRow="1" firstDataRow="1" firstDataCol="1"/>
  <pivotFields count="2">
    <pivotField axis="axisRow" numFmtId="14" showAll="0">
      <items count="8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t="default"/>
      </items>
    </pivotField>
    <pivotField dataField="1" showAll="0"/>
  </pivotFields>
  <rowFields count="1">
    <field x="0"/>
  </rowFields>
  <rowItems count="8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 t="grand">
      <x/>
    </i>
  </rowItems>
  <colItems count="1">
    <i/>
  </colItems>
  <dataFields count="1">
    <dataField name="Somme de vente" fld="1" baseField="0" baseItem="0"/>
  </dataFields>
  <formats count="3">
    <format dxfId="14">
      <pivotArea type="all" dataOnly="0" outline="0" fieldPosition="0"/>
    </format>
    <format dxfId="13">
      <pivotArea type="all" dataOnly="0" outline="0" fieldPosition="0"/>
    </format>
    <format dxfId="12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36"/>
  <sheetViews>
    <sheetView zoomScale="110" zoomScaleNormal="110" workbookViewId="0">
      <selection activeCell="I4" sqref="I4"/>
    </sheetView>
  </sheetViews>
  <sheetFormatPr baseColWidth="10" defaultRowHeight="15" x14ac:dyDescent="0.25"/>
  <cols>
    <col min="1" max="1" width="24.42578125" customWidth="1"/>
    <col min="2" max="2" width="3.5703125" style="6" hidden="1" customWidth="1"/>
    <col min="3" max="3" width="13.42578125" style="1" customWidth="1"/>
    <col min="4" max="4" width="11.140625" customWidth="1"/>
    <col min="5" max="7" width="11.5703125" customWidth="1"/>
    <col min="8" max="8" width="6.140625" customWidth="1"/>
    <col min="9" max="9" width="8.42578125" customWidth="1"/>
    <col min="10" max="10" width="6" customWidth="1"/>
  </cols>
  <sheetData>
    <row r="1" spans="1:9" thickBot="1" x14ac:dyDescent="0.35"/>
    <row r="2" spans="1:9" ht="18.600000000000001" thickBot="1" x14ac:dyDescent="0.4">
      <c r="A2" s="121" t="s">
        <v>145</v>
      </c>
      <c r="B2" s="122"/>
      <c r="C2" s="123" t="str">
        <f>+VLOOKUP(A2,'base article'!A1:H10000,2,FALSE)</f>
        <v>ECHELLE SOUDEE INOX A GLISSIERES 600X400 MM</v>
      </c>
      <c r="D2" s="79"/>
      <c r="E2" s="79"/>
      <c r="F2" s="79"/>
      <c r="G2" s="80"/>
    </row>
    <row r="3" spans="1:9" thickBot="1" x14ac:dyDescent="0.35"/>
    <row r="4" spans="1:9" thickBot="1" x14ac:dyDescent="0.35">
      <c r="A4" s="112" t="s">
        <v>35</v>
      </c>
      <c r="B4" s="111"/>
      <c r="C4" s="113" t="str">
        <f>+VLOOKUP($A$2,'base article'!$A$2:$H$10000,6,FALSE)</f>
        <v>M32</v>
      </c>
    </row>
    <row r="5" spans="1:9" ht="15.75" thickBot="1" x14ac:dyDescent="0.3">
      <c r="A5" s="126" t="s">
        <v>20</v>
      </c>
      <c r="B5" s="127"/>
      <c r="C5" s="128" t="s">
        <v>21</v>
      </c>
      <c r="D5" s="128" t="s">
        <v>22</v>
      </c>
      <c r="E5" s="128" t="s">
        <v>24</v>
      </c>
      <c r="F5" s="128" t="s">
        <v>23</v>
      </c>
      <c r="G5" s="129" t="s">
        <v>38</v>
      </c>
    </row>
    <row r="6" spans="1:9" ht="14.45" hidden="1" x14ac:dyDescent="0.3">
      <c r="A6" s="97" t="s">
        <v>18</v>
      </c>
      <c r="B6" s="105" t="s">
        <v>8</v>
      </c>
      <c r="C6" s="106"/>
      <c r="D6" s="130">
        <v>10</v>
      </c>
      <c r="E6" s="130">
        <v>15</v>
      </c>
      <c r="F6" s="130">
        <v>5</v>
      </c>
      <c r="G6" s="91"/>
    </row>
    <row r="7" spans="1:9" ht="14.45" hidden="1" x14ac:dyDescent="0.3">
      <c r="A7" s="98" t="s">
        <v>19</v>
      </c>
      <c r="B7" s="107" t="s">
        <v>8</v>
      </c>
      <c r="C7" s="90"/>
      <c r="D7" s="131">
        <v>20</v>
      </c>
      <c r="E7" s="131">
        <v>25</v>
      </c>
      <c r="F7" s="131">
        <v>10</v>
      </c>
      <c r="G7" s="77"/>
    </row>
    <row r="8" spans="1:9" x14ac:dyDescent="0.25">
      <c r="A8" s="98" t="s">
        <v>44</v>
      </c>
      <c r="B8" s="107"/>
      <c r="C8" s="81">
        <f>+VLOOKUP($A$2,'base article'!$A$2:$H$10000,4,FALSE)</f>
        <v>2.27</v>
      </c>
      <c r="D8" s="131">
        <v>3.1</v>
      </c>
      <c r="E8" s="131">
        <v>3.5</v>
      </c>
      <c r="F8" s="131">
        <v>3.5</v>
      </c>
      <c r="G8" s="77" t="s">
        <v>121</v>
      </c>
      <c r="H8" s="218">
        <v>5</v>
      </c>
      <c r="I8" s="219" t="s">
        <v>135</v>
      </c>
    </row>
    <row r="9" spans="1:9" x14ac:dyDescent="0.25">
      <c r="A9" s="99" t="s">
        <v>36</v>
      </c>
      <c r="B9" s="107" t="s">
        <v>6</v>
      </c>
      <c r="C9" s="115">
        <f>+VLOOKUP($A$2,'base article'!$A$2:$H$10000,3,FALSE)</f>
        <v>15</v>
      </c>
      <c r="D9" s="132">
        <f>+C9</f>
        <v>15</v>
      </c>
      <c r="E9" s="132">
        <f>+C9</f>
        <v>15</v>
      </c>
      <c r="F9" s="132">
        <f>+C9</f>
        <v>15</v>
      </c>
      <c r="G9" s="125">
        <f>+C9</f>
        <v>15</v>
      </c>
    </row>
    <row r="10" spans="1:9" x14ac:dyDescent="0.25">
      <c r="A10" s="98" t="s">
        <v>9</v>
      </c>
      <c r="B10" s="107" t="s">
        <v>7</v>
      </c>
      <c r="C10" s="82">
        <f>+VLOOKUP($A$2,'base article'!$A$2:$H$10000,8,FALSE)</f>
        <v>0.4</v>
      </c>
      <c r="D10" s="133">
        <v>0.6</v>
      </c>
      <c r="E10" s="133">
        <v>0.5</v>
      </c>
      <c r="F10" s="133">
        <v>0.5</v>
      </c>
      <c r="G10" s="92">
        <v>0.5</v>
      </c>
    </row>
    <row r="11" spans="1:9" x14ac:dyDescent="0.25">
      <c r="A11" s="98" t="s">
        <v>0</v>
      </c>
      <c r="B11" s="107" t="s">
        <v>7</v>
      </c>
      <c r="C11" s="82">
        <f>+VLOOKUP($A$2,'base article'!$A$2:$H$10000,7,FALSE)</f>
        <v>0.8</v>
      </c>
      <c r="D11" s="133">
        <v>0.25</v>
      </c>
      <c r="E11" s="133">
        <v>0.5</v>
      </c>
      <c r="F11" s="133">
        <v>0.5</v>
      </c>
      <c r="G11" s="92">
        <v>0.3</v>
      </c>
    </row>
    <row r="12" spans="1:9" ht="15.75" thickBot="1" x14ac:dyDescent="0.3">
      <c r="A12" s="100" t="s">
        <v>1</v>
      </c>
      <c r="B12" s="108" t="s">
        <v>8</v>
      </c>
      <c r="C12" s="109">
        <f>+VLOOKUP($A$2,'base article'!$A$2:$H$10000,5,FALSE)</f>
        <v>0</v>
      </c>
      <c r="D12" s="134"/>
      <c r="E12" s="134"/>
      <c r="F12" s="134"/>
      <c r="G12" s="110"/>
    </row>
    <row r="13" spans="1:9" x14ac:dyDescent="0.25">
      <c r="A13" s="101" t="s">
        <v>27</v>
      </c>
      <c r="B13" s="7" t="s">
        <v>8</v>
      </c>
      <c r="C13" s="83">
        <f>+C15+C14</f>
        <v>72.185999999999993</v>
      </c>
      <c r="D13" s="83">
        <f t="shared" ref="D13:F13" si="0">+D15+D14</f>
        <v>109.27500000000001</v>
      </c>
      <c r="E13" s="83">
        <f t="shared" si="0"/>
        <v>118.125</v>
      </c>
      <c r="F13" s="83">
        <f t="shared" si="0"/>
        <v>118.125</v>
      </c>
      <c r="G13" s="93"/>
    </row>
    <row r="14" spans="1:9" x14ac:dyDescent="0.25">
      <c r="A14" s="101" t="s">
        <v>2</v>
      </c>
      <c r="B14" s="7" t="s">
        <v>8</v>
      </c>
      <c r="C14" s="83">
        <f>+IF(C12&gt;C8*C10*C9,C12,C8*C10*C9)</f>
        <v>13.620000000000001</v>
      </c>
      <c r="D14" s="83">
        <f t="shared" ref="D14:F14" si="1">+IF(D12&gt;D8*D10,D12,D8*D10*D9)</f>
        <v>27.9</v>
      </c>
      <c r="E14" s="83">
        <f t="shared" si="1"/>
        <v>26.25</v>
      </c>
      <c r="F14" s="83">
        <f t="shared" si="1"/>
        <v>26.25</v>
      </c>
      <c r="G14" s="93"/>
    </row>
    <row r="15" spans="1:9" x14ac:dyDescent="0.25">
      <c r="A15" s="102" t="s">
        <v>26</v>
      </c>
      <c r="B15" s="8" t="s">
        <v>8</v>
      </c>
      <c r="C15" s="84">
        <f>+C17+C16</f>
        <v>58.565999999999995</v>
      </c>
      <c r="D15" s="84">
        <f t="shared" ref="D15:F15" si="2">+D17+D16</f>
        <v>81.375</v>
      </c>
      <c r="E15" s="84">
        <f t="shared" si="2"/>
        <v>91.875</v>
      </c>
      <c r="F15" s="84">
        <f t="shared" si="2"/>
        <v>91.875</v>
      </c>
      <c r="G15" s="94"/>
    </row>
    <row r="16" spans="1:9" x14ac:dyDescent="0.25">
      <c r="A16" s="102" t="s">
        <v>3</v>
      </c>
      <c r="B16" s="8" t="s">
        <v>8</v>
      </c>
      <c r="C16" s="84">
        <f>+C8*C9</f>
        <v>34.049999999999997</v>
      </c>
      <c r="D16" s="84">
        <f t="shared" ref="D16:F16" si="3">+D8*D9</f>
        <v>46.5</v>
      </c>
      <c r="E16" s="84">
        <f t="shared" si="3"/>
        <v>52.5</v>
      </c>
      <c r="F16" s="84">
        <f t="shared" si="3"/>
        <v>52.5</v>
      </c>
      <c r="G16" s="94"/>
    </row>
    <row r="17" spans="1:7" x14ac:dyDescent="0.25">
      <c r="A17" s="103" t="s">
        <v>28</v>
      </c>
      <c r="B17" s="13"/>
      <c r="C17" s="85">
        <f>+C19+C18</f>
        <v>24.515999999999998</v>
      </c>
      <c r="D17" s="85">
        <f t="shared" ref="D17:F17" si="4">+D19+D18</f>
        <v>34.875</v>
      </c>
      <c r="E17" s="85">
        <f t="shared" si="4"/>
        <v>39.375</v>
      </c>
      <c r="F17" s="85">
        <f t="shared" si="4"/>
        <v>39.375</v>
      </c>
      <c r="G17" s="95"/>
    </row>
    <row r="18" spans="1:7" x14ac:dyDescent="0.25">
      <c r="A18" s="103" t="s">
        <v>4</v>
      </c>
      <c r="B18" s="13" t="s">
        <v>8</v>
      </c>
      <c r="C18" s="85">
        <f>+C19*C11</f>
        <v>10.896000000000001</v>
      </c>
      <c r="D18" s="85">
        <f t="shared" ref="D18:F18" si="5">+D19*D11</f>
        <v>6.9749999999999996</v>
      </c>
      <c r="E18" s="85">
        <f t="shared" si="5"/>
        <v>13.125</v>
      </c>
      <c r="F18" s="85">
        <f t="shared" si="5"/>
        <v>13.125</v>
      </c>
      <c r="G18" s="95"/>
    </row>
    <row r="19" spans="1:7" ht="15.75" thickBot="1" x14ac:dyDescent="0.3">
      <c r="A19" s="104" t="s">
        <v>5</v>
      </c>
      <c r="B19" s="13" t="s">
        <v>8</v>
      </c>
      <c r="C19" s="86">
        <f>+C16*C10</f>
        <v>13.62</v>
      </c>
      <c r="D19" s="86">
        <f t="shared" ref="D19:F19" si="6">+D16*D10</f>
        <v>27.9</v>
      </c>
      <c r="E19" s="86">
        <f t="shared" si="6"/>
        <v>26.25</v>
      </c>
      <c r="F19" s="86">
        <f t="shared" si="6"/>
        <v>26.25</v>
      </c>
      <c r="G19" s="96"/>
    </row>
    <row r="20" spans="1:7" ht="15.75" thickBot="1" x14ac:dyDescent="0.3">
      <c r="C20" s="5"/>
      <c r="D20" s="5"/>
      <c r="E20" s="5"/>
      <c r="F20" s="5"/>
    </row>
    <row r="21" spans="1:7" ht="15.75" thickBot="1" x14ac:dyDescent="0.3">
      <c r="A21" s="139" t="s">
        <v>11</v>
      </c>
      <c r="B21" s="9" t="s">
        <v>8</v>
      </c>
      <c r="C21" s="135">
        <f>+C19+C18+C14/2</f>
        <v>31.326000000000001</v>
      </c>
      <c r="D21" s="137">
        <f t="shared" ref="D21:F21" si="7">+D19+D18+D14/2</f>
        <v>48.825000000000003</v>
      </c>
      <c r="E21" s="137">
        <f t="shared" si="7"/>
        <v>52.5</v>
      </c>
      <c r="F21" s="137">
        <f t="shared" si="7"/>
        <v>52.5</v>
      </c>
      <c r="G21" s="87"/>
    </row>
    <row r="22" spans="1:7" hidden="1" thickBot="1" x14ac:dyDescent="0.35">
      <c r="D22" s="131"/>
      <c r="E22" s="131"/>
      <c r="F22" s="131"/>
      <c r="G22" s="1"/>
    </row>
    <row r="23" spans="1:7" hidden="1" thickBot="1" x14ac:dyDescent="0.35">
      <c r="D23" s="131"/>
      <c r="E23" s="131"/>
      <c r="F23" s="131"/>
      <c r="G23" s="1"/>
    </row>
    <row r="24" spans="1:7" x14ac:dyDescent="0.25">
      <c r="A24" s="119" t="s">
        <v>12</v>
      </c>
      <c r="B24" s="88" t="s">
        <v>6</v>
      </c>
      <c r="C24" s="136">
        <v>20</v>
      </c>
      <c r="D24" s="138">
        <v>10</v>
      </c>
      <c r="E24" s="138">
        <v>9</v>
      </c>
      <c r="F24" s="138">
        <v>10</v>
      </c>
      <c r="G24" s="116">
        <v>10</v>
      </c>
    </row>
    <row r="25" spans="1:7" ht="15.75" thickBot="1" x14ac:dyDescent="0.3">
      <c r="A25" s="120" t="s">
        <v>13</v>
      </c>
      <c r="B25" s="88" t="s">
        <v>8</v>
      </c>
      <c r="C25" s="117">
        <v>13</v>
      </c>
      <c r="D25" s="89">
        <v>11</v>
      </c>
      <c r="E25" s="89">
        <f t="shared" ref="E25:F25" si="8">+E17/2</f>
        <v>19.6875</v>
      </c>
      <c r="F25" s="89">
        <f t="shared" si="8"/>
        <v>19.6875</v>
      </c>
      <c r="G25" s="118">
        <v>7</v>
      </c>
    </row>
    <row r="27" spans="1:7" x14ac:dyDescent="0.25">
      <c r="C27" s="176" t="s">
        <v>50</v>
      </c>
      <c r="D27" s="176" t="s">
        <v>10</v>
      </c>
    </row>
    <row r="28" spans="1:7" x14ac:dyDescent="0.25">
      <c r="A28" s="176" t="s">
        <v>143</v>
      </c>
      <c r="C28" s="174">
        <f>+STDEVP('simulation commandes'!B5:B29)/AVERAGE('simulation commandes'!B5:B29)</f>
        <v>0.73713455144822482</v>
      </c>
      <c r="D28" s="175">
        <f>+AVERAGE('simulation commandes'!B5:B29)</f>
        <v>5.6</v>
      </c>
    </row>
    <row r="29" spans="1:7" x14ac:dyDescent="0.25">
      <c r="A29" s="176" t="s">
        <v>144</v>
      </c>
      <c r="C29" s="174">
        <f>+STDEVP('simulation commandes'!B30:B54)/AVERAGE('simulation commandes'!B26:B45)</f>
        <v>0.85373472095313829</v>
      </c>
      <c r="D29" s="175">
        <f>+AVERAGE('simulation commandes'!B29:B54)</f>
        <v>5</v>
      </c>
    </row>
    <row r="33" spans="4:5" x14ac:dyDescent="0.25">
      <c r="D33" s="3"/>
      <c r="E33" s="3"/>
    </row>
    <row r="34" spans="4:5" x14ac:dyDescent="0.25">
      <c r="D34" s="1"/>
      <c r="E34" s="1"/>
    </row>
    <row r="35" spans="4:5" x14ac:dyDescent="0.25">
      <c r="D35" s="1"/>
      <c r="E35" s="1"/>
    </row>
    <row r="36" spans="4:5" x14ac:dyDescent="0.25">
      <c r="D36" s="1"/>
      <c r="E36" s="1"/>
    </row>
  </sheetData>
  <pageMargins left="0.70866141732283472" right="0.70866141732283472" top="0.74803149606299213" bottom="0.74803149606299213" header="0.31496062992125984" footer="0.31496062992125984"/>
  <pageSetup paperSize="9" scale="62" orientation="landscape" r:id="rId1"/>
  <headerFooter>
    <oddHeader>&amp;L&amp;"-,Gras"BELIER ASSOCIES&amp;CPARAMETRAGE 
DD MRP&amp;R&amp;D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7"/>
  <sheetViews>
    <sheetView topLeftCell="A8" workbookViewId="0">
      <selection activeCell="A3" sqref="A3"/>
    </sheetView>
  </sheetViews>
  <sheetFormatPr baseColWidth="10" defaultRowHeight="15" x14ac:dyDescent="0.25"/>
  <cols>
    <col min="1" max="1" width="12.5703125" bestFit="1" customWidth="1"/>
    <col min="4" max="4" width="14.140625" customWidth="1"/>
    <col min="7" max="7" width="14.42578125" customWidth="1"/>
    <col min="8" max="8" width="13.85546875" bestFit="1" customWidth="1"/>
  </cols>
  <sheetData>
    <row r="1" spans="1:16" ht="14.45" x14ac:dyDescent="0.3">
      <c r="B1" s="173">
        <f>SUM(B3:B137)</f>
        <v>483</v>
      </c>
      <c r="E1" s="173">
        <f>SUM(E3:E137)</f>
        <v>603</v>
      </c>
      <c r="F1">
        <f>+E1-B1</f>
        <v>120</v>
      </c>
      <c r="H1" s="173">
        <f>SUM(H3:H137)</f>
        <v>-107</v>
      </c>
      <c r="I1" s="124">
        <f>+H1/B1</f>
        <v>-0.22153209109730848</v>
      </c>
    </row>
    <row r="2" spans="1:16" x14ac:dyDescent="0.25">
      <c r="A2" t="s">
        <v>147</v>
      </c>
      <c r="B2" t="s">
        <v>148</v>
      </c>
      <c r="D2" t="s">
        <v>147</v>
      </c>
      <c r="E2" t="s">
        <v>149</v>
      </c>
      <c r="G2" t="s">
        <v>147</v>
      </c>
      <c r="H2" t="s">
        <v>150</v>
      </c>
      <c r="K2" t="s">
        <v>147</v>
      </c>
      <c r="L2" t="s">
        <v>151</v>
      </c>
      <c r="O2" t="s">
        <v>147</v>
      </c>
      <c r="P2" t="s">
        <v>152</v>
      </c>
    </row>
    <row r="3" spans="1:16" ht="14.45" x14ac:dyDescent="0.3">
      <c r="A3" s="167">
        <v>42011</v>
      </c>
      <c r="B3">
        <v>10</v>
      </c>
      <c r="D3" s="167">
        <v>42013</v>
      </c>
      <c r="E3" s="168">
        <v>10</v>
      </c>
      <c r="G3" s="167">
        <v>42012</v>
      </c>
      <c r="H3" s="168">
        <v>-1</v>
      </c>
      <c r="K3" s="169">
        <v>42013</v>
      </c>
      <c r="L3">
        <v>10</v>
      </c>
    </row>
    <row r="4" spans="1:16" ht="14.45" x14ac:dyDescent="0.3">
      <c r="A4" s="167">
        <v>42011</v>
      </c>
      <c r="B4">
        <v>1</v>
      </c>
      <c r="D4" s="167">
        <v>42030</v>
      </c>
      <c r="E4" s="168">
        <v>8</v>
      </c>
      <c r="G4" s="167">
        <v>42024</v>
      </c>
      <c r="H4" s="168">
        <v>-1</v>
      </c>
      <c r="K4" s="169">
        <v>42030</v>
      </c>
      <c r="L4">
        <v>38</v>
      </c>
      <c r="O4" s="169">
        <v>42011</v>
      </c>
      <c r="P4">
        <v>11</v>
      </c>
    </row>
    <row r="5" spans="1:16" ht="14.45" x14ac:dyDescent="0.3">
      <c r="A5" s="167">
        <v>42017</v>
      </c>
      <c r="B5">
        <v>1</v>
      </c>
      <c r="D5" s="167">
        <v>42030</v>
      </c>
      <c r="E5" s="168">
        <v>20</v>
      </c>
      <c r="G5" s="167">
        <v>42031</v>
      </c>
      <c r="H5" s="168">
        <v>-1</v>
      </c>
      <c r="K5" s="169">
        <v>42041</v>
      </c>
      <c r="L5">
        <v>20</v>
      </c>
      <c r="O5" s="169">
        <v>42017</v>
      </c>
      <c r="P5">
        <v>1</v>
      </c>
    </row>
    <row r="6" spans="1:16" ht="14.45" x14ac:dyDescent="0.3">
      <c r="A6" s="167">
        <v>42024</v>
      </c>
      <c r="B6">
        <v>1</v>
      </c>
      <c r="D6" s="167">
        <v>42030</v>
      </c>
      <c r="E6" s="168">
        <v>10</v>
      </c>
      <c r="G6" s="167">
        <v>42048</v>
      </c>
      <c r="H6" s="168">
        <v>-1</v>
      </c>
      <c r="K6" s="169">
        <v>42069</v>
      </c>
      <c r="L6">
        <v>13</v>
      </c>
      <c r="O6" s="169">
        <v>42024</v>
      </c>
      <c r="P6">
        <v>4</v>
      </c>
    </row>
    <row r="7" spans="1:16" ht="14.45" x14ac:dyDescent="0.3">
      <c r="A7" s="167">
        <v>42024</v>
      </c>
      <c r="B7">
        <v>1</v>
      </c>
      <c r="D7" s="167">
        <v>42041</v>
      </c>
      <c r="E7" s="168">
        <v>20</v>
      </c>
      <c r="G7" s="167">
        <v>42067</v>
      </c>
      <c r="H7" s="168">
        <v>-1</v>
      </c>
      <c r="K7" s="169">
        <v>42076</v>
      </c>
      <c r="L7">
        <v>4</v>
      </c>
      <c r="O7" s="169">
        <v>42027</v>
      </c>
      <c r="P7">
        <v>10</v>
      </c>
    </row>
    <row r="8" spans="1:16" ht="14.45" x14ac:dyDescent="0.3">
      <c r="A8" s="167">
        <v>42024</v>
      </c>
      <c r="B8">
        <v>2</v>
      </c>
      <c r="D8" s="167">
        <v>42069</v>
      </c>
      <c r="E8" s="168">
        <v>11</v>
      </c>
      <c r="G8" s="167">
        <v>42082</v>
      </c>
      <c r="H8" s="168">
        <v>-3</v>
      </c>
      <c r="K8" s="169">
        <v>42083</v>
      </c>
      <c r="L8">
        <v>22</v>
      </c>
      <c r="O8" s="169">
        <v>42037</v>
      </c>
      <c r="P8">
        <v>2</v>
      </c>
    </row>
    <row r="9" spans="1:16" ht="14.45" x14ac:dyDescent="0.3">
      <c r="A9" s="167">
        <v>42027</v>
      </c>
      <c r="B9">
        <v>10</v>
      </c>
      <c r="D9" s="167">
        <v>42069</v>
      </c>
      <c r="E9" s="168">
        <v>2</v>
      </c>
      <c r="G9" s="167">
        <v>42089</v>
      </c>
      <c r="H9" s="168">
        <v>-4</v>
      </c>
      <c r="K9" s="169">
        <v>42090</v>
      </c>
      <c r="L9">
        <v>71</v>
      </c>
      <c r="O9" s="169">
        <v>42047</v>
      </c>
      <c r="P9">
        <v>1</v>
      </c>
    </row>
    <row r="10" spans="1:16" ht="14.45" x14ac:dyDescent="0.3">
      <c r="A10" s="167">
        <v>42037</v>
      </c>
      <c r="B10">
        <v>2</v>
      </c>
      <c r="D10" s="167">
        <v>42076</v>
      </c>
      <c r="E10" s="168">
        <v>4</v>
      </c>
      <c r="G10" s="167">
        <v>42103</v>
      </c>
      <c r="H10" s="168">
        <v>-1</v>
      </c>
      <c r="K10" s="169">
        <v>42097</v>
      </c>
      <c r="L10">
        <v>22</v>
      </c>
      <c r="O10" s="169">
        <v>42048</v>
      </c>
      <c r="P10">
        <v>8</v>
      </c>
    </row>
    <row r="11" spans="1:16" ht="14.45" x14ac:dyDescent="0.3">
      <c r="A11" s="167">
        <v>42047</v>
      </c>
      <c r="B11">
        <v>1</v>
      </c>
      <c r="D11" s="167">
        <v>42083</v>
      </c>
      <c r="E11" s="168">
        <v>20</v>
      </c>
      <c r="G11" s="167">
        <v>42110</v>
      </c>
      <c r="H11" s="168">
        <v>-4</v>
      </c>
      <c r="K11" s="169">
        <v>42111</v>
      </c>
      <c r="L11">
        <v>11</v>
      </c>
      <c r="O11" s="169">
        <v>42051</v>
      </c>
      <c r="P11">
        <v>2</v>
      </c>
    </row>
    <row r="12" spans="1:16" ht="14.45" x14ac:dyDescent="0.3">
      <c r="A12" s="167">
        <v>42048</v>
      </c>
      <c r="B12">
        <v>2</v>
      </c>
      <c r="D12" s="167">
        <v>42083</v>
      </c>
      <c r="E12" s="168">
        <v>2</v>
      </c>
      <c r="G12" s="167">
        <v>42111</v>
      </c>
      <c r="H12" s="168">
        <v>-4</v>
      </c>
      <c r="K12" s="169">
        <v>42118</v>
      </c>
      <c r="L12">
        <v>50</v>
      </c>
      <c r="O12" s="169">
        <v>42058</v>
      </c>
      <c r="P12">
        <v>15</v>
      </c>
    </row>
    <row r="13" spans="1:16" ht="14.45" x14ac:dyDescent="0.3">
      <c r="A13" s="167">
        <v>42048</v>
      </c>
      <c r="B13">
        <v>4</v>
      </c>
      <c r="D13" s="167">
        <v>42090</v>
      </c>
      <c r="E13" s="168">
        <v>50</v>
      </c>
      <c r="G13" s="167">
        <v>42111</v>
      </c>
      <c r="H13" s="168">
        <v>-2</v>
      </c>
      <c r="K13" s="169">
        <v>42128</v>
      </c>
      <c r="L13">
        <v>3</v>
      </c>
      <c r="O13" s="169">
        <v>42068</v>
      </c>
      <c r="P13">
        <v>2</v>
      </c>
    </row>
    <row r="14" spans="1:16" ht="14.45" x14ac:dyDescent="0.3">
      <c r="A14" s="167">
        <v>42048</v>
      </c>
      <c r="B14">
        <v>2</v>
      </c>
      <c r="D14" s="167">
        <v>42090</v>
      </c>
      <c r="E14" s="168">
        <v>4</v>
      </c>
      <c r="G14" s="167">
        <v>42118</v>
      </c>
      <c r="H14" s="168">
        <v>-5</v>
      </c>
      <c r="K14" s="169">
        <v>42135</v>
      </c>
      <c r="L14">
        <v>20</v>
      </c>
      <c r="O14" s="169">
        <v>42072</v>
      </c>
      <c r="P14">
        <v>1</v>
      </c>
    </row>
    <row r="15" spans="1:16" ht="14.45" x14ac:dyDescent="0.3">
      <c r="A15" s="167">
        <v>42051</v>
      </c>
      <c r="B15">
        <v>2</v>
      </c>
      <c r="D15" s="167">
        <v>42090</v>
      </c>
      <c r="E15" s="168">
        <v>14</v>
      </c>
      <c r="G15" s="167">
        <v>42122</v>
      </c>
      <c r="H15" s="168">
        <v>-1</v>
      </c>
      <c r="K15" s="169">
        <v>42142</v>
      </c>
      <c r="L15">
        <v>42</v>
      </c>
      <c r="O15" s="169">
        <v>42073</v>
      </c>
      <c r="P15">
        <v>6</v>
      </c>
    </row>
    <row r="16" spans="1:16" ht="14.45" x14ac:dyDescent="0.3">
      <c r="A16" s="167">
        <v>42058</v>
      </c>
      <c r="B16">
        <v>3</v>
      </c>
      <c r="D16" s="167">
        <v>42090</v>
      </c>
      <c r="E16" s="168">
        <v>3</v>
      </c>
      <c r="G16" s="167">
        <v>42135</v>
      </c>
      <c r="H16" s="168">
        <v>-1</v>
      </c>
      <c r="K16" s="169">
        <v>42150</v>
      </c>
      <c r="L16">
        <v>1</v>
      </c>
      <c r="O16" s="169">
        <v>42080</v>
      </c>
      <c r="P16">
        <v>10</v>
      </c>
    </row>
    <row r="17" spans="1:16" ht="14.45" x14ac:dyDescent="0.3">
      <c r="A17" s="167">
        <v>42058</v>
      </c>
      <c r="B17">
        <v>12</v>
      </c>
      <c r="D17" s="167">
        <v>42097</v>
      </c>
      <c r="E17" s="168">
        <v>22</v>
      </c>
      <c r="G17" s="167">
        <v>42137</v>
      </c>
      <c r="H17" s="168">
        <v>-24</v>
      </c>
      <c r="K17" s="169">
        <v>42153</v>
      </c>
      <c r="L17">
        <v>14</v>
      </c>
      <c r="O17" s="169">
        <v>42083</v>
      </c>
      <c r="P17">
        <v>2</v>
      </c>
    </row>
    <row r="18" spans="1:16" ht="14.45" x14ac:dyDescent="0.3">
      <c r="A18" s="167">
        <v>42068</v>
      </c>
      <c r="B18">
        <v>2</v>
      </c>
      <c r="D18" s="167">
        <v>42111</v>
      </c>
      <c r="E18" s="168">
        <v>3</v>
      </c>
      <c r="G18" s="167">
        <v>42143</v>
      </c>
      <c r="H18" s="168">
        <v>-1</v>
      </c>
      <c r="K18" s="169">
        <v>42167</v>
      </c>
      <c r="L18">
        <v>9</v>
      </c>
      <c r="O18" s="169">
        <v>42086</v>
      </c>
      <c r="P18">
        <v>2</v>
      </c>
    </row>
    <row r="19" spans="1:16" ht="14.45" x14ac:dyDescent="0.3">
      <c r="A19" s="167">
        <v>42072</v>
      </c>
      <c r="B19">
        <v>1</v>
      </c>
      <c r="D19" s="167">
        <v>42111</v>
      </c>
      <c r="E19" s="168">
        <v>8</v>
      </c>
      <c r="G19" s="167">
        <v>42153</v>
      </c>
      <c r="H19" s="168">
        <v>-2</v>
      </c>
      <c r="K19" s="169">
        <v>42174</v>
      </c>
      <c r="L19">
        <v>6</v>
      </c>
      <c r="O19" s="169">
        <v>42088</v>
      </c>
      <c r="P19">
        <v>2</v>
      </c>
    </row>
    <row r="20" spans="1:16" ht="14.45" x14ac:dyDescent="0.3">
      <c r="A20" s="167">
        <v>42073</v>
      </c>
      <c r="B20">
        <v>1</v>
      </c>
      <c r="D20" s="167">
        <v>42118</v>
      </c>
      <c r="E20" s="168">
        <v>14</v>
      </c>
      <c r="G20" s="167">
        <v>42174</v>
      </c>
      <c r="H20" s="168">
        <v>-4</v>
      </c>
      <c r="K20" s="169">
        <v>42184</v>
      </c>
      <c r="L20">
        <v>4</v>
      </c>
      <c r="O20" s="169">
        <v>42093</v>
      </c>
      <c r="P20">
        <v>34</v>
      </c>
    </row>
    <row r="21" spans="1:16" ht="14.45" x14ac:dyDescent="0.3">
      <c r="A21" s="167">
        <v>42073</v>
      </c>
      <c r="B21">
        <v>5</v>
      </c>
      <c r="D21" s="167">
        <v>42118</v>
      </c>
      <c r="E21" s="168">
        <v>1</v>
      </c>
      <c r="G21" s="167">
        <v>42181</v>
      </c>
      <c r="H21" s="168">
        <v>-4</v>
      </c>
      <c r="K21" s="169">
        <v>42201</v>
      </c>
      <c r="L21">
        <v>16</v>
      </c>
      <c r="O21" s="169">
        <v>42094</v>
      </c>
      <c r="P21">
        <v>2</v>
      </c>
    </row>
    <row r="22" spans="1:16" x14ac:dyDescent="0.25">
      <c r="A22" s="167">
        <v>42080</v>
      </c>
      <c r="B22">
        <v>10</v>
      </c>
      <c r="D22" s="167">
        <v>42118</v>
      </c>
      <c r="E22" s="168">
        <v>23</v>
      </c>
      <c r="G22" s="167">
        <v>42188</v>
      </c>
      <c r="H22" s="168">
        <v>-4</v>
      </c>
      <c r="K22" s="169">
        <v>42213</v>
      </c>
      <c r="L22">
        <v>6</v>
      </c>
      <c r="O22" s="169">
        <v>42097</v>
      </c>
      <c r="P22">
        <v>10</v>
      </c>
    </row>
    <row r="23" spans="1:16" x14ac:dyDescent="0.25">
      <c r="A23" s="167">
        <v>42083</v>
      </c>
      <c r="B23">
        <v>2</v>
      </c>
      <c r="D23" s="167">
        <v>42118</v>
      </c>
      <c r="E23" s="168">
        <v>12</v>
      </c>
      <c r="G23" s="167">
        <v>42213</v>
      </c>
      <c r="H23" s="168">
        <v>-4</v>
      </c>
      <c r="K23" s="169">
        <v>42215</v>
      </c>
      <c r="L23">
        <v>5</v>
      </c>
      <c r="O23" s="169">
        <v>42104</v>
      </c>
      <c r="P23">
        <v>1</v>
      </c>
    </row>
    <row r="24" spans="1:16" x14ac:dyDescent="0.25">
      <c r="A24" s="167">
        <v>42086</v>
      </c>
      <c r="B24">
        <v>2</v>
      </c>
      <c r="D24" s="167">
        <v>42128</v>
      </c>
      <c r="E24" s="168">
        <v>3</v>
      </c>
      <c r="G24" s="167">
        <v>42234</v>
      </c>
      <c r="H24" s="168">
        <v>-2</v>
      </c>
      <c r="K24" s="169">
        <v>42247</v>
      </c>
      <c r="L24">
        <v>24</v>
      </c>
      <c r="O24" s="169">
        <v>42107</v>
      </c>
      <c r="P24">
        <v>2</v>
      </c>
    </row>
    <row r="25" spans="1:16" x14ac:dyDescent="0.25">
      <c r="A25" s="167">
        <v>42088</v>
      </c>
      <c r="B25">
        <v>2</v>
      </c>
      <c r="D25" s="167">
        <v>42135</v>
      </c>
      <c r="E25" s="168">
        <v>20</v>
      </c>
      <c r="G25" s="167">
        <v>42242</v>
      </c>
      <c r="H25" s="168">
        <v>-5</v>
      </c>
      <c r="K25" s="169">
        <v>42257</v>
      </c>
      <c r="L25">
        <v>5</v>
      </c>
      <c r="O25" s="169">
        <v>42110</v>
      </c>
      <c r="P25">
        <v>1</v>
      </c>
    </row>
    <row r="26" spans="1:16" x14ac:dyDescent="0.25">
      <c r="A26" s="167">
        <v>42093</v>
      </c>
      <c r="B26">
        <v>34</v>
      </c>
      <c r="D26" s="167">
        <v>42142</v>
      </c>
      <c r="E26" s="168">
        <v>16</v>
      </c>
      <c r="G26" s="167">
        <v>42256</v>
      </c>
      <c r="H26" s="168">
        <v>-10</v>
      </c>
      <c r="K26" s="169">
        <v>42265</v>
      </c>
      <c r="L26">
        <v>6</v>
      </c>
      <c r="O26" s="169">
        <v>42111</v>
      </c>
      <c r="P26">
        <v>1</v>
      </c>
    </row>
    <row r="27" spans="1:16" x14ac:dyDescent="0.25">
      <c r="A27" s="167">
        <v>42094</v>
      </c>
      <c r="B27">
        <v>1</v>
      </c>
      <c r="D27" s="167">
        <v>42142</v>
      </c>
      <c r="E27" s="168">
        <v>26</v>
      </c>
      <c r="G27" s="167">
        <v>42292</v>
      </c>
      <c r="H27" s="168">
        <v>-4</v>
      </c>
      <c r="K27" s="169">
        <v>42282</v>
      </c>
      <c r="L27">
        <v>5</v>
      </c>
      <c r="O27" s="169">
        <v>42116</v>
      </c>
      <c r="P27">
        <v>1</v>
      </c>
    </row>
    <row r="28" spans="1:16" x14ac:dyDescent="0.25">
      <c r="A28" s="167">
        <v>42094</v>
      </c>
      <c r="B28">
        <v>1</v>
      </c>
      <c r="D28" s="167">
        <v>42150</v>
      </c>
      <c r="E28" s="168">
        <v>1</v>
      </c>
      <c r="G28" s="167">
        <v>42333</v>
      </c>
      <c r="H28" s="168">
        <v>-14</v>
      </c>
      <c r="K28" s="169">
        <v>42286</v>
      </c>
      <c r="L28">
        <v>37</v>
      </c>
      <c r="O28" s="169">
        <v>42117</v>
      </c>
      <c r="P28">
        <v>14</v>
      </c>
    </row>
    <row r="29" spans="1:16" x14ac:dyDescent="0.25">
      <c r="A29" s="167">
        <v>42097</v>
      </c>
      <c r="B29">
        <v>10</v>
      </c>
      <c r="D29" s="167">
        <v>42153</v>
      </c>
      <c r="E29" s="168">
        <v>14</v>
      </c>
      <c r="G29" s="167">
        <v>42335</v>
      </c>
      <c r="H29" s="168">
        <v>-3</v>
      </c>
      <c r="K29" s="169">
        <v>42293</v>
      </c>
      <c r="L29">
        <v>14</v>
      </c>
      <c r="O29" s="169">
        <v>42121</v>
      </c>
      <c r="P29">
        <v>7</v>
      </c>
    </row>
    <row r="30" spans="1:16" x14ac:dyDescent="0.25">
      <c r="A30" s="167">
        <v>42104</v>
      </c>
      <c r="B30">
        <v>1</v>
      </c>
      <c r="D30" s="167">
        <v>42167</v>
      </c>
      <c r="E30" s="168">
        <v>4</v>
      </c>
      <c r="G30" s="167">
        <v>42345</v>
      </c>
      <c r="H30" s="168">
        <v>-1</v>
      </c>
      <c r="K30" s="169">
        <v>42303</v>
      </c>
      <c r="L30">
        <v>14</v>
      </c>
      <c r="O30" s="169">
        <v>42122</v>
      </c>
      <c r="P30">
        <v>3</v>
      </c>
    </row>
    <row r="31" spans="1:16" x14ac:dyDescent="0.25">
      <c r="A31" s="167">
        <v>42107</v>
      </c>
      <c r="B31">
        <v>2</v>
      </c>
      <c r="D31" s="167">
        <v>42167</v>
      </c>
      <c r="E31" s="168">
        <v>5</v>
      </c>
      <c r="G31" s="167">
        <v>42362</v>
      </c>
      <c r="H31" s="168">
        <v>5</v>
      </c>
      <c r="K31" s="169">
        <v>42307</v>
      </c>
      <c r="L31">
        <v>5</v>
      </c>
      <c r="O31" s="169">
        <v>42123</v>
      </c>
      <c r="P31">
        <v>1</v>
      </c>
    </row>
    <row r="32" spans="1:16" x14ac:dyDescent="0.25">
      <c r="A32" s="167">
        <v>42110</v>
      </c>
      <c r="B32">
        <v>1</v>
      </c>
      <c r="D32" s="167">
        <v>42174</v>
      </c>
      <c r="E32" s="168">
        <v>6</v>
      </c>
      <c r="K32" s="169">
        <v>42321</v>
      </c>
      <c r="L32">
        <v>15</v>
      </c>
      <c r="O32" s="169">
        <v>42124</v>
      </c>
      <c r="P32">
        <v>26</v>
      </c>
    </row>
    <row r="33" spans="1:16" x14ac:dyDescent="0.25">
      <c r="A33" s="167">
        <v>42111</v>
      </c>
      <c r="B33">
        <v>1</v>
      </c>
      <c r="D33" s="167">
        <v>42184</v>
      </c>
      <c r="E33" s="168">
        <v>1</v>
      </c>
      <c r="K33" s="169">
        <v>42328</v>
      </c>
      <c r="L33">
        <v>19</v>
      </c>
      <c r="O33" s="169">
        <v>42130</v>
      </c>
      <c r="P33">
        <v>10</v>
      </c>
    </row>
    <row r="34" spans="1:16" x14ac:dyDescent="0.25">
      <c r="A34" s="167">
        <v>42116</v>
      </c>
      <c r="B34">
        <v>1</v>
      </c>
      <c r="D34" s="167">
        <v>42184</v>
      </c>
      <c r="E34" s="168">
        <v>3</v>
      </c>
      <c r="K34" s="169">
        <v>42335</v>
      </c>
      <c r="L34">
        <v>20</v>
      </c>
      <c r="O34" s="169">
        <v>42136</v>
      </c>
      <c r="P34">
        <v>1</v>
      </c>
    </row>
    <row r="35" spans="1:16" x14ac:dyDescent="0.25">
      <c r="A35" s="167">
        <v>42117</v>
      </c>
      <c r="B35">
        <v>5</v>
      </c>
      <c r="D35" s="167">
        <v>42201</v>
      </c>
      <c r="E35" s="168">
        <v>3</v>
      </c>
      <c r="K35" s="169">
        <v>42342</v>
      </c>
      <c r="L35">
        <v>12</v>
      </c>
      <c r="O35" s="169">
        <v>42137</v>
      </c>
      <c r="P35">
        <v>6</v>
      </c>
    </row>
    <row r="36" spans="1:16" x14ac:dyDescent="0.25">
      <c r="A36" s="167">
        <v>42117</v>
      </c>
      <c r="B36">
        <v>4</v>
      </c>
      <c r="D36" s="167">
        <v>42201</v>
      </c>
      <c r="E36" s="168">
        <v>13</v>
      </c>
      <c r="K36" s="169">
        <v>42349</v>
      </c>
      <c r="L36">
        <v>20</v>
      </c>
      <c r="O36" s="169">
        <v>42145</v>
      </c>
      <c r="P36">
        <v>1</v>
      </c>
    </row>
    <row r="37" spans="1:16" x14ac:dyDescent="0.25">
      <c r="A37" s="167">
        <v>42117</v>
      </c>
      <c r="B37">
        <v>5</v>
      </c>
      <c r="D37" s="167">
        <v>42213</v>
      </c>
      <c r="E37" s="168">
        <v>6</v>
      </c>
      <c r="K37" s="169">
        <v>42356</v>
      </c>
      <c r="L37">
        <v>20</v>
      </c>
      <c r="O37" s="169">
        <v>42150</v>
      </c>
      <c r="P37">
        <v>6</v>
      </c>
    </row>
    <row r="38" spans="1:16" x14ac:dyDescent="0.25">
      <c r="A38" s="167">
        <v>42121</v>
      </c>
      <c r="B38">
        <v>1</v>
      </c>
      <c r="D38" s="167">
        <v>42215</v>
      </c>
      <c r="E38" s="168">
        <v>5</v>
      </c>
      <c r="O38" s="169">
        <v>42158</v>
      </c>
      <c r="P38">
        <v>18</v>
      </c>
    </row>
    <row r="39" spans="1:16" x14ac:dyDescent="0.25">
      <c r="A39" s="167">
        <v>42121</v>
      </c>
      <c r="B39">
        <v>6</v>
      </c>
      <c r="D39" s="167">
        <v>42247</v>
      </c>
      <c r="E39" s="168">
        <v>14</v>
      </c>
      <c r="O39" s="169">
        <v>42159</v>
      </c>
      <c r="P39">
        <v>1</v>
      </c>
    </row>
    <row r="40" spans="1:16" x14ac:dyDescent="0.25">
      <c r="A40" s="167">
        <v>42122</v>
      </c>
      <c r="B40">
        <v>1</v>
      </c>
      <c r="D40" s="167">
        <v>42247</v>
      </c>
      <c r="E40" s="168">
        <v>10</v>
      </c>
      <c r="O40" s="169">
        <v>42163</v>
      </c>
      <c r="P40">
        <v>3</v>
      </c>
    </row>
    <row r="41" spans="1:16" x14ac:dyDescent="0.25">
      <c r="A41" s="167">
        <v>42122</v>
      </c>
      <c r="B41">
        <v>1</v>
      </c>
      <c r="D41" s="167">
        <v>42257</v>
      </c>
      <c r="E41" s="168">
        <v>5</v>
      </c>
      <c r="O41" s="169">
        <v>42164</v>
      </c>
      <c r="P41">
        <v>2</v>
      </c>
    </row>
    <row r="42" spans="1:16" x14ac:dyDescent="0.25">
      <c r="A42" s="167">
        <v>42122</v>
      </c>
      <c r="B42">
        <v>1</v>
      </c>
      <c r="D42" s="167">
        <v>42265</v>
      </c>
      <c r="E42" s="168">
        <v>6</v>
      </c>
      <c r="O42" s="169">
        <v>42166</v>
      </c>
      <c r="P42">
        <v>2</v>
      </c>
    </row>
    <row r="43" spans="1:16" x14ac:dyDescent="0.25">
      <c r="A43" s="167">
        <v>42123</v>
      </c>
      <c r="B43">
        <v>1</v>
      </c>
      <c r="D43" s="167">
        <v>42282</v>
      </c>
      <c r="E43" s="168">
        <v>5</v>
      </c>
      <c r="O43" s="169">
        <v>42167</v>
      </c>
      <c r="P43">
        <v>3</v>
      </c>
    </row>
    <row r="44" spans="1:16" x14ac:dyDescent="0.25">
      <c r="A44" s="167">
        <v>42124</v>
      </c>
      <c r="B44">
        <v>26</v>
      </c>
      <c r="D44" s="167">
        <v>42286</v>
      </c>
      <c r="E44" s="168">
        <v>37</v>
      </c>
      <c r="O44" s="169">
        <v>42171</v>
      </c>
      <c r="P44">
        <v>14</v>
      </c>
    </row>
    <row r="45" spans="1:16" x14ac:dyDescent="0.25">
      <c r="A45" s="167">
        <v>42130</v>
      </c>
      <c r="B45">
        <v>10</v>
      </c>
      <c r="D45" s="167">
        <v>42293</v>
      </c>
      <c r="E45" s="168">
        <v>14</v>
      </c>
      <c r="O45" s="169">
        <v>42174</v>
      </c>
      <c r="P45">
        <v>6</v>
      </c>
    </row>
    <row r="46" spans="1:16" x14ac:dyDescent="0.25">
      <c r="A46" s="167">
        <v>42136</v>
      </c>
      <c r="B46">
        <v>1</v>
      </c>
      <c r="D46" s="167">
        <v>42303</v>
      </c>
      <c r="E46" s="168">
        <v>10</v>
      </c>
      <c r="O46" s="169">
        <v>42177</v>
      </c>
      <c r="P46">
        <v>4</v>
      </c>
    </row>
    <row r="47" spans="1:16" x14ac:dyDescent="0.25">
      <c r="A47" s="167">
        <v>42137</v>
      </c>
      <c r="B47">
        <v>2</v>
      </c>
      <c r="D47" s="167">
        <v>42303</v>
      </c>
      <c r="E47" s="168">
        <v>4</v>
      </c>
      <c r="O47" s="169">
        <v>42179</v>
      </c>
      <c r="P47">
        <v>2</v>
      </c>
    </row>
    <row r="48" spans="1:16" x14ac:dyDescent="0.25">
      <c r="A48" s="167">
        <v>42137</v>
      </c>
      <c r="B48">
        <v>4</v>
      </c>
      <c r="D48" s="167">
        <v>42307</v>
      </c>
      <c r="E48" s="168">
        <v>1</v>
      </c>
      <c r="O48" s="169">
        <v>42186</v>
      </c>
      <c r="P48">
        <v>8</v>
      </c>
    </row>
    <row r="49" spans="1:16" x14ac:dyDescent="0.25">
      <c r="A49" s="167">
        <v>42145</v>
      </c>
      <c r="B49">
        <v>1</v>
      </c>
      <c r="D49" s="167">
        <v>42307</v>
      </c>
      <c r="E49" s="168">
        <v>4</v>
      </c>
      <c r="O49" s="169">
        <v>42200</v>
      </c>
      <c r="P49">
        <v>1</v>
      </c>
    </row>
    <row r="50" spans="1:16" x14ac:dyDescent="0.25">
      <c r="A50" s="167">
        <v>42150</v>
      </c>
      <c r="B50">
        <v>6</v>
      </c>
      <c r="D50" s="167">
        <v>42321</v>
      </c>
      <c r="E50" s="168">
        <v>15</v>
      </c>
      <c r="O50" s="169">
        <v>42207</v>
      </c>
      <c r="P50">
        <v>2</v>
      </c>
    </row>
    <row r="51" spans="1:16" x14ac:dyDescent="0.25">
      <c r="A51" s="167">
        <v>42158</v>
      </c>
      <c r="B51">
        <v>4</v>
      </c>
      <c r="D51" s="167">
        <v>42328</v>
      </c>
      <c r="E51" s="168">
        <v>11</v>
      </c>
      <c r="O51" s="169">
        <v>42213</v>
      </c>
      <c r="P51">
        <v>1</v>
      </c>
    </row>
    <row r="52" spans="1:16" x14ac:dyDescent="0.25">
      <c r="A52" s="167">
        <v>42158</v>
      </c>
      <c r="B52">
        <v>2</v>
      </c>
      <c r="D52" s="167">
        <v>42328</v>
      </c>
      <c r="E52" s="168">
        <v>8</v>
      </c>
      <c r="O52" s="169">
        <v>42215</v>
      </c>
      <c r="P52">
        <v>4</v>
      </c>
    </row>
    <row r="53" spans="1:16" x14ac:dyDescent="0.25">
      <c r="A53" s="167">
        <v>42158</v>
      </c>
      <c r="B53">
        <v>2</v>
      </c>
      <c r="D53" s="167">
        <v>42335</v>
      </c>
      <c r="E53" s="168">
        <v>20</v>
      </c>
      <c r="O53" s="169">
        <v>42222</v>
      </c>
      <c r="P53">
        <v>1</v>
      </c>
    </row>
    <row r="54" spans="1:16" x14ac:dyDescent="0.25">
      <c r="A54" s="167">
        <v>42158</v>
      </c>
      <c r="B54">
        <v>4</v>
      </c>
      <c r="D54" s="167">
        <v>42342</v>
      </c>
      <c r="E54" s="168">
        <v>12</v>
      </c>
      <c r="O54" s="169">
        <v>42223</v>
      </c>
      <c r="P54">
        <v>2</v>
      </c>
    </row>
    <row r="55" spans="1:16" x14ac:dyDescent="0.25">
      <c r="A55" s="167">
        <v>42158</v>
      </c>
      <c r="B55">
        <v>6</v>
      </c>
      <c r="D55" s="167">
        <v>42349</v>
      </c>
      <c r="E55" s="168">
        <v>20</v>
      </c>
      <c r="O55" s="169">
        <v>42240</v>
      </c>
      <c r="P55">
        <v>8</v>
      </c>
    </row>
    <row r="56" spans="1:16" x14ac:dyDescent="0.25">
      <c r="A56" s="167">
        <v>42159</v>
      </c>
      <c r="B56">
        <v>1</v>
      </c>
      <c r="D56" s="167">
        <v>42356</v>
      </c>
      <c r="E56" s="168">
        <v>20</v>
      </c>
      <c r="O56" s="169">
        <v>42242</v>
      </c>
      <c r="P56">
        <v>5</v>
      </c>
    </row>
    <row r="57" spans="1:16" x14ac:dyDescent="0.25">
      <c r="A57" s="167">
        <v>42163</v>
      </c>
      <c r="B57">
        <v>3</v>
      </c>
      <c r="O57" s="169">
        <v>42249</v>
      </c>
      <c r="P57">
        <v>6</v>
      </c>
    </row>
    <row r="58" spans="1:16" x14ac:dyDescent="0.25">
      <c r="A58" s="167">
        <v>42164</v>
      </c>
      <c r="B58">
        <v>2</v>
      </c>
      <c r="O58" s="169">
        <v>42255</v>
      </c>
      <c r="P58">
        <v>1</v>
      </c>
    </row>
    <row r="59" spans="1:16" x14ac:dyDescent="0.25">
      <c r="A59" s="167">
        <v>42166</v>
      </c>
      <c r="B59">
        <v>2</v>
      </c>
      <c r="O59" s="169">
        <v>42263</v>
      </c>
      <c r="P59">
        <v>4</v>
      </c>
    </row>
    <row r="60" spans="1:16" x14ac:dyDescent="0.25">
      <c r="A60" s="167">
        <v>42167</v>
      </c>
      <c r="B60">
        <v>1</v>
      </c>
      <c r="O60" s="169">
        <v>42265</v>
      </c>
      <c r="P60">
        <v>10</v>
      </c>
    </row>
    <row r="61" spans="1:16" x14ac:dyDescent="0.25">
      <c r="A61" s="167">
        <v>42167</v>
      </c>
      <c r="B61">
        <v>2</v>
      </c>
      <c r="O61" s="169">
        <v>42271</v>
      </c>
      <c r="P61">
        <v>1</v>
      </c>
    </row>
    <row r="62" spans="1:16" x14ac:dyDescent="0.25">
      <c r="A62" s="167">
        <v>42171</v>
      </c>
      <c r="B62">
        <v>2</v>
      </c>
      <c r="O62" s="169">
        <v>42272</v>
      </c>
      <c r="P62">
        <v>7</v>
      </c>
    </row>
    <row r="63" spans="1:16" x14ac:dyDescent="0.25">
      <c r="A63" s="167">
        <v>42171</v>
      </c>
      <c r="B63">
        <v>2</v>
      </c>
      <c r="O63" s="169">
        <v>42275</v>
      </c>
      <c r="P63">
        <v>5</v>
      </c>
    </row>
    <row r="64" spans="1:16" x14ac:dyDescent="0.25">
      <c r="A64" s="167">
        <v>42171</v>
      </c>
      <c r="B64">
        <v>2</v>
      </c>
      <c r="O64" s="169">
        <v>42277</v>
      </c>
      <c r="P64">
        <v>10</v>
      </c>
    </row>
    <row r="65" spans="1:16" x14ac:dyDescent="0.25">
      <c r="A65" s="167">
        <v>42171</v>
      </c>
      <c r="B65">
        <v>4</v>
      </c>
      <c r="O65" s="169">
        <v>42291</v>
      </c>
      <c r="P65">
        <v>1</v>
      </c>
    </row>
    <row r="66" spans="1:16" x14ac:dyDescent="0.25">
      <c r="A66" s="167">
        <v>42171</v>
      </c>
      <c r="B66">
        <v>4</v>
      </c>
      <c r="O66" s="169">
        <v>42297</v>
      </c>
      <c r="P66">
        <v>2</v>
      </c>
    </row>
    <row r="67" spans="1:16" x14ac:dyDescent="0.25">
      <c r="A67" s="167">
        <v>42174</v>
      </c>
      <c r="B67">
        <v>6</v>
      </c>
      <c r="O67" s="169">
        <v>42298</v>
      </c>
      <c r="P67">
        <v>30</v>
      </c>
    </row>
    <row r="68" spans="1:16" x14ac:dyDescent="0.25">
      <c r="A68" s="167">
        <v>42177</v>
      </c>
      <c r="B68">
        <v>1</v>
      </c>
      <c r="O68" s="169">
        <v>42300</v>
      </c>
      <c r="P68">
        <v>7</v>
      </c>
    </row>
    <row r="69" spans="1:16" x14ac:dyDescent="0.25">
      <c r="A69" s="167">
        <v>42177</v>
      </c>
      <c r="B69">
        <v>3</v>
      </c>
      <c r="O69" s="169">
        <v>42303</v>
      </c>
      <c r="P69">
        <v>5</v>
      </c>
    </row>
    <row r="70" spans="1:16" x14ac:dyDescent="0.25">
      <c r="A70" s="167">
        <v>42179</v>
      </c>
      <c r="B70">
        <v>2</v>
      </c>
      <c r="O70" s="169">
        <v>42306</v>
      </c>
      <c r="P70">
        <v>5</v>
      </c>
    </row>
    <row r="71" spans="1:16" x14ac:dyDescent="0.25">
      <c r="A71" s="167">
        <v>42186</v>
      </c>
      <c r="B71">
        <v>2</v>
      </c>
      <c r="O71" s="169">
        <v>42311</v>
      </c>
      <c r="P71">
        <v>9</v>
      </c>
    </row>
    <row r="72" spans="1:16" x14ac:dyDescent="0.25">
      <c r="A72" s="167">
        <v>42186</v>
      </c>
      <c r="B72">
        <v>2</v>
      </c>
      <c r="O72" s="169">
        <v>42312</v>
      </c>
      <c r="P72">
        <v>2</v>
      </c>
    </row>
    <row r="73" spans="1:16" x14ac:dyDescent="0.25">
      <c r="A73" s="167">
        <v>42186</v>
      </c>
      <c r="B73">
        <v>2</v>
      </c>
      <c r="O73" s="169">
        <v>42318</v>
      </c>
      <c r="P73">
        <v>7</v>
      </c>
    </row>
    <row r="74" spans="1:16" x14ac:dyDescent="0.25">
      <c r="A74" s="167">
        <v>42186</v>
      </c>
      <c r="B74">
        <v>2</v>
      </c>
      <c r="O74" s="169">
        <v>42320</v>
      </c>
      <c r="P74">
        <v>2</v>
      </c>
    </row>
    <row r="75" spans="1:16" x14ac:dyDescent="0.25">
      <c r="A75" s="167">
        <v>42200</v>
      </c>
      <c r="B75">
        <v>1</v>
      </c>
      <c r="O75" s="169">
        <v>42324</v>
      </c>
      <c r="P75">
        <v>9</v>
      </c>
    </row>
    <row r="76" spans="1:16" x14ac:dyDescent="0.25">
      <c r="A76" s="167">
        <v>42207</v>
      </c>
      <c r="B76">
        <v>2</v>
      </c>
      <c r="O76" s="169">
        <v>42325</v>
      </c>
      <c r="P76">
        <v>6</v>
      </c>
    </row>
    <row r="77" spans="1:16" x14ac:dyDescent="0.25">
      <c r="A77" s="167">
        <v>42213</v>
      </c>
      <c r="B77">
        <v>1</v>
      </c>
      <c r="O77" s="169">
        <v>42327</v>
      </c>
      <c r="P77">
        <v>1</v>
      </c>
    </row>
    <row r="78" spans="1:16" x14ac:dyDescent="0.25">
      <c r="A78" s="167">
        <v>42215</v>
      </c>
      <c r="B78">
        <v>2</v>
      </c>
      <c r="O78" s="169">
        <v>42328</v>
      </c>
      <c r="P78">
        <v>6</v>
      </c>
    </row>
    <row r="79" spans="1:16" x14ac:dyDescent="0.25">
      <c r="A79" s="167">
        <v>42215</v>
      </c>
      <c r="B79">
        <v>2</v>
      </c>
      <c r="O79" s="169">
        <v>42332</v>
      </c>
      <c r="P79">
        <v>2</v>
      </c>
    </row>
    <row r="80" spans="1:16" x14ac:dyDescent="0.25">
      <c r="A80" s="167">
        <v>42222</v>
      </c>
      <c r="B80">
        <v>1</v>
      </c>
      <c r="O80" s="169">
        <v>42335</v>
      </c>
      <c r="P80">
        <v>2</v>
      </c>
    </row>
    <row r="81" spans="1:16" x14ac:dyDescent="0.25">
      <c r="A81" s="167">
        <v>42223</v>
      </c>
      <c r="B81">
        <v>2</v>
      </c>
      <c r="O81" s="169">
        <v>42338</v>
      </c>
      <c r="P81">
        <v>12</v>
      </c>
    </row>
    <row r="82" spans="1:16" x14ac:dyDescent="0.25">
      <c r="A82" s="167">
        <v>42240</v>
      </c>
      <c r="B82">
        <v>8</v>
      </c>
      <c r="O82" s="169">
        <v>42341</v>
      </c>
      <c r="P82">
        <v>6</v>
      </c>
    </row>
    <row r="83" spans="1:16" x14ac:dyDescent="0.25">
      <c r="A83" s="167">
        <v>42242</v>
      </c>
      <c r="B83">
        <v>2</v>
      </c>
      <c r="O83" s="169">
        <v>42346</v>
      </c>
      <c r="P83">
        <v>5</v>
      </c>
    </row>
    <row r="84" spans="1:16" x14ac:dyDescent="0.25">
      <c r="A84" s="167">
        <v>42242</v>
      </c>
      <c r="B84">
        <v>3</v>
      </c>
      <c r="O84" s="169">
        <v>42347</v>
      </c>
      <c r="P84">
        <v>8</v>
      </c>
    </row>
    <row r="85" spans="1:16" x14ac:dyDescent="0.25">
      <c r="A85" s="167">
        <v>42249</v>
      </c>
      <c r="B85">
        <v>2</v>
      </c>
      <c r="O85" s="169">
        <v>42353</v>
      </c>
      <c r="P85">
        <v>1</v>
      </c>
    </row>
    <row r="86" spans="1:16" x14ac:dyDescent="0.25">
      <c r="A86" s="167">
        <v>42249</v>
      </c>
      <c r="B86">
        <v>4</v>
      </c>
      <c r="O86" s="169">
        <v>42355</v>
      </c>
      <c r="P86">
        <v>10</v>
      </c>
    </row>
    <row r="87" spans="1:16" x14ac:dyDescent="0.25">
      <c r="A87" s="167">
        <v>42255</v>
      </c>
      <c r="B87">
        <v>1</v>
      </c>
      <c r="O87" s="169">
        <v>42360</v>
      </c>
      <c r="P87">
        <v>8</v>
      </c>
    </row>
    <row r="88" spans="1:16" x14ac:dyDescent="0.25">
      <c r="A88" s="167">
        <v>42263</v>
      </c>
      <c r="B88">
        <v>2</v>
      </c>
    </row>
    <row r="89" spans="1:16" x14ac:dyDescent="0.25">
      <c r="A89" s="167">
        <v>42263</v>
      </c>
      <c r="B89">
        <v>2</v>
      </c>
    </row>
    <row r="90" spans="1:16" x14ac:dyDescent="0.25">
      <c r="A90" s="167">
        <v>42265</v>
      </c>
      <c r="B90">
        <v>10</v>
      </c>
    </row>
    <row r="91" spans="1:16" x14ac:dyDescent="0.25">
      <c r="A91" s="167">
        <v>42271</v>
      </c>
      <c r="B91">
        <v>1</v>
      </c>
    </row>
    <row r="92" spans="1:16" x14ac:dyDescent="0.25">
      <c r="A92" s="167">
        <v>42272</v>
      </c>
      <c r="B92">
        <v>1</v>
      </c>
    </row>
    <row r="93" spans="1:16" x14ac:dyDescent="0.25">
      <c r="A93" s="167">
        <v>42272</v>
      </c>
      <c r="B93">
        <v>4</v>
      </c>
    </row>
    <row r="94" spans="1:16" x14ac:dyDescent="0.25">
      <c r="A94" s="167">
        <v>42272</v>
      </c>
      <c r="B94">
        <v>2</v>
      </c>
    </row>
    <row r="95" spans="1:16" x14ac:dyDescent="0.25">
      <c r="A95" s="167">
        <v>42275</v>
      </c>
      <c r="B95">
        <v>3</v>
      </c>
    </row>
    <row r="96" spans="1:16" x14ac:dyDescent="0.25">
      <c r="A96" s="167">
        <v>42275</v>
      </c>
      <c r="B96">
        <v>2</v>
      </c>
    </row>
    <row r="97" spans="1:2" x14ac:dyDescent="0.25">
      <c r="A97" s="167">
        <v>42277</v>
      </c>
      <c r="B97">
        <v>10</v>
      </c>
    </row>
    <row r="98" spans="1:2" x14ac:dyDescent="0.25">
      <c r="A98" s="167">
        <v>42291</v>
      </c>
      <c r="B98">
        <v>1</v>
      </c>
    </row>
    <row r="99" spans="1:2" x14ac:dyDescent="0.25">
      <c r="A99" s="167">
        <v>42297</v>
      </c>
      <c r="B99">
        <v>2</v>
      </c>
    </row>
    <row r="100" spans="1:2" x14ac:dyDescent="0.25">
      <c r="A100" s="167">
        <v>42298</v>
      </c>
      <c r="B100">
        <v>30</v>
      </c>
    </row>
    <row r="101" spans="1:2" x14ac:dyDescent="0.25">
      <c r="A101" s="167">
        <v>42300</v>
      </c>
      <c r="B101">
        <v>4</v>
      </c>
    </row>
    <row r="102" spans="1:2" x14ac:dyDescent="0.25">
      <c r="A102" s="167">
        <v>42300</v>
      </c>
      <c r="B102">
        <v>1</v>
      </c>
    </row>
    <row r="103" spans="1:2" x14ac:dyDescent="0.25">
      <c r="A103" s="167">
        <v>42300</v>
      </c>
      <c r="B103">
        <v>2</v>
      </c>
    </row>
    <row r="104" spans="1:2" x14ac:dyDescent="0.25">
      <c r="A104" s="167">
        <v>42303</v>
      </c>
      <c r="B104">
        <v>5</v>
      </c>
    </row>
    <row r="105" spans="1:2" x14ac:dyDescent="0.25">
      <c r="A105" s="167">
        <v>42306</v>
      </c>
      <c r="B105">
        <v>2</v>
      </c>
    </row>
    <row r="106" spans="1:2" x14ac:dyDescent="0.25">
      <c r="A106" s="167">
        <v>42306</v>
      </c>
      <c r="B106">
        <v>3</v>
      </c>
    </row>
    <row r="107" spans="1:2" x14ac:dyDescent="0.25">
      <c r="A107" s="167">
        <v>42311</v>
      </c>
      <c r="B107">
        <v>2</v>
      </c>
    </row>
    <row r="108" spans="1:2" x14ac:dyDescent="0.25">
      <c r="A108" s="167">
        <v>42311</v>
      </c>
      <c r="B108">
        <v>5</v>
      </c>
    </row>
    <row r="109" spans="1:2" x14ac:dyDescent="0.25">
      <c r="A109" s="167">
        <v>42311</v>
      </c>
      <c r="B109">
        <v>2</v>
      </c>
    </row>
    <row r="110" spans="1:2" x14ac:dyDescent="0.25">
      <c r="A110" s="167">
        <v>42312</v>
      </c>
      <c r="B110">
        <v>2</v>
      </c>
    </row>
    <row r="111" spans="1:2" x14ac:dyDescent="0.25">
      <c r="A111" s="167">
        <v>42318</v>
      </c>
      <c r="B111">
        <v>7</v>
      </c>
    </row>
    <row r="112" spans="1:2" x14ac:dyDescent="0.25">
      <c r="A112" s="167">
        <v>42320</v>
      </c>
      <c r="B112">
        <v>2</v>
      </c>
    </row>
    <row r="113" spans="1:2" x14ac:dyDescent="0.25">
      <c r="A113" s="167">
        <v>42324</v>
      </c>
      <c r="B113">
        <v>1</v>
      </c>
    </row>
    <row r="114" spans="1:2" x14ac:dyDescent="0.25">
      <c r="A114" s="167">
        <v>42324</v>
      </c>
      <c r="B114">
        <v>8</v>
      </c>
    </row>
    <row r="115" spans="1:2" x14ac:dyDescent="0.25">
      <c r="A115" s="167">
        <v>42325</v>
      </c>
      <c r="B115">
        <v>2</v>
      </c>
    </row>
    <row r="116" spans="1:2" x14ac:dyDescent="0.25">
      <c r="A116" s="167">
        <v>42325</v>
      </c>
      <c r="B116">
        <v>4</v>
      </c>
    </row>
    <row r="117" spans="1:2" x14ac:dyDescent="0.25">
      <c r="A117" s="167">
        <v>42327</v>
      </c>
      <c r="B117">
        <v>1</v>
      </c>
    </row>
    <row r="118" spans="1:2" x14ac:dyDescent="0.25">
      <c r="A118" s="167">
        <v>42328</v>
      </c>
      <c r="B118">
        <v>1</v>
      </c>
    </row>
    <row r="119" spans="1:2" x14ac:dyDescent="0.25">
      <c r="A119" s="167">
        <v>42328</v>
      </c>
      <c r="B119">
        <v>2</v>
      </c>
    </row>
    <row r="120" spans="1:2" x14ac:dyDescent="0.25">
      <c r="A120" s="167">
        <v>42328</v>
      </c>
      <c r="B120">
        <v>1</v>
      </c>
    </row>
    <row r="121" spans="1:2" x14ac:dyDescent="0.25">
      <c r="A121" s="167">
        <v>42328</v>
      </c>
      <c r="B121">
        <v>2</v>
      </c>
    </row>
    <row r="122" spans="1:2" x14ac:dyDescent="0.25">
      <c r="A122" s="167">
        <v>42332</v>
      </c>
      <c r="B122">
        <v>1</v>
      </c>
    </row>
    <row r="123" spans="1:2" x14ac:dyDescent="0.25">
      <c r="A123" s="167">
        <v>42332</v>
      </c>
      <c r="B123">
        <v>1</v>
      </c>
    </row>
    <row r="124" spans="1:2" x14ac:dyDescent="0.25">
      <c r="A124" s="167">
        <v>42335</v>
      </c>
      <c r="B124">
        <v>1</v>
      </c>
    </row>
    <row r="125" spans="1:2" x14ac:dyDescent="0.25">
      <c r="A125" s="167">
        <v>42335</v>
      </c>
      <c r="B125">
        <v>1</v>
      </c>
    </row>
    <row r="126" spans="1:2" x14ac:dyDescent="0.25">
      <c r="A126" s="167">
        <v>42338</v>
      </c>
      <c r="B126">
        <v>4</v>
      </c>
    </row>
    <row r="127" spans="1:2" x14ac:dyDescent="0.25">
      <c r="A127" s="167">
        <v>42338</v>
      </c>
      <c r="B127">
        <v>8</v>
      </c>
    </row>
    <row r="128" spans="1:2" x14ac:dyDescent="0.25">
      <c r="A128" s="167">
        <v>42341</v>
      </c>
      <c r="B128">
        <v>6</v>
      </c>
    </row>
    <row r="129" spans="1:2" x14ac:dyDescent="0.25">
      <c r="A129" s="167">
        <v>42346</v>
      </c>
      <c r="B129">
        <v>5</v>
      </c>
    </row>
    <row r="130" spans="1:2" x14ac:dyDescent="0.25">
      <c r="A130" s="167">
        <v>42347</v>
      </c>
      <c r="B130">
        <v>1</v>
      </c>
    </row>
    <row r="131" spans="1:2" x14ac:dyDescent="0.25">
      <c r="A131" s="167">
        <v>42347</v>
      </c>
      <c r="B131">
        <v>3</v>
      </c>
    </row>
    <row r="132" spans="1:2" x14ac:dyDescent="0.25">
      <c r="A132" s="167">
        <v>42347</v>
      </c>
      <c r="B132">
        <v>1</v>
      </c>
    </row>
    <row r="133" spans="1:2" x14ac:dyDescent="0.25">
      <c r="A133" s="167">
        <v>42347</v>
      </c>
      <c r="B133">
        <v>3</v>
      </c>
    </row>
    <row r="134" spans="1:2" x14ac:dyDescent="0.25">
      <c r="A134" s="167">
        <v>42353</v>
      </c>
      <c r="B134">
        <v>1</v>
      </c>
    </row>
    <row r="135" spans="1:2" x14ac:dyDescent="0.25">
      <c r="A135" s="167">
        <v>42355</v>
      </c>
      <c r="B135">
        <v>10</v>
      </c>
    </row>
    <row r="136" spans="1:2" x14ac:dyDescent="0.25">
      <c r="A136" s="167">
        <v>42360</v>
      </c>
      <c r="B136">
        <v>6</v>
      </c>
    </row>
    <row r="137" spans="1:2" x14ac:dyDescent="0.25">
      <c r="A137" s="167">
        <v>42360</v>
      </c>
      <c r="B137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zoomScale="115" zoomScaleNormal="115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E6" sqref="E6"/>
    </sheetView>
  </sheetViews>
  <sheetFormatPr baseColWidth="10" defaultRowHeight="15" x14ac:dyDescent="0.25"/>
  <cols>
    <col min="1" max="1" width="15.5703125" bestFit="1" customWidth="1"/>
    <col min="2" max="2" width="26.85546875" style="2" customWidth="1"/>
    <col min="3" max="3" width="12.140625" customWidth="1"/>
    <col min="4" max="8" width="11.140625" customWidth="1"/>
  </cols>
  <sheetData>
    <row r="1" spans="1:8" s="4" customFormat="1" ht="45.75" thickBot="1" x14ac:dyDescent="0.3">
      <c r="A1" t="s">
        <v>154</v>
      </c>
      <c r="B1" s="144" t="s">
        <v>17</v>
      </c>
      <c r="C1" s="146" t="s">
        <v>155</v>
      </c>
    </row>
    <row r="2" spans="1:8" ht="14.45" x14ac:dyDescent="0.35">
      <c r="A2" t="s">
        <v>145</v>
      </c>
      <c r="B2" s="166">
        <v>42090</v>
      </c>
      <c r="C2" s="10">
        <f>+VLOOKUP(B2,Feuil1!$K$3:$L$37,2,FALSE)</f>
        <v>71</v>
      </c>
      <c r="D2" s="168"/>
      <c r="E2" s="2"/>
      <c r="F2" s="2"/>
      <c r="G2" s="2"/>
      <c r="H2" s="2"/>
    </row>
    <row r="3" spans="1:8" ht="14.45" x14ac:dyDescent="0.35">
      <c r="A3" t="s">
        <v>145</v>
      </c>
      <c r="B3" s="166">
        <v>42118</v>
      </c>
      <c r="C3" s="10">
        <f>+VLOOKUP(B3,Feuil1!$K$3:$L$37,2,FALSE)</f>
        <v>50</v>
      </c>
      <c r="D3" s="168"/>
      <c r="E3" s="2"/>
      <c r="F3" s="2"/>
      <c r="G3" s="2"/>
      <c r="H3" s="2"/>
    </row>
    <row r="4" spans="1:8" ht="14.45" x14ac:dyDescent="0.35">
      <c r="A4" t="s">
        <v>145</v>
      </c>
      <c r="B4" s="166">
        <v>42142</v>
      </c>
      <c r="C4" s="10">
        <f>+VLOOKUP(B4,Feuil1!$K$3:$L$37,2,FALSE)</f>
        <v>42</v>
      </c>
      <c r="E4" s="2"/>
      <c r="F4" s="2"/>
      <c r="G4" s="2"/>
      <c r="H4" s="2"/>
    </row>
    <row r="5" spans="1:8" ht="14.45" x14ac:dyDescent="0.35">
      <c r="A5" t="s">
        <v>145</v>
      </c>
      <c r="B5" s="166">
        <v>42030</v>
      </c>
      <c r="C5" s="10">
        <f>+VLOOKUP(B5,Feuil1!$K$3:$L$37,2,FALSE)</f>
        <v>38</v>
      </c>
      <c r="D5" s="168"/>
      <c r="E5" s="2"/>
      <c r="F5" s="2"/>
      <c r="G5" s="2"/>
      <c r="H5" s="2"/>
    </row>
    <row r="6" spans="1:8" ht="14.45" x14ac:dyDescent="0.35">
      <c r="A6" t="s">
        <v>145</v>
      </c>
      <c r="B6" s="166">
        <v>42286</v>
      </c>
      <c r="C6" s="10">
        <f>+VLOOKUP(B6,Feuil1!$K$3:$L$37,2,FALSE)</f>
        <v>37</v>
      </c>
      <c r="D6" s="2"/>
      <c r="E6" s="2"/>
      <c r="F6" s="2"/>
      <c r="G6" s="2"/>
      <c r="H6" s="2"/>
    </row>
    <row r="7" spans="1:8" ht="14.45" x14ac:dyDescent="0.35">
      <c r="A7" t="s">
        <v>145</v>
      </c>
      <c r="B7" s="166">
        <v>42247</v>
      </c>
      <c r="C7" s="10">
        <f>+VLOOKUP(B7,Feuil1!$K$3:$L$37,2,FALSE)</f>
        <v>24</v>
      </c>
      <c r="D7" s="2"/>
      <c r="E7" s="2"/>
      <c r="F7" s="2"/>
      <c r="G7" s="2"/>
      <c r="H7" s="2"/>
    </row>
    <row r="8" spans="1:8" ht="14.45" x14ac:dyDescent="0.35">
      <c r="A8" t="s">
        <v>145</v>
      </c>
      <c r="B8" s="166">
        <v>42083</v>
      </c>
      <c r="C8" s="10">
        <f>+VLOOKUP(B8,Feuil1!$K$3:$L$37,2,FALSE)</f>
        <v>22</v>
      </c>
      <c r="D8" s="2"/>
      <c r="E8" s="2"/>
      <c r="F8" s="2"/>
      <c r="G8" s="2"/>
      <c r="H8" s="2"/>
    </row>
    <row r="9" spans="1:8" ht="14.45" x14ac:dyDescent="0.35">
      <c r="A9" t="s">
        <v>145</v>
      </c>
      <c r="B9" s="166">
        <v>42097</v>
      </c>
      <c r="C9" s="10">
        <f>+VLOOKUP(B9,Feuil1!$K$3:$L$37,2,FALSE)</f>
        <v>22</v>
      </c>
      <c r="E9" s="2"/>
      <c r="F9" s="2"/>
      <c r="G9" s="2"/>
      <c r="H9" s="2"/>
    </row>
    <row r="10" spans="1:8" ht="14.45" x14ac:dyDescent="0.35">
      <c r="A10" t="s">
        <v>145</v>
      </c>
      <c r="B10" s="166">
        <v>42041</v>
      </c>
      <c r="C10" s="10">
        <f>+VLOOKUP(B10,Feuil1!$K$3:$L$37,2,FALSE)</f>
        <v>20</v>
      </c>
      <c r="D10" s="168"/>
      <c r="E10" s="2"/>
      <c r="F10" s="2"/>
      <c r="G10" s="2"/>
      <c r="H10" s="2"/>
    </row>
    <row r="11" spans="1:8" ht="14.45" x14ac:dyDescent="0.35">
      <c r="A11" t="s">
        <v>145</v>
      </c>
      <c r="B11" s="166">
        <v>42135</v>
      </c>
      <c r="C11" s="10">
        <f>+VLOOKUP(B11,Feuil1!$K$3:$L$37,2,FALSE)</f>
        <v>20</v>
      </c>
      <c r="E11" s="2"/>
      <c r="F11" s="2"/>
      <c r="G11" s="2"/>
      <c r="H11" s="2"/>
    </row>
    <row r="12" spans="1:8" ht="14.45" x14ac:dyDescent="0.35">
      <c r="A12" t="s">
        <v>145</v>
      </c>
      <c r="B12" s="166">
        <v>42335</v>
      </c>
      <c r="C12" s="10">
        <f>+VLOOKUP(B12,Feuil1!$K$3:$L$37,2,FALSE)</f>
        <v>20</v>
      </c>
      <c r="D12" s="2"/>
      <c r="E12" s="2"/>
      <c r="F12" s="2"/>
      <c r="G12" s="2"/>
      <c r="H12" s="2"/>
    </row>
    <row r="13" spans="1:8" ht="14.45" x14ac:dyDescent="0.35">
      <c r="A13" t="s">
        <v>145</v>
      </c>
      <c r="B13" s="166">
        <v>42349</v>
      </c>
      <c r="C13" s="10">
        <f>+VLOOKUP(B13,Feuil1!$K$3:$L$37,2,FALSE)</f>
        <v>20</v>
      </c>
      <c r="D13" s="2"/>
      <c r="E13" s="2"/>
      <c r="F13" s="2"/>
      <c r="G13" s="2"/>
      <c r="H13" s="2"/>
    </row>
    <row r="14" spans="1:8" x14ac:dyDescent="0.25">
      <c r="A14" t="s">
        <v>145</v>
      </c>
      <c r="B14" s="166">
        <v>42356</v>
      </c>
      <c r="C14" s="10">
        <f>+VLOOKUP(B14,Feuil1!$K$3:$L$37,2,FALSE)</f>
        <v>20</v>
      </c>
      <c r="D14" s="2"/>
      <c r="E14" s="2"/>
      <c r="F14" s="2"/>
      <c r="G14" s="2"/>
      <c r="H14" s="2"/>
    </row>
    <row r="15" spans="1:8" x14ac:dyDescent="0.25">
      <c r="A15" t="s">
        <v>145</v>
      </c>
      <c r="B15" s="166">
        <v>42328</v>
      </c>
      <c r="C15" s="10">
        <f>+VLOOKUP(B15,Feuil1!$K$3:$L$37,2,FALSE)</f>
        <v>19</v>
      </c>
      <c r="D15" s="2"/>
      <c r="E15" s="2"/>
      <c r="F15" s="2"/>
      <c r="G15" s="2"/>
      <c r="H15" s="2"/>
    </row>
    <row r="16" spans="1:8" x14ac:dyDescent="0.25">
      <c r="A16" t="s">
        <v>145</v>
      </c>
      <c r="B16" s="166">
        <v>42201</v>
      </c>
      <c r="C16" s="10">
        <f>+VLOOKUP(B16,Feuil1!$K$3:$L$37,2,FALSE)</f>
        <v>16</v>
      </c>
      <c r="D16" s="2"/>
      <c r="E16" s="2"/>
      <c r="F16" s="2"/>
      <c r="G16" s="2"/>
      <c r="H16" s="2"/>
    </row>
    <row r="17" spans="1:8" x14ac:dyDescent="0.25">
      <c r="A17" t="s">
        <v>145</v>
      </c>
      <c r="B17" s="166">
        <v>42321</v>
      </c>
      <c r="C17" s="10">
        <f>+VLOOKUP(B17,Feuil1!$K$3:$L$37,2,FALSE)</f>
        <v>15</v>
      </c>
      <c r="D17" s="2"/>
      <c r="E17" s="2"/>
      <c r="F17" s="2"/>
      <c r="G17" s="2"/>
      <c r="H17" s="2"/>
    </row>
    <row r="18" spans="1:8" x14ac:dyDescent="0.25">
      <c r="A18" t="s">
        <v>145</v>
      </c>
      <c r="B18" s="166">
        <v>42153</v>
      </c>
      <c r="C18" s="10">
        <f>+VLOOKUP(B18,Feuil1!$K$3:$L$37,2,FALSE)</f>
        <v>14</v>
      </c>
      <c r="D18" s="168"/>
      <c r="E18" s="2"/>
      <c r="F18" s="2"/>
      <c r="G18" s="2"/>
      <c r="H18" s="2"/>
    </row>
    <row r="19" spans="1:8" x14ac:dyDescent="0.25">
      <c r="A19" t="s">
        <v>145</v>
      </c>
      <c r="B19" s="166">
        <v>42293</v>
      </c>
      <c r="C19" s="10">
        <f>+VLOOKUP(B19,Feuil1!$K$3:$L$37,2,FALSE)</f>
        <v>14</v>
      </c>
      <c r="E19" s="2"/>
      <c r="F19" s="2"/>
      <c r="G19" s="2"/>
      <c r="H19" s="2"/>
    </row>
    <row r="20" spans="1:8" x14ac:dyDescent="0.25">
      <c r="A20" t="s">
        <v>145</v>
      </c>
      <c r="B20" s="166">
        <v>42303</v>
      </c>
      <c r="C20" s="10">
        <f>+VLOOKUP(B20,Feuil1!$K$3:$L$37,2,FALSE)</f>
        <v>14</v>
      </c>
      <c r="D20" s="2"/>
      <c r="E20" s="2"/>
      <c r="F20" s="2"/>
      <c r="G20" s="2"/>
      <c r="H20" s="2"/>
    </row>
    <row r="21" spans="1:8" x14ac:dyDescent="0.25">
      <c r="A21" t="s">
        <v>145</v>
      </c>
      <c r="B21" s="166">
        <v>42069</v>
      </c>
      <c r="C21" s="10">
        <f>+VLOOKUP(B21,Feuil1!$K$3:$L$37,2,FALSE)</f>
        <v>13</v>
      </c>
      <c r="D21" s="168"/>
      <c r="E21" s="2"/>
      <c r="F21" s="2"/>
      <c r="G21" s="2"/>
      <c r="H21" s="2"/>
    </row>
    <row r="22" spans="1:8" x14ac:dyDescent="0.25">
      <c r="A22" t="s">
        <v>145</v>
      </c>
      <c r="B22" s="166">
        <v>42342</v>
      </c>
      <c r="C22" s="10">
        <f>+VLOOKUP(B22,Feuil1!$K$3:$L$37,2,FALSE)</f>
        <v>12</v>
      </c>
      <c r="D22" s="2"/>
      <c r="E22" s="2"/>
      <c r="F22" s="2"/>
      <c r="G22" s="2"/>
      <c r="H22" s="2"/>
    </row>
    <row r="23" spans="1:8" x14ac:dyDescent="0.25">
      <c r="A23" t="s">
        <v>145</v>
      </c>
      <c r="B23" s="166">
        <v>42111</v>
      </c>
      <c r="C23" s="10">
        <f>+VLOOKUP(B23,Feuil1!$K$3:$L$37,2,FALSE)</f>
        <v>11</v>
      </c>
      <c r="E23" s="2"/>
      <c r="F23" s="2"/>
      <c r="G23" s="2"/>
      <c r="H23" s="2"/>
    </row>
    <row r="24" spans="1:8" x14ac:dyDescent="0.25">
      <c r="A24" t="s">
        <v>145</v>
      </c>
      <c r="B24" s="166">
        <v>42013</v>
      </c>
      <c r="C24" s="10">
        <f>+VLOOKUP(B24,Feuil1!$K$3:$L$37,2,FALSE)</f>
        <v>10</v>
      </c>
      <c r="D24" s="168"/>
      <c r="E24" s="2"/>
      <c r="F24" s="2"/>
      <c r="G24" s="2"/>
      <c r="H24" s="2"/>
    </row>
    <row r="25" spans="1:8" x14ac:dyDescent="0.25">
      <c r="A25" t="s">
        <v>145</v>
      </c>
      <c r="B25" s="166">
        <v>42167</v>
      </c>
      <c r="C25" s="10">
        <f>+VLOOKUP(B25,Feuil1!$K$3:$L$37,2,FALSE)</f>
        <v>9</v>
      </c>
      <c r="E25" s="2"/>
      <c r="F25" s="2"/>
      <c r="G25" s="2"/>
      <c r="H25" s="2"/>
    </row>
    <row r="26" spans="1:8" x14ac:dyDescent="0.25">
      <c r="A26" t="s">
        <v>145</v>
      </c>
      <c r="B26" s="166">
        <v>42174</v>
      </c>
      <c r="C26" s="10">
        <f>+VLOOKUP(B26,Feuil1!$K$3:$L$37,2,FALSE)</f>
        <v>6</v>
      </c>
      <c r="D26" s="2"/>
      <c r="E26" s="2"/>
      <c r="F26" s="2"/>
      <c r="G26" s="2"/>
      <c r="H26" s="2"/>
    </row>
    <row r="27" spans="1:8" x14ac:dyDescent="0.25">
      <c r="A27" t="s">
        <v>145</v>
      </c>
      <c r="B27" s="166">
        <v>42213</v>
      </c>
      <c r="C27" s="10">
        <f>+VLOOKUP(B27,Feuil1!$K$3:$L$37,2,FALSE)</f>
        <v>6</v>
      </c>
      <c r="E27" s="2"/>
      <c r="F27" s="2"/>
      <c r="G27" s="2"/>
      <c r="H27" s="2"/>
    </row>
    <row r="28" spans="1:8" x14ac:dyDescent="0.25">
      <c r="A28" t="s">
        <v>145</v>
      </c>
      <c r="B28" s="166">
        <v>42265</v>
      </c>
      <c r="C28" s="10">
        <f>+VLOOKUP(B28,Feuil1!$K$3:$L$37,2,FALSE)</f>
        <v>6</v>
      </c>
      <c r="D28" s="2"/>
      <c r="E28" s="2"/>
      <c r="F28" s="2"/>
      <c r="G28" s="2"/>
      <c r="H28" s="2"/>
    </row>
    <row r="29" spans="1:8" x14ac:dyDescent="0.25">
      <c r="A29" t="s">
        <v>145</v>
      </c>
      <c r="B29" s="166">
        <v>42215</v>
      </c>
      <c r="C29" s="10">
        <f>+VLOOKUP(B29,Feuil1!$K$3:$L$37,2,FALSE)</f>
        <v>5</v>
      </c>
      <c r="D29" s="2"/>
      <c r="E29" s="2"/>
      <c r="F29" s="2"/>
      <c r="G29" s="2"/>
      <c r="H29" s="2"/>
    </row>
    <row r="30" spans="1:8" x14ac:dyDescent="0.25">
      <c r="A30" t="s">
        <v>145</v>
      </c>
      <c r="B30" s="166">
        <v>42257</v>
      </c>
      <c r="C30" s="10">
        <f>+VLOOKUP(B30,Feuil1!$K$3:$L$37,2,FALSE)</f>
        <v>5</v>
      </c>
      <c r="D30" s="2"/>
      <c r="E30" s="2"/>
      <c r="F30" s="2"/>
      <c r="G30" s="2"/>
      <c r="H30" s="2"/>
    </row>
    <row r="31" spans="1:8" x14ac:dyDescent="0.25">
      <c r="A31" t="s">
        <v>145</v>
      </c>
      <c r="B31" s="166">
        <v>42282</v>
      </c>
      <c r="C31" s="10">
        <f>+VLOOKUP(B31,Feuil1!$K$3:$L$37,2,FALSE)</f>
        <v>5</v>
      </c>
      <c r="D31" s="2"/>
      <c r="E31" s="2"/>
      <c r="F31" s="2"/>
      <c r="G31" s="2"/>
      <c r="H31" s="2"/>
    </row>
    <row r="32" spans="1:8" x14ac:dyDescent="0.25">
      <c r="A32" t="s">
        <v>145</v>
      </c>
      <c r="B32" s="166">
        <v>42307</v>
      </c>
      <c r="C32" s="10">
        <f>+VLOOKUP(B32,Feuil1!$K$3:$L$37,2,FALSE)</f>
        <v>5</v>
      </c>
      <c r="E32" s="2"/>
      <c r="F32" s="2"/>
      <c r="G32" s="2"/>
      <c r="H32" s="2"/>
    </row>
    <row r="33" spans="1:8" x14ac:dyDescent="0.25">
      <c r="A33" t="s">
        <v>145</v>
      </c>
      <c r="B33" s="166">
        <v>42076</v>
      </c>
      <c r="C33" s="10">
        <f>+VLOOKUP(B33,Feuil1!$K$3:$L$37,2,FALSE)</f>
        <v>4</v>
      </c>
      <c r="D33" s="168"/>
      <c r="E33" s="2"/>
      <c r="F33" s="2"/>
      <c r="G33" s="2"/>
      <c r="H33" s="2"/>
    </row>
    <row r="34" spans="1:8" x14ac:dyDescent="0.25">
      <c r="A34" t="s">
        <v>145</v>
      </c>
      <c r="B34" s="166">
        <v>42184</v>
      </c>
      <c r="C34" s="10">
        <f>+VLOOKUP(B34,Feuil1!$K$3:$L$37,2,FALSE)</f>
        <v>4</v>
      </c>
      <c r="D34" s="168"/>
      <c r="E34" s="2"/>
      <c r="F34" s="2"/>
      <c r="G34" s="2"/>
      <c r="H34" s="2"/>
    </row>
    <row r="35" spans="1:8" x14ac:dyDescent="0.25">
      <c r="A35" t="s">
        <v>145</v>
      </c>
      <c r="B35" s="166">
        <v>42128</v>
      </c>
      <c r="C35" s="10">
        <f>+VLOOKUP(B35,Feuil1!$K$3:$L$37,2,FALSE)</f>
        <v>3</v>
      </c>
      <c r="D35" s="168"/>
      <c r="E35" s="2"/>
      <c r="F35" s="2"/>
      <c r="G35" s="2"/>
      <c r="H35" s="2"/>
    </row>
    <row r="36" spans="1:8" x14ac:dyDescent="0.25">
      <c r="A36" t="s">
        <v>145</v>
      </c>
      <c r="B36" s="166">
        <v>42150</v>
      </c>
      <c r="C36" s="10">
        <f>+VLOOKUP(B36,Feuil1!$K$3:$L$37,2,FALSE)</f>
        <v>1</v>
      </c>
      <c r="D36" s="2"/>
      <c r="E36" s="2"/>
      <c r="F36" s="2"/>
      <c r="G36" s="2"/>
      <c r="H36" s="2"/>
    </row>
  </sheetData>
  <autoFilter ref="B1:F36">
    <sortState ref="B2:F257">
      <sortCondition descending="1" ref="C1:C257"/>
    </sortState>
  </autoFilter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7"/>
  <sheetViews>
    <sheetView zoomScaleNormal="100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E5" sqref="E5"/>
    </sheetView>
  </sheetViews>
  <sheetFormatPr baseColWidth="10" defaultRowHeight="15" x14ac:dyDescent="0.25"/>
  <cols>
    <col min="1" max="1" width="18.85546875" customWidth="1"/>
    <col min="2" max="2" width="26.85546875" style="2" customWidth="1"/>
    <col min="3" max="3" width="8.85546875" customWidth="1"/>
    <col min="4" max="8" width="11.140625" customWidth="1"/>
  </cols>
  <sheetData>
    <row r="1" spans="1:8" s="4" customFormat="1" ht="30.75" thickBot="1" x14ac:dyDescent="0.3">
      <c r="A1" s="4" t="s">
        <v>154</v>
      </c>
      <c r="B1" s="144" t="s">
        <v>17</v>
      </c>
      <c r="C1" s="146" t="s">
        <v>14</v>
      </c>
    </row>
    <row r="2" spans="1:8" ht="14.45" x14ac:dyDescent="0.35">
      <c r="A2" t="s">
        <v>145</v>
      </c>
      <c r="B2" s="166">
        <v>42005</v>
      </c>
      <c r="C2" s="2">
        <v>34</v>
      </c>
      <c r="D2" s="168"/>
      <c r="E2" s="2"/>
      <c r="F2" s="2"/>
      <c r="G2" s="2"/>
      <c r="H2" s="2"/>
    </row>
    <row r="3" spans="1:8" ht="14.45" x14ac:dyDescent="0.35">
      <c r="A3" t="s">
        <v>145</v>
      </c>
      <c r="B3" s="166">
        <v>42006</v>
      </c>
      <c r="C3" s="10">
        <v>34</v>
      </c>
      <c r="D3" s="168"/>
      <c r="E3" s="2"/>
      <c r="F3" s="2"/>
      <c r="G3" s="2"/>
      <c r="H3" s="2"/>
    </row>
    <row r="4" spans="1:8" ht="14.45" x14ac:dyDescent="0.35">
      <c r="A4" t="s">
        <v>145</v>
      </c>
      <c r="B4" s="166">
        <v>42009</v>
      </c>
      <c r="C4" s="10">
        <v>34</v>
      </c>
      <c r="D4" s="168"/>
      <c r="E4" s="2"/>
      <c r="F4" s="2"/>
      <c r="G4" s="2"/>
      <c r="H4" s="2"/>
    </row>
    <row r="5" spans="1:8" ht="14.45" x14ac:dyDescent="0.35">
      <c r="A5" t="s">
        <v>145</v>
      </c>
      <c r="B5" s="166">
        <v>42010</v>
      </c>
      <c r="C5" s="10">
        <v>34</v>
      </c>
      <c r="D5" s="168"/>
      <c r="E5" s="2"/>
      <c r="F5" s="2"/>
      <c r="G5" s="2"/>
      <c r="H5" s="2"/>
    </row>
    <row r="6" spans="1:8" ht="14.45" x14ac:dyDescent="0.35">
      <c r="A6" t="s">
        <v>145</v>
      </c>
      <c r="B6" s="166">
        <v>42011</v>
      </c>
      <c r="C6" s="10">
        <v>34</v>
      </c>
      <c r="D6" s="168"/>
      <c r="E6" s="2"/>
      <c r="F6" s="2"/>
      <c r="G6" s="2"/>
      <c r="H6" s="2"/>
    </row>
    <row r="7" spans="1:8" ht="14.45" x14ac:dyDescent="0.35">
      <c r="A7" t="s">
        <v>145</v>
      </c>
      <c r="B7" s="166">
        <v>42012</v>
      </c>
      <c r="C7" s="10">
        <v>22</v>
      </c>
      <c r="D7" s="168"/>
      <c r="E7" s="2"/>
      <c r="F7" s="2"/>
      <c r="G7" s="2"/>
      <c r="H7" s="2"/>
    </row>
    <row r="8" spans="1:8" ht="14.45" x14ac:dyDescent="0.35">
      <c r="A8" t="s">
        <v>145</v>
      </c>
      <c r="B8" s="166">
        <v>42013</v>
      </c>
      <c r="C8" s="10">
        <v>22</v>
      </c>
      <c r="D8" s="168"/>
      <c r="E8" s="2"/>
      <c r="F8" s="2"/>
      <c r="G8" s="2"/>
      <c r="H8" s="2"/>
    </row>
    <row r="9" spans="1:8" ht="14.45" x14ac:dyDescent="0.35">
      <c r="A9" t="s">
        <v>145</v>
      </c>
      <c r="B9" s="166">
        <v>42016</v>
      </c>
      <c r="C9" s="10">
        <v>32</v>
      </c>
      <c r="D9" s="168"/>
      <c r="E9" s="2"/>
      <c r="F9" s="2"/>
      <c r="G9" s="2"/>
      <c r="H9" s="2"/>
    </row>
    <row r="10" spans="1:8" ht="14.45" x14ac:dyDescent="0.35">
      <c r="A10" t="s">
        <v>145</v>
      </c>
      <c r="B10" s="166">
        <v>42017</v>
      </c>
      <c r="C10" s="10">
        <v>32</v>
      </c>
      <c r="D10" s="168"/>
      <c r="E10" s="2"/>
      <c r="F10" s="2"/>
      <c r="G10" s="2"/>
      <c r="H10" s="2"/>
    </row>
    <row r="11" spans="1:8" ht="14.45" x14ac:dyDescent="0.35">
      <c r="A11" t="s">
        <v>145</v>
      </c>
      <c r="B11" s="166">
        <v>42018</v>
      </c>
      <c r="C11" s="10">
        <v>31</v>
      </c>
      <c r="D11" s="168"/>
      <c r="E11" s="2"/>
      <c r="F11" s="2"/>
      <c r="G11" s="2"/>
      <c r="H11" s="2"/>
    </row>
    <row r="12" spans="1:8" ht="14.45" x14ac:dyDescent="0.35">
      <c r="A12" t="s">
        <v>145</v>
      </c>
      <c r="B12" s="166">
        <v>42019</v>
      </c>
      <c r="C12" s="10">
        <v>31</v>
      </c>
      <c r="D12" s="168"/>
      <c r="E12" s="2"/>
      <c r="F12" s="2"/>
      <c r="G12" s="2"/>
      <c r="H12" s="2"/>
    </row>
    <row r="13" spans="1:8" ht="14.45" x14ac:dyDescent="0.35">
      <c r="A13" t="s">
        <v>145</v>
      </c>
      <c r="B13" s="166">
        <v>42020</v>
      </c>
      <c r="C13" s="10">
        <v>31</v>
      </c>
      <c r="D13" s="168"/>
      <c r="E13" s="2"/>
      <c r="F13" s="2"/>
      <c r="G13" s="2"/>
      <c r="H13" s="2"/>
    </row>
    <row r="14" spans="1:8" ht="14.45" x14ac:dyDescent="0.35">
      <c r="A14" t="s">
        <v>145</v>
      </c>
      <c r="B14" s="166">
        <v>42023</v>
      </c>
      <c r="C14" s="10">
        <v>31</v>
      </c>
      <c r="D14" s="168"/>
      <c r="E14" s="2"/>
      <c r="F14" s="2"/>
      <c r="G14" s="2"/>
      <c r="H14" s="2"/>
    </row>
    <row r="15" spans="1:8" ht="14.45" x14ac:dyDescent="0.35">
      <c r="A15" t="s">
        <v>145</v>
      </c>
      <c r="B15" s="166">
        <v>42024</v>
      </c>
      <c r="C15" s="10">
        <v>30</v>
      </c>
      <c r="D15" s="168"/>
      <c r="E15" s="2"/>
      <c r="F15" s="2"/>
      <c r="G15" s="2"/>
      <c r="H15" s="2"/>
    </row>
    <row r="16" spans="1:8" x14ac:dyDescent="0.25">
      <c r="A16" t="s">
        <v>145</v>
      </c>
      <c r="B16" s="166">
        <v>42025</v>
      </c>
      <c r="C16" s="10">
        <v>26</v>
      </c>
      <c r="D16" s="168"/>
      <c r="E16" s="2"/>
      <c r="F16" s="2"/>
      <c r="G16" s="2"/>
      <c r="H16" s="2"/>
    </row>
    <row r="17" spans="1:8" x14ac:dyDescent="0.25">
      <c r="A17" t="s">
        <v>145</v>
      </c>
      <c r="B17" s="166">
        <v>42026</v>
      </c>
      <c r="C17" s="10">
        <v>26</v>
      </c>
      <c r="D17" s="168"/>
      <c r="E17" s="2"/>
      <c r="F17" s="2"/>
      <c r="G17" s="2"/>
      <c r="H17" s="2"/>
    </row>
    <row r="18" spans="1:8" x14ac:dyDescent="0.25">
      <c r="A18" t="s">
        <v>145</v>
      </c>
      <c r="B18" s="166">
        <v>42027</v>
      </c>
      <c r="C18" s="10">
        <v>26</v>
      </c>
      <c r="D18" s="168"/>
      <c r="E18" s="2"/>
      <c r="F18" s="2"/>
      <c r="G18" s="2"/>
      <c r="H18" s="2"/>
    </row>
    <row r="19" spans="1:8" x14ac:dyDescent="0.25">
      <c r="A19" t="s">
        <v>145</v>
      </c>
      <c r="B19" s="166">
        <v>42030</v>
      </c>
      <c r="C19" s="10">
        <v>16</v>
      </c>
      <c r="D19" s="168"/>
      <c r="E19" s="2"/>
      <c r="F19" s="2"/>
      <c r="G19" s="2"/>
      <c r="H19" s="2"/>
    </row>
    <row r="20" spans="1:8" x14ac:dyDescent="0.25">
      <c r="A20" t="s">
        <v>145</v>
      </c>
      <c r="B20" s="166">
        <v>42031</v>
      </c>
      <c r="C20" s="10">
        <v>53</v>
      </c>
      <c r="D20" s="168"/>
      <c r="E20" s="2"/>
      <c r="F20" s="2"/>
      <c r="G20" s="2"/>
      <c r="H20" s="2"/>
    </row>
    <row r="21" spans="1:8" x14ac:dyDescent="0.25">
      <c r="A21" t="s">
        <v>145</v>
      </c>
      <c r="B21" s="166">
        <v>42032</v>
      </c>
      <c r="C21" s="10">
        <v>53</v>
      </c>
      <c r="D21" s="168"/>
      <c r="E21" s="2"/>
      <c r="F21" s="2"/>
      <c r="G21" s="2"/>
      <c r="H21" s="2"/>
    </row>
    <row r="22" spans="1:8" x14ac:dyDescent="0.25">
      <c r="A22" t="s">
        <v>145</v>
      </c>
      <c r="B22" s="166">
        <v>42033</v>
      </c>
      <c r="C22" s="10">
        <v>53</v>
      </c>
      <c r="D22" s="168"/>
      <c r="E22" s="2"/>
      <c r="F22" s="2"/>
      <c r="G22" s="2"/>
      <c r="H22" s="2"/>
    </row>
    <row r="23" spans="1:8" x14ac:dyDescent="0.25">
      <c r="A23" t="s">
        <v>145</v>
      </c>
      <c r="B23" s="166">
        <v>42034</v>
      </c>
      <c r="C23" s="10">
        <v>53</v>
      </c>
      <c r="D23" s="168"/>
      <c r="E23" s="2"/>
      <c r="F23" s="2"/>
      <c r="G23" s="2"/>
      <c r="H23" s="2"/>
    </row>
    <row r="24" spans="1:8" x14ac:dyDescent="0.25">
      <c r="A24" t="s">
        <v>145</v>
      </c>
      <c r="B24" s="166">
        <v>42037</v>
      </c>
      <c r="C24" s="10">
        <v>53</v>
      </c>
      <c r="D24" s="168"/>
      <c r="E24" s="2"/>
      <c r="F24" s="2"/>
      <c r="G24" s="2"/>
      <c r="H24" s="2"/>
    </row>
    <row r="25" spans="1:8" x14ac:dyDescent="0.25">
      <c r="A25" t="s">
        <v>145</v>
      </c>
      <c r="B25" s="166">
        <v>42038</v>
      </c>
      <c r="C25" s="10">
        <v>51</v>
      </c>
      <c r="D25" s="168"/>
      <c r="E25" s="2"/>
      <c r="F25" s="2"/>
      <c r="G25" s="2"/>
      <c r="H25" s="2"/>
    </row>
    <row r="26" spans="1:8" x14ac:dyDescent="0.25">
      <c r="A26" t="s">
        <v>145</v>
      </c>
      <c r="B26" s="166">
        <v>42039</v>
      </c>
      <c r="C26" s="10">
        <v>51</v>
      </c>
      <c r="D26" s="168"/>
      <c r="E26" s="2"/>
      <c r="F26" s="2"/>
      <c r="G26" s="2"/>
      <c r="H26" s="2"/>
    </row>
    <row r="27" spans="1:8" x14ac:dyDescent="0.25">
      <c r="A27" t="s">
        <v>145</v>
      </c>
      <c r="B27" s="166">
        <v>42040</v>
      </c>
      <c r="C27" s="10">
        <v>51</v>
      </c>
      <c r="D27" s="168"/>
      <c r="E27" s="2"/>
      <c r="F27" s="2"/>
      <c r="G27" s="2"/>
      <c r="H27" s="2"/>
    </row>
    <row r="28" spans="1:8" x14ac:dyDescent="0.25">
      <c r="A28" t="s">
        <v>145</v>
      </c>
      <c r="B28" s="166">
        <v>42041</v>
      </c>
      <c r="C28" s="10">
        <v>51</v>
      </c>
      <c r="D28" s="168"/>
      <c r="E28" s="2"/>
      <c r="F28" s="2"/>
      <c r="G28" s="2"/>
      <c r="H28" s="2"/>
    </row>
    <row r="29" spans="1:8" x14ac:dyDescent="0.25">
      <c r="A29" t="s">
        <v>145</v>
      </c>
      <c r="B29" s="166">
        <v>42044</v>
      </c>
      <c r="C29" s="10">
        <v>71</v>
      </c>
      <c r="D29" s="168"/>
      <c r="E29" s="2"/>
      <c r="F29" s="2"/>
      <c r="G29" s="2"/>
      <c r="H29" s="2"/>
    </row>
    <row r="30" spans="1:8" x14ac:dyDescent="0.25">
      <c r="A30" t="s">
        <v>145</v>
      </c>
      <c r="B30" s="166">
        <v>42045</v>
      </c>
      <c r="C30" s="10">
        <v>71</v>
      </c>
      <c r="D30" s="168"/>
      <c r="E30" s="2"/>
      <c r="F30" s="2"/>
      <c r="G30" s="2"/>
      <c r="H30" s="2"/>
    </row>
    <row r="31" spans="1:8" x14ac:dyDescent="0.25">
      <c r="A31" t="s">
        <v>145</v>
      </c>
      <c r="B31" s="166">
        <v>42046</v>
      </c>
      <c r="C31" s="10">
        <v>71</v>
      </c>
      <c r="D31" s="168"/>
      <c r="E31" s="2"/>
      <c r="F31" s="2"/>
      <c r="G31" s="2"/>
      <c r="H31" s="2"/>
    </row>
    <row r="32" spans="1:8" x14ac:dyDescent="0.25">
      <c r="A32" t="s">
        <v>145</v>
      </c>
      <c r="B32" s="166">
        <v>42047</v>
      </c>
      <c r="C32" s="10">
        <v>71</v>
      </c>
      <c r="D32" s="168"/>
      <c r="E32" s="2"/>
      <c r="F32" s="2"/>
      <c r="G32" s="2"/>
      <c r="H32" s="2"/>
    </row>
    <row r="33" spans="1:8" x14ac:dyDescent="0.25">
      <c r="A33" t="s">
        <v>145</v>
      </c>
      <c r="B33" s="166">
        <v>42048</v>
      </c>
      <c r="C33" s="10">
        <v>69</v>
      </c>
      <c r="D33" s="168"/>
      <c r="E33" s="2"/>
      <c r="F33" s="2"/>
      <c r="G33" s="2"/>
      <c r="H33" s="2"/>
    </row>
    <row r="34" spans="1:8" x14ac:dyDescent="0.25">
      <c r="A34" t="s">
        <v>145</v>
      </c>
      <c r="B34" s="166">
        <v>42051</v>
      </c>
      <c r="C34" s="10">
        <v>61</v>
      </c>
      <c r="D34" s="168"/>
      <c r="E34" s="2"/>
      <c r="F34" s="2"/>
      <c r="G34" s="2"/>
      <c r="H34" s="2"/>
    </row>
    <row r="35" spans="1:8" x14ac:dyDescent="0.25">
      <c r="A35" t="s">
        <v>145</v>
      </c>
      <c r="B35" s="166">
        <v>42052</v>
      </c>
      <c r="C35" s="10">
        <v>59</v>
      </c>
      <c r="D35" s="168"/>
      <c r="E35" s="2"/>
      <c r="F35" s="2"/>
      <c r="G35" s="2"/>
      <c r="H35" s="2"/>
    </row>
    <row r="36" spans="1:8" x14ac:dyDescent="0.25">
      <c r="A36" t="s">
        <v>145</v>
      </c>
      <c r="B36" s="166">
        <v>42053</v>
      </c>
      <c r="C36" s="10">
        <v>59</v>
      </c>
      <c r="D36" s="168"/>
      <c r="E36" s="2"/>
      <c r="F36" s="2"/>
      <c r="G36" s="2"/>
      <c r="H36" s="2"/>
    </row>
    <row r="37" spans="1:8" x14ac:dyDescent="0.25">
      <c r="A37" t="s">
        <v>145</v>
      </c>
      <c r="B37" s="166">
        <v>42054</v>
      </c>
      <c r="C37" s="10">
        <v>59</v>
      </c>
      <c r="D37" s="168"/>
      <c r="E37" s="2"/>
      <c r="F37" s="2"/>
      <c r="G37" s="2"/>
      <c r="H37" s="2"/>
    </row>
    <row r="38" spans="1:8" x14ac:dyDescent="0.25">
      <c r="A38" t="s">
        <v>145</v>
      </c>
      <c r="B38" s="166">
        <v>42055</v>
      </c>
      <c r="C38" s="10">
        <v>59</v>
      </c>
      <c r="D38" s="168"/>
      <c r="E38" s="2"/>
      <c r="F38" s="2"/>
      <c r="G38" s="2"/>
      <c r="H38" s="2"/>
    </row>
    <row r="39" spans="1:8" x14ac:dyDescent="0.25">
      <c r="A39" t="s">
        <v>145</v>
      </c>
      <c r="B39" s="166">
        <v>42058</v>
      </c>
      <c r="C39" s="10">
        <v>59</v>
      </c>
      <c r="D39" s="168"/>
      <c r="E39" s="2"/>
      <c r="F39" s="2"/>
      <c r="G39" s="2"/>
      <c r="H39" s="2"/>
    </row>
    <row r="40" spans="1:8" x14ac:dyDescent="0.25">
      <c r="A40" t="s">
        <v>145</v>
      </c>
      <c r="B40" s="166">
        <v>42059</v>
      </c>
      <c r="C40" s="10">
        <v>44</v>
      </c>
      <c r="D40" s="168"/>
      <c r="E40" s="2"/>
      <c r="F40" s="2"/>
      <c r="G40" s="2"/>
      <c r="H40" s="2"/>
    </row>
    <row r="41" spans="1:8" x14ac:dyDescent="0.25">
      <c r="A41" t="s">
        <v>145</v>
      </c>
      <c r="B41" s="166">
        <v>42060</v>
      </c>
      <c r="C41" s="10">
        <v>44</v>
      </c>
      <c r="D41" s="168"/>
      <c r="E41" s="2"/>
      <c r="F41" s="2"/>
      <c r="G41" s="2"/>
      <c r="H41" s="2"/>
    </row>
    <row r="42" spans="1:8" x14ac:dyDescent="0.25">
      <c r="A42" t="s">
        <v>145</v>
      </c>
      <c r="B42" s="166">
        <v>42061</v>
      </c>
      <c r="C42" s="10">
        <v>44</v>
      </c>
      <c r="D42" s="168"/>
      <c r="E42" s="2"/>
      <c r="F42" s="2"/>
      <c r="G42" s="2"/>
      <c r="H42" s="2"/>
    </row>
    <row r="43" spans="1:8" x14ac:dyDescent="0.25">
      <c r="A43" t="s">
        <v>145</v>
      </c>
      <c r="B43" s="166">
        <v>42062</v>
      </c>
      <c r="C43" s="10">
        <v>44</v>
      </c>
      <c r="D43" s="168"/>
      <c r="E43" s="2"/>
      <c r="F43" s="2"/>
      <c r="G43" s="2"/>
      <c r="H43" s="2"/>
    </row>
    <row r="44" spans="1:8" x14ac:dyDescent="0.25">
      <c r="A44" t="s">
        <v>145</v>
      </c>
      <c r="B44" s="166">
        <v>42065</v>
      </c>
      <c r="C44" s="10">
        <v>44</v>
      </c>
      <c r="D44" s="168"/>
      <c r="E44" s="2"/>
      <c r="F44" s="2"/>
      <c r="G44" s="2"/>
      <c r="H44" s="2"/>
    </row>
    <row r="45" spans="1:8" x14ac:dyDescent="0.25">
      <c r="A45" t="s">
        <v>145</v>
      </c>
      <c r="B45" s="166">
        <v>42066</v>
      </c>
      <c r="C45" s="10">
        <v>44</v>
      </c>
      <c r="D45" s="168"/>
      <c r="E45" s="2"/>
      <c r="F45" s="2"/>
      <c r="G45" s="2"/>
      <c r="H45" s="2"/>
    </row>
    <row r="46" spans="1:8" x14ac:dyDescent="0.25">
      <c r="A46" t="s">
        <v>145</v>
      </c>
      <c r="B46" s="166">
        <v>42067</v>
      </c>
      <c r="C46" s="10">
        <v>43</v>
      </c>
      <c r="D46" s="168"/>
      <c r="E46" s="2"/>
      <c r="F46" s="2"/>
      <c r="G46" s="2"/>
      <c r="H46" s="2"/>
    </row>
    <row r="47" spans="1:8" x14ac:dyDescent="0.25">
      <c r="A47" t="s">
        <v>145</v>
      </c>
      <c r="B47" s="166">
        <v>42068</v>
      </c>
      <c r="C47" s="10">
        <v>43</v>
      </c>
      <c r="D47" s="168"/>
      <c r="E47" s="2"/>
      <c r="F47" s="2"/>
      <c r="G47" s="2"/>
      <c r="H47" s="2"/>
    </row>
    <row r="48" spans="1:8" x14ac:dyDescent="0.25">
      <c r="A48" t="s">
        <v>145</v>
      </c>
      <c r="B48" s="166">
        <v>42069</v>
      </c>
      <c r="C48" s="10">
        <v>41</v>
      </c>
      <c r="D48" s="168"/>
      <c r="E48" s="2"/>
      <c r="F48" s="2"/>
      <c r="G48" s="2"/>
      <c r="H48" s="2"/>
    </row>
    <row r="49" spans="1:8" x14ac:dyDescent="0.25">
      <c r="A49" t="s">
        <v>145</v>
      </c>
      <c r="B49" s="166">
        <v>42072</v>
      </c>
      <c r="C49" s="10">
        <v>54</v>
      </c>
      <c r="D49" s="168"/>
      <c r="E49" s="2"/>
      <c r="F49" s="2"/>
      <c r="G49" s="2"/>
      <c r="H49" s="2"/>
    </row>
    <row r="50" spans="1:8" x14ac:dyDescent="0.25">
      <c r="A50" t="s">
        <v>145</v>
      </c>
      <c r="B50" s="166">
        <v>42073</v>
      </c>
      <c r="C50" s="10">
        <v>53</v>
      </c>
      <c r="D50" s="168"/>
      <c r="E50" s="2"/>
      <c r="F50" s="2"/>
      <c r="G50" s="2"/>
      <c r="H50" s="2"/>
    </row>
    <row r="51" spans="1:8" x14ac:dyDescent="0.25">
      <c r="A51" t="s">
        <v>145</v>
      </c>
      <c r="B51" s="166">
        <v>42074</v>
      </c>
      <c r="C51" s="10">
        <v>47</v>
      </c>
      <c r="D51" s="168"/>
      <c r="E51" s="2"/>
      <c r="F51" s="2"/>
      <c r="G51" s="2"/>
      <c r="H51" s="2"/>
    </row>
    <row r="52" spans="1:8" x14ac:dyDescent="0.25">
      <c r="A52" t="s">
        <v>145</v>
      </c>
      <c r="B52" s="166">
        <v>42075</v>
      </c>
      <c r="C52" s="10">
        <v>47</v>
      </c>
      <c r="D52" s="168"/>
      <c r="E52" s="2"/>
      <c r="F52" s="2"/>
      <c r="G52" s="2"/>
      <c r="H52" s="2"/>
    </row>
    <row r="53" spans="1:8" x14ac:dyDescent="0.25">
      <c r="A53" t="s">
        <v>145</v>
      </c>
      <c r="B53" s="166">
        <v>42076</v>
      </c>
      <c r="C53" s="10">
        <v>47</v>
      </c>
      <c r="D53" s="168"/>
      <c r="E53" s="2"/>
      <c r="F53" s="2"/>
      <c r="G53" s="2"/>
      <c r="H53" s="2"/>
    </row>
    <row r="54" spans="1:8" x14ac:dyDescent="0.25">
      <c r="A54" t="s">
        <v>145</v>
      </c>
      <c r="B54" s="166">
        <v>42079</v>
      </c>
      <c r="C54" s="10">
        <v>51</v>
      </c>
      <c r="D54" s="168"/>
      <c r="E54" s="2"/>
      <c r="F54" s="2"/>
      <c r="G54" s="2"/>
      <c r="H54" s="2"/>
    </row>
    <row r="55" spans="1:8" x14ac:dyDescent="0.25">
      <c r="A55" t="s">
        <v>145</v>
      </c>
      <c r="B55" s="166">
        <v>42080</v>
      </c>
      <c r="C55" s="10">
        <v>51</v>
      </c>
      <c r="D55" s="168"/>
      <c r="E55" s="2"/>
      <c r="F55" s="2"/>
      <c r="G55" s="2"/>
      <c r="H55" s="2"/>
    </row>
    <row r="56" spans="1:8" x14ac:dyDescent="0.25">
      <c r="A56" t="s">
        <v>145</v>
      </c>
      <c r="B56" s="166">
        <v>42081</v>
      </c>
      <c r="C56" s="10">
        <v>41</v>
      </c>
      <c r="D56" s="2"/>
      <c r="E56" s="2"/>
      <c r="F56" s="2"/>
      <c r="G56" s="2"/>
      <c r="H56" s="2"/>
    </row>
    <row r="57" spans="1:8" x14ac:dyDescent="0.25">
      <c r="A57" t="s">
        <v>145</v>
      </c>
      <c r="B57" s="166">
        <v>42082</v>
      </c>
      <c r="C57" s="10">
        <v>38</v>
      </c>
      <c r="D57" s="2"/>
      <c r="E57" s="2"/>
      <c r="F57" s="2"/>
      <c r="G57" s="2"/>
      <c r="H57" s="2"/>
    </row>
    <row r="58" spans="1:8" x14ac:dyDescent="0.25">
      <c r="A58" t="s">
        <v>145</v>
      </c>
      <c r="B58" s="166">
        <v>42083</v>
      </c>
      <c r="C58" s="10">
        <v>38</v>
      </c>
      <c r="D58" s="2"/>
      <c r="E58" s="2"/>
      <c r="F58" s="2"/>
      <c r="G58" s="2"/>
      <c r="H58" s="2"/>
    </row>
    <row r="59" spans="1:8" x14ac:dyDescent="0.25">
      <c r="A59" t="s">
        <v>145</v>
      </c>
      <c r="B59" s="166">
        <v>42086</v>
      </c>
      <c r="C59" s="10">
        <v>58</v>
      </c>
      <c r="D59" s="2"/>
      <c r="E59" s="2"/>
      <c r="F59" s="2"/>
      <c r="G59" s="2"/>
      <c r="H59" s="2"/>
    </row>
    <row r="60" spans="1:8" x14ac:dyDescent="0.25">
      <c r="A60" t="s">
        <v>145</v>
      </c>
      <c r="B60" s="166">
        <v>42087</v>
      </c>
      <c r="C60" s="10">
        <v>56</v>
      </c>
      <c r="D60" s="2"/>
      <c r="E60" s="2"/>
      <c r="F60" s="2"/>
      <c r="G60" s="2"/>
      <c r="H60" s="2"/>
    </row>
    <row r="61" spans="1:8" x14ac:dyDescent="0.25">
      <c r="A61" t="s">
        <v>145</v>
      </c>
      <c r="B61" s="166">
        <v>42088</v>
      </c>
      <c r="C61" s="10">
        <v>56</v>
      </c>
      <c r="D61" s="2"/>
      <c r="E61" s="2"/>
      <c r="F61" s="2"/>
      <c r="G61" s="2"/>
      <c r="H61" s="2"/>
    </row>
    <row r="62" spans="1:8" x14ac:dyDescent="0.25">
      <c r="A62" t="s">
        <v>145</v>
      </c>
      <c r="B62" s="166">
        <v>42089</v>
      </c>
      <c r="C62" s="10">
        <v>50</v>
      </c>
      <c r="D62" s="168"/>
      <c r="E62" s="2"/>
      <c r="F62" s="2"/>
      <c r="G62" s="2"/>
      <c r="H62" s="2"/>
    </row>
    <row r="63" spans="1:8" x14ac:dyDescent="0.25">
      <c r="A63" t="s">
        <v>145</v>
      </c>
      <c r="B63" s="166">
        <v>42090</v>
      </c>
      <c r="C63" s="10">
        <v>50</v>
      </c>
      <c r="D63" s="168"/>
      <c r="E63" s="2"/>
      <c r="F63" s="2"/>
      <c r="G63" s="2"/>
      <c r="H63" s="2"/>
    </row>
    <row r="64" spans="1:8" x14ac:dyDescent="0.25">
      <c r="A64" t="s">
        <v>145</v>
      </c>
      <c r="B64" s="166">
        <v>42093</v>
      </c>
      <c r="C64" s="10">
        <v>121</v>
      </c>
      <c r="D64" s="168"/>
      <c r="E64" s="2"/>
      <c r="F64" s="2"/>
      <c r="G64" s="2"/>
      <c r="H64" s="2"/>
    </row>
    <row r="65" spans="1:8" x14ac:dyDescent="0.25">
      <c r="A65" t="s">
        <v>145</v>
      </c>
      <c r="B65" s="166">
        <v>42094</v>
      </c>
      <c r="C65" s="10">
        <v>87</v>
      </c>
      <c r="D65" s="168"/>
      <c r="E65" s="2"/>
      <c r="F65" s="2"/>
      <c r="G65" s="2"/>
      <c r="H65" s="2"/>
    </row>
    <row r="66" spans="1:8" x14ac:dyDescent="0.25">
      <c r="A66" t="s">
        <v>145</v>
      </c>
      <c r="B66" s="166">
        <v>42095</v>
      </c>
      <c r="C66" s="10">
        <v>85</v>
      </c>
      <c r="E66" s="2"/>
      <c r="F66" s="2"/>
      <c r="G66" s="2"/>
      <c r="H66" s="2"/>
    </row>
    <row r="67" spans="1:8" x14ac:dyDescent="0.25">
      <c r="A67" t="s">
        <v>145</v>
      </c>
      <c r="B67" s="166">
        <v>42096</v>
      </c>
      <c r="C67" s="10">
        <v>85</v>
      </c>
      <c r="E67" s="2"/>
      <c r="F67" s="2"/>
      <c r="G67" s="2"/>
      <c r="H67" s="2"/>
    </row>
    <row r="68" spans="1:8" x14ac:dyDescent="0.25">
      <c r="A68" t="s">
        <v>145</v>
      </c>
      <c r="B68" s="166">
        <v>42097</v>
      </c>
      <c r="C68" s="10">
        <v>85</v>
      </c>
      <c r="E68" s="2"/>
      <c r="F68" s="2"/>
      <c r="G68" s="2"/>
      <c r="H68" s="2"/>
    </row>
    <row r="69" spans="1:8" x14ac:dyDescent="0.25">
      <c r="A69" t="s">
        <v>145</v>
      </c>
      <c r="B69" s="166">
        <v>42101</v>
      </c>
      <c r="C69" s="10">
        <v>97</v>
      </c>
      <c r="E69" s="2"/>
      <c r="F69" s="2"/>
      <c r="G69" s="2"/>
      <c r="H69" s="2"/>
    </row>
    <row r="70" spans="1:8" x14ac:dyDescent="0.25">
      <c r="A70" t="s">
        <v>145</v>
      </c>
      <c r="B70" s="166">
        <v>42102</v>
      </c>
      <c r="C70" s="10">
        <v>97</v>
      </c>
      <c r="E70" s="2"/>
      <c r="F70" s="2"/>
      <c r="G70" s="2"/>
      <c r="H70" s="2"/>
    </row>
    <row r="71" spans="1:8" x14ac:dyDescent="0.25">
      <c r="A71" t="s">
        <v>145</v>
      </c>
      <c r="B71" s="166">
        <v>42103</v>
      </c>
      <c r="C71" s="10">
        <v>96</v>
      </c>
      <c r="E71" s="2"/>
      <c r="F71" s="2"/>
      <c r="G71" s="2"/>
      <c r="H71" s="2"/>
    </row>
    <row r="72" spans="1:8" x14ac:dyDescent="0.25">
      <c r="A72" t="s">
        <v>145</v>
      </c>
      <c r="B72" s="166">
        <v>42104</v>
      </c>
      <c r="C72" s="10">
        <v>96</v>
      </c>
      <c r="E72" s="2"/>
      <c r="F72" s="2"/>
      <c r="G72" s="2"/>
      <c r="H72" s="2"/>
    </row>
    <row r="73" spans="1:8" x14ac:dyDescent="0.25">
      <c r="A73" t="s">
        <v>145</v>
      </c>
      <c r="B73" s="166">
        <v>42107</v>
      </c>
      <c r="C73" s="10">
        <v>95</v>
      </c>
      <c r="E73" s="2"/>
      <c r="F73" s="2"/>
      <c r="G73" s="2"/>
      <c r="H73" s="2"/>
    </row>
    <row r="74" spans="1:8" x14ac:dyDescent="0.25">
      <c r="A74" t="s">
        <v>145</v>
      </c>
      <c r="B74" s="166">
        <v>42108</v>
      </c>
      <c r="C74" s="10">
        <v>93</v>
      </c>
      <c r="E74" s="2"/>
      <c r="F74" s="2"/>
      <c r="G74" s="2"/>
      <c r="H74" s="2"/>
    </row>
    <row r="75" spans="1:8" x14ac:dyDescent="0.25">
      <c r="A75" t="s">
        <v>145</v>
      </c>
      <c r="B75" s="166">
        <v>42109</v>
      </c>
      <c r="C75" s="10">
        <v>93</v>
      </c>
      <c r="E75" s="2"/>
      <c r="F75" s="2"/>
      <c r="G75" s="2"/>
      <c r="H75" s="2"/>
    </row>
    <row r="76" spans="1:8" x14ac:dyDescent="0.25">
      <c r="A76" t="s">
        <v>145</v>
      </c>
      <c r="B76" s="166">
        <v>42110</v>
      </c>
      <c r="C76" s="10">
        <v>89</v>
      </c>
      <c r="E76" s="2"/>
      <c r="F76" s="2"/>
      <c r="G76" s="2"/>
      <c r="H76" s="2"/>
    </row>
    <row r="77" spans="1:8" x14ac:dyDescent="0.25">
      <c r="A77" t="s">
        <v>145</v>
      </c>
      <c r="B77" s="166">
        <v>42111</v>
      </c>
      <c r="C77" s="10">
        <v>84</v>
      </c>
      <c r="E77" s="2"/>
      <c r="F77" s="2"/>
      <c r="G77" s="2"/>
      <c r="H77" s="2"/>
    </row>
    <row r="78" spans="1:8" x14ac:dyDescent="0.25">
      <c r="A78" t="s">
        <v>145</v>
      </c>
      <c r="B78" s="166">
        <v>42114</v>
      </c>
      <c r="C78" s="10">
        <v>94</v>
      </c>
      <c r="E78" s="2"/>
      <c r="F78" s="2"/>
      <c r="G78" s="2"/>
      <c r="H78" s="2"/>
    </row>
    <row r="79" spans="1:8" x14ac:dyDescent="0.25">
      <c r="A79" t="s">
        <v>145</v>
      </c>
      <c r="B79" s="166">
        <v>42115</v>
      </c>
      <c r="C79" s="10">
        <v>94</v>
      </c>
      <c r="E79" s="2"/>
      <c r="F79" s="2"/>
      <c r="G79" s="2"/>
      <c r="H79" s="2"/>
    </row>
    <row r="80" spans="1:8" x14ac:dyDescent="0.25">
      <c r="A80" t="s">
        <v>145</v>
      </c>
      <c r="B80" s="166">
        <v>42116</v>
      </c>
      <c r="C80" s="10">
        <v>94</v>
      </c>
      <c r="E80" s="2"/>
      <c r="F80" s="2"/>
      <c r="G80" s="2"/>
      <c r="H80" s="2"/>
    </row>
    <row r="81" spans="1:8" x14ac:dyDescent="0.25">
      <c r="A81" t="s">
        <v>145</v>
      </c>
      <c r="B81" s="166">
        <v>42117</v>
      </c>
      <c r="C81" s="10">
        <v>93</v>
      </c>
      <c r="E81" s="2"/>
      <c r="F81" s="2"/>
      <c r="G81" s="2"/>
      <c r="H81" s="2"/>
    </row>
    <row r="82" spans="1:8" x14ac:dyDescent="0.25">
      <c r="A82" t="s">
        <v>145</v>
      </c>
      <c r="B82" s="166">
        <v>42118</v>
      </c>
      <c r="C82" s="10">
        <v>74</v>
      </c>
      <c r="D82" s="168"/>
      <c r="E82" s="2"/>
      <c r="F82" s="2"/>
      <c r="G82" s="2"/>
      <c r="H82" s="2"/>
    </row>
    <row r="83" spans="1:8" x14ac:dyDescent="0.25">
      <c r="A83" t="s">
        <v>145</v>
      </c>
      <c r="B83" s="166">
        <v>42121</v>
      </c>
      <c r="C83" s="10">
        <v>124</v>
      </c>
      <c r="D83" s="168"/>
      <c r="E83" s="2"/>
      <c r="F83" s="2"/>
      <c r="G83" s="2"/>
      <c r="H83" s="2"/>
    </row>
    <row r="84" spans="1:8" x14ac:dyDescent="0.25">
      <c r="A84" t="s">
        <v>145</v>
      </c>
      <c r="B84" s="166">
        <v>42122</v>
      </c>
      <c r="C84" s="10">
        <v>116</v>
      </c>
      <c r="D84" s="168"/>
      <c r="E84" s="2"/>
      <c r="F84" s="2"/>
      <c r="G84" s="2"/>
      <c r="H84" s="2"/>
    </row>
    <row r="85" spans="1:8" x14ac:dyDescent="0.25">
      <c r="A85" t="s">
        <v>145</v>
      </c>
      <c r="B85" s="166">
        <v>42123</v>
      </c>
      <c r="C85" s="10">
        <v>113</v>
      </c>
      <c r="D85" s="168"/>
      <c r="E85" s="2"/>
      <c r="F85" s="2"/>
      <c r="G85" s="2"/>
      <c r="H85" s="2"/>
    </row>
    <row r="86" spans="1:8" x14ac:dyDescent="0.25">
      <c r="A86" t="s">
        <v>145</v>
      </c>
      <c r="B86" s="166">
        <v>42124</v>
      </c>
      <c r="C86" s="10">
        <v>112</v>
      </c>
      <c r="D86" s="168"/>
      <c r="E86" s="2"/>
      <c r="F86" s="2"/>
      <c r="G86" s="2"/>
      <c r="H86" s="2"/>
    </row>
    <row r="87" spans="1:8" x14ac:dyDescent="0.25">
      <c r="A87" t="s">
        <v>145</v>
      </c>
      <c r="B87" s="166">
        <v>42128</v>
      </c>
      <c r="C87" s="10">
        <v>86</v>
      </c>
      <c r="D87" s="168"/>
      <c r="E87" s="2"/>
      <c r="F87" s="2"/>
      <c r="G87" s="2"/>
      <c r="H87" s="2"/>
    </row>
    <row r="88" spans="1:8" x14ac:dyDescent="0.25">
      <c r="A88" t="s">
        <v>145</v>
      </c>
      <c r="B88" s="166">
        <v>42129</v>
      </c>
      <c r="C88" s="10">
        <v>89</v>
      </c>
      <c r="E88" s="2"/>
      <c r="F88" s="2"/>
      <c r="G88" s="2"/>
      <c r="H88" s="2"/>
    </row>
    <row r="89" spans="1:8" x14ac:dyDescent="0.25">
      <c r="A89" t="s">
        <v>145</v>
      </c>
      <c r="B89" s="166">
        <v>42130</v>
      </c>
      <c r="C89" s="10">
        <v>89</v>
      </c>
      <c r="E89" s="2"/>
      <c r="F89" s="2"/>
      <c r="G89" s="2"/>
      <c r="H89" s="2"/>
    </row>
    <row r="90" spans="1:8" x14ac:dyDescent="0.25">
      <c r="A90" t="s">
        <v>145</v>
      </c>
      <c r="B90" s="166">
        <v>42131</v>
      </c>
      <c r="C90" s="10">
        <v>79</v>
      </c>
      <c r="E90" s="2"/>
      <c r="F90" s="2"/>
      <c r="G90" s="2"/>
      <c r="H90" s="2"/>
    </row>
    <row r="91" spans="1:8" x14ac:dyDescent="0.25">
      <c r="A91" t="s">
        <v>145</v>
      </c>
      <c r="B91" s="166">
        <v>42135</v>
      </c>
      <c r="C91" s="10">
        <v>78</v>
      </c>
      <c r="E91" s="2"/>
      <c r="F91" s="2"/>
      <c r="G91" s="2"/>
      <c r="H91" s="2"/>
    </row>
    <row r="92" spans="1:8" x14ac:dyDescent="0.25">
      <c r="A92" t="s">
        <v>145</v>
      </c>
      <c r="B92" s="166">
        <v>42136</v>
      </c>
      <c r="C92" s="10">
        <v>98</v>
      </c>
      <c r="E92" s="2"/>
      <c r="F92" s="2"/>
      <c r="G92" s="2"/>
      <c r="H92" s="2"/>
    </row>
    <row r="93" spans="1:8" x14ac:dyDescent="0.25">
      <c r="A93" t="s">
        <v>145</v>
      </c>
      <c r="B93" s="166">
        <v>42137</v>
      </c>
      <c r="C93" s="10">
        <v>73</v>
      </c>
      <c r="E93" s="2"/>
      <c r="F93" s="2"/>
      <c r="G93" s="2"/>
      <c r="H93" s="2"/>
    </row>
    <row r="94" spans="1:8" x14ac:dyDescent="0.25">
      <c r="A94" t="s">
        <v>145</v>
      </c>
      <c r="B94" s="166">
        <v>42139</v>
      </c>
      <c r="C94" s="10">
        <v>67</v>
      </c>
      <c r="E94" s="2"/>
      <c r="F94" s="2"/>
      <c r="G94" s="2"/>
      <c r="H94" s="2"/>
    </row>
    <row r="95" spans="1:8" x14ac:dyDescent="0.25">
      <c r="A95" t="s">
        <v>145</v>
      </c>
      <c r="B95" s="166">
        <v>42142</v>
      </c>
      <c r="C95" s="10">
        <v>67</v>
      </c>
      <c r="E95" s="2"/>
      <c r="F95" s="2"/>
      <c r="G95" s="2"/>
      <c r="H95" s="2"/>
    </row>
    <row r="96" spans="1:8" x14ac:dyDescent="0.25">
      <c r="A96" t="s">
        <v>145</v>
      </c>
      <c r="B96" s="166">
        <v>42143</v>
      </c>
      <c r="C96" s="10">
        <v>108</v>
      </c>
      <c r="E96" s="2"/>
      <c r="F96" s="2"/>
      <c r="G96" s="2"/>
      <c r="H96" s="2"/>
    </row>
    <row r="97" spans="1:8" x14ac:dyDescent="0.25">
      <c r="A97" t="s">
        <v>145</v>
      </c>
      <c r="B97" s="166">
        <v>42144</v>
      </c>
      <c r="C97" s="10">
        <v>108</v>
      </c>
      <c r="E97" s="2"/>
      <c r="F97" s="2"/>
      <c r="G97" s="2"/>
      <c r="H97" s="2"/>
    </row>
    <row r="98" spans="1:8" x14ac:dyDescent="0.25">
      <c r="A98" t="s">
        <v>145</v>
      </c>
      <c r="B98" s="166">
        <v>42145</v>
      </c>
      <c r="C98" s="10">
        <v>108</v>
      </c>
      <c r="E98" s="2"/>
      <c r="F98" s="2"/>
      <c r="G98" s="2"/>
      <c r="H98" s="2"/>
    </row>
    <row r="99" spans="1:8" x14ac:dyDescent="0.25">
      <c r="A99" t="s">
        <v>145</v>
      </c>
      <c r="B99" s="166">
        <v>42146</v>
      </c>
      <c r="C99" s="10">
        <v>107</v>
      </c>
      <c r="E99" s="2"/>
      <c r="F99" s="2"/>
      <c r="G99" s="2"/>
      <c r="H99" s="2"/>
    </row>
    <row r="100" spans="1:8" x14ac:dyDescent="0.25">
      <c r="A100" t="s">
        <v>145</v>
      </c>
      <c r="B100" s="166">
        <v>42149</v>
      </c>
      <c r="C100" s="10">
        <v>107</v>
      </c>
      <c r="D100" s="2"/>
      <c r="E100" s="2"/>
      <c r="F100" s="2"/>
      <c r="G100" s="2"/>
      <c r="H100" s="2"/>
    </row>
    <row r="101" spans="1:8" x14ac:dyDescent="0.25">
      <c r="A101" t="s">
        <v>145</v>
      </c>
      <c r="B101" s="166">
        <v>42150</v>
      </c>
      <c r="C101" s="10">
        <v>107</v>
      </c>
      <c r="D101" s="2"/>
      <c r="E101" s="2"/>
      <c r="F101" s="2"/>
      <c r="G101" s="2"/>
      <c r="H101" s="2"/>
    </row>
    <row r="102" spans="1:8" x14ac:dyDescent="0.25">
      <c r="A102" t="s">
        <v>145</v>
      </c>
      <c r="B102" s="166">
        <v>42151</v>
      </c>
      <c r="C102" s="10">
        <v>102</v>
      </c>
      <c r="D102" s="2"/>
      <c r="E102" s="2"/>
      <c r="F102" s="2"/>
      <c r="G102" s="2"/>
      <c r="H102" s="2"/>
    </row>
    <row r="103" spans="1:8" x14ac:dyDescent="0.25">
      <c r="A103" t="s">
        <v>145</v>
      </c>
      <c r="B103" s="166">
        <v>42152</v>
      </c>
      <c r="C103" s="10">
        <v>102</v>
      </c>
      <c r="D103" s="2"/>
      <c r="E103" s="2"/>
      <c r="F103" s="2"/>
      <c r="G103" s="2"/>
      <c r="H103" s="2"/>
    </row>
    <row r="104" spans="1:8" x14ac:dyDescent="0.25">
      <c r="A104" t="s">
        <v>145</v>
      </c>
      <c r="B104" s="166">
        <v>42153</v>
      </c>
      <c r="C104" s="10">
        <v>100</v>
      </c>
      <c r="D104" s="168"/>
      <c r="E104" s="2"/>
      <c r="F104" s="2"/>
      <c r="G104" s="2"/>
      <c r="H104" s="2"/>
    </row>
    <row r="105" spans="1:8" x14ac:dyDescent="0.25">
      <c r="A105" t="s">
        <v>145</v>
      </c>
      <c r="B105" s="166">
        <v>42156</v>
      </c>
      <c r="C105" s="10">
        <v>114</v>
      </c>
      <c r="D105" s="168"/>
      <c r="E105" s="2"/>
      <c r="F105" s="2"/>
      <c r="G105" s="2"/>
      <c r="H105" s="2"/>
    </row>
    <row r="106" spans="1:8" x14ac:dyDescent="0.25">
      <c r="A106" t="s">
        <v>145</v>
      </c>
      <c r="B106" s="166">
        <v>42157</v>
      </c>
      <c r="C106" s="10">
        <v>114</v>
      </c>
      <c r="E106" s="2"/>
      <c r="F106" s="2"/>
      <c r="G106" s="2"/>
      <c r="H106" s="2"/>
    </row>
    <row r="107" spans="1:8" x14ac:dyDescent="0.25">
      <c r="A107" t="s">
        <v>145</v>
      </c>
      <c r="B107" s="166">
        <v>42158</v>
      </c>
      <c r="C107" s="10">
        <v>114</v>
      </c>
      <c r="E107" s="2"/>
      <c r="F107" s="2"/>
      <c r="G107" s="2"/>
      <c r="H107" s="2"/>
    </row>
    <row r="108" spans="1:8" x14ac:dyDescent="0.25">
      <c r="A108" t="s">
        <v>145</v>
      </c>
      <c r="B108" s="166">
        <v>42159</v>
      </c>
      <c r="C108" s="10">
        <v>96</v>
      </c>
      <c r="E108" s="2"/>
      <c r="F108" s="2"/>
      <c r="G108" s="2"/>
      <c r="H108" s="2"/>
    </row>
    <row r="109" spans="1:8" x14ac:dyDescent="0.25">
      <c r="A109" t="s">
        <v>145</v>
      </c>
      <c r="B109" s="166">
        <v>42160</v>
      </c>
      <c r="C109" s="10">
        <v>95</v>
      </c>
      <c r="E109" s="2"/>
      <c r="F109" s="2"/>
      <c r="G109" s="2"/>
      <c r="H109" s="2"/>
    </row>
    <row r="110" spans="1:8" x14ac:dyDescent="0.25">
      <c r="A110" t="s">
        <v>145</v>
      </c>
      <c r="B110" s="166">
        <v>42163</v>
      </c>
      <c r="C110" s="10">
        <v>95</v>
      </c>
      <c r="E110" s="2"/>
      <c r="F110" s="2"/>
      <c r="G110" s="2"/>
      <c r="H110" s="2"/>
    </row>
    <row r="111" spans="1:8" x14ac:dyDescent="0.25">
      <c r="A111" t="s">
        <v>145</v>
      </c>
      <c r="B111" s="166">
        <v>42164</v>
      </c>
      <c r="C111" s="10">
        <v>92</v>
      </c>
      <c r="E111" s="2"/>
      <c r="F111" s="2"/>
      <c r="G111" s="2"/>
      <c r="H111" s="2"/>
    </row>
    <row r="112" spans="1:8" x14ac:dyDescent="0.25">
      <c r="A112" t="s">
        <v>145</v>
      </c>
      <c r="B112" s="166">
        <v>42165</v>
      </c>
      <c r="C112" s="10">
        <v>90</v>
      </c>
      <c r="E112" s="2"/>
      <c r="F112" s="2"/>
      <c r="G112" s="2"/>
      <c r="H112" s="2"/>
    </row>
    <row r="113" spans="1:8" x14ac:dyDescent="0.25">
      <c r="A113" t="s">
        <v>145</v>
      </c>
      <c r="B113" s="166">
        <v>42166</v>
      </c>
      <c r="C113" s="10">
        <v>90</v>
      </c>
      <c r="E113" s="2"/>
      <c r="F113" s="2"/>
      <c r="G113" s="2"/>
      <c r="H113" s="2"/>
    </row>
    <row r="114" spans="1:8" x14ac:dyDescent="0.25">
      <c r="A114" t="s">
        <v>145</v>
      </c>
      <c r="B114" s="166">
        <v>42167</v>
      </c>
      <c r="C114" s="10">
        <v>88</v>
      </c>
      <c r="E114" s="2"/>
      <c r="F114" s="2"/>
      <c r="G114" s="2"/>
      <c r="H114" s="2"/>
    </row>
    <row r="115" spans="1:8" x14ac:dyDescent="0.25">
      <c r="A115" t="s">
        <v>145</v>
      </c>
      <c r="B115" s="166">
        <v>42170</v>
      </c>
      <c r="C115" s="10">
        <v>94</v>
      </c>
      <c r="E115" s="2"/>
      <c r="F115" s="2"/>
      <c r="G115" s="2"/>
      <c r="H115" s="2"/>
    </row>
    <row r="116" spans="1:8" x14ac:dyDescent="0.25">
      <c r="A116" t="s">
        <v>145</v>
      </c>
      <c r="B116" s="166">
        <v>42171</v>
      </c>
      <c r="C116" s="10">
        <v>94</v>
      </c>
      <c r="D116" s="2"/>
      <c r="E116" s="2"/>
      <c r="F116" s="2"/>
      <c r="G116" s="2"/>
      <c r="H116" s="2"/>
    </row>
    <row r="117" spans="1:8" x14ac:dyDescent="0.25">
      <c r="A117" t="s">
        <v>145</v>
      </c>
      <c r="B117" s="166">
        <v>42172</v>
      </c>
      <c r="C117" s="10">
        <v>80</v>
      </c>
      <c r="D117" s="2"/>
      <c r="E117" s="2"/>
      <c r="F117" s="2"/>
      <c r="G117" s="2"/>
      <c r="H117" s="2"/>
    </row>
    <row r="118" spans="1:8" x14ac:dyDescent="0.25">
      <c r="A118" t="s">
        <v>145</v>
      </c>
      <c r="B118" s="166">
        <v>42173</v>
      </c>
      <c r="C118" s="10">
        <v>80</v>
      </c>
      <c r="D118" s="2"/>
      <c r="E118" s="2"/>
      <c r="F118" s="2"/>
      <c r="G118" s="2"/>
      <c r="H118" s="2"/>
    </row>
    <row r="119" spans="1:8" x14ac:dyDescent="0.25">
      <c r="A119" t="s">
        <v>145</v>
      </c>
      <c r="B119" s="166">
        <v>42174</v>
      </c>
      <c r="C119" s="10">
        <v>76</v>
      </c>
      <c r="D119" s="2"/>
      <c r="E119" s="2"/>
      <c r="F119" s="2"/>
      <c r="G119" s="2"/>
      <c r="H119" s="2"/>
    </row>
    <row r="120" spans="1:8" x14ac:dyDescent="0.25">
      <c r="A120" t="s">
        <v>145</v>
      </c>
      <c r="B120" s="166">
        <v>42177</v>
      </c>
      <c r="C120" s="10">
        <v>76</v>
      </c>
      <c r="D120" s="2"/>
      <c r="E120" s="2"/>
      <c r="F120" s="2"/>
      <c r="G120" s="2"/>
      <c r="H120" s="2"/>
    </row>
    <row r="121" spans="1:8" x14ac:dyDescent="0.25">
      <c r="A121" t="s">
        <v>145</v>
      </c>
      <c r="B121" s="166">
        <v>42178</v>
      </c>
      <c r="C121" s="10">
        <v>72</v>
      </c>
      <c r="D121" s="2"/>
      <c r="E121" s="2"/>
      <c r="F121" s="2"/>
      <c r="G121" s="2"/>
      <c r="H121" s="2"/>
    </row>
    <row r="122" spans="1:8" x14ac:dyDescent="0.25">
      <c r="A122" t="s">
        <v>145</v>
      </c>
      <c r="B122" s="166">
        <v>42179</v>
      </c>
      <c r="C122" s="10">
        <v>72</v>
      </c>
      <c r="D122" s="2"/>
      <c r="E122" s="2"/>
      <c r="F122" s="2"/>
      <c r="G122" s="2"/>
      <c r="H122" s="2"/>
    </row>
    <row r="123" spans="1:8" x14ac:dyDescent="0.25">
      <c r="A123" t="s">
        <v>145</v>
      </c>
      <c r="B123" s="166">
        <v>42180</v>
      </c>
      <c r="C123" s="10">
        <v>70</v>
      </c>
      <c r="D123" s="2"/>
      <c r="E123" s="2"/>
      <c r="F123" s="2"/>
      <c r="G123" s="2"/>
      <c r="H123" s="2"/>
    </row>
    <row r="124" spans="1:8" x14ac:dyDescent="0.25">
      <c r="A124" t="s">
        <v>145</v>
      </c>
      <c r="B124" s="166">
        <v>42181</v>
      </c>
      <c r="C124" s="10">
        <v>66</v>
      </c>
      <c r="D124" s="2"/>
      <c r="E124" s="2"/>
      <c r="F124" s="2"/>
      <c r="G124" s="2"/>
      <c r="H124" s="2"/>
    </row>
    <row r="125" spans="1:8" x14ac:dyDescent="0.25">
      <c r="A125" t="s">
        <v>145</v>
      </c>
      <c r="B125" s="166">
        <v>42184</v>
      </c>
      <c r="C125" s="10">
        <v>66</v>
      </c>
      <c r="D125" s="168"/>
      <c r="E125" s="2"/>
      <c r="F125" s="2"/>
      <c r="G125" s="2"/>
      <c r="H125" s="2"/>
    </row>
    <row r="126" spans="1:8" x14ac:dyDescent="0.25">
      <c r="A126" t="s">
        <v>145</v>
      </c>
      <c r="B126" s="166">
        <v>42185</v>
      </c>
      <c r="C126" s="10">
        <v>70</v>
      </c>
      <c r="D126" s="168"/>
      <c r="E126" s="2"/>
      <c r="F126" s="2"/>
      <c r="G126" s="2"/>
      <c r="H126" s="2"/>
    </row>
    <row r="127" spans="1:8" x14ac:dyDescent="0.25">
      <c r="A127" t="s">
        <v>145</v>
      </c>
      <c r="B127" s="166">
        <v>42186</v>
      </c>
      <c r="C127" s="10">
        <v>70</v>
      </c>
      <c r="E127" s="2"/>
      <c r="F127" s="2"/>
      <c r="G127" s="2"/>
      <c r="H127" s="2"/>
    </row>
    <row r="128" spans="1:8" x14ac:dyDescent="0.25">
      <c r="A128" t="s">
        <v>145</v>
      </c>
      <c r="B128" s="166">
        <v>42187</v>
      </c>
      <c r="C128" s="10">
        <v>62</v>
      </c>
      <c r="E128" s="2"/>
      <c r="F128" s="2"/>
      <c r="G128" s="2"/>
      <c r="H128" s="2"/>
    </row>
    <row r="129" spans="1:8" x14ac:dyDescent="0.25">
      <c r="A129" t="s">
        <v>145</v>
      </c>
      <c r="B129" s="166">
        <v>42188</v>
      </c>
      <c r="C129" s="10">
        <v>58</v>
      </c>
      <c r="E129" s="2"/>
      <c r="F129" s="2"/>
      <c r="G129" s="2"/>
      <c r="H129" s="2"/>
    </row>
    <row r="130" spans="1:8" x14ac:dyDescent="0.25">
      <c r="A130" t="s">
        <v>145</v>
      </c>
      <c r="B130" s="166">
        <v>42191</v>
      </c>
      <c r="C130" s="10">
        <v>58</v>
      </c>
      <c r="E130" s="2"/>
      <c r="F130" s="2"/>
      <c r="G130" s="2"/>
      <c r="H130" s="2"/>
    </row>
    <row r="131" spans="1:8" x14ac:dyDescent="0.25">
      <c r="A131" t="s">
        <v>145</v>
      </c>
      <c r="B131" s="166">
        <v>42192</v>
      </c>
      <c r="C131" s="10">
        <v>58</v>
      </c>
      <c r="E131" s="2"/>
      <c r="F131" s="2"/>
      <c r="G131" s="2"/>
      <c r="H131" s="2"/>
    </row>
    <row r="132" spans="1:8" x14ac:dyDescent="0.25">
      <c r="A132" t="s">
        <v>145</v>
      </c>
      <c r="B132" s="166">
        <v>42193</v>
      </c>
      <c r="C132" s="10">
        <v>58</v>
      </c>
      <c r="E132" s="2"/>
      <c r="F132" s="2"/>
      <c r="G132" s="2"/>
      <c r="H132" s="2"/>
    </row>
    <row r="133" spans="1:8" x14ac:dyDescent="0.25">
      <c r="A133" t="s">
        <v>145</v>
      </c>
      <c r="B133" s="166">
        <v>42194</v>
      </c>
      <c r="C133" s="10">
        <v>58</v>
      </c>
      <c r="E133" s="2"/>
      <c r="F133" s="2"/>
      <c r="G133" s="2"/>
      <c r="H133" s="2"/>
    </row>
    <row r="134" spans="1:8" x14ac:dyDescent="0.25">
      <c r="A134" t="s">
        <v>145</v>
      </c>
      <c r="B134" s="166">
        <v>42195</v>
      </c>
      <c r="C134" s="10">
        <v>58</v>
      </c>
      <c r="E134" s="2"/>
      <c r="F134" s="2"/>
      <c r="G134" s="2"/>
      <c r="H134" s="2"/>
    </row>
    <row r="135" spans="1:8" x14ac:dyDescent="0.25">
      <c r="A135" t="s">
        <v>145</v>
      </c>
      <c r="B135" s="166">
        <v>42198</v>
      </c>
      <c r="C135" s="10">
        <v>58</v>
      </c>
      <c r="D135" s="2"/>
      <c r="E135" s="2"/>
      <c r="F135" s="2"/>
      <c r="G135" s="2"/>
      <c r="H135" s="2"/>
    </row>
    <row r="136" spans="1:8" x14ac:dyDescent="0.25">
      <c r="A136" t="s">
        <v>145</v>
      </c>
      <c r="B136" s="166">
        <v>42200</v>
      </c>
      <c r="C136" s="10">
        <v>58</v>
      </c>
      <c r="D136" s="2"/>
      <c r="E136" s="2"/>
      <c r="F136" s="2"/>
      <c r="G136" s="2"/>
      <c r="H136" s="2"/>
    </row>
    <row r="137" spans="1:8" x14ac:dyDescent="0.25">
      <c r="A137" t="s">
        <v>145</v>
      </c>
      <c r="B137" s="166">
        <v>42201</v>
      </c>
      <c r="C137" s="10">
        <v>57</v>
      </c>
      <c r="D137" s="2"/>
      <c r="E137" s="2"/>
      <c r="F137" s="2"/>
      <c r="G137" s="2"/>
      <c r="H137" s="2"/>
    </row>
    <row r="138" spans="1:8" x14ac:dyDescent="0.25">
      <c r="A138" t="s">
        <v>145</v>
      </c>
      <c r="B138" s="166">
        <v>42202</v>
      </c>
      <c r="C138" s="10">
        <v>73</v>
      </c>
      <c r="D138" s="2"/>
      <c r="E138" s="2"/>
      <c r="F138" s="2"/>
      <c r="G138" s="2"/>
      <c r="H138" s="2"/>
    </row>
    <row r="139" spans="1:8" x14ac:dyDescent="0.25">
      <c r="A139" t="s">
        <v>145</v>
      </c>
      <c r="B139" s="166">
        <v>42205</v>
      </c>
      <c r="C139" s="10">
        <v>73</v>
      </c>
      <c r="E139" s="2"/>
      <c r="F139" s="2"/>
      <c r="G139" s="2"/>
      <c r="H139" s="2"/>
    </row>
    <row r="140" spans="1:8" x14ac:dyDescent="0.25">
      <c r="A140" t="s">
        <v>145</v>
      </c>
      <c r="B140" s="166">
        <v>42206</v>
      </c>
      <c r="C140" s="10">
        <v>73</v>
      </c>
      <c r="E140" s="2"/>
      <c r="F140" s="2"/>
      <c r="G140" s="2"/>
      <c r="H140" s="2"/>
    </row>
    <row r="141" spans="1:8" x14ac:dyDescent="0.25">
      <c r="A141" t="s">
        <v>145</v>
      </c>
      <c r="B141" s="166">
        <v>42207</v>
      </c>
      <c r="C141" s="10">
        <v>73</v>
      </c>
      <c r="E141" s="2"/>
      <c r="F141" s="2"/>
      <c r="G141" s="2"/>
      <c r="H141" s="2"/>
    </row>
    <row r="142" spans="1:8" x14ac:dyDescent="0.25">
      <c r="A142" t="s">
        <v>145</v>
      </c>
      <c r="B142" s="166">
        <v>42208</v>
      </c>
      <c r="C142" s="10">
        <v>71</v>
      </c>
      <c r="E142" s="2"/>
      <c r="F142" s="2"/>
      <c r="G142" s="2"/>
      <c r="H142" s="2"/>
    </row>
    <row r="143" spans="1:8" x14ac:dyDescent="0.25">
      <c r="A143" t="s">
        <v>145</v>
      </c>
      <c r="B143" s="166">
        <v>42209</v>
      </c>
      <c r="C143" s="10">
        <v>71</v>
      </c>
      <c r="E143" s="2"/>
      <c r="F143" s="2"/>
      <c r="G143" s="2"/>
      <c r="H143" s="2"/>
    </row>
    <row r="144" spans="1:8" x14ac:dyDescent="0.25">
      <c r="A144" t="s">
        <v>145</v>
      </c>
      <c r="B144" s="166">
        <v>42212</v>
      </c>
      <c r="C144" s="10">
        <v>71</v>
      </c>
      <c r="E144" s="2"/>
      <c r="F144" s="2"/>
      <c r="G144" s="2"/>
      <c r="H144" s="2"/>
    </row>
    <row r="145" spans="1:8" x14ac:dyDescent="0.25">
      <c r="A145" t="s">
        <v>145</v>
      </c>
      <c r="B145" s="166">
        <v>42213</v>
      </c>
      <c r="C145" s="10">
        <v>67</v>
      </c>
      <c r="E145" s="2"/>
      <c r="F145" s="2"/>
      <c r="G145" s="2"/>
      <c r="H145" s="2"/>
    </row>
    <row r="146" spans="1:8" x14ac:dyDescent="0.25">
      <c r="A146" t="s">
        <v>145</v>
      </c>
      <c r="B146" s="166">
        <v>42214</v>
      </c>
      <c r="C146" s="10">
        <v>72</v>
      </c>
      <c r="E146" s="2"/>
      <c r="F146" s="2"/>
      <c r="G146" s="2"/>
      <c r="H146" s="2"/>
    </row>
    <row r="147" spans="1:8" x14ac:dyDescent="0.25">
      <c r="A147" t="s">
        <v>145</v>
      </c>
      <c r="B147" s="166">
        <v>42215</v>
      </c>
      <c r="C147" s="10">
        <v>72</v>
      </c>
      <c r="D147" s="2"/>
      <c r="E147" s="2"/>
      <c r="F147" s="2"/>
      <c r="G147" s="2"/>
      <c r="H147" s="2"/>
    </row>
    <row r="148" spans="1:8" x14ac:dyDescent="0.25">
      <c r="A148" t="s">
        <v>145</v>
      </c>
      <c r="B148" s="166">
        <v>42216</v>
      </c>
      <c r="C148" s="10">
        <v>73</v>
      </c>
      <c r="D148" s="168"/>
      <c r="E148" s="2"/>
      <c r="F148" s="2"/>
      <c r="G148" s="2"/>
      <c r="H148" s="2"/>
    </row>
    <row r="149" spans="1:8" x14ac:dyDescent="0.25">
      <c r="A149" t="s">
        <v>145</v>
      </c>
      <c r="B149" s="166">
        <v>42219</v>
      </c>
      <c r="C149" s="10">
        <v>73</v>
      </c>
      <c r="E149" s="2"/>
      <c r="F149" s="2"/>
      <c r="G149" s="2"/>
      <c r="H149" s="2"/>
    </row>
    <row r="150" spans="1:8" x14ac:dyDescent="0.25">
      <c r="A150" t="s">
        <v>145</v>
      </c>
      <c r="B150" s="166">
        <v>42220</v>
      </c>
      <c r="C150" s="10">
        <v>73</v>
      </c>
      <c r="E150" s="2"/>
      <c r="F150" s="2"/>
      <c r="G150" s="2"/>
      <c r="H150" s="2"/>
    </row>
    <row r="151" spans="1:8" x14ac:dyDescent="0.25">
      <c r="A151" t="s">
        <v>145</v>
      </c>
      <c r="B151" s="166">
        <v>42221</v>
      </c>
      <c r="C151" s="10">
        <v>73</v>
      </c>
      <c r="E151" s="2"/>
      <c r="F151" s="2"/>
      <c r="G151" s="2"/>
      <c r="H151" s="2"/>
    </row>
    <row r="152" spans="1:8" x14ac:dyDescent="0.25">
      <c r="A152" t="s">
        <v>145</v>
      </c>
      <c r="B152" s="166">
        <v>42222</v>
      </c>
      <c r="C152" s="10">
        <v>73</v>
      </c>
      <c r="E152" s="2"/>
      <c r="F152" s="2"/>
      <c r="G152" s="2"/>
      <c r="H152" s="2"/>
    </row>
    <row r="153" spans="1:8" x14ac:dyDescent="0.25">
      <c r="A153" t="s">
        <v>145</v>
      </c>
      <c r="B153" s="166">
        <v>42223</v>
      </c>
      <c r="C153" s="10">
        <v>72</v>
      </c>
      <c r="E153" s="2"/>
      <c r="F153" s="2"/>
      <c r="G153" s="2"/>
      <c r="H153" s="2"/>
    </row>
    <row r="154" spans="1:8" x14ac:dyDescent="0.25">
      <c r="A154" t="s">
        <v>145</v>
      </c>
      <c r="B154" s="166">
        <v>42226</v>
      </c>
      <c r="C154" s="10">
        <v>70</v>
      </c>
      <c r="E154" s="2"/>
      <c r="F154" s="2"/>
      <c r="G154" s="2"/>
      <c r="H154" s="2"/>
    </row>
    <row r="155" spans="1:8" x14ac:dyDescent="0.25">
      <c r="A155" t="s">
        <v>145</v>
      </c>
      <c r="B155" s="166">
        <v>42227</v>
      </c>
      <c r="C155" s="10">
        <v>70</v>
      </c>
      <c r="D155" s="168"/>
      <c r="E155" s="2"/>
      <c r="F155" s="2"/>
      <c r="G155" s="2"/>
      <c r="H155" s="2"/>
    </row>
    <row r="156" spans="1:8" x14ac:dyDescent="0.25">
      <c r="A156" t="s">
        <v>145</v>
      </c>
      <c r="B156" s="166">
        <v>42228</v>
      </c>
      <c r="C156" s="10">
        <v>70</v>
      </c>
      <c r="E156" s="2"/>
      <c r="F156" s="2"/>
      <c r="G156" s="2"/>
      <c r="H156" s="2"/>
    </row>
    <row r="157" spans="1:8" x14ac:dyDescent="0.25">
      <c r="A157" t="s">
        <v>145</v>
      </c>
      <c r="B157" s="166">
        <v>42229</v>
      </c>
      <c r="C157" s="10">
        <v>70</v>
      </c>
      <c r="E157" s="2"/>
      <c r="F157" s="2"/>
      <c r="G157" s="2"/>
      <c r="H157" s="2"/>
    </row>
    <row r="158" spans="1:8" x14ac:dyDescent="0.25">
      <c r="A158" t="s">
        <v>145</v>
      </c>
      <c r="B158" s="166">
        <v>42230</v>
      </c>
      <c r="C158" s="10">
        <v>70</v>
      </c>
      <c r="E158" s="2"/>
      <c r="F158" s="2"/>
      <c r="G158" s="2"/>
      <c r="H158" s="2"/>
    </row>
    <row r="159" spans="1:8" x14ac:dyDescent="0.25">
      <c r="A159" t="s">
        <v>145</v>
      </c>
      <c r="B159" s="166">
        <v>42233</v>
      </c>
      <c r="C159" s="10">
        <v>70</v>
      </c>
      <c r="E159" s="2"/>
      <c r="F159" s="2"/>
      <c r="G159" s="2"/>
      <c r="H159" s="2"/>
    </row>
    <row r="160" spans="1:8" x14ac:dyDescent="0.25">
      <c r="A160" t="s">
        <v>145</v>
      </c>
      <c r="B160" s="166">
        <v>42234</v>
      </c>
      <c r="C160" s="10">
        <v>68</v>
      </c>
      <c r="E160" s="2"/>
      <c r="F160" s="2"/>
      <c r="G160" s="2"/>
      <c r="H160" s="2"/>
    </row>
    <row r="161" spans="1:8" x14ac:dyDescent="0.25">
      <c r="A161" t="s">
        <v>145</v>
      </c>
      <c r="B161" s="166">
        <v>42235</v>
      </c>
      <c r="C161" s="10">
        <v>68</v>
      </c>
      <c r="E161" s="2"/>
      <c r="F161" s="2"/>
      <c r="G161" s="2"/>
      <c r="H161" s="2"/>
    </row>
    <row r="162" spans="1:8" x14ac:dyDescent="0.25">
      <c r="A162" t="s">
        <v>145</v>
      </c>
      <c r="B162" s="166">
        <v>42236</v>
      </c>
      <c r="C162" s="10">
        <v>68</v>
      </c>
      <c r="D162" s="2"/>
      <c r="E162" s="2"/>
      <c r="F162" s="2"/>
      <c r="G162" s="2"/>
      <c r="H162" s="2"/>
    </row>
    <row r="163" spans="1:8" x14ac:dyDescent="0.25">
      <c r="A163" t="s">
        <v>145</v>
      </c>
      <c r="B163" s="166">
        <v>42237</v>
      </c>
      <c r="C163" s="10">
        <v>68</v>
      </c>
      <c r="D163" s="2"/>
      <c r="E163" s="2"/>
      <c r="F163" s="2"/>
      <c r="G163" s="2"/>
      <c r="H163" s="2"/>
    </row>
    <row r="164" spans="1:8" x14ac:dyDescent="0.25">
      <c r="A164" t="s">
        <v>145</v>
      </c>
      <c r="B164" s="166">
        <v>42240</v>
      </c>
      <c r="C164" s="10">
        <v>68</v>
      </c>
      <c r="D164" s="2"/>
      <c r="E164" s="2"/>
      <c r="F164" s="2"/>
      <c r="G164" s="2"/>
      <c r="H164" s="2"/>
    </row>
    <row r="165" spans="1:8" x14ac:dyDescent="0.25">
      <c r="A165" t="s">
        <v>145</v>
      </c>
      <c r="B165" s="166">
        <v>42241</v>
      </c>
      <c r="C165" s="10">
        <v>60</v>
      </c>
      <c r="D165" s="2"/>
      <c r="E165" s="2"/>
      <c r="F165" s="2"/>
      <c r="G165" s="2"/>
      <c r="H165" s="2"/>
    </row>
    <row r="166" spans="1:8" x14ac:dyDescent="0.25">
      <c r="A166" t="s">
        <v>145</v>
      </c>
      <c r="B166" s="166">
        <v>42242</v>
      </c>
      <c r="C166" s="10">
        <v>55</v>
      </c>
      <c r="D166" s="2"/>
      <c r="E166" s="2"/>
      <c r="F166" s="2"/>
      <c r="G166" s="2"/>
      <c r="H166" s="2"/>
    </row>
    <row r="167" spans="1:8" x14ac:dyDescent="0.25">
      <c r="A167" t="s">
        <v>145</v>
      </c>
      <c r="B167" s="166">
        <v>42243</v>
      </c>
      <c r="C167" s="10">
        <v>50</v>
      </c>
      <c r="D167" s="2"/>
      <c r="E167" s="2"/>
      <c r="F167" s="2"/>
      <c r="G167" s="2"/>
      <c r="H167" s="2"/>
    </row>
    <row r="168" spans="1:8" x14ac:dyDescent="0.25">
      <c r="A168" t="s">
        <v>145</v>
      </c>
      <c r="B168" s="166">
        <v>42244</v>
      </c>
      <c r="C168" s="10">
        <v>50</v>
      </c>
      <c r="D168" s="2"/>
      <c r="E168" s="2"/>
      <c r="F168" s="2"/>
      <c r="G168" s="2"/>
      <c r="H168" s="2"/>
    </row>
    <row r="169" spans="1:8" x14ac:dyDescent="0.25">
      <c r="A169" t="s">
        <v>145</v>
      </c>
      <c r="B169" s="166">
        <v>42247</v>
      </c>
      <c r="C169" s="10">
        <v>50</v>
      </c>
      <c r="D169" s="2"/>
      <c r="E169" s="2"/>
      <c r="F169" s="2"/>
      <c r="G169" s="2"/>
      <c r="H169" s="2"/>
    </row>
    <row r="170" spans="1:8" x14ac:dyDescent="0.25">
      <c r="A170" t="s">
        <v>145</v>
      </c>
      <c r="B170" s="166">
        <v>42248</v>
      </c>
      <c r="C170" s="10">
        <v>74</v>
      </c>
      <c r="D170" s="2"/>
      <c r="E170" s="2"/>
      <c r="F170" s="2"/>
      <c r="G170" s="2"/>
      <c r="H170" s="2"/>
    </row>
    <row r="171" spans="1:8" x14ac:dyDescent="0.25">
      <c r="A171" t="s">
        <v>145</v>
      </c>
      <c r="B171" s="166">
        <v>42249</v>
      </c>
      <c r="C171" s="10">
        <v>74</v>
      </c>
      <c r="D171" s="168"/>
      <c r="E171" s="2"/>
      <c r="F171" s="2"/>
      <c r="G171" s="2"/>
      <c r="H171" s="2"/>
    </row>
    <row r="172" spans="1:8" x14ac:dyDescent="0.25">
      <c r="A172" t="s">
        <v>145</v>
      </c>
      <c r="B172" s="166">
        <v>42250</v>
      </c>
      <c r="C172" s="10">
        <v>68</v>
      </c>
      <c r="E172" s="2"/>
      <c r="F172" s="2"/>
      <c r="G172" s="2"/>
      <c r="H172" s="2"/>
    </row>
    <row r="173" spans="1:8" x14ac:dyDescent="0.25">
      <c r="A173" t="s">
        <v>145</v>
      </c>
      <c r="B173" s="166">
        <v>42251</v>
      </c>
      <c r="C173" s="10">
        <v>68</v>
      </c>
      <c r="E173" s="2"/>
      <c r="F173" s="2"/>
      <c r="G173" s="2"/>
      <c r="H173" s="2"/>
    </row>
    <row r="174" spans="1:8" x14ac:dyDescent="0.25">
      <c r="A174" t="s">
        <v>145</v>
      </c>
      <c r="B174" s="166">
        <v>42254</v>
      </c>
      <c r="C174" s="10">
        <v>68</v>
      </c>
      <c r="E174" s="2"/>
      <c r="F174" s="2"/>
      <c r="G174" s="2"/>
      <c r="H174" s="2"/>
    </row>
    <row r="175" spans="1:8" x14ac:dyDescent="0.25">
      <c r="A175" t="s">
        <v>145</v>
      </c>
      <c r="B175" s="166">
        <v>42255</v>
      </c>
      <c r="C175" s="10">
        <v>68</v>
      </c>
      <c r="E175" s="2"/>
      <c r="F175" s="2"/>
      <c r="G175" s="2"/>
      <c r="H175" s="2"/>
    </row>
    <row r="176" spans="1:8" x14ac:dyDescent="0.25">
      <c r="A176" t="s">
        <v>145</v>
      </c>
      <c r="B176" s="166">
        <v>42256</v>
      </c>
      <c r="C176" s="10">
        <v>57</v>
      </c>
      <c r="E176" s="2"/>
      <c r="F176" s="2"/>
      <c r="G176" s="2"/>
      <c r="H176" s="2"/>
    </row>
    <row r="177" spans="1:8" x14ac:dyDescent="0.25">
      <c r="A177" t="s">
        <v>145</v>
      </c>
      <c r="B177" s="166">
        <v>42257</v>
      </c>
      <c r="C177" s="10">
        <v>57</v>
      </c>
      <c r="D177" s="2"/>
      <c r="E177" s="2"/>
      <c r="F177" s="2"/>
      <c r="G177" s="2"/>
      <c r="H177" s="2"/>
    </row>
    <row r="178" spans="1:8" x14ac:dyDescent="0.25">
      <c r="A178" t="s">
        <v>145</v>
      </c>
      <c r="B178" s="166">
        <v>42258</v>
      </c>
      <c r="C178" s="10">
        <v>62</v>
      </c>
      <c r="D178" s="2"/>
      <c r="E178" s="2"/>
      <c r="F178" s="2"/>
      <c r="G178" s="2"/>
      <c r="H178" s="2"/>
    </row>
    <row r="179" spans="1:8" x14ac:dyDescent="0.25">
      <c r="A179" t="s">
        <v>145</v>
      </c>
      <c r="B179" s="166">
        <v>42261</v>
      </c>
      <c r="C179" s="10">
        <v>62</v>
      </c>
      <c r="D179" s="2"/>
      <c r="E179" s="2"/>
      <c r="F179" s="2"/>
      <c r="G179" s="2"/>
      <c r="H179" s="2"/>
    </row>
    <row r="180" spans="1:8" x14ac:dyDescent="0.25">
      <c r="A180" t="s">
        <v>145</v>
      </c>
      <c r="B180" s="166">
        <v>42262</v>
      </c>
      <c r="C180" s="10">
        <v>62</v>
      </c>
      <c r="D180" s="2"/>
      <c r="E180" s="2"/>
      <c r="F180" s="2"/>
      <c r="G180" s="2"/>
      <c r="H180" s="2"/>
    </row>
    <row r="181" spans="1:8" x14ac:dyDescent="0.25">
      <c r="A181" t="s">
        <v>145</v>
      </c>
      <c r="B181" s="166">
        <v>42263</v>
      </c>
      <c r="C181" s="10">
        <v>62</v>
      </c>
      <c r="D181" s="2"/>
      <c r="E181" s="2"/>
      <c r="F181" s="2"/>
      <c r="G181" s="2"/>
      <c r="H181" s="2"/>
    </row>
    <row r="182" spans="1:8" x14ac:dyDescent="0.25">
      <c r="A182" t="s">
        <v>145</v>
      </c>
      <c r="B182" s="166">
        <v>42264</v>
      </c>
      <c r="C182" s="10">
        <v>58</v>
      </c>
      <c r="D182" s="2"/>
      <c r="E182" s="2"/>
      <c r="F182" s="2"/>
      <c r="G182" s="2"/>
      <c r="H182" s="2"/>
    </row>
    <row r="183" spans="1:8" x14ac:dyDescent="0.25">
      <c r="A183" t="s">
        <v>145</v>
      </c>
      <c r="B183" s="166">
        <v>42265</v>
      </c>
      <c r="C183" s="10">
        <v>58</v>
      </c>
      <c r="D183" s="2"/>
      <c r="E183" s="2"/>
      <c r="F183" s="2"/>
      <c r="G183" s="2"/>
      <c r="H183" s="2"/>
    </row>
    <row r="184" spans="1:8" x14ac:dyDescent="0.25">
      <c r="A184" t="s">
        <v>145</v>
      </c>
      <c r="B184" s="166">
        <v>42268</v>
      </c>
      <c r="C184" s="10">
        <v>54</v>
      </c>
      <c r="D184" s="2"/>
      <c r="E184" s="2"/>
      <c r="F184" s="2"/>
      <c r="G184" s="2"/>
      <c r="H184" s="2"/>
    </row>
    <row r="185" spans="1:8" x14ac:dyDescent="0.25">
      <c r="A185" t="s">
        <v>145</v>
      </c>
      <c r="B185" s="166">
        <v>42269</v>
      </c>
      <c r="C185" s="10">
        <v>54</v>
      </c>
      <c r="D185" s="2"/>
      <c r="E185" s="2"/>
      <c r="F185" s="2"/>
      <c r="G185" s="2"/>
      <c r="H185" s="2"/>
    </row>
    <row r="186" spans="1:8" x14ac:dyDescent="0.25">
      <c r="A186" t="s">
        <v>145</v>
      </c>
      <c r="B186" s="166">
        <v>42270</v>
      </c>
      <c r="C186" s="10">
        <v>54</v>
      </c>
      <c r="D186" s="2"/>
      <c r="E186" s="2"/>
      <c r="F186" s="2"/>
      <c r="G186" s="2"/>
      <c r="H186" s="2"/>
    </row>
    <row r="187" spans="1:8" x14ac:dyDescent="0.25">
      <c r="A187" t="s">
        <v>145</v>
      </c>
      <c r="B187" s="166">
        <v>42271</v>
      </c>
      <c r="C187" s="10">
        <v>54</v>
      </c>
      <c r="D187" s="2"/>
      <c r="E187" s="2"/>
      <c r="F187" s="2"/>
      <c r="G187" s="2"/>
      <c r="H187" s="2"/>
    </row>
    <row r="188" spans="1:8" x14ac:dyDescent="0.25">
      <c r="A188" t="s">
        <v>145</v>
      </c>
      <c r="B188" s="166">
        <v>42272</v>
      </c>
      <c r="C188" s="10">
        <v>53</v>
      </c>
      <c r="D188" s="2"/>
      <c r="E188" s="2"/>
      <c r="F188" s="2"/>
      <c r="G188" s="2"/>
      <c r="H188" s="2"/>
    </row>
    <row r="189" spans="1:8" x14ac:dyDescent="0.25">
      <c r="A189" t="s">
        <v>145</v>
      </c>
      <c r="B189" s="166">
        <v>42275</v>
      </c>
      <c r="C189" s="10">
        <v>46</v>
      </c>
      <c r="D189" s="2"/>
      <c r="E189" s="2"/>
      <c r="F189" s="2"/>
      <c r="G189" s="2"/>
      <c r="H189" s="2"/>
    </row>
    <row r="190" spans="1:8" x14ac:dyDescent="0.25">
      <c r="A190" t="s">
        <v>145</v>
      </c>
      <c r="B190" s="166">
        <v>42276</v>
      </c>
      <c r="C190" s="10">
        <v>41</v>
      </c>
      <c r="D190" s="2"/>
      <c r="E190" s="2"/>
      <c r="F190" s="2"/>
      <c r="G190" s="2"/>
      <c r="H190" s="2"/>
    </row>
    <row r="191" spans="1:8" x14ac:dyDescent="0.25">
      <c r="A191" t="s">
        <v>145</v>
      </c>
      <c r="B191" s="166">
        <v>42277</v>
      </c>
      <c r="C191" s="10">
        <v>41</v>
      </c>
      <c r="D191" s="2"/>
      <c r="E191" s="2"/>
      <c r="F191" s="2"/>
      <c r="G191" s="2"/>
      <c r="H191" s="2"/>
    </row>
    <row r="192" spans="1:8" x14ac:dyDescent="0.25">
      <c r="A192" t="s">
        <v>145</v>
      </c>
      <c r="B192" s="166">
        <v>42278</v>
      </c>
      <c r="C192" s="10">
        <v>31</v>
      </c>
      <c r="D192" s="2"/>
      <c r="E192" s="2"/>
      <c r="F192" s="2"/>
      <c r="G192" s="2"/>
      <c r="H192" s="2"/>
    </row>
    <row r="193" spans="1:8" x14ac:dyDescent="0.25">
      <c r="A193" t="s">
        <v>145</v>
      </c>
      <c r="B193" s="166">
        <v>42279</v>
      </c>
      <c r="C193" s="10">
        <v>31</v>
      </c>
      <c r="D193" s="2"/>
      <c r="E193" s="2"/>
      <c r="F193" s="2"/>
      <c r="G193" s="2"/>
      <c r="H193" s="2"/>
    </row>
    <row r="194" spans="1:8" x14ac:dyDescent="0.25">
      <c r="A194" t="s">
        <v>145</v>
      </c>
      <c r="B194" s="166">
        <v>42282</v>
      </c>
      <c r="C194" s="10">
        <v>31</v>
      </c>
      <c r="D194" s="2"/>
      <c r="E194" s="2"/>
      <c r="F194" s="2"/>
      <c r="G194" s="2"/>
      <c r="H194" s="2"/>
    </row>
    <row r="195" spans="1:8" x14ac:dyDescent="0.25">
      <c r="A195" t="s">
        <v>145</v>
      </c>
      <c r="B195" s="166">
        <v>42283</v>
      </c>
      <c r="C195" s="10">
        <v>36</v>
      </c>
      <c r="D195" s="2"/>
      <c r="E195" s="2"/>
      <c r="F195" s="2"/>
      <c r="G195" s="2"/>
      <c r="H195" s="2"/>
    </row>
    <row r="196" spans="1:8" x14ac:dyDescent="0.25">
      <c r="A196" t="s">
        <v>145</v>
      </c>
      <c r="B196" s="166">
        <v>42284</v>
      </c>
      <c r="C196" s="10">
        <v>36</v>
      </c>
      <c r="D196" s="2"/>
      <c r="E196" s="2"/>
      <c r="F196" s="2"/>
      <c r="G196" s="2"/>
      <c r="H196" s="2"/>
    </row>
    <row r="197" spans="1:8" x14ac:dyDescent="0.25">
      <c r="A197" t="s">
        <v>145</v>
      </c>
      <c r="B197" s="166">
        <v>42285</v>
      </c>
      <c r="C197" s="10">
        <v>36</v>
      </c>
      <c r="D197" s="2"/>
      <c r="E197" s="2"/>
      <c r="F197" s="2"/>
      <c r="G197" s="2"/>
      <c r="H197" s="2"/>
    </row>
    <row r="198" spans="1:8" x14ac:dyDescent="0.25">
      <c r="A198" t="s">
        <v>145</v>
      </c>
      <c r="B198" s="166">
        <v>42286</v>
      </c>
      <c r="C198" s="10">
        <v>36</v>
      </c>
      <c r="D198" s="2"/>
      <c r="E198" s="2"/>
      <c r="F198" s="2"/>
      <c r="G198" s="2"/>
      <c r="H198" s="2"/>
    </row>
    <row r="199" spans="1:8" x14ac:dyDescent="0.25">
      <c r="A199" t="s">
        <v>145</v>
      </c>
      <c r="B199" s="166">
        <v>42289</v>
      </c>
      <c r="C199" s="10">
        <v>73</v>
      </c>
      <c r="D199" s="2"/>
      <c r="E199" s="2"/>
      <c r="F199" s="2"/>
      <c r="G199" s="2"/>
      <c r="H199" s="2"/>
    </row>
    <row r="200" spans="1:8" x14ac:dyDescent="0.25">
      <c r="A200" t="s">
        <v>145</v>
      </c>
      <c r="B200" s="166">
        <v>42290</v>
      </c>
      <c r="C200" s="10">
        <v>73</v>
      </c>
      <c r="D200" s="168"/>
      <c r="E200" s="2"/>
      <c r="F200" s="2"/>
      <c r="G200" s="2"/>
      <c r="H200" s="2"/>
    </row>
    <row r="201" spans="1:8" x14ac:dyDescent="0.25">
      <c r="A201" t="s">
        <v>145</v>
      </c>
      <c r="B201" s="166">
        <v>42291</v>
      </c>
      <c r="C201" s="10">
        <v>73</v>
      </c>
      <c r="E201" s="2"/>
      <c r="F201" s="2"/>
      <c r="G201" s="2"/>
      <c r="H201" s="2"/>
    </row>
    <row r="202" spans="1:8" x14ac:dyDescent="0.25">
      <c r="A202" t="s">
        <v>145</v>
      </c>
      <c r="B202" s="166">
        <v>42292</v>
      </c>
      <c r="C202" s="10">
        <v>68</v>
      </c>
      <c r="E202" s="2"/>
      <c r="F202" s="2"/>
      <c r="G202" s="2"/>
      <c r="H202" s="2"/>
    </row>
    <row r="203" spans="1:8" x14ac:dyDescent="0.25">
      <c r="A203" t="s">
        <v>145</v>
      </c>
      <c r="B203" s="166">
        <v>42293</v>
      </c>
      <c r="C203" s="10">
        <v>68</v>
      </c>
      <c r="E203" s="2"/>
      <c r="F203" s="2"/>
      <c r="G203" s="2"/>
      <c r="H203" s="2"/>
    </row>
    <row r="204" spans="1:8" x14ac:dyDescent="0.25">
      <c r="A204" t="s">
        <v>145</v>
      </c>
      <c r="B204" s="166">
        <v>42296</v>
      </c>
      <c r="C204" s="10">
        <v>82</v>
      </c>
      <c r="E204" s="2"/>
      <c r="F204" s="2"/>
      <c r="G204" s="2"/>
      <c r="H204" s="2"/>
    </row>
    <row r="205" spans="1:8" x14ac:dyDescent="0.25">
      <c r="A205" t="s">
        <v>145</v>
      </c>
      <c r="B205" s="166">
        <v>42297</v>
      </c>
      <c r="C205" s="10">
        <v>82</v>
      </c>
      <c r="D205" s="2"/>
      <c r="E205" s="2"/>
      <c r="F205" s="2"/>
      <c r="G205" s="2"/>
      <c r="H205" s="2"/>
    </row>
    <row r="206" spans="1:8" x14ac:dyDescent="0.25">
      <c r="A206" t="s">
        <v>145</v>
      </c>
      <c r="B206" s="166">
        <v>42298</v>
      </c>
      <c r="C206" s="10">
        <v>80</v>
      </c>
      <c r="D206" s="2"/>
      <c r="E206" s="2"/>
      <c r="F206" s="2"/>
      <c r="G206" s="2"/>
      <c r="H206" s="2"/>
    </row>
    <row r="207" spans="1:8" x14ac:dyDescent="0.25">
      <c r="A207" t="s">
        <v>145</v>
      </c>
      <c r="B207" s="166">
        <v>42299</v>
      </c>
      <c r="C207" s="10">
        <v>50</v>
      </c>
      <c r="D207" s="2"/>
      <c r="E207" s="2"/>
      <c r="F207" s="2"/>
      <c r="G207" s="2"/>
      <c r="H207" s="2"/>
    </row>
    <row r="208" spans="1:8" x14ac:dyDescent="0.25">
      <c r="A208" t="s">
        <v>145</v>
      </c>
      <c r="B208" s="166">
        <v>42300</v>
      </c>
      <c r="C208" s="10">
        <v>50</v>
      </c>
      <c r="D208" s="2"/>
      <c r="E208" s="2"/>
      <c r="F208" s="2"/>
      <c r="G208" s="2"/>
      <c r="H208" s="2"/>
    </row>
    <row r="209" spans="1:8" x14ac:dyDescent="0.25">
      <c r="A209" t="s">
        <v>145</v>
      </c>
      <c r="B209" s="166">
        <v>42303</v>
      </c>
      <c r="C209" s="10">
        <v>43</v>
      </c>
      <c r="D209" s="2"/>
      <c r="E209" s="2"/>
      <c r="F209" s="2"/>
      <c r="G209" s="2"/>
      <c r="H209" s="2"/>
    </row>
    <row r="210" spans="1:8" x14ac:dyDescent="0.25">
      <c r="A210" t="s">
        <v>145</v>
      </c>
      <c r="B210" s="166">
        <v>42304</v>
      </c>
      <c r="C210" s="10">
        <v>52</v>
      </c>
      <c r="D210" s="2"/>
      <c r="E210" s="2"/>
      <c r="F210" s="2"/>
      <c r="G210" s="2"/>
      <c r="H210" s="2"/>
    </row>
    <row r="211" spans="1:8" x14ac:dyDescent="0.25">
      <c r="A211" t="s">
        <v>145</v>
      </c>
      <c r="B211" s="166">
        <v>42305</v>
      </c>
      <c r="C211" s="10">
        <v>52</v>
      </c>
      <c r="D211" s="2"/>
      <c r="E211" s="2"/>
      <c r="F211" s="2"/>
      <c r="G211" s="2"/>
      <c r="H211" s="2"/>
    </row>
    <row r="212" spans="1:8" x14ac:dyDescent="0.25">
      <c r="A212" t="s">
        <v>145</v>
      </c>
      <c r="B212" s="166">
        <v>42306</v>
      </c>
      <c r="C212" s="10">
        <v>52</v>
      </c>
      <c r="D212" s="2"/>
      <c r="E212" s="2"/>
      <c r="F212" s="2"/>
      <c r="G212" s="2"/>
      <c r="H212" s="2"/>
    </row>
    <row r="213" spans="1:8" x14ac:dyDescent="0.25">
      <c r="A213" t="s">
        <v>145</v>
      </c>
      <c r="B213" s="166">
        <v>42307</v>
      </c>
      <c r="C213" s="10">
        <v>47</v>
      </c>
      <c r="E213" s="2"/>
      <c r="F213" s="2"/>
      <c r="G213" s="2"/>
      <c r="H213" s="2"/>
    </row>
    <row r="214" spans="1:8" x14ac:dyDescent="0.25">
      <c r="A214" t="s">
        <v>145</v>
      </c>
      <c r="B214" s="166">
        <v>42310</v>
      </c>
      <c r="C214" s="10">
        <v>52</v>
      </c>
      <c r="E214" s="2"/>
      <c r="F214" s="2"/>
      <c r="G214" s="2"/>
      <c r="H214" s="2"/>
    </row>
    <row r="215" spans="1:8" x14ac:dyDescent="0.25">
      <c r="A215" t="s">
        <v>145</v>
      </c>
      <c r="B215" s="166">
        <v>42311</v>
      </c>
      <c r="C215" s="10">
        <v>52</v>
      </c>
      <c r="E215" s="2"/>
      <c r="F215" s="2"/>
      <c r="G215" s="2"/>
      <c r="H215" s="2"/>
    </row>
    <row r="216" spans="1:8" x14ac:dyDescent="0.25">
      <c r="A216" t="s">
        <v>145</v>
      </c>
      <c r="B216" s="166">
        <v>42312</v>
      </c>
      <c r="C216" s="10">
        <v>43</v>
      </c>
      <c r="E216" s="2"/>
      <c r="F216" s="2"/>
      <c r="G216" s="2"/>
      <c r="H216" s="2"/>
    </row>
    <row r="217" spans="1:8" x14ac:dyDescent="0.25">
      <c r="A217" t="s">
        <v>145</v>
      </c>
      <c r="B217" s="166">
        <v>42313</v>
      </c>
      <c r="C217" s="10">
        <v>41</v>
      </c>
      <c r="D217" s="2"/>
      <c r="E217" s="2"/>
      <c r="F217" s="2"/>
      <c r="G217" s="2"/>
      <c r="H217" s="2"/>
    </row>
    <row r="218" spans="1:8" x14ac:dyDescent="0.25">
      <c r="A218" t="s">
        <v>145</v>
      </c>
      <c r="B218" s="166">
        <v>42314</v>
      </c>
      <c r="C218" s="10">
        <v>41</v>
      </c>
      <c r="D218" s="2"/>
      <c r="E218" s="2"/>
      <c r="F218" s="2"/>
      <c r="G218" s="2"/>
      <c r="H218" s="2"/>
    </row>
    <row r="219" spans="1:8" x14ac:dyDescent="0.25">
      <c r="A219" t="s">
        <v>145</v>
      </c>
      <c r="B219" s="166">
        <v>42317</v>
      </c>
      <c r="C219" s="10">
        <v>41</v>
      </c>
      <c r="D219" s="2"/>
      <c r="E219" s="2"/>
      <c r="F219" s="2"/>
      <c r="G219" s="2"/>
      <c r="H219" s="2"/>
    </row>
    <row r="220" spans="1:8" x14ac:dyDescent="0.25">
      <c r="A220" t="s">
        <v>145</v>
      </c>
      <c r="B220" s="166">
        <v>42318</v>
      </c>
      <c r="C220" s="10">
        <v>41</v>
      </c>
      <c r="D220" s="2"/>
      <c r="E220" s="2"/>
      <c r="F220" s="2"/>
      <c r="G220" s="2"/>
      <c r="H220" s="2"/>
    </row>
    <row r="221" spans="1:8" x14ac:dyDescent="0.25">
      <c r="A221" t="s">
        <v>145</v>
      </c>
      <c r="B221" s="166">
        <v>42319</v>
      </c>
      <c r="C221" s="10">
        <v>34</v>
      </c>
      <c r="D221" s="2"/>
      <c r="E221" s="2"/>
      <c r="F221" s="2"/>
      <c r="G221" s="2"/>
      <c r="H221" s="2"/>
    </row>
    <row r="222" spans="1:8" x14ac:dyDescent="0.25">
      <c r="A222" t="s">
        <v>145</v>
      </c>
      <c r="B222" s="166">
        <v>42320</v>
      </c>
      <c r="C222" s="10">
        <v>34</v>
      </c>
      <c r="D222" s="2"/>
      <c r="E222" s="2"/>
      <c r="F222" s="2"/>
      <c r="G222" s="2"/>
      <c r="H222" s="2"/>
    </row>
    <row r="223" spans="1:8" x14ac:dyDescent="0.25">
      <c r="A223" t="s">
        <v>145</v>
      </c>
      <c r="B223" s="166">
        <v>42321</v>
      </c>
      <c r="C223" s="10">
        <v>32</v>
      </c>
      <c r="D223" s="2"/>
      <c r="E223" s="2"/>
      <c r="F223" s="2"/>
      <c r="G223" s="2"/>
      <c r="H223" s="2"/>
    </row>
    <row r="224" spans="1:8" x14ac:dyDescent="0.25">
      <c r="A224" t="s">
        <v>145</v>
      </c>
      <c r="B224" s="166">
        <v>42324</v>
      </c>
      <c r="C224" s="10">
        <v>47</v>
      </c>
      <c r="D224" s="168"/>
      <c r="E224" s="2"/>
      <c r="F224" s="2"/>
      <c r="G224" s="2"/>
      <c r="H224" s="2"/>
    </row>
    <row r="225" spans="1:8" x14ac:dyDescent="0.25">
      <c r="A225" t="s">
        <v>145</v>
      </c>
      <c r="B225" s="166">
        <v>42325</v>
      </c>
      <c r="C225" s="10">
        <v>38</v>
      </c>
      <c r="D225" s="168"/>
      <c r="E225" s="2"/>
      <c r="F225" s="2"/>
      <c r="G225" s="2"/>
      <c r="H225" s="2"/>
    </row>
    <row r="226" spans="1:8" x14ac:dyDescent="0.25">
      <c r="A226" t="s">
        <v>145</v>
      </c>
      <c r="B226" s="166">
        <v>42326</v>
      </c>
      <c r="C226" s="10">
        <v>32</v>
      </c>
      <c r="D226" s="168"/>
      <c r="E226" s="2"/>
      <c r="F226" s="2"/>
      <c r="G226" s="2"/>
      <c r="H226" s="2"/>
    </row>
    <row r="227" spans="1:8" x14ac:dyDescent="0.25">
      <c r="A227" t="s">
        <v>145</v>
      </c>
      <c r="B227" s="166">
        <v>42327</v>
      </c>
      <c r="C227" s="10">
        <v>32</v>
      </c>
      <c r="D227" s="168"/>
      <c r="E227" s="2"/>
      <c r="F227" s="2"/>
      <c r="G227" s="2"/>
      <c r="H227" s="2"/>
    </row>
    <row r="228" spans="1:8" x14ac:dyDescent="0.25">
      <c r="A228" t="s">
        <v>145</v>
      </c>
      <c r="B228" s="166">
        <v>42328</v>
      </c>
      <c r="C228" s="10">
        <v>31</v>
      </c>
      <c r="D228" s="2"/>
      <c r="E228" s="2"/>
      <c r="F228" s="2"/>
      <c r="G228" s="2"/>
      <c r="H228" s="2"/>
    </row>
    <row r="229" spans="1:8" x14ac:dyDescent="0.25">
      <c r="A229" t="s">
        <v>145</v>
      </c>
      <c r="B229" s="166">
        <v>42331</v>
      </c>
      <c r="C229" s="10">
        <v>44</v>
      </c>
      <c r="D229" s="2"/>
      <c r="E229" s="2"/>
      <c r="F229" s="2"/>
      <c r="G229" s="2"/>
      <c r="H229" s="2"/>
    </row>
    <row r="230" spans="1:8" x14ac:dyDescent="0.25">
      <c r="A230" t="s">
        <v>145</v>
      </c>
      <c r="B230" s="166">
        <v>42332</v>
      </c>
      <c r="C230" s="10">
        <v>44</v>
      </c>
      <c r="D230" s="2"/>
      <c r="E230" s="2"/>
      <c r="F230" s="2"/>
      <c r="G230" s="2"/>
      <c r="H230" s="2"/>
    </row>
    <row r="231" spans="1:8" x14ac:dyDescent="0.25">
      <c r="A231" t="s">
        <v>145</v>
      </c>
      <c r="B231" s="166">
        <v>42333</v>
      </c>
      <c r="C231" s="10">
        <v>28</v>
      </c>
      <c r="D231" s="2"/>
      <c r="E231" s="2"/>
      <c r="F231" s="2"/>
      <c r="G231" s="2"/>
      <c r="H231" s="2"/>
    </row>
    <row r="232" spans="1:8" x14ac:dyDescent="0.25">
      <c r="A232" t="s">
        <v>145</v>
      </c>
      <c r="B232" s="166">
        <v>42334</v>
      </c>
      <c r="C232" s="10">
        <v>28</v>
      </c>
      <c r="D232" s="2"/>
      <c r="E232" s="2"/>
      <c r="F232" s="2"/>
      <c r="G232" s="2"/>
      <c r="H232" s="2"/>
    </row>
    <row r="233" spans="1:8" x14ac:dyDescent="0.25">
      <c r="A233" t="s">
        <v>145</v>
      </c>
      <c r="B233" s="166">
        <v>42335</v>
      </c>
      <c r="C233" s="10">
        <v>25</v>
      </c>
      <c r="D233" s="2"/>
      <c r="E233" s="2"/>
      <c r="F233" s="2"/>
      <c r="G233" s="2"/>
      <c r="H233" s="2"/>
    </row>
    <row r="234" spans="1:8" x14ac:dyDescent="0.25">
      <c r="A234" t="s">
        <v>145</v>
      </c>
      <c r="B234" s="166">
        <v>42338</v>
      </c>
      <c r="C234" s="10">
        <v>43</v>
      </c>
      <c r="D234" s="2"/>
      <c r="E234" s="2"/>
      <c r="F234" s="2"/>
      <c r="G234" s="2"/>
      <c r="H234" s="2"/>
    </row>
    <row r="235" spans="1:8" x14ac:dyDescent="0.25">
      <c r="A235" t="s">
        <v>145</v>
      </c>
      <c r="B235" s="166">
        <v>42339</v>
      </c>
      <c r="C235" s="10">
        <v>31</v>
      </c>
      <c r="D235" s="2"/>
      <c r="E235" s="2"/>
      <c r="F235" s="2"/>
      <c r="G235" s="2"/>
      <c r="H235" s="2"/>
    </row>
    <row r="236" spans="1:8" x14ac:dyDescent="0.25">
      <c r="A236" t="s">
        <v>145</v>
      </c>
      <c r="B236" s="166">
        <v>42340</v>
      </c>
      <c r="C236" s="10">
        <v>31</v>
      </c>
      <c r="D236" s="2"/>
      <c r="E236" s="2"/>
      <c r="F236" s="2"/>
      <c r="G236" s="2"/>
      <c r="H236" s="2"/>
    </row>
    <row r="237" spans="1:8" x14ac:dyDescent="0.25">
      <c r="A237" t="s">
        <v>145</v>
      </c>
      <c r="B237" s="166">
        <v>42341</v>
      </c>
      <c r="C237" s="10">
        <v>31</v>
      </c>
      <c r="D237" s="2"/>
      <c r="E237" s="2"/>
      <c r="F237" s="2"/>
      <c r="G237" s="2"/>
      <c r="H237" s="2"/>
    </row>
    <row r="238" spans="1:8" x14ac:dyDescent="0.25">
      <c r="A238" t="s">
        <v>145</v>
      </c>
      <c r="B238" s="166">
        <v>42342</v>
      </c>
      <c r="C238" s="10">
        <v>25</v>
      </c>
      <c r="D238" s="2"/>
      <c r="E238" s="2"/>
      <c r="F238" s="2"/>
      <c r="G238" s="2"/>
      <c r="H238" s="2"/>
    </row>
    <row r="239" spans="1:8" x14ac:dyDescent="0.25">
      <c r="A239" t="s">
        <v>145</v>
      </c>
      <c r="B239" s="166">
        <v>42345</v>
      </c>
      <c r="C239" s="10">
        <v>36</v>
      </c>
      <c r="D239" s="2"/>
      <c r="E239" s="2"/>
      <c r="F239" s="2"/>
      <c r="G239" s="2"/>
      <c r="H239" s="2"/>
    </row>
    <row r="240" spans="1:8" x14ac:dyDescent="0.25">
      <c r="A240" t="s">
        <v>145</v>
      </c>
      <c r="B240" s="166">
        <v>42346</v>
      </c>
      <c r="C240" s="10">
        <v>36</v>
      </c>
      <c r="D240" s="2"/>
      <c r="E240" s="2"/>
      <c r="F240" s="2"/>
      <c r="G240" s="2"/>
      <c r="H240" s="2"/>
    </row>
    <row r="241" spans="1:8" x14ac:dyDescent="0.25">
      <c r="A241" t="s">
        <v>145</v>
      </c>
      <c r="B241" s="166">
        <v>42347</v>
      </c>
      <c r="C241" s="10">
        <v>31</v>
      </c>
      <c r="D241" s="2"/>
      <c r="E241" s="2"/>
      <c r="F241" s="2"/>
      <c r="G241" s="2"/>
      <c r="H241" s="2"/>
    </row>
    <row r="242" spans="1:8" x14ac:dyDescent="0.25">
      <c r="A242" t="s">
        <v>145</v>
      </c>
      <c r="B242" s="166">
        <v>42348</v>
      </c>
      <c r="C242" s="10">
        <v>23</v>
      </c>
      <c r="D242" s="2"/>
      <c r="E242" s="2"/>
      <c r="F242" s="2"/>
      <c r="G242" s="2"/>
      <c r="H242" s="2"/>
    </row>
    <row r="243" spans="1:8" x14ac:dyDescent="0.25">
      <c r="A243" t="s">
        <v>145</v>
      </c>
      <c r="B243" s="166">
        <v>42349</v>
      </c>
      <c r="C243" s="10">
        <v>23</v>
      </c>
      <c r="D243" s="2"/>
      <c r="E243" s="2"/>
      <c r="F243" s="2"/>
      <c r="G243" s="2"/>
      <c r="H243" s="2"/>
    </row>
    <row r="244" spans="1:8" x14ac:dyDescent="0.25">
      <c r="A244" t="s">
        <v>145</v>
      </c>
      <c r="B244" s="166">
        <v>42352</v>
      </c>
      <c r="C244" s="10">
        <v>43</v>
      </c>
      <c r="D244" s="2"/>
      <c r="E244" s="2"/>
      <c r="F244" s="2"/>
      <c r="G244" s="2"/>
      <c r="H244" s="2"/>
    </row>
    <row r="245" spans="1:8" x14ac:dyDescent="0.25">
      <c r="A245" t="s">
        <v>145</v>
      </c>
      <c r="B245" s="166">
        <v>42353</v>
      </c>
      <c r="C245" s="10">
        <v>43</v>
      </c>
      <c r="D245" s="2"/>
      <c r="E245" s="2"/>
      <c r="F245" s="2"/>
      <c r="G245" s="2"/>
      <c r="H245" s="2"/>
    </row>
    <row r="246" spans="1:8" x14ac:dyDescent="0.25">
      <c r="A246" t="s">
        <v>145</v>
      </c>
      <c r="B246" s="166">
        <v>42354</v>
      </c>
      <c r="C246" s="10">
        <v>42</v>
      </c>
      <c r="D246" s="2"/>
      <c r="E246" s="2"/>
      <c r="F246" s="2"/>
      <c r="G246" s="2"/>
      <c r="H246" s="2"/>
    </row>
    <row r="247" spans="1:8" x14ac:dyDescent="0.25">
      <c r="A247" t="s">
        <v>145</v>
      </c>
      <c r="B247" s="166">
        <v>42355</v>
      </c>
      <c r="C247" s="10">
        <v>42</v>
      </c>
      <c r="D247" s="2"/>
      <c r="E247" s="2"/>
      <c r="F247" s="2"/>
      <c r="G247" s="2"/>
      <c r="H247" s="2"/>
    </row>
    <row r="248" spans="1:8" x14ac:dyDescent="0.25">
      <c r="A248" t="s">
        <v>145</v>
      </c>
      <c r="B248" s="166">
        <v>42356</v>
      </c>
      <c r="C248" s="10">
        <v>32</v>
      </c>
      <c r="D248" s="2"/>
      <c r="E248" s="2"/>
      <c r="F248" s="2"/>
      <c r="G248" s="2"/>
      <c r="H248" s="2"/>
    </row>
    <row r="249" spans="1:8" x14ac:dyDescent="0.25">
      <c r="A249" t="s">
        <v>145</v>
      </c>
      <c r="B249" s="166">
        <v>42359</v>
      </c>
      <c r="C249" s="10">
        <v>52</v>
      </c>
      <c r="D249" s="2"/>
      <c r="E249" s="2"/>
      <c r="F249" s="2"/>
      <c r="G249" s="2"/>
      <c r="H249" s="2"/>
    </row>
    <row r="250" spans="1:8" x14ac:dyDescent="0.25">
      <c r="A250" t="s">
        <v>145</v>
      </c>
      <c r="B250" s="166">
        <v>42360</v>
      </c>
      <c r="C250" s="10">
        <v>52</v>
      </c>
      <c r="D250" s="2"/>
      <c r="E250" s="2"/>
      <c r="F250" s="2"/>
      <c r="G250" s="2"/>
      <c r="H250" s="2"/>
    </row>
    <row r="251" spans="1:8" x14ac:dyDescent="0.25">
      <c r="A251" t="s">
        <v>145</v>
      </c>
      <c r="B251" s="166">
        <v>42361</v>
      </c>
      <c r="C251" s="10">
        <v>44</v>
      </c>
      <c r="D251" s="2"/>
      <c r="E251" s="2"/>
      <c r="F251" s="2"/>
      <c r="G251" s="2"/>
      <c r="H251" s="2"/>
    </row>
    <row r="252" spans="1:8" x14ac:dyDescent="0.25">
      <c r="A252" t="s">
        <v>145</v>
      </c>
      <c r="B252" s="166">
        <v>42362</v>
      </c>
      <c r="C252" s="10">
        <v>49</v>
      </c>
      <c r="D252" s="2"/>
      <c r="E252" s="2"/>
      <c r="F252" s="2"/>
      <c r="G252" s="2"/>
      <c r="H252" s="2"/>
    </row>
    <row r="253" spans="1:8" x14ac:dyDescent="0.25">
      <c r="A253" t="s">
        <v>145</v>
      </c>
      <c r="B253" s="166">
        <v>42363</v>
      </c>
      <c r="C253" s="10">
        <v>49</v>
      </c>
      <c r="D253" s="2"/>
      <c r="E253" s="2"/>
      <c r="F253" s="2"/>
      <c r="G253" s="2"/>
      <c r="H253" s="2"/>
    </row>
    <row r="254" spans="1:8" x14ac:dyDescent="0.25">
      <c r="A254" t="s">
        <v>145</v>
      </c>
      <c r="B254" s="166">
        <v>42366</v>
      </c>
      <c r="C254" s="10">
        <v>49</v>
      </c>
      <c r="D254" s="2"/>
      <c r="E254" s="2"/>
      <c r="F254" s="2"/>
      <c r="G254" s="2"/>
      <c r="H254" s="2"/>
    </row>
    <row r="255" spans="1:8" x14ac:dyDescent="0.25">
      <c r="A255" t="s">
        <v>145</v>
      </c>
      <c r="B255" s="166">
        <v>42367</v>
      </c>
      <c r="C255" s="10">
        <v>49</v>
      </c>
      <c r="D255" s="2"/>
      <c r="E255" s="2"/>
      <c r="F255" s="2"/>
      <c r="G255" s="2"/>
      <c r="H255" s="2"/>
    </row>
    <row r="256" spans="1:8" x14ac:dyDescent="0.25">
      <c r="A256" t="s">
        <v>145</v>
      </c>
      <c r="B256" s="166">
        <v>42368</v>
      </c>
      <c r="C256" s="10">
        <v>49</v>
      </c>
      <c r="D256" s="2"/>
      <c r="E256" s="2"/>
      <c r="F256" s="2"/>
      <c r="G256" s="2"/>
      <c r="H256" s="2"/>
    </row>
    <row r="257" spans="1:8" x14ac:dyDescent="0.25">
      <c r="A257" t="s">
        <v>145</v>
      </c>
      <c r="B257" s="166">
        <v>42369</v>
      </c>
      <c r="C257" s="10">
        <v>49</v>
      </c>
      <c r="D257" s="2"/>
      <c r="E257" s="2"/>
      <c r="F257" s="2"/>
      <c r="G257" s="2"/>
      <c r="H257" s="2"/>
    </row>
  </sheetData>
  <autoFilter ref="B1:F257"/>
  <conditionalFormatting sqref="C2:C257">
    <cfRule type="cellIs" dxfId="23" priority="10" operator="greaterThanOrEqual">
      <formula>#REF!</formula>
    </cfRule>
    <cfRule type="cellIs" dxfId="22" priority="11" operator="between">
      <formula>#REF!</formula>
      <formula>#REF!</formula>
    </cfRule>
    <cfRule type="cellIs" dxfId="21" priority="12" operator="between">
      <formula>#REF!</formula>
      <formula>#REF!</formula>
    </cfRule>
    <cfRule type="cellIs" dxfId="20" priority="13" operator="lessThanOr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workbookViewId="0">
      <selection activeCell="L22" sqref="L22"/>
    </sheetView>
  </sheetViews>
  <sheetFormatPr baseColWidth="10" defaultRowHeight="15" x14ac:dyDescent="0.25"/>
  <cols>
    <col min="1" max="1" width="21" bestFit="1" customWidth="1"/>
    <col min="2" max="2" width="25.140625" bestFit="1" customWidth="1"/>
    <col min="3" max="4" width="6.28515625" bestFit="1" customWidth="1"/>
    <col min="5" max="9" width="5.28515625" bestFit="1" customWidth="1"/>
    <col min="10" max="10" width="4.5703125" bestFit="1" customWidth="1"/>
    <col min="11" max="11" width="12.5703125" bestFit="1" customWidth="1"/>
  </cols>
  <sheetData>
    <row r="1" spans="1:2" x14ac:dyDescent="0.25">
      <c r="A1" s="205" t="s">
        <v>157</v>
      </c>
      <c r="B1" s="1" t="s">
        <v>160</v>
      </c>
    </row>
    <row r="2" spans="1:2" x14ac:dyDescent="0.25">
      <c r="A2" s="206">
        <v>42012</v>
      </c>
      <c r="B2" s="207">
        <v>-1</v>
      </c>
    </row>
    <row r="3" spans="1:2" x14ac:dyDescent="0.25">
      <c r="A3" s="206">
        <v>42024</v>
      </c>
      <c r="B3" s="207">
        <v>-1</v>
      </c>
    </row>
    <row r="4" spans="1:2" x14ac:dyDescent="0.25">
      <c r="A4" s="206">
        <v>42031</v>
      </c>
      <c r="B4" s="207">
        <v>-1</v>
      </c>
    </row>
    <row r="5" spans="1:2" x14ac:dyDescent="0.25">
      <c r="A5" s="206">
        <v>42048</v>
      </c>
      <c r="B5" s="207">
        <v>-1</v>
      </c>
    </row>
    <row r="6" spans="1:2" x14ac:dyDescent="0.25">
      <c r="A6" s="206">
        <v>42067</v>
      </c>
      <c r="B6" s="207">
        <v>-1</v>
      </c>
    </row>
    <row r="7" spans="1:2" x14ac:dyDescent="0.25">
      <c r="A7" s="206">
        <v>42082</v>
      </c>
      <c r="B7" s="207">
        <v>-3</v>
      </c>
    </row>
    <row r="8" spans="1:2" x14ac:dyDescent="0.25">
      <c r="A8" s="206">
        <v>42089</v>
      </c>
      <c r="B8" s="207">
        <v>-4</v>
      </c>
    </row>
    <row r="9" spans="1:2" x14ac:dyDescent="0.25">
      <c r="A9" s="206">
        <v>42103</v>
      </c>
      <c r="B9" s="207">
        <v>-1</v>
      </c>
    </row>
    <row r="10" spans="1:2" x14ac:dyDescent="0.25">
      <c r="A10" s="206">
        <v>42110</v>
      </c>
      <c r="B10" s="207">
        <v>-4</v>
      </c>
    </row>
    <row r="11" spans="1:2" x14ac:dyDescent="0.25">
      <c r="A11" s="206">
        <v>42111</v>
      </c>
      <c r="B11" s="207">
        <v>-6</v>
      </c>
    </row>
    <row r="12" spans="1:2" x14ac:dyDescent="0.25">
      <c r="A12" s="206">
        <v>42118</v>
      </c>
      <c r="B12" s="207">
        <v>-5</v>
      </c>
    </row>
    <row r="13" spans="1:2" x14ac:dyDescent="0.25">
      <c r="A13" s="206">
        <v>42122</v>
      </c>
      <c r="B13" s="207">
        <v>-1</v>
      </c>
    </row>
    <row r="14" spans="1:2" x14ac:dyDescent="0.25">
      <c r="A14" s="206">
        <v>42135</v>
      </c>
      <c r="B14" s="207">
        <v>-1</v>
      </c>
    </row>
    <row r="15" spans="1:2" x14ac:dyDescent="0.25">
      <c r="A15" s="206">
        <v>42137</v>
      </c>
      <c r="B15" s="207">
        <v>-24</v>
      </c>
    </row>
    <row r="16" spans="1:2" x14ac:dyDescent="0.25">
      <c r="A16" s="206">
        <v>42143</v>
      </c>
      <c r="B16" s="207">
        <v>-1</v>
      </c>
    </row>
    <row r="17" spans="1:2" x14ac:dyDescent="0.25">
      <c r="A17" s="206">
        <v>42153</v>
      </c>
      <c r="B17" s="207">
        <v>-2</v>
      </c>
    </row>
    <row r="18" spans="1:2" x14ac:dyDescent="0.25">
      <c r="A18" s="206">
        <v>42174</v>
      </c>
      <c r="B18" s="207">
        <v>-4</v>
      </c>
    </row>
    <row r="19" spans="1:2" x14ac:dyDescent="0.25">
      <c r="A19" s="206">
        <v>42181</v>
      </c>
      <c r="B19" s="207">
        <v>-4</v>
      </c>
    </row>
    <row r="20" spans="1:2" x14ac:dyDescent="0.25">
      <c r="A20" s="206">
        <v>42188</v>
      </c>
      <c r="B20" s="207">
        <v>-4</v>
      </c>
    </row>
    <row r="21" spans="1:2" x14ac:dyDescent="0.25">
      <c r="A21" s="206">
        <v>42213</v>
      </c>
      <c r="B21" s="207">
        <v>-4</v>
      </c>
    </row>
    <row r="22" spans="1:2" x14ac:dyDescent="0.25">
      <c r="A22" s="206">
        <v>42234</v>
      </c>
      <c r="B22" s="207">
        <v>-2</v>
      </c>
    </row>
    <row r="23" spans="1:2" x14ac:dyDescent="0.25">
      <c r="A23" s="206">
        <v>42242</v>
      </c>
      <c r="B23" s="207">
        <v>-5</v>
      </c>
    </row>
    <row r="24" spans="1:2" x14ac:dyDescent="0.25">
      <c r="A24" s="206">
        <v>42256</v>
      </c>
      <c r="B24" s="207">
        <v>-10</v>
      </c>
    </row>
    <row r="25" spans="1:2" x14ac:dyDescent="0.25">
      <c r="A25" s="206">
        <v>42292</v>
      </c>
      <c r="B25" s="207">
        <v>-4</v>
      </c>
    </row>
    <row r="26" spans="1:2" x14ac:dyDescent="0.25">
      <c r="A26" s="206">
        <v>42333</v>
      </c>
      <c r="B26" s="207">
        <v>-14</v>
      </c>
    </row>
    <row r="27" spans="1:2" x14ac:dyDescent="0.25">
      <c r="A27" s="206">
        <v>42335</v>
      </c>
      <c r="B27" s="207">
        <v>-3</v>
      </c>
    </row>
    <row r="28" spans="1:2" x14ac:dyDescent="0.25">
      <c r="A28" s="206">
        <v>42345</v>
      </c>
      <c r="B28" s="207">
        <v>-1</v>
      </c>
    </row>
    <row r="29" spans="1:2" x14ac:dyDescent="0.25">
      <c r="A29" s="206">
        <v>42362</v>
      </c>
      <c r="B29" s="207">
        <v>5</v>
      </c>
    </row>
    <row r="30" spans="1:2" x14ac:dyDescent="0.25">
      <c r="A30" s="206" t="s">
        <v>158</v>
      </c>
      <c r="B30" s="207">
        <v>-107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2"/>
  <sheetViews>
    <sheetView topLeftCell="A19" zoomScale="70" zoomScaleNormal="70" workbookViewId="0">
      <selection activeCell="A19" sqref="A1:XFD1048576"/>
    </sheetView>
  </sheetViews>
  <sheetFormatPr baseColWidth="10" defaultRowHeight="15" x14ac:dyDescent="0.25"/>
  <sheetData>
    <row r="1" spans="2:11" thickBot="1" x14ac:dyDescent="0.35"/>
    <row r="2" spans="2:11" ht="26.45" customHeight="1" thickBot="1" x14ac:dyDescent="0.6">
      <c r="B2" s="220" t="str">
        <f>+'parametres articles'!A2</f>
        <v>4RCP-SCH6040-20</v>
      </c>
      <c r="C2" s="221"/>
      <c r="D2" s="221"/>
      <c r="E2" s="222"/>
      <c r="F2" s="78" t="str">
        <f>+'parametres articles'!C2</f>
        <v>ECHELLE SOUDEE INOX A GLISSIERES 600X400 MM</v>
      </c>
      <c r="G2" s="78"/>
      <c r="H2" s="78"/>
      <c r="I2" s="78"/>
      <c r="J2" s="79"/>
      <c r="K2" s="80"/>
    </row>
  </sheetData>
  <mergeCells count="1">
    <mergeCell ref="B2:E2"/>
  </mergeCells>
  <pageMargins left="0.70866141732283472" right="0.70866141732283472" top="0.74803149606299213" bottom="0.74803149606299213" header="0.31496062992125984" footer="0.31496062992125984"/>
  <pageSetup paperSize="9" scale="45" orientation="landscape" r:id="rId1"/>
  <headerFooter>
    <oddHeader>&amp;L&amp;"-,Gras"BELIER ASSOCIES &amp;C&amp;"-,Gras"&amp;14SIMULATION
 DDMRP&amp;R&amp;D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" sqref="F2"/>
    </sheetView>
  </sheetViews>
  <sheetFormatPr baseColWidth="10" defaultRowHeight="15" x14ac:dyDescent="0.25"/>
  <cols>
    <col min="1" max="1" width="17.85546875" customWidth="1"/>
    <col min="2" max="2" width="48.140625" customWidth="1"/>
    <col min="3" max="3" width="11" customWidth="1"/>
    <col min="4" max="4" width="9" customWidth="1"/>
    <col min="5" max="5" width="11.5703125" customWidth="1"/>
    <col min="6" max="6" width="12.5703125" style="1" customWidth="1"/>
    <col min="7" max="7" width="11.5703125" style="1" customWidth="1"/>
    <col min="8" max="8" width="11" style="1" customWidth="1"/>
  </cols>
  <sheetData>
    <row r="1" spans="1:8" s="4" customFormat="1" ht="55.35" customHeight="1" x14ac:dyDescent="0.25">
      <c r="A1" s="73" t="s">
        <v>45</v>
      </c>
      <c r="B1" s="73" t="s">
        <v>47</v>
      </c>
      <c r="C1" s="73" t="s">
        <v>46</v>
      </c>
      <c r="D1" s="73" t="s">
        <v>10</v>
      </c>
      <c r="E1" s="73" t="s">
        <v>1</v>
      </c>
      <c r="F1" s="73" t="s">
        <v>35</v>
      </c>
      <c r="G1" s="73" t="s">
        <v>128</v>
      </c>
      <c r="H1" s="73" t="s">
        <v>129</v>
      </c>
    </row>
    <row r="2" spans="1:8" ht="14.45" x14ac:dyDescent="0.3">
      <c r="A2" s="76" t="s">
        <v>145</v>
      </c>
      <c r="B2" s="75" t="s">
        <v>146</v>
      </c>
      <c r="C2">
        <v>15</v>
      </c>
      <c r="D2" s="74">
        <v>2.27</v>
      </c>
      <c r="F2" s="1" t="s">
        <v>85</v>
      </c>
      <c r="G2" s="158">
        <v>0.8</v>
      </c>
      <c r="H2" s="158">
        <v>0.4</v>
      </c>
    </row>
    <row r="3" spans="1:8" ht="14.45" x14ac:dyDescent="0.3">
      <c r="A3" s="76"/>
      <c r="B3" s="75"/>
      <c r="D3" s="74"/>
      <c r="G3" s="158" t="e">
        <f>VLOOKUP(F3,'profil planification'!$J$4:$L$57,2,FALSE)</f>
        <v>#N/A</v>
      </c>
      <c r="H3" s="158" t="e">
        <f>VLOOKUP(F3,'profil planification'!$J$4:$L$57,3,FALSE)</f>
        <v>#N/A</v>
      </c>
    </row>
    <row r="4" spans="1:8" ht="14.45" x14ac:dyDescent="0.3">
      <c r="A4" s="75"/>
      <c r="B4" s="75"/>
      <c r="D4" s="74"/>
      <c r="G4" s="158" t="e">
        <f>VLOOKUP(F4,'profil planification'!$J$4:$L$57,2,FALSE)</f>
        <v>#N/A</v>
      </c>
      <c r="H4" s="158" t="e">
        <f>VLOOKUP(F4,'profil planification'!$J$4:$L$57,3,FALSE)</f>
        <v>#N/A</v>
      </c>
    </row>
    <row r="5" spans="1:8" ht="14.45" x14ac:dyDescent="0.3">
      <c r="A5" s="75"/>
      <c r="B5" s="75"/>
      <c r="D5" s="74"/>
      <c r="G5" s="158" t="e">
        <f>VLOOKUP(F5,'profil planification'!$J$4:$L$57,2,FALSE)</f>
        <v>#N/A</v>
      </c>
      <c r="H5" s="158" t="e">
        <f>VLOOKUP(F5,'profil planification'!$J$4:$L$57,3,FALSE)</f>
        <v>#N/A</v>
      </c>
    </row>
    <row r="6" spans="1:8" ht="14.45" x14ac:dyDescent="0.3">
      <c r="A6" s="75"/>
      <c r="B6" s="75"/>
      <c r="D6" s="74"/>
      <c r="G6" s="158" t="e">
        <f>VLOOKUP(F6,'profil planification'!$J$4:$L$57,2,FALSE)</f>
        <v>#N/A</v>
      </c>
      <c r="H6" s="158" t="e">
        <f>VLOOKUP(F6,'profil planification'!$J$4:$L$57,3,FALSE)</f>
        <v>#N/A</v>
      </c>
    </row>
    <row r="7" spans="1:8" ht="14.45" x14ac:dyDescent="0.3">
      <c r="A7" s="75"/>
      <c r="B7" s="75"/>
      <c r="D7" s="74"/>
      <c r="G7" s="158" t="e">
        <f>VLOOKUP(F7,'profil planification'!$J$4:$L$57,2,FALSE)</f>
        <v>#N/A</v>
      </c>
      <c r="H7" s="158" t="e">
        <f>VLOOKUP(F7,'profil planification'!$J$4:$L$57,3,FALSE)</f>
        <v>#N/A</v>
      </c>
    </row>
    <row r="8" spans="1:8" ht="14.45" x14ac:dyDescent="0.3">
      <c r="A8" s="76"/>
      <c r="B8" s="75"/>
      <c r="D8" s="74"/>
      <c r="G8" s="158" t="e">
        <f>VLOOKUP(F8,'profil planification'!$J$4:$L$57,2,FALSE)</f>
        <v>#N/A</v>
      </c>
      <c r="H8" s="158" t="e">
        <f>VLOOKUP(F8,'profil planification'!$J$4:$L$57,3,FALSE)</f>
        <v>#N/A</v>
      </c>
    </row>
    <row r="9" spans="1:8" ht="14.45" x14ac:dyDescent="0.3">
      <c r="A9" s="75"/>
      <c r="B9" s="75"/>
      <c r="D9" s="74"/>
      <c r="G9" s="158" t="e">
        <f>VLOOKUP(F9,'profil planification'!$J$4:$L$57,2,FALSE)</f>
        <v>#N/A</v>
      </c>
      <c r="H9" s="158" t="e">
        <f>VLOOKUP(F9,'profil planification'!$J$4:$L$57,3,FALSE)</f>
        <v>#N/A</v>
      </c>
    </row>
    <row r="10" spans="1:8" ht="14.45" x14ac:dyDescent="0.3">
      <c r="A10" s="75"/>
      <c r="B10" s="75"/>
      <c r="D10" s="74"/>
      <c r="G10" s="158" t="e">
        <f>VLOOKUP(F10,'profil planification'!$J$4:$L$57,2,FALSE)</f>
        <v>#N/A</v>
      </c>
      <c r="H10" s="158" t="e">
        <f>VLOOKUP(F10,'profil planification'!$J$4:$L$57,3,FALSE)</f>
        <v>#N/A</v>
      </c>
    </row>
    <row r="11" spans="1:8" ht="14.45" x14ac:dyDescent="0.3">
      <c r="A11" s="75"/>
      <c r="B11" s="75"/>
      <c r="D11" s="74"/>
      <c r="G11" s="158" t="e">
        <f>VLOOKUP(F11,'profil planification'!$J$4:$L$57,2,FALSE)</f>
        <v>#N/A</v>
      </c>
      <c r="H11" s="158" t="e">
        <f>VLOOKUP(F11,'profil planification'!$J$4:$L$57,3,FALSE)</f>
        <v>#N/A</v>
      </c>
    </row>
    <row r="12" spans="1:8" ht="14.45" x14ac:dyDescent="0.3">
      <c r="A12" s="75"/>
      <c r="B12" s="75"/>
      <c r="D12" s="74"/>
      <c r="G12" s="158" t="e">
        <f>VLOOKUP(F12,'profil planification'!$J$4:$L$57,2,FALSE)</f>
        <v>#N/A</v>
      </c>
      <c r="H12" s="158" t="e">
        <f>VLOOKUP(F12,'profil planification'!$J$4:$L$57,3,FALSE)</f>
        <v>#N/A</v>
      </c>
    </row>
    <row r="13" spans="1:8" ht="14.45" x14ac:dyDescent="0.3">
      <c r="A13" s="75"/>
      <c r="B13" s="75"/>
      <c r="D13" s="74"/>
      <c r="G13" s="158" t="e">
        <f>VLOOKUP(F13,'profil planification'!$J$4:$L$57,2,FALSE)</f>
        <v>#N/A</v>
      </c>
      <c r="H13" s="158" t="e">
        <f>VLOOKUP(F13,'profil planification'!$J$4:$L$57,3,FALSE)</f>
        <v>#N/A</v>
      </c>
    </row>
    <row r="14" spans="1:8" ht="14.45" x14ac:dyDescent="0.3">
      <c r="A14" s="75"/>
      <c r="B14" s="75"/>
      <c r="D14" s="74"/>
      <c r="G14" s="158" t="e">
        <f>VLOOKUP(F14,'profil planification'!$J$4:$L$57,2,FALSE)</f>
        <v>#N/A</v>
      </c>
      <c r="H14" s="158" t="e">
        <f>VLOOKUP(F14,'profil planification'!$J$4:$L$57,3,FALSE)</f>
        <v>#N/A</v>
      </c>
    </row>
    <row r="15" spans="1:8" ht="14.45" x14ac:dyDescent="0.3">
      <c r="A15" s="75"/>
      <c r="B15" s="75"/>
      <c r="D15" s="74"/>
      <c r="G15" s="158" t="e">
        <f>VLOOKUP(F15,'profil planification'!$J$4:$L$57,2,FALSE)</f>
        <v>#N/A</v>
      </c>
      <c r="H15" s="158" t="e">
        <f>VLOOKUP(F15,'profil planification'!$J$4:$L$57,3,FALSE)</f>
        <v>#N/A</v>
      </c>
    </row>
    <row r="16" spans="1:8" x14ac:dyDescent="0.25">
      <c r="A16" s="75"/>
      <c r="B16" s="75"/>
      <c r="D16" s="74"/>
      <c r="G16" s="158" t="e">
        <f>VLOOKUP(F16,'profil planification'!$J$4:$L$57,2,FALSE)</f>
        <v>#N/A</v>
      </c>
      <c r="H16" s="158" t="e">
        <f>VLOOKUP(F16,'profil planification'!$J$4:$L$57,3,FALSE)</f>
        <v>#N/A</v>
      </c>
    </row>
    <row r="17" spans="1:8" x14ac:dyDescent="0.25">
      <c r="A17" s="75"/>
      <c r="B17" s="75"/>
      <c r="D17" s="74"/>
      <c r="G17" s="158" t="e">
        <f>VLOOKUP(F17,'profil planification'!$J$4:$L$57,2,FALSE)</f>
        <v>#N/A</v>
      </c>
      <c r="H17" s="158" t="e">
        <f>VLOOKUP(F17,'profil planification'!$J$4:$L$57,3,FALSE)</f>
        <v>#N/A</v>
      </c>
    </row>
    <row r="18" spans="1:8" x14ac:dyDescent="0.25">
      <c r="A18" s="75"/>
      <c r="B18" s="75"/>
      <c r="D18" s="74"/>
      <c r="G18" s="158" t="e">
        <f>VLOOKUP(F18,'profil planification'!$J$4:$L$57,2,FALSE)</f>
        <v>#N/A</v>
      </c>
      <c r="H18" s="158" t="e">
        <f>VLOOKUP(F18,'profil planification'!$J$4:$L$57,3,FALSE)</f>
        <v>#N/A</v>
      </c>
    </row>
    <row r="19" spans="1:8" x14ac:dyDescent="0.25">
      <c r="A19" s="75"/>
      <c r="B19" s="75"/>
      <c r="D19" s="74"/>
      <c r="G19" s="158" t="e">
        <f>VLOOKUP(F19,'profil planification'!$J$4:$L$57,2,FALSE)</f>
        <v>#N/A</v>
      </c>
      <c r="H19" s="158" t="e">
        <f>VLOOKUP(F19,'profil planification'!$J$4:$L$57,3,FALSE)</f>
        <v>#N/A</v>
      </c>
    </row>
    <row r="20" spans="1:8" x14ac:dyDescent="0.25">
      <c r="A20" s="75"/>
      <c r="B20" s="75"/>
      <c r="D20" s="74"/>
      <c r="G20" s="158" t="e">
        <f>VLOOKUP(F20,'profil planification'!$J$4:$L$57,2,FALSE)</f>
        <v>#N/A</v>
      </c>
      <c r="H20" s="158" t="e">
        <f>VLOOKUP(F20,'profil planification'!$J$4:$L$57,3,FALSE)</f>
        <v>#N/A</v>
      </c>
    </row>
    <row r="21" spans="1:8" x14ac:dyDescent="0.25">
      <c r="A21" s="75"/>
      <c r="B21" s="75"/>
      <c r="D21" s="74"/>
      <c r="G21" s="158" t="e">
        <f>VLOOKUP(F21,'profil planification'!$J$4:$L$57,2,FALSE)</f>
        <v>#N/A</v>
      </c>
      <c r="H21" s="158" t="e">
        <f>VLOOKUP(F21,'profil planification'!$J$4:$L$57,3,FALSE)</f>
        <v>#N/A</v>
      </c>
    </row>
    <row r="22" spans="1:8" x14ac:dyDescent="0.25">
      <c r="A22" s="75"/>
      <c r="B22" s="75"/>
      <c r="D22" s="74"/>
      <c r="G22" s="158" t="e">
        <f>VLOOKUP(F22,'profil planification'!$J$4:$L$57,2,FALSE)</f>
        <v>#N/A</v>
      </c>
      <c r="H22" s="158" t="e">
        <f>VLOOKUP(F22,'profil planification'!$J$4:$L$57,3,FALSE)</f>
        <v>#N/A</v>
      </c>
    </row>
    <row r="23" spans="1:8" x14ac:dyDescent="0.25">
      <c r="A23" s="75"/>
      <c r="B23" s="75"/>
      <c r="D23" s="74"/>
      <c r="G23" s="158" t="e">
        <f>VLOOKUP(F23,'profil planification'!$J$4:$L$57,2,FALSE)</f>
        <v>#N/A</v>
      </c>
      <c r="H23" s="158" t="e">
        <f>VLOOKUP(F23,'profil planification'!$J$4:$L$57,3,FALSE)</f>
        <v>#N/A</v>
      </c>
    </row>
    <row r="24" spans="1:8" x14ac:dyDescent="0.25">
      <c r="A24" s="75"/>
      <c r="B24" s="75"/>
      <c r="D24" s="74"/>
      <c r="G24" s="158" t="e">
        <f>VLOOKUP(F24,'profil planification'!$J$4:$L$57,2,FALSE)</f>
        <v>#N/A</v>
      </c>
      <c r="H24" s="158" t="e">
        <f>VLOOKUP(F24,'profil planification'!$J$4:$L$57,3,FALSE)</f>
        <v>#N/A</v>
      </c>
    </row>
    <row r="25" spans="1:8" x14ac:dyDescent="0.25">
      <c r="A25" s="75"/>
      <c r="B25" s="75"/>
      <c r="D25" s="74"/>
      <c r="G25" s="158" t="e">
        <f>VLOOKUP(F25,'profil planification'!$J$4:$L$57,2,FALSE)</f>
        <v>#N/A</v>
      </c>
      <c r="H25" s="158" t="e">
        <f>VLOOKUP(F25,'profil planification'!$J$4:$L$57,3,FALSE)</f>
        <v>#N/A</v>
      </c>
    </row>
    <row r="26" spans="1:8" x14ac:dyDescent="0.25">
      <c r="A26" s="75"/>
      <c r="B26" s="75"/>
      <c r="D26" s="74"/>
      <c r="G26" s="158" t="e">
        <f>VLOOKUP(F26,'profil planification'!$J$4:$L$57,2,FALSE)</f>
        <v>#N/A</v>
      </c>
      <c r="H26" s="158" t="e">
        <f>VLOOKUP(F26,'profil planification'!$J$4:$L$57,3,FALSE)</f>
        <v>#N/A</v>
      </c>
    </row>
    <row r="27" spans="1:8" x14ac:dyDescent="0.25">
      <c r="A27" s="75"/>
      <c r="B27" s="75"/>
      <c r="D27" s="74"/>
      <c r="G27" s="158" t="e">
        <f>VLOOKUP(F27,'profil planification'!$J$4:$L$57,2,FALSE)</f>
        <v>#N/A</v>
      </c>
      <c r="H27" s="158" t="e">
        <f>VLOOKUP(F27,'profil planification'!$J$4:$L$57,3,FALSE)</f>
        <v>#N/A</v>
      </c>
    </row>
    <row r="28" spans="1:8" x14ac:dyDescent="0.25">
      <c r="A28" s="75"/>
      <c r="B28" s="75"/>
      <c r="D28" s="74"/>
      <c r="G28" s="158" t="e">
        <f>VLOOKUP(F28,'profil planification'!$J$4:$L$57,2,FALSE)</f>
        <v>#N/A</v>
      </c>
      <c r="H28" s="158" t="e">
        <f>VLOOKUP(F28,'profil planification'!$J$4:$L$57,3,FALSE)</f>
        <v>#N/A</v>
      </c>
    </row>
  </sheetData>
  <autoFilter ref="A1:H1"/>
  <dataConsolidate topLabels="1" link="1">
    <dataRefs count="1">
      <dataRef ref="B1:B12" sheet="base article"/>
    </dataRefs>
  </dataConsolid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L260"/>
  <sheetViews>
    <sheetView zoomScale="140" zoomScaleNormal="140" workbookViewId="0">
      <pane xSplit="2" ySplit="4" topLeftCell="C39" activePane="bottomRight" state="frozen"/>
      <selection pane="topRight" activeCell="C1" sqref="C1"/>
      <selection pane="bottomLeft" activeCell="A3" sqref="A3"/>
      <selection pane="bottomRight" activeCell="D45" sqref="D45"/>
    </sheetView>
  </sheetViews>
  <sheetFormatPr baseColWidth="10" defaultRowHeight="15" x14ac:dyDescent="0.25"/>
  <cols>
    <col min="1" max="1" width="26.85546875" style="2" customWidth="1"/>
    <col min="2" max="2" width="10.85546875" style="163" customWidth="1"/>
    <col min="3" max="3" width="8.85546875" style="5" customWidth="1"/>
    <col min="4" max="5" width="8.85546875" customWidth="1"/>
    <col min="6" max="6" width="12.140625" customWidth="1"/>
    <col min="7" max="7" width="7.42578125" customWidth="1"/>
    <col min="8" max="9" width="10.42578125" customWidth="1"/>
    <col min="10" max="10" width="5.85546875" customWidth="1"/>
    <col min="11" max="21" width="8.85546875" customWidth="1"/>
    <col min="22" max="24" width="11.5703125" customWidth="1"/>
    <col min="25" max="25" width="7.42578125" customWidth="1"/>
    <col min="26" max="26" width="11.5703125" customWidth="1"/>
    <col min="27" max="27" width="7.42578125" style="11" customWidth="1"/>
    <col min="28" max="31" width="8.85546875" style="11" customWidth="1"/>
    <col min="32" max="32" width="7.140625" customWidth="1"/>
    <col min="33" max="33" width="15.5703125" style="170" customWidth="1"/>
    <col min="34" max="38" width="11.140625" customWidth="1"/>
  </cols>
  <sheetData>
    <row r="2" spans="1:38" ht="20.45" customHeight="1" x14ac:dyDescent="0.3">
      <c r="B2" s="163" t="s">
        <v>10</v>
      </c>
      <c r="E2" t="s">
        <v>11</v>
      </c>
    </row>
    <row r="3" spans="1:38" thickBot="1" x14ac:dyDescent="0.35">
      <c r="B3" s="164"/>
      <c r="E3" s="2">
        <f>+SUBTOTAL(101,E5:E252)</f>
        <v>61.532258064516128</v>
      </c>
      <c r="G3" s="2"/>
      <c r="K3" t="s">
        <v>42</v>
      </c>
      <c r="AA3" s="11" t="s">
        <v>41</v>
      </c>
      <c r="AI3" s="2"/>
    </row>
    <row r="4" spans="1:38" s="4" customFormat="1" ht="45.75" thickBot="1" x14ac:dyDescent="0.3">
      <c r="A4" s="144" t="s">
        <v>17</v>
      </c>
      <c r="B4" s="165" t="s">
        <v>37</v>
      </c>
      <c r="C4" s="145" t="s">
        <v>20</v>
      </c>
      <c r="D4" s="159" t="s">
        <v>134</v>
      </c>
      <c r="E4" s="146" t="s">
        <v>14</v>
      </c>
      <c r="F4" s="146" t="s">
        <v>40</v>
      </c>
      <c r="G4" s="146" t="s">
        <v>15</v>
      </c>
      <c r="H4" s="147" t="s">
        <v>39</v>
      </c>
      <c r="I4" s="148" t="s">
        <v>141</v>
      </c>
      <c r="K4" s="4" t="s">
        <v>43</v>
      </c>
      <c r="L4" s="4" t="s">
        <v>133</v>
      </c>
      <c r="M4" s="4" t="s">
        <v>138</v>
      </c>
      <c r="N4" s="4" t="s">
        <v>139</v>
      </c>
      <c r="O4" s="4" t="s">
        <v>1</v>
      </c>
      <c r="P4" s="4" t="s">
        <v>44</v>
      </c>
      <c r="Q4" s="4" t="s">
        <v>140</v>
      </c>
      <c r="R4" s="4" t="s">
        <v>142</v>
      </c>
      <c r="S4" s="4" t="s">
        <v>25</v>
      </c>
      <c r="T4" s="4" t="s">
        <v>29</v>
      </c>
      <c r="U4" s="4" t="s">
        <v>16</v>
      </c>
      <c r="V4" s="4" t="s">
        <v>30</v>
      </c>
      <c r="W4" s="4" t="s">
        <v>31</v>
      </c>
      <c r="X4" s="4" t="s">
        <v>32</v>
      </c>
      <c r="Y4" s="4" t="s">
        <v>11</v>
      </c>
      <c r="AA4" s="12" t="s">
        <v>137</v>
      </c>
      <c r="AB4" s="12" t="s">
        <v>33</v>
      </c>
      <c r="AC4" s="12" t="s">
        <v>34</v>
      </c>
      <c r="AD4" s="12" t="s">
        <v>136</v>
      </c>
      <c r="AE4" s="12" t="s">
        <v>17</v>
      </c>
      <c r="AG4" s="171" t="s">
        <v>153</v>
      </c>
    </row>
    <row r="5" spans="1:38" ht="14.45" x14ac:dyDescent="0.3">
      <c r="A5" s="166">
        <v>42005</v>
      </c>
      <c r="C5" s="160" t="s">
        <v>21</v>
      </c>
      <c r="D5" s="161">
        <f ca="1">+IF(AD5=0,P5,(SUM(INDIRECT(CONCATENATE("B",AD5,":B",AA5)))/'parametres articles'!$H$8))</f>
        <v>2.27</v>
      </c>
      <c r="E5" s="2">
        <v>34</v>
      </c>
      <c r="F5" s="2"/>
      <c r="G5" s="10">
        <f t="shared" ref="G5:G68" si="0">+E5-B5+F5</f>
        <v>34</v>
      </c>
      <c r="H5" s="140"/>
      <c r="I5" s="141"/>
      <c r="K5" s="2">
        <f>+HLOOKUP($C5,'parametres articles'!$C$5:$G$25,5,FALSE)</f>
        <v>15</v>
      </c>
      <c r="L5" s="2">
        <f>+HLOOKUP($C5,'parametres articles'!$C$5:$G$25,21,FALSE)</f>
        <v>13</v>
      </c>
      <c r="M5" s="124">
        <f>+HLOOKUP($C5,'parametres articles'!$C$5:$G$25,7,FALSE)</f>
        <v>0.8</v>
      </c>
      <c r="N5" s="124">
        <f>+HLOOKUP($C5,'parametres articles'!$C$5:$G$25,6,FALSE)</f>
        <v>0.4</v>
      </c>
      <c r="O5" s="2">
        <f>+HLOOKUP($C5,'parametres articles'!$C$5:$G$25,8,FALSE)</f>
        <v>0</v>
      </c>
      <c r="P5" s="114">
        <f>IF(C5="E",'parametres articles'!$C$8,HLOOKUP($C5,'parametres articles'!$C$5:$F$25,4,FALSE))</f>
        <v>2.27</v>
      </c>
      <c r="Q5" s="114">
        <f t="shared" ref="Q5:Q68" si="1">+IF(C5="E",D5,P5)</f>
        <v>2.27</v>
      </c>
      <c r="R5" s="2">
        <f>+Q5*K5*N5</f>
        <v>13.62</v>
      </c>
      <c r="S5" s="2">
        <f t="shared" ref="S5:S68" si="2">(Q5*K5*N5)*(1+M5)</f>
        <v>24.515999999999998</v>
      </c>
      <c r="T5" s="2">
        <f t="shared" ref="T5:T68" si="3">+S5+Q5*K5</f>
        <v>58.565999999999995</v>
      </c>
      <c r="U5" s="2">
        <f>+T5+X5</f>
        <v>72.185999999999993</v>
      </c>
      <c r="V5" s="2">
        <f t="shared" ref="V5:V68" si="4">+(Q5*K5*N5)*(1+M5)</f>
        <v>24.515999999999998</v>
      </c>
      <c r="W5" s="2">
        <f t="shared" ref="W5:W68" si="5">+Q5*K5</f>
        <v>34.049999999999997</v>
      </c>
      <c r="X5" s="2">
        <f t="shared" ref="X5:X68" si="6">+IF(O5&gt;K5*Q5*N5,O5,K5*Q5*N5)</f>
        <v>13.62</v>
      </c>
      <c r="Y5" s="114">
        <f t="shared" ref="Y5:Y68" si="7">+V5+X5/2</f>
        <v>31.325999999999997</v>
      </c>
      <c r="AA5" s="11">
        <f ca="1">CELL("ligne",A5)</f>
        <v>5</v>
      </c>
      <c r="AB5" s="11">
        <f ca="1">+AA5+'parametres articles'!$C$9-1</f>
        <v>19</v>
      </c>
      <c r="AC5" s="11">
        <f ca="1">+AA5+'parametres articles'!$C$24-1</f>
        <v>24</v>
      </c>
      <c r="AD5" s="11">
        <f>+IF(AE5&lt;='parametres articles'!$H$8,0,AA5-'parametres articles'!$H$8+1)</f>
        <v>0</v>
      </c>
      <c r="AE5" s="11">
        <v>1</v>
      </c>
      <c r="AF5" s="2" t="str">
        <f ca="1">CONCATENATE("F",AA5+K5)</f>
        <v>F20</v>
      </c>
      <c r="AG5" s="172"/>
      <c r="AH5" s="168"/>
      <c r="AI5" s="2"/>
      <c r="AJ5" s="2"/>
      <c r="AK5" s="2"/>
      <c r="AL5" s="2"/>
    </row>
    <row r="6" spans="1:38" ht="14.45" x14ac:dyDescent="0.3">
      <c r="A6" s="166">
        <v>42006</v>
      </c>
      <c r="C6" s="160" t="s">
        <v>21</v>
      </c>
      <c r="D6" s="161">
        <f ca="1">+IF(AD6=0,P6,(SUM(INDIRECT(CONCATENATE("B",AD6,":B",AA6)))/'parametres articles'!$H$8))</f>
        <v>2.27</v>
      </c>
      <c r="E6" s="10">
        <f>+G5+AG6</f>
        <v>34</v>
      </c>
      <c r="F6" s="10"/>
      <c r="G6" s="10">
        <f t="shared" si="0"/>
        <v>34</v>
      </c>
      <c r="H6" s="140"/>
      <c r="I6" s="141"/>
      <c r="K6" s="2">
        <f>+HLOOKUP($C6,'parametres articles'!$C$5:$G$25,5,FALSE)</f>
        <v>15</v>
      </c>
      <c r="L6" s="2">
        <f>+HLOOKUP($C6,'parametres articles'!$C$5:$G$25,21,FALSE)</f>
        <v>13</v>
      </c>
      <c r="M6" s="124">
        <f>+HLOOKUP($C6,'parametres articles'!$C$5:$G$25,7,FALSE)</f>
        <v>0.8</v>
      </c>
      <c r="N6" s="124">
        <f>+HLOOKUP($C6,'parametres articles'!$C$5:$G$25,6,FALSE)</f>
        <v>0.4</v>
      </c>
      <c r="O6" s="2">
        <f>+HLOOKUP($C6,'parametres articles'!$C$5:$G$25,8,FALSE)</f>
        <v>0</v>
      </c>
      <c r="P6" s="114">
        <f>IF(C6="E",'parametres articles'!$C$8,HLOOKUP($C6,'parametres articles'!$C$5:$F$25,4,FALSE))</f>
        <v>2.27</v>
      </c>
      <c r="Q6" s="114">
        <f t="shared" si="1"/>
        <v>2.27</v>
      </c>
      <c r="R6" s="2">
        <f t="shared" ref="R6:R69" si="8">+Q6*K6*N6</f>
        <v>13.62</v>
      </c>
      <c r="S6" s="2">
        <f t="shared" si="2"/>
        <v>24.515999999999998</v>
      </c>
      <c r="T6" s="2">
        <f t="shared" si="3"/>
        <v>58.565999999999995</v>
      </c>
      <c r="U6" s="2">
        <f t="shared" ref="U6:U69" si="9">+T6+X6</f>
        <v>72.185999999999993</v>
      </c>
      <c r="V6" s="2">
        <f t="shared" si="4"/>
        <v>24.515999999999998</v>
      </c>
      <c r="W6" s="2">
        <f t="shared" si="5"/>
        <v>34.049999999999997</v>
      </c>
      <c r="X6" s="2">
        <f t="shared" si="6"/>
        <v>13.62</v>
      </c>
      <c r="Y6" s="114">
        <f t="shared" si="7"/>
        <v>31.325999999999997</v>
      </c>
      <c r="AA6" s="11">
        <f ca="1">+AA5+1</f>
        <v>6</v>
      </c>
      <c r="AB6" s="11">
        <f ca="1">+AA6+'parametres articles'!$C$9-1</f>
        <v>20</v>
      </c>
      <c r="AC6" s="11">
        <f ca="1">+AA6+'parametres articles'!$C$24-1</f>
        <v>25</v>
      </c>
      <c r="AD6" s="11">
        <f>+IF(AE6&lt;='parametres articles'!$H$8,0,AA6-'parametres articles'!$H$8+1)</f>
        <v>0</v>
      </c>
      <c r="AE6" s="11">
        <v>2</v>
      </c>
      <c r="AF6" s="2" t="str">
        <f t="shared" ref="AF6:AF69" ca="1" si="10">CONCATENATE("F",AA6+K5)</f>
        <v>F21</v>
      </c>
      <c r="AG6" s="172"/>
      <c r="AH6" s="168"/>
      <c r="AI6" s="2"/>
      <c r="AJ6" s="2"/>
      <c r="AK6" s="2"/>
      <c r="AL6" s="2"/>
    </row>
    <row r="7" spans="1:38" ht="14.45" x14ac:dyDescent="0.3">
      <c r="A7" s="166">
        <v>42009</v>
      </c>
      <c r="C7" s="160" t="s">
        <v>21</v>
      </c>
      <c r="D7" s="161">
        <f ca="1">+IF(AD7=0,P7,(SUM(INDIRECT(CONCATENATE("B",AD7,":B",AA7)))/'parametres articles'!$H$8))</f>
        <v>2.27</v>
      </c>
      <c r="E7" s="10">
        <f t="shared" ref="E7:E70" si="11">+G6+AG7</f>
        <v>34</v>
      </c>
      <c r="F7" s="10"/>
      <c r="G7" s="10">
        <f t="shared" si="0"/>
        <v>34</v>
      </c>
      <c r="H7" s="140"/>
      <c r="I7" s="141"/>
      <c r="K7" s="2">
        <f>+HLOOKUP($C7,'parametres articles'!$C$5:$G$25,5,FALSE)</f>
        <v>15</v>
      </c>
      <c r="L7" s="2">
        <f>+HLOOKUP($C7,'parametres articles'!$C$5:$G$25,21,FALSE)</f>
        <v>13</v>
      </c>
      <c r="M7" s="124">
        <f>+HLOOKUP($C7,'parametres articles'!$C$5:$G$25,7,FALSE)</f>
        <v>0.8</v>
      </c>
      <c r="N7" s="124">
        <f>+HLOOKUP($C7,'parametres articles'!$C$5:$G$25,6,FALSE)</f>
        <v>0.4</v>
      </c>
      <c r="O7" s="2">
        <f>+HLOOKUP($C7,'parametres articles'!$C$5:$G$25,8,FALSE)</f>
        <v>0</v>
      </c>
      <c r="P7" s="114">
        <f>IF(C7="E",'parametres articles'!$C$8,HLOOKUP($C7,'parametres articles'!$C$5:$F$25,4,FALSE))</f>
        <v>2.27</v>
      </c>
      <c r="Q7" s="114">
        <f t="shared" si="1"/>
        <v>2.27</v>
      </c>
      <c r="R7" s="2">
        <f t="shared" si="8"/>
        <v>13.62</v>
      </c>
      <c r="S7" s="2">
        <f t="shared" si="2"/>
        <v>24.515999999999998</v>
      </c>
      <c r="T7" s="2">
        <f t="shared" si="3"/>
        <v>58.565999999999995</v>
      </c>
      <c r="U7" s="2">
        <f t="shared" si="9"/>
        <v>72.185999999999993</v>
      </c>
      <c r="V7" s="2">
        <f t="shared" si="4"/>
        <v>24.515999999999998</v>
      </c>
      <c r="W7" s="2">
        <f t="shared" si="5"/>
        <v>34.049999999999997</v>
      </c>
      <c r="X7" s="2">
        <f t="shared" si="6"/>
        <v>13.62</v>
      </c>
      <c r="Y7" s="114">
        <f t="shared" si="7"/>
        <v>31.325999999999997</v>
      </c>
      <c r="AA7" s="11">
        <f t="shared" ref="AA7:AA70" ca="1" si="12">+AA6+1</f>
        <v>7</v>
      </c>
      <c r="AB7" s="11">
        <f ca="1">+AA7+'parametres articles'!$C$9-1</f>
        <v>21</v>
      </c>
      <c r="AC7" s="11">
        <f ca="1">+AA7+'parametres articles'!$C$24-1</f>
        <v>26</v>
      </c>
      <c r="AD7" s="11">
        <f>+IF(AE7&lt;='parametres articles'!$H$8,0,AA7-'parametres articles'!$H$8+1)</f>
        <v>0</v>
      </c>
      <c r="AE7" s="11">
        <v>3</v>
      </c>
      <c r="AF7" s="2" t="str">
        <f t="shared" ca="1" si="10"/>
        <v>F22</v>
      </c>
      <c r="AG7" s="172"/>
      <c r="AH7" s="168"/>
      <c r="AI7" s="2"/>
      <c r="AJ7" s="2"/>
      <c r="AK7" s="2"/>
      <c r="AL7" s="2"/>
    </row>
    <row r="8" spans="1:38" ht="14.45" x14ac:dyDescent="0.3">
      <c r="A8" s="166">
        <v>42010</v>
      </c>
      <c r="C8" s="160" t="s">
        <v>21</v>
      </c>
      <c r="D8" s="161">
        <f ca="1">+IF(AD8=0,P8,(SUM(INDIRECT(CONCATENATE("B",AD8,":B",AA8)))/'parametres articles'!$H$8))</f>
        <v>2.27</v>
      </c>
      <c r="E8" s="10">
        <f t="shared" si="11"/>
        <v>34</v>
      </c>
      <c r="F8" s="10"/>
      <c r="G8" s="10">
        <f t="shared" si="0"/>
        <v>34</v>
      </c>
      <c r="H8" s="140"/>
      <c r="I8" s="141"/>
      <c r="K8" s="2">
        <f>+HLOOKUP($C8,'parametres articles'!$C$5:$G$25,5,FALSE)</f>
        <v>15</v>
      </c>
      <c r="L8" s="2">
        <f>+HLOOKUP($C8,'parametres articles'!$C$5:$G$25,21,FALSE)</f>
        <v>13</v>
      </c>
      <c r="M8" s="124">
        <f>+HLOOKUP($C8,'parametres articles'!$C$5:$G$25,7,FALSE)</f>
        <v>0.8</v>
      </c>
      <c r="N8" s="124">
        <f>+HLOOKUP($C8,'parametres articles'!$C$5:$G$25,6,FALSE)</f>
        <v>0.4</v>
      </c>
      <c r="O8" s="2">
        <f>+HLOOKUP($C8,'parametres articles'!$C$5:$G$25,8,FALSE)</f>
        <v>0</v>
      </c>
      <c r="P8" s="114">
        <f>IF(C8="E",'parametres articles'!$C$8,HLOOKUP($C8,'parametres articles'!$C$5:$F$25,4,FALSE))</f>
        <v>2.27</v>
      </c>
      <c r="Q8" s="114">
        <f t="shared" si="1"/>
        <v>2.27</v>
      </c>
      <c r="R8" s="2">
        <f t="shared" si="8"/>
        <v>13.62</v>
      </c>
      <c r="S8" s="2">
        <f t="shared" si="2"/>
        <v>24.515999999999998</v>
      </c>
      <c r="T8" s="2">
        <f t="shared" si="3"/>
        <v>58.565999999999995</v>
      </c>
      <c r="U8" s="2">
        <f t="shared" si="9"/>
        <v>72.185999999999993</v>
      </c>
      <c r="V8" s="2">
        <f t="shared" si="4"/>
        <v>24.515999999999998</v>
      </c>
      <c r="W8" s="2">
        <f t="shared" si="5"/>
        <v>34.049999999999997</v>
      </c>
      <c r="X8" s="2">
        <f t="shared" si="6"/>
        <v>13.62</v>
      </c>
      <c r="Y8" s="114">
        <f t="shared" si="7"/>
        <v>31.325999999999997</v>
      </c>
      <c r="AA8" s="11">
        <f t="shared" ca="1" si="12"/>
        <v>8</v>
      </c>
      <c r="AB8" s="11">
        <f ca="1">+AA8+'parametres articles'!$C$9-1</f>
        <v>22</v>
      </c>
      <c r="AC8" s="11">
        <f ca="1">+AA8+'parametres articles'!$C$24-1</f>
        <v>27</v>
      </c>
      <c r="AD8" s="11">
        <f>+IF(AE8&lt;='parametres articles'!$H$8,0,AA8-'parametres articles'!$H$8+1)</f>
        <v>0</v>
      </c>
      <c r="AE8" s="11">
        <v>4</v>
      </c>
      <c r="AF8" s="2" t="str">
        <f t="shared" ca="1" si="10"/>
        <v>F23</v>
      </c>
      <c r="AG8" s="172"/>
      <c r="AH8" s="168"/>
      <c r="AI8" s="2"/>
      <c r="AJ8" s="2"/>
      <c r="AK8" s="2"/>
      <c r="AL8" s="2"/>
    </row>
    <row r="9" spans="1:38" ht="14.45" x14ac:dyDescent="0.3">
      <c r="A9" s="166">
        <v>42011</v>
      </c>
      <c r="B9" s="163">
        <v>11</v>
      </c>
      <c r="C9" s="160" t="s">
        <v>21</v>
      </c>
      <c r="D9" s="161">
        <f ca="1">+IF(AD9=0,P9,(SUM(INDIRECT(CONCATENATE("B",AD9,":B",AA9)))/'parametres articles'!$H$8))</f>
        <v>2.27</v>
      </c>
      <c r="E9" s="10">
        <f t="shared" si="11"/>
        <v>34</v>
      </c>
      <c r="F9" s="10"/>
      <c r="G9" s="10">
        <f t="shared" si="0"/>
        <v>23</v>
      </c>
      <c r="H9" s="140"/>
      <c r="I9" s="141"/>
      <c r="K9" s="2">
        <f>+HLOOKUP($C9,'parametres articles'!$C$5:$G$25,5,FALSE)</f>
        <v>15</v>
      </c>
      <c r="L9" s="2">
        <f>+HLOOKUP($C9,'parametres articles'!$C$5:$G$25,21,FALSE)</f>
        <v>13</v>
      </c>
      <c r="M9" s="124">
        <f>+HLOOKUP($C9,'parametres articles'!$C$5:$G$25,7,FALSE)</f>
        <v>0.8</v>
      </c>
      <c r="N9" s="124">
        <f>+HLOOKUP($C9,'parametres articles'!$C$5:$G$25,6,FALSE)</f>
        <v>0.4</v>
      </c>
      <c r="O9" s="2">
        <f>+HLOOKUP($C9,'parametres articles'!$C$5:$G$25,8,FALSE)</f>
        <v>0</v>
      </c>
      <c r="P9" s="114">
        <f>IF(C9="E",'parametres articles'!$C$8,HLOOKUP($C9,'parametres articles'!$C$5:$F$25,4,FALSE))</f>
        <v>2.27</v>
      </c>
      <c r="Q9" s="114">
        <f t="shared" si="1"/>
        <v>2.27</v>
      </c>
      <c r="R9" s="2">
        <f t="shared" si="8"/>
        <v>13.62</v>
      </c>
      <c r="S9" s="2">
        <f t="shared" si="2"/>
        <v>24.515999999999998</v>
      </c>
      <c r="T9" s="2">
        <f t="shared" si="3"/>
        <v>58.565999999999995</v>
      </c>
      <c r="U9" s="2">
        <f t="shared" si="9"/>
        <v>72.185999999999993</v>
      </c>
      <c r="V9" s="2">
        <f t="shared" si="4"/>
        <v>24.515999999999998</v>
      </c>
      <c r="W9" s="2">
        <f t="shared" si="5"/>
        <v>34.049999999999997</v>
      </c>
      <c r="X9" s="2">
        <f t="shared" si="6"/>
        <v>13.62</v>
      </c>
      <c r="Y9" s="114">
        <f t="shared" si="7"/>
        <v>31.325999999999997</v>
      </c>
      <c r="AA9" s="11">
        <f t="shared" ca="1" si="12"/>
        <v>9</v>
      </c>
      <c r="AB9" s="11">
        <f ca="1">+AA9+'parametres articles'!$C$9-1</f>
        <v>23</v>
      </c>
      <c r="AC9" s="11">
        <f ca="1">+AA9+'parametres articles'!$C$24-1</f>
        <v>28</v>
      </c>
      <c r="AD9" s="11">
        <f>+IF(AE9&lt;='parametres articles'!$H$8,0,AA9-'parametres articles'!$H$8+1)</f>
        <v>0</v>
      </c>
      <c r="AE9" s="11">
        <v>5</v>
      </c>
      <c r="AF9" s="2" t="str">
        <f t="shared" ca="1" si="10"/>
        <v>F24</v>
      </c>
      <c r="AG9" s="172"/>
      <c r="AH9" s="168"/>
      <c r="AI9" s="2"/>
      <c r="AJ9" s="2"/>
      <c r="AK9" s="2"/>
      <c r="AL9" s="2"/>
    </row>
    <row r="10" spans="1:38" ht="14.45" x14ac:dyDescent="0.3">
      <c r="A10" s="166">
        <v>42012</v>
      </c>
      <c r="C10" s="160" t="s">
        <v>21</v>
      </c>
      <c r="D10" s="161">
        <f ca="1">+IF(AD10=0,P10,(SUM(INDIRECT(CONCATENATE("B",AD10,":B",AA10)))/'parametres articles'!$H$8))</f>
        <v>2.2000000000000002</v>
      </c>
      <c r="E10" s="10">
        <f t="shared" si="11"/>
        <v>22</v>
      </c>
      <c r="F10" s="10"/>
      <c r="G10" s="10">
        <f t="shared" si="0"/>
        <v>22</v>
      </c>
      <c r="H10" s="140"/>
      <c r="I10" s="141"/>
      <c r="K10" s="2">
        <f>+HLOOKUP($C10,'parametres articles'!$C$5:$G$25,5,FALSE)</f>
        <v>15</v>
      </c>
      <c r="L10" s="2">
        <f>+HLOOKUP($C10,'parametres articles'!$C$5:$G$25,21,FALSE)</f>
        <v>13</v>
      </c>
      <c r="M10" s="124">
        <f>+HLOOKUP($C10,'parametres articles'!$C$5:$G$25,7,FALSE)</f>
        <v>0.8</v>
      </c>
      <c r="N10" s="124">
        <f>+HLOOKUP($C10,'parametres articles'!$C$5:$G$25,6,FALSE)</f>
        <v>0.4</v>
      </c>
      <c r="O10" s="2">
        <f>+HLOOKUP($C10,'parametres articles'!$C$5:$G$25,8,FALSE)</f>
        <v>0</v>
      </c>
      <c r="P10" s="114">
        <f>IF(C10="E",'parametres articles'!$C$8,HLOOKUP($C10,'parametres articles'!$C$5:$F$25,4,FALSE))</f>
        <v>2.27</v>
      </c>
      <c r="Q10" s="114">
        <f t="shared" si="1"/>
        <v>2.27</v>
      </c>
      <c r="R10" s="2">
        <f t="shared" si="8"/>
        <v>13.62</v>
      </c>
      <c r="S10" s="2">
        <f t="shared" si="2"/>
        <v>24.515999999999998</v>
      </c>
      <c r="T10" s="2">
        <f t="shared" si="3"/>
        <v>58.565999999999995</v>
      </c>
      <c r="U10" s="2">
        <f t="shared" si="9"/>
        <v>72.185999999999993</v>
      </c>
      <c r="V10" s="2">
        <f t="shared" si="4"/>
        <v>24.515999999999998</v>
      </c>
      <c r="W10" s="2">
        <f t="shared" si="5"/>
        <v>34.049999999999997</v>
      </c>
      <c r="X10" s="2">
        <f t="shared" si="6"/>
        <v>13.62</v>
      </c>
      <c r="Y10" s="114">
        <f t="shared" si="7"/>
        <v>31.325999999999997</v>
      </c>
      <c r="AA10" s="11">
        <f t="shared" ca="1" si="12"/>
        <v>10</v>
      </c>
      <c r="AB10" s="11">
        <f ca="1">+AA10+'parametres articles'!$C$9-1</f>
        <v>24</v>
      </c>
      <c r="AC10" s="11">
        <f ca="1">+AA10+'parametres articles'!$C$24-1</f>
        <v>29</v>
      </c>
      <c r="AD10" s="11">
        <f ca="1">+IF(AE10&lt;='parametres articles'!$H$8,0,AA10-'parametres articles'!$H$8+1)</f>
        <v>6</v>
      </c>
      <c r="AE10" s="11">
        <v>6</v>
      </c>
      <c r="AF10" s="2" t="str">
        <f t="shared" ca="1" si="10"/>
        <v>F25</v>
      </c>
      <c r="AG10" s="172">
        <v>-1</v>
      </c>
      <c r="AH10" s="168"/>
      <c r="AI10" s="2"/>
      <c r="AJ10" s="2"/>
      <c r="AK10" s="2"/>
      <c r="AL10" s="2"/>
    </row>
    <row r="11" spans="1:38" ht="14.45" x14ac:dyDescent="0.3">
      <c r="A11" s="166">
        <v>42013</v>
      </c>
      <c r="C11" s="160" t="s">
        <v>21</v>
      </c>
      <c r="D11" s="161">
        <f ca="1">+IF(AD11=0,P11,(SUM(INDIRECT(CONCATENATE("B",AD11,":B",AA11)))/'parametres articles'!$H$8))</f>
        <v>2.2000000000000002</v>
      </c>
      <c r="E11" s="10">
        <f t="shared" si="11"/>
        <v>22</v>
      </c>
      <c r="F11" s="10">
        <f>+VLOOKUP(A11,Feuil1!$K$3:$L$37,2,FALSE)</f>
        <v>10</v>
      </c>
      <c r="G11" s="10">
        <f t="shared" si="0"/>
        <v>32</v>
      </c>
      <c r="H11" s="140"/>
      <c r="I11" s="141"/>
      <c r="K11" s="2">
        <f>+HLOOKUP($C11,'parametres articles'!$C$5:$G$25,5,FALSE)</f>
        <v>15</v>
      </c>
      <c r="L11" s="2">
        <f>+HLOOKUP($C11,'parametres articles'!$C$5:$G$25,21,FALSE)</f>
        <v>13</v>
      </c>
      <c r="M11" s="124">
        <f>+HLOOKUP($C11,'parametres articles'!$C$5:$G$25,7,FALSE)</f>
        <v>0.8</v>
      </c>
      <c r="N11" s="124">
        <f>+HLOOKUP($C11,'parametres articles'!$C$5:$G$25,6,FALSE)</f>
        <v>0.4</v>
      </c>
      <c r="O11" s="2">
        <f>+HLOOKUP($C11,'parametres articles'!$C$5:$G$25,8,FALSE)</f>
        <v>0</v>
      </c>
      <c r="P11" s="114">
        <f>IF(C11="E",'parametres articles'!$C$8,HLOOKUP($C11,'parametres articles'!$C$5:$F$25,4,FALSE))</f>
        <v>2.27</v>
      </c>
      <c r="Q11" s="114">
        <f t="shared" si="1"/>
        <v>2.27</v>
      </c>
      <c r="R11" s="2">
        <f t="shared" si="8"/>
        <v>13.62</v>
      </c>
      <c r="S11" s="2">
        <f t="shared" si="2"/>
        <v>24.515999999999998</v>
      </c>
      <c r="T11" s="2">
        <f t="shared" si="3"/>
        <v>58.565999999999995</v>
      </c>
      <c r="U11" s="2">
        <f t="shared" si="9"/>
        <v>72.185999999999993</v>
      </c>
      <c r="V11" s="2">
        <f t="shared" si="4"/>
        <v>24.515999999999998</v>
      </c>
      <c r="W11" s="2">
        <f t="shared" si="5"/>
        <v>34.049999999999997</v>
      </c>
      <c r="X11" s="2">
        <f t="shared" si="6"/>
        <v>13.62</v>
      </c>
      <c r="Y11" s="114">
        <f t="shared" si="7"/>
        <v>31.325999999999997</v>
      </c>
      <c r="AA11" s="11">
        <f t="shared" ca="1" si="12"/>
        <v>11</v>
      </c>
      <c r="AB11" s="11">
        <f ca="1">+AA11+'parametres articles'!$C$9-1</f>
        <v>25</v>
      </c>
      <c r="AC11" s="11">
        <f ca="1">+AA11+'parametres articles'!$C$24-1</f>
        <v>30</v>
      </c>
      <c r="AD11" s="11">
        <f ca="1">+IF(AE11&lt;='parametres articles'!$H$8,0,AA11-'parametres articles'!$H$8+1)</f>
        <v>7</v>
      </c>
      <c r="AE11" s="11">
        <v>7</v>
      </c>
      <c r="AF11" s="2" t="str">
        <f t="shared" ca="1" si="10"/>
        <v>F26</v>
      </c>
      <c r="AG11" s="172"/>
      <c r="AH11" s="168"/>
      <c r="AI11" s="2"/>
      <c r="AJ11" s="2"/>
      <c r="AK11" s="2"/>
      <c r="AL11" s="2"/>
    </row>
    <row r="12" spans="1:38" ht="14.45" x14ac:dyDescent="0.3">
      <c r="A12" s="166">
        <v>42016</v>
      </c>
      <c r="C12" s="160" t="s">
        <v>21</v>
      </c>
      <c r="D12" s="161">
        <f ca="1">+IF(AD12=0,P12,(SUM(INDIRECT(CONCATENATE("B",AD12,":B",AA12)))/'parametres articles'!$H$8))</f>
        <v>2.2000000000000002</v>
      </c>
      <c r="E12" s="10">
        <f t="shared" si="11"/>
        <v>32</v>
      </c>
      <c r="F12" s="10"/>
      <c r="G12" s="10">
        <f t="shared" si="0"/>
        <v>32</v>
      </c>
      <c r="H12" s="140"/>
      <c r="I12" s="141"/>
      <c r="K12" s="2">
        <f>+HLOOKUP($C12,'parametres articles'!$C$5:$G$25,5,FALSE)</f>
        <v>15</v>
      </c>
      <c r="L12" s="2">
        <f>+HLOOKUP($C12,'parametres articles'!$C$5:$G$25,21,FALSE)</f>
        <v>13</v>
      </c>
      <c r="M12" s="124">
        <f>+HLOOKUP($C12,'parametres articles'!$C$5:$G$25,7,FALSE)</f>
        <v>0.8</v>
      </c>
      <c r="N12" s="124">
        <f>+HLOOKUP($C12,'parametres articles'!$C$5:$G$25,6,FALSE)</f>
        <v>0.4</v>
      </c>
      <c r="O12" s="2">
        <f>+HLOOKUP($C12,'parametres articles'!$C$5:$G$25,8,FALSE)</f>
        <v>0</v>
      </c>
      <c r="P12" s="114">
        <f>IF(C12="E",'parametres articles'!$C$8,HLOOKUP($C12,'parametres articles'!$C$5:$F$25,4,FALSE))</f>
        <v>2.27</v>
      </c>
      <c r="Q12" s="114">
        <f t="shared" si="1"/>
        <v>2.27</v>
      </c>
      <c r="R12" s="2">
        <f t="shared" si="8"/>
        <v>13.62</v>
      </c>
      <c r="S12" s="2">
        <f t="shared" si="2"/>
        <v>24.515999999999998</v>
      </c>
      <c r="T12" s="2">
        <f t="shared" si="3"/>
        <v>58.565999999999995</v>
      </c>
      <c r="U12" s="2">
        <f t="shared" si="9"/>
        <v>72.185999999999993</v>
      </c>
      <c r="V12" s="2">
        <f t="shared" si="4"/>
        <v>24.515999999999998</v>
      </c>
      <c r="W12" s="2">
        <f t="shared" si="5"/>
        <v>34.049999999999997</v>
      </c>
      <c r="X12" s="2">
        <f t="shared" si="6"/>
        <v>13.62</v>
      </c>
      <c r="Y12" s="114">
        <f t="shared" si="7"/>
        <v>31.325999999999997</v>
      </c>
      <c r="AA12" s="11">
        <f t="shared" ca="1" si="12"/>
        <v>12</v>
      </c>
      <c r="AB12" s="11">
        <f ca="1">+AA12+'parametres articles'!$C$9-1</f>
        <v>26</v>
      </c>
      <c r="AC12" s="11">
        <f ca="1">+AA12+'parametres articles'!$C$24-1</f>
        <v>31</v>
      </c>
      <c r="AD12" s="11">
        <f ca="1">+IF(AE12&lt;='parametres articles'!$H$8,0,AA12-'parametres articles'!$H$8+1)</f>
        <v>8</v>
      </c>
      <c r="AE12" s="11">
        <v>8</v>
      </c>
      <c r="AF12" s="2" t="str">
        <f t="shared" ca="1" si="10"/>
        <v>F27</v>
      </c>
      <c r="AG12" s="172"/>
      <c r="AH12" s="168"/>
      <c r="AI12" s="2"/>
      <c r="AJ12" s="2"/>
      <c r="AK12" s="2"/>
      <c r="AL12" s="2"/>
    </row>
    <row r="13" spans="1:38" ht="14.45" x14ac:dyDescent="0.3">
      <c r="A13" s="166">
        <v>42017</v>
      </c>
      <c r="B13" s="163">
        <v>1</v>
      </c>
      <c r="C13" s="160" t="s">
        <v>21</v>
      </c>
      <c r="D13" s="161">
        <f ca="1">+IF(AD13=0,P13,(SUM(INDIRECT(CONCATENATE("B",AD13,":B",AA13)))/'parametres articles'!$H$8))</f>
        <v>2.4</v>
      </c>
      <c r="E13" s="10">
        <f t="shared" si="11"/>
        <v>32</v>
      </c>
      <c r="F13" s="10"/>
      <c r="G13" s="10">
        <f t="shared" si="0"/>
        <v>31</v>
      </c>
      <c r="H13" s="140"/>
      <c r="I13" s="141"/>
      <c r="K13" s="2">
        <f>+HLOOKUP($C13,'parametres articles'!$C$5:$G$25,5,FALSE)</f>
        <v>15</v>
      </c>
      <c r="L13" s="2">
        <f>+HLOOKUP($C13,'parametres articles'!$C$5:$G$25,21,FALSE)</f>
        <v>13</v>
      </c>
      <c r="M13" s="124">
        <f>+HLOOKUP($C13,'parametres articles'!$C$5:$G$25,7,FALSE)</f>
        <v>0.8</v>
      </c>
      <c r="N13" s="124">
        <f>+HLOOKUP($C13,'parametres articles'!$C$5:$G$25,6,FALSE)</f>
        <v>0.4</v>
      </c>
      <c r="O13" s="2">
        <f>+HLOOKUP($C13,'parametres articles'!$C$5:$G$25,8,FALSE)</f>
        <v>0</v>
      </c>
      <c r="P13" s="114">
        <f>IF(C13="E",'parametres articles'!$C$8,HLOOKUP($C13,'parametres articles'!$C$5:$F$25,4,FALSE))</f>
        <v>2.27</v>
      </c>
      <c r="Q13" s="114">
        <f t="shared" si="1"/>
        <v>2.27</v>
      </c>
      <c r="R13" s="2">
        <f t="shared" si="8"/>
        <v>13.62</v>
      </c>
      <c r="S13" s="2">
        <f t="shared" si="2"/>
        <v>24.515999999999998</v>
      </c>
      <c r="T13" s="2">
        <f t="shared" si="3"/>
        <v>58.565999999999995</v>
      </c>
      <c r="U13" s="2">
        <f t="shared" si="9"/>
        <v>72.185999999999993</v>
      </c>
      <c r="V13" s="2">
        <f t="shared" si="4"/>
        <v>24.515999999999998</v>
      </c>
      <c r="W13" s="2">
        <f t="shared" si="5"/>
        <v>34.049999999999997</v>
      </c>
      <c r="X13" s="2">
        <f t="shared" si="6"/>
        <v>13.62</v>
      </c>
      <c r="Y13" s="114">
        <f t="shared" si="7"/>
        <v>31.325999999999997</v>
      </c>
      <c r="AA13" s="11">
        <f t="shared" ca="1" si="12"/>
        <v>13</v>
      </c>
      <c r="AB13" s="11">
        <f ca="1">+AA13+'parametres articles'!$C$9-1</f>
        <v>27</v>
      </c>
      <c r="AC13" s="11">
        <f ca="1">+AA13+'parametres articles'!$C$24-1</f>
        <v>32</v>
      </c>
      <c r="AD13" s="11">
        <f ca="1">+IF(AE13&lt;='parametres articles'!$H$8,0,AA13-'parametres articles'!$H$8+1)</f>
        <v>9</v>
      </c>
      <c r="AE13" s="11">
        <v>9</v>
      </c>
      <c r="AF13" s="2" t="str">
        <f t="shared" ca="1" si="10"/>
        <v>F28</v>
      </c>
      <c r="AG13" s="172"/>
      <c r="AH13" s="168"/>
      <c r="AI13" s="2"/>
      <c r="AJ13" s="2"/>
      <c r="AK13" s="2"/>
      <c r="AL13" s="2"/>
    </row>
    <row r="14" spans="1:38" ht="14.45" x14ac:dyDescent="0.3">
      <c r="A14" s="166">
        <v>42018</v>
      </c>
      <c r="C14" s="160" t="s">
        <v>21</v>
      </c>
      <c r="D14" s="161">
        <f ca="1">+IF(AD14=0,P14,(SUM(INDIRECT(CONCATENATE("B",AD14,":B",AA14)))/'parametres articles'!$H$8))</f>
        <v>0.2</v>
      </c>
      <c r="E14" s="10">
        <f t="shared" si="11"/>
        <v>31</v>
      </c>
      <c r="F14" s="10"/>
      <c r="G14" s="10">
        <f t="shared" si="0"/>
        <v>31</v>
      </c>
      <c r="H14" s="140"/>
      <c r="I14" s="141"/>
      <c r="K14" s="2">
        <f>+HLOOKUP($C14,'parametres articles'!$C$5:$G$25,5,FALSE)</f>
        <v>15</v>
      </c>
      <c r="L14" s="2">
        <f>+HLOOKUP($C14,'parametres articles'!$C$5:$G$25,21,FALSE)</f>
        <v>13</v>
      </c>
      <c r="M14" s="124">
        <f>+HLOOKUP($C14,'parametres articles'!$C$5:$G$25,7,FALSE)</f>
        <v>0.8</v>
      </c>
      <c r="N14" s="124">
        <f>+HLOOKUP($C14,'parametres articles'!$C$5:$G$25,6,FALSE)</f>
        <v>0.4</v>
      </c>
      <c r="O14" s="2">
        <f>+HLOOKUP($C14,'parametres articles'!$C$5:$G$25,8,FALSE)</f>
        <v>0</v>
      </c>
      <c r="P14" s="114">
        <f>IF(C14="E",'parametres articles'!$C$8,HLOOKUP($C14,'parametres articles'!$C$5:$F$25,4,FALSE))</f>
        <v>2.27</v>
      </c>
      <c r="Q14" s="114">
        <f t="shared" si="1"/>
        <v>2.27</v>
      </c>
      <c r="R14" s="2">
        <f t="shared" si="8"/>
        <v>13.62</v>
      </c>
      <c r="S14" s="2">
        <f t="shared" si="2"/>
        <v>24.515999999999998</v>
      </c>
      <c r="T14" s="2">
        <f t="shared" si="3"/>
        <v>58.565999999999995</v>
      </c>
      <c r="U14" s="2">
        <f t="shared" si="9"/>
        <v>72.185999999999993</v>
      </c>
      <c r="V14" s="2">
        <f t="shared" si="4"/>
        <v>24.515999999999998</v>
      </c>
      <c r="W14" s="2">
        <f t="shared" si="5"/>
        <v>34.049999999999997</v>
      </c>
      <c r="X14" s="2">
        <f t="shared" si="6"/>
        <v>13.62</v>
      </c>
      <c r="Y14" s="114">
        <f t="shared" si="7"/>
        <v>31.325999999999997</v>
      </c>
      <c r="AA14" s="11">
        <f t="shared" ca="1" si="12"/>
        <v>14</v>
      </c>
      <c r="AB14" s="11">
        <f ca="1">+AA14+'parametres articles'!$C$9-1</f>
        <v>28</v>
      </c>
      <c r="AC14" s="11">
        <f ca="1">+AA14+'parametres articles'!$C$24-1</f>
        <v>33</v>
      </c>
      <c r="AD14" s="11">
        <f ca="1">+IF(AE14&lt;='parametres articles'!$H$8,0,AA14-'parametres articles'!$H$8+1)</f>
        <v>10</v>
      </c>
      <c r="AE14" s="11">
        <v>10</v>
      </c>
      <c r="AF14" s="2" t="str">
        <f t="shared" ca="1" si="10"/>
        <v>F29</v>
      </c>
      <c r="AG14" s="172"/>
      <c r="AH14" s="168"/>
      <c r="AI14" s="2"/>
      <c r="AJ14" s="2"/>
      <c r="AK14" s="2"/>
      <c r="AL14" s="2"/>
    </row>
    <row r="15" spans="1:38" ht="14.45" x14ac:dyDescent="0.3">
      <c r="A15" s="166">
        <v>42019</v>
      </c>
      <c r="C15" s="160" t="s">
        <v>21</v>
      </c>
      <c r="D15" s="161">
        <f ca="1">+IF(AD15=0,P15,(SUM(INDIRECT(CONCATENATE("B",AD15,":B",AA15)))/'parametres articles'!$H$8))</f>
        <v>0.2</v>
      </c>
      <c r="E15" s="10">
        <f t="shared" si="11"/>
        <v>31</v>
      </c>
      <c r="F15" s="10"/>
      <c r="G15" s="10">
        <f t="shared" si="0"/>
        <v>31</v>
      </c>
      <c r="H15" s="140"/>
      <c r="I15" s="141"/>
      <c r="K15" s="2">
        <f>+HLOOKUP($C15,'parametres articles'!$C$5:$G$25,5,FALSE)</f>
        <v>15</v>
      </c>
      <c r="L15" s="2">
        <f>+HLOOKUP($C15,'parametres articles'!$C$5:$G$25,21,FALSE)</f>
        <v>13</v>
      </c>
      <c r="M15" s="124">
        <f>+HLOOKUP($C15,'parametres articles'!$C$5:$G$25,7,FALSE)</f>
        <v>0.8</v>
      </c>
      <c r="N15" s="124">
        <f>+HLOOKUP($C15,'parametres articles'!$C$5:$G$25,6,FALSE)</f>
        <v>0.4</v>
      </c>
      <c r="O15" s="2">
        <f>+HLOOKUP($C15,'parametres articles'!$C$5:$G$25,8,FALSE)</f>
        <v>0</v>
      </c>
      <c r="P15" s="114">
        <f>IF(C15="E",'parametres articles'!$C$8,HLOOKUP($C15,'parametres articles'!$C$5:$F$25,4,FALSE))</f>
        <v>2.27</v>
      </c>
      <c r="Q15" s="114">
        <f t="shared" si="1"/>
        <v>2.27</v>
      </c>
      <c r="R15" s="2">
        <f t="shared" si="8"/>
        <v>13.62</v>
      </c>
      <c r="S15" s="2">
        <f t="shared" si="2"/>
        <v>24.515999999999998</v>
      </c>
      <c r="T15" s="2">
        <f t="shared" si="3"/>
        <v>58.565999999999995</v>
      </c>
      <c r="U15" s="2">
        <f t="shared" si="9"/>
        <v>72.185999999999993</v>
      </c>
      <c r="V15" s="2">
        <f t="shared" si="4"/>
        <v>24.515999999999998</v>
      </c>
      <c r="W15" s="2">
        <f t="shared" si="5"/>
        <v>34.049999999999997</v>
      </c>
      <c r="X15" s="2">
        <f t="shared" si="6"/>
        <v>13.62</v>
      </c>
      <c r="Y15" s="114">
        <f t="shared" si="7"/>
        <v>31.325999999999997</v>
      </c>
      <c r="AA15" s="11">
        <f t="shared" ca="1" si="12"/>
        <v>15</v>
      </c>
      <c r="AB15" s="11">
        <f ca="1">+AA15+'parametres articles'!$C$9-1</f>
        <v>29</v>
      </c>
      <c r="AC15" s="11">
        <f ca="1">+AA15+'parametres articles'!$C$24-1</f>
        <v>34</v>
      </c>
      <c r="AD15" s="11">
        <f ca="1">+IF(AE15&lt;='parametres articles'!$H$8,0,AA15-'parametres articles'!$H$8+1)</f>
        <v>11</v>
      </c>
      <c r="AE15" s="11">
        <v>11</v>
      </c>
      <c r="AF15" s="2" t="str">
        <f t="shared" ca="1" si="10"/>
        <v>F30</v>
      </c>
      <c r="AG15" s="172"/>
      <c r="AH15" s="168"/>
      <c r="AI15" s="2"/>
      <c r="AJ15" s="2"/>
      <c r="AK15" s="2"/>
      <c r="AL15" s="2"/>
    </row>
    <row r="16" spans="1:38" ht="14.45" x14ac:dyDescent="0.3">
      <c r="A16" s="166">
        <v>42020</v>
      </c>
      <c r="C16" s="160" t="s">
        <v>21</v>
      </c>
      <c r="D16" s="161">
        <f ca="1">+IF(AD16=0,P16,(SUM(INDIRECT(CONCATENATE("B",AD16,":B",AA16)))/'parametres articles'!$H$8))</f>
        <v>0.2</v>
      </c>
      <c r="E16" s="10">
        <f t="shared" si="11"/>
        <v>31</v>
      </c>
      <c r="F16" s="10"/>
      <c r="G16" s="10">
        <f t="shared" si="0"/>
        <v>31</v>
      </c>
      <c r="H16" s="140"/>
      <c r="I16" s="141"/>
      <c r="K16" s="2">
        <f>+HLOOKUP($C16,'parametres articles'!$C$5:$G$25,5,FALSE)</f>
        <v>15</v>
      </c>
      <c r="L16" s="2">
        <f>+HLOOKUP($C16,'parametres articles'!$C$5:$G$25,21,FALSE)</f>
        <v>13</v>
      </c>
      <c r="M16" s="124">
        <f>+HLOOKUP($C16,'parametres articles'!$C$5:$G$25,7,FALSE)</f>
        <v>0.8</v>
      </c>
      <c r="N16" s="124">
        <f>+HLOOKUP($C16,'parametres articles'!$C$5:$G$25,6,FALSE)</f>
        <v>0.4</v>
      </c>
      <c r="O16" s="2">
        <f>+HLOOKUP($C16,'parametres articles'!$C$5:$G$25,8,FALSE)</f>
        <v>0</v>
      </c>
      <c r="P16" s="114">
        <f>IF(C16="E",'parametres articles'!$C$8,HLOOKUP($C16,'parametres articles'!$C$5:$F$25,4,FALSE))</f>
        <v>2.27</v>
      </c>
      <c r="Q16" s="114">
        <f t="shared" si="1"/>
        <v>2.27</v>
      </c>
      <c r="R16" s="2">
        <f t="shared" si="8"/>
        <v>13.62</v>
      </c>
      <c r="S16" s="2">
        <f t="shared" si="2"/>
        <v>24.515999999999998</v>
      </c>
      <c r="T16" s="2">
        <f t="shared" si="3"/>
        <v>58.565999999999995</v>
      </c>
      <c r="U16" s="2">
        <f t="shared" si="9"/>
        <v>72.185999999999993</v>
      </c>
      <c r="V16" s="2">
        <f t="shared" si="4"/>
        <v>24.515999999999998</v>
      </c>
      <c r="W16" s="2">
        <f t="shared" si="5"/>
        <v>34.049999999999997</v>
      </c>
      <c r="X16" s="2">
        <f t="shared" si="6"/>
        <v>13.62</v>
      </c>
      <c r="Y16" s="114">
        <f t="shared" si="7"/>
        <v>31.325999999999997</v>
      </c>
      <c r="AA16" s="11">
        <f t="shared" ca="1" si="12"/>
        <v>16</v>
      </c>
      <c r="AB16" s="11">
        <f ca="1">+AA16+'parametres articles'!$C$9-1</f>
        <v>30</v>
      </c>
      <c r="AC16" s="11">
        <f ca="1">+AA16+'parametres articles'!$C$24-1</f>
        <v>35</v>
      </c>
      <c r="AD16" s="11">
        <f ca="1">+IF(AE16&lt;='parametres articles'!$H$8,0,AA16-'parametres articles'!$H$8+1)</f>
        <v>12</v>
      </c>
      <c r="AE16" s="11">
        <v>12</v>
      </c>
      <c r="AF16" s="2" t="str">
        <f t="shared" ca="1" si="10"/>
        <v>F31</v>
      </c>
      <c r="AG16" s="172"/>
      <c r="AH16" s="168"/>
      <c r="AI16" s="2"/>
      <c r="AJ16" s="2"/>
      <c r="AK16" s="2"/>
      <c r="AL16" s="2"/>
    </row>
    <row r="17" spans="1:38" ht="14.45" x14ac:dyDescent="0.3">
      <c r="A17" s="166">
        <v>42023</v>
      </c>
      <c r="C17" s="160" t="s">
        <v>21</v>
      </c>
      <c r="D17" s="161">
        <f ca="1">+IF(AD17=0,P17,(SUM(INDIRECT(CONCATENATE("B",AD17,":B",AA17)))/'parametres articles'!$H$8))</f>
        <v>0.2</v>
      </c>
      <c r="E17" s="10">
        <f t="shared" si="11"/>
        <v>31</v>
      </c>
      <c r="F17" s="10"/>
      <c r="G17" s="10">
        <f t="shared" si="0"/>
        <v>31</v>
      </c>
      <c r="H17" s="140"/>
      <c r="I17" s="141"/>
      <c r="K17" s="2">
        <f>+HLOOKUP($C17,'parametres articles'!$C$5:$G$25,5,FALSE)</f>
        <v>15</v>
      </c>
      <c r="L17" s="2">
        <f>+HLOOKUP($C17,'parametres articles'!$C$5:$G$25,21,FALSE)</f>
        <v>13</v>
      </c>
      <c r="M17" s="124">
        <f>+HLOOKUP($C17,'parametres articles'!$C$5:$G$25,7,FALSE)</f>
        <v>0.8</v>
      </c>
      <c r="N17" s="124">
        <f>+HLOOKUP($C17,'parametres articles'!$C$5:$G$25,6,FALSE)</f>
        <v>0.4</v>
      </c>
      <c r="O17" s="2">
        <f>+HLOOKUP($C17,'parametres articles'!$C$5:$G$25,8,FALSE)</f>
        <v>0</v>
      </c>
      <c r="P17" s="114">
        <f>IF(C17="E",'parametres articles'!$C$8,HLOOKUP($C17,'parametres articles'!$C$5:$F$25,4,FALSE))</f>
        <v>2.27</v>
      </c>
      <c r="Q17" s="114">
        <f t="shared" si="1"/>
        <v>2.27</v>
      </c>
      <c r="R17" s="2">
        <f t="shared" si="8"/>
        <v>13.62</v>
      </c>
      <c r="S17" s="2">
        <f t="shared" si="2"/>
        <v>24.515999999999998</v>
      </c>
      <c r="T17" s="2">
        <f t="shared" si="3"/>
        <v>58.565999999999995</v>
      </c>
      <c r="U17" s="2">
        <f t="shared" si="9"/>
        <v>72.185999999999993</v>
      </c>
      <c r="V17" s="2">
        <f t="shared" si="4"/>
        <v>24.515999999999998</v>
      </c>
      <c r="W17" s="2">
        <f t="shared" si="5"/>
        <v>34.049999999999997</v>
      </c>
      <c r="X17" s="2">
        <f t="shared" si="6"/>
        <v>13.62</v>
      </c>
      <c r="Y17" s="114">
        <f t="shared" si="7"/>
        <v>31.325999999999997</v>
      </c>
      <c r="AA17" s="11">
        <f t="shared" ca="1" si="12"/>
        <v>17</v>
      </c>
      <c r="AB17" s="11">
        <f ca="1">+AA17+'parametres articles'!$C$9-1</f>
        <v>31</v>
      </c>
      <c r="AC17" s="11">
        <f ca="1">+AA17+'parametres articles'!$C$24-1</f>
        <v>36</v>
      </c>
      <c r="AD17" s="11">
        <f ca="1">+IF(AE17&lt;='parametres articles'!$H$8,0,AA17-'parametres articles'!$H$8+1)</f>
        <v>13</v>
      </c>
      <c r="AE17" s="11">
        <v>13</v>
      </c>
      <c r="AF17" s="2" t="str">
        <f t="shared" ca="1" si="10"/>
        <v>F32</v>
      </c>
      <c r="AG17" s="172"/>
      <c r="AH17" s="168"/>
      <c r="AI17" s="2"/>
      <c r="AJ17" s="2"/>
      <c r="AK17" s="2"/>
      <c r="AL17" s="2"/>
    </row>
    <row r="18" spans="1:38" ht="14.45" x14ac:dyDescent="0.3">
      <c r="A18" s="166">
        <v>42024</v>
      </c>
      <c r="B18" s="163">
        <v>4</v>
      </c>
      <c r="C18" s="160" t="s">
        <v>21</v>
      </c>
      <c r="D18" s="161">
        <f ca="1">+IF(AD18=0,P18,(SUM(INDIRECT(CONCATENATE("B",AD18,":B",AA18)))/'parametres articles'!$H$8))</f>
        <v>0.8</v>
      </c>
      <c r="E18" s="10">
        <f t="shared" si="11"/>
        <v>30</v>
      </c>
      <c r="F18" s="10"/>
      <c r="G18" s="10">
        <f t="shared" si="0"/>
        <v>26</v>
      </c>
      <c r="H18" s="140"/>
      <c r="I18" s="141"/>
      <c r="K18" s="2">
        <f>+HLOOKUP($C18,'parametres articles'!$C$5:$G$25,5,FALSE)</f>
        <v>15</v>
      </c>
      <c r="L18" s="2">
        <f>+HLOOKUP($C18,'parametres articles'!$C$5:$G$25,21,FALSE)</f>
        <v>13</v>
      </c>
      <c r="M18" s="124">
        <f>+HLOOKUP($C18,'parametres articles'!$C$5:$G$25,7,FALSE)</f>
        <v>0.8</v>
      </c>
      <c r="N18" s="124">
        <f>+HLOOKUP($C18,'parametres articles'!$C$5:$G$25,6,FALSE)</f>
        <v>0.4</v>
      </c>
      <c r="O18" s="2">
        <f>+HLOOKUP($C18,'parametres articles'!$C$5:$G$25,8,FALSE)</f>
        <v>0</v>
      </c>
      <c r="P18" s="114">
        <f>IF(C18="E",'parametres articles'!$C$8,HLOOKUP($C18,'parametres articles'!$C$5:$F$25,4,FALSE))</f>
        <v>2.27</v>
      </c>
      <c r="Q18" s="114">
        <f t="shared" si="1"/>
        <v>2.27</v>
      </c>
      <c r="R18" s="2">
        <f t="shared" si="8"/>
        <v>13.62</v>
      </c>
      <c r="S18" s="2">
        <f t="shared" si="2"/>
        <v>24.515999999999998</v>
      </c>
      <c r="T18" s="2">
        <f t="shared" si="3"/>
        <v>58.565999999999995</v>
      </c>
      <c r="U18" s="2">
        <f t="shared" si="9"/>
        <v>72.185999999999993</v>
      </c>
      <c r="V18" s="2">
        <f t="shared" si="4"/>
        <v>24.515999999999998</v>
      </c>
      <c r="W18" s="2">
        <f t="shared" si="5"/>
        <v>34.049999999999997</v>
      </c>
      <c r="X18" s="2">
        <f t="shared" si="6"/>
        <v>13.62</v>
      </c>
      <c r="Y18" s="114">
        <f t="shared" si="7"/>
        <v>31.325999999999997</v>
      </c>
      <c r="AA18" s="11">
        <f t="shared" ca="1" si="12"/>
        <v>18</v>
      </c>
      <c r="AB18" s="11">
        <f ca="1">+AA18+'parametres articles'!$C$9-1</f>
        <v>32</v>
      </c>
      <c r="AC18" s="11">
        <f ca="1">+AA18+'parametres articles'!$C$24-1</f>
        <v>37</v>
      </c>
      <c r="AD18" s="11">
        <f ca="1">+IF(AE18&lt;='parametres articles'!$H$8,0,AA18-'parametres articles'!$H$8+1)</f>
        <v>14</v>
      </c>
      <c r="AE18" s="11">
        <v>14</v>
      </c>
      <c r="AF18" s="2" t="str">
        <f t="shared" ca="1" si="10"/>
        <v>F33</v>
      </c>
      <c r="AG18" s="172">
        <v>-1</v>
      </c>
      <c r="AH18" s="168"/>
      <c r="AI18" s="2"/>
      <c r="AJ18" s="2"/>
      <c r="AK18" s="2"/>
      <c r="AL18" s="2"/>
    </row>
    <row r="19" spans="1:38" ht="14.45" x14ac:dyDescent="0.3">
      <c r="A19" s="166">
        <v>42025</v>
      </c>
      <c r="C19" s="160" t="s">
        <v>21</v>
      </c>
      <c r="D19" s="161">
        <f ca="1">+IF(AD19=0,P19,(SUM(INDIRECT(CONCATENATE("B",AD19,":B",AA19)))/'parametres articles'!$H$8))</f>
        <v>0.8</v>
      </c>
      <c r="E19" s="10">
        <f t="shared" si="11"/>
        <v>26</v>
      </c>
      <c r="F19" s="10"/>
      <c r="G19" s="10">
        <f t="shared" si="0"/>
        <v>26</v>
      </c>
      <c r="H19" s="140"/>
      <c r="I19" s="141"/>
      <c r="K19" s="2">
        <f>+HLOOKUP($C19,'parametres articles'!$C$5:$G$25,5,FALSE)</f>
        <v>15</v>
      </c>
      <c r="L19" s="2">
        <f>+HLOOKUP($C19,'parametres articles'!$C$5:$G$25,21,FALSE)</f>
        <v>13</v>
      </c>
      <c r="M19" s="124">
        <f>+HLOOKUP($C19,'parametres articles'!$C$5:$G$25,7,FALSE)</f>
        <v>0.8</v>
      </c>
      <c r="N19" s="124">
        <f>+HLOOKUP($C19,'parametres articles'!$C$5:$G$25,6,FALSE)</f>
        <v>0.4</v>
      </c>
      <c r="O19" s="2">
        <f>+HLOOKUP($C19,'parametres articles'!$C$5:$G$25,8,FALSE)</f>
        <v>0</v>
      </c>
      <c r="P19" s="114">
        <f>IF(C19="E",'parametres articles'!$C$8,HLOOKUP($C19,'parametres articles'!$C$5:$F$25,4,FALSE))</f>
        <v>2.27</v>
      </c>
      <c r="Q19" s="114">
        <f t="shared" si="1"/>
        <v>2.27</v>
      </c>
      <c r="R19" s="2">
        <f t="shared" si="8"/>
        <v>13.62</v>
      </c>
      <c r="S19" s="2">
        <f t="shared" si="2"/>
        <v>24.515999999999998</v>
      </c>
      <c r="T19" s="2">
        <f t="shared" si="3"/>
        <v>58.565999999999995</v>
      </c>
      <c r="U19" s="2">
        <f t="shared" si="9"/>
        <v>72.185999999999993</v>
      </c>
      <c r="V19" s="2">
        <f t="shared" si="4"/>
        <v>24.515999999999998</v>
      </c>
      <c r="W19" s="2">
        <f t="shared" si="5"/>
        <v>34.049999999999997</v>
      </c>
      <c r="X19" s="2">
        <f t="shared" si="6"/>
        <v>13.62</v>
      </c>
      <c r="Y19" s="114">
        <f t="shared" si="7"/>
        <v>31.325999999999997</v>
      </c>
      <c r="AA19" s="11">
        <f t="shared" ca="1" si="12"/>
        <v>19</v>
      </c>
      <c r="AB19" s="11">
        <f ca="1">+AA19+'parametres articles'!$C$9-1</f>
        <v>33</v>
      </c>
      <c r="AC19" s="11">
        <f ca="1">+AA19+'parametres articles'!$C$24-1</f>
        <v>38</v>
      </c>
      <c r="AD19" s="11">
        <f ca="1">+IF(AE19&lt;='parametres articles'!$H$8,0,AA19-'parametres articles'!$H$8+1)</f>
        <v>15</v>
      </c>
      <c r="AE19" s="11">
        <v>15</v>
      </c>
      <c r="AF19" s="2" t="str">
        <f t="shared" ca="1" si="10"/>
        <v>F34</v>
      </c>
      <c r="AG19" s="172"/>
      <c r="AH19" s="168"/>
      <c r="AI19" s="2"/>
      <c r="AJ19" s="2"/>
      <c r="AK19" s="2"/>
      <c r="AL19" s="2"/>
    </row>
    <row r="20" spans="1:38" ht="14.45" x14ac:dyDescent="0.3">
      <c r="A20" s="166">
        <v>42026</v>
      </c>
      <c r="C20" s="160" t="s">
        <v>21</v>
      </c>
      <c r="D20" s="161">
        <f ca="1">+IF(AD20=0,P20,(SUM(INDIRECT(CONCATENATE("B",AD20,":B",AA20)))/'parametres articles'!$H$8))</f>
        <v>0.8</v>
      </c>
      <c r="E20" s="10">
        <f t="shared" si="11"/>
        <v>26</v>
      </c>
      <c r="F20" s="10"/>
      <c r="G20" s="10">
        <f t="shared" si="0"/>
        <v>26</v>
      </c>
      <c r="H20" s="140"/>
      <c r="I20" s="141"/>
      <c r="K20" s="2">
        <f>+HLOOKUP($C20,'parametres articles'!$C$5:$G$25,5,FALSE)</f>
        <v>15</v>
      </c>
      <c r="L20" s="2">
        <f>+HLOOKUP($C20,'parametres articles'!$C$5:$G$25,21,FALSE)</f>
        <v>13</v>
      </c>
      <c r="M20" s="124">
        <f>+HLOOKUP($C20,'parametres articles'!$C$5:$G$25,7,FALSE)</f>
        <v>0.8</v>
      </c>
      <c r="N20" s="124">
        <f>+HLOOKUP($C20,'parametres articles'!$C$5:$G$25,6,FALSE)</f>
        <v>0.4</v>
      </c>
      <c r="O20" s="2">
        <f>+HLOOKUP($C20,'parametres articles'!$C$5:$G$25,8,FALSE)</f>
        <v>0</v>
      </c>
      <c r="P20" s="114">
        <f>IF(C20="E",'parametres articles'!$C$8,HLOOKUP($C20,'parametres articles'!$C$5:$F$25,4,FALSE))</f>
        <v>2.27</v>
      </c>
      <c r="Q20" s="114">
        <f t="shared" si="1"/>
        <v>2.27</v>
      </c>
      <c r="R20" s="2">
        <f t="shared" si="8"/>
        <v>13.62</v>
      </c>
      <c r="S20" s="2">
        <f t="shared" si="2"/>
        <v>24.515999999999998</v>
      </c>
      <c r="T20" s="2">
        <f t="shared" si="3"/>
        <v>58.565999999999995</v>
      </c>
      <c r="U20" s="2">
        <f t="shared" si="9"/>
        <v>72.185999999999993</v>
      </c>
      <c r="V20" s="2">
        <f t="shared" si="4"/>
        <v>24.515999999999998</v>
      </c>
      <c r="W20" s="2">
        <f t="shared" si="5"/>
        <v>34.049999999999997</v>
      </c>
      <c r="X20" s="2">
        <f t="shared" si="6"/>
        <v>13.62</v>
      </c>
      <c r="Y20" s="114">
        <f t="shared" si="7"/>
        <v>31.325999999999997</v>
      </c>
      <c r="AA20" s="11">
        <f t="shared" ca="1" si="12"/>
        <v>20</v>
      </c>
      <c r="AB20" s="11">
        <f ca="1">+AA20+'parametres articles'!$C$9-1</f>
        <v>34</v>
      </c>
      <c r="AC20" s="11">
        <f ca="1">+AA20+'parametres articles'!$C$24-1</f>
        <v>39</v>
      </c>
      <c r="AD20" s="11">
        <f ca="1">+IF(AE20&lt;='parametres articles'!$H$8,0,AA20-'parametres articles'!$H$8+1)</f>
        <v>16</v>
      </c>
      <c r="AE20" s="11">
        <v>16</v>
      </c>
      <c r="AF20" s="2" t="str">
        <f t="shared" ca="1" si="10"/>
        <v>F35</v>
      </c>
      <c r="AG20" s="172"/>
      <c r="AH20" s="168"/>
      <c r="AI20" s="2"/>
      <c r="AJ20" s="2"/>
      <c r="AK20" s="2"/>
      <c r="AL20" s="2"/>
    </row>
    <row r="21" spans="1:38" ht="14.45" x14ac:dyDescent="0.3">
      <c r="A21" s="166">
        <v>42027</v>
      </c>
      <c r="B21" s="163">
        <v>10</v>
      </c>
      <c r="C21" s="160" t="s">
        <v>21</v>
      </c>
      <c r="D21" s="161">
        <f ca="1">+IF(AD21=0,P21,(SUM(INDIRECT(CONCATENATE("B",AD21,":B",AA21)))/'parametres articles'!$H$8))</f>
        <v>2.8</v>
      </c>
      <c r="E21" s="10">
        <f t="shared" si="11"/>
        <v>26</v>
      </c>
      <c r="F21" s="10"/>
      <c r="G21" s="10">
        <f t="shared" si="0"/>
        <v>16</v>
      </c>
      <c r="H21" s="140"/>
      <c r="I21" s="141"/>
      <c r="K21" s="2">
        <f>+HLOOKUP($C21,'parametres articles'!$C$5:$G$25,5,FALSE)</f>
        <v>15</v>
      </c>
      <c r="L21" s="2">
        <f>+HLOOKUP($C21,'parametres articles'!$C$5:$G$25,21,FALSE)</f>
        <v>13</v>
      </c>
      <c r="M21" s="124">
        <f>+HLOOKUP($C21,'parametres articles'!$C$5:$G$25,7,FALSE)</f>
        <v>0.8</v>
      </c>
      <c r="N21" s="124">
        <f>+HLOOKUP($C21,'parametres articles'!$C$5:$G$25,6,FALSE)</f>
        <v>0.4</v>
      </c>
      <c r="O21" s="2">
        <f>+HLOOKUP($C21,'parametres articles'!$C$5:$G$25,8,FALSE)</f>
        <v>0</v>
      </c>
      <c r="P21" s="114">
        <f>IF(C21="E",'parametres articles'!$C$8,HLOOKUP($C21,'parametres articles'!$C$5:$F$25,4,FALSE))</f>
        <v>2.27</v>
      </c>
      <c r="Q21" s="114">
        <f t="shared" si="1"/>
        <v>2.27</v>
      </c>
      <c r="R21" s="2">
        <f t="shared" si="8"/>
        <v>13.62</v>
      </c>
      <c r="S21" s="2">
        <f t="shared" si="2"/>
        <v>24.515999999999998</v>
      </c>
      <c r="T21" s="2">
        <f t="shared" si="3"/>
        <v>58.565999999999995</v>
      </c>
      <c r="U21" s="2">
        <f t="shared" si="9"/>
        <v>72.185999999999993</v>
      </c>
      <c r="V21" s="2">
        <f t="shared" si="4"/>
        <v>24.515999999999998</v>
      </c>
      <c r="W21" s="2">
        <f t="shared" si="5"/>
        <v>34.049999999999997</v>
      </c>
      <c r="X21" s="2">
        <f t="shared" si="6"/>
        <v>13.62</v>
      </c>
      <c r="Y21" s="114">
        <f t="shared" si="7"/>
        <v>31.325999999999997</v>
      </c>
      <c r="AA21" s="11">
        <f t="shared" ca="1" si="12"/>
        <v>21</v>
      </c>
      <c r="AB21" s="11">
        <f ca="1">+AA21+'parametres articles'!$C$9-1</f>
        <v>35</v>
      </c>
      <c r="AC21" s="11">
        <f ca="1">+AA21+'parametres articles'!$C$24-1</f>
        <v>40</v>
      </c>
      <c r="AD21" s="11">
        <f ca="1">+IF(AE21&lt;='parametres articles'!$H$8,0,AA21-'parametres articles'!$H$8+1)</f>
        <v>17</v>
      </c>
      <c r="AE21" s="11">
        <v>17</v>
      </c>
      <c r="AF21" s="2" t="str">
        <f t="shared" ca="1" si="10"/>
        <v>F36</v>
      </c>
      <c r="AG21" s="172"/>
      <c r="AH21" s="168"/>
      <c r="AI21" s="2"/>
      <c r="AJ21" s="2"/>
      <c r="AK21" s="2"/>
      <c r="AL21" s="2"/>
    </row>
    <row r="22" spans="1:38" ht="14.45" x14ac:dyDescent="0.3">
      <c r="A22" s="166">
        <v>42030</v>
      </c>
      <c r="C22" s="160" t="s">
        <v>21</v>
      </c>
      <c r="D22" s="161">
        <f ca="1">+IF(AD22=0,P22,(SUM(INDIRECT(CONCATENATE("B",AD22,":B",AA22)))/'parametres articles'!$H$8))</f>
        <v>2.8</v>
      </c>
      <c r="E22" s="10">
        <f t="shared" si="11"/>
        <v>16</v>
      </c>
      <c r="F22" s="10">
        <f>+VLOOKUP(A22,Feuil1!$K$3:$L$37,2,FALSE)</f>
        <v>38</v>
      </c>
      <c r="G22" s="10">
        <f t="shared" si="0"/>
        <v>54</v>
      </c>
      <c r="H22" s="140"/>
      <c r="I22" s="141"/>
      <c r="K22" s="2">
        <f>+HLOOKUP($C22,'parametres articles'!$C$5:$G$25,5,FALSE)</f>
        <v>15</v>
      </c>
      <c r="L22" s="2">
        <f>+HLOOKUP($C22,'parametres articles'!$C$5:$G$25,21,FALSE)</f>
        <v>13</v>
      </c>
      <c r="M22" s="124">
        <f>+HLOOKUP($C22,'parametres articles'!$C$5:$G$25,7,FALSE)</f>
        <v>0.8</v>
      </c>
      <c r="N22" s="124">
        <f>+HLOOKUP($C22,'parametres articles'!$C$5:$G$25,6,FALSE)</f>
        <v>0.4</v>
      </c>
      <c r="O22" s="2">
        <f>+HLOOKUP($C22,'parametres articles'!$C$5:$G$25,8,FALSE)</f>
        <v>0</v>
      </c>
      <c r="P22" s="114">
        <f>IF(C22="E",'parametres articles'!$C$8,HLOOKUP($C22,'parametres articles'!$C$5:$F$25,4,FALSE))</f>
        <v>2.27</v>
      </c>
      <c r="Q22" s="114">
        <f t="shared" si="1"/>
        <v>2.27</v>
      </c>
      <c r="R22" s="2">
        <f t="shared" si="8"/>
        <v>13.62</v>
      </c>
      <c r="S22" s="2">
        <f t="shared" si="2"/>
        <v>24.515999999999998</v>
      </c>
      <c r="T22" s="2">
        <f t="shared" si="3"/>
        <v>58.565999999999995</v>
      </c>
      <c r="U22" s="2">
        <f t="shared" si="9"/>
        <v>72.185999999999993</v>
      </c>
      <c r="V22" s="2">
        <f t="shared" si="4"/>
        <v>24.515999999999998</v>
      </c>
      <c r="W22" s="2">
        <f t="shared" si="5"/>
        <v>34.049999999999997</v>
      </c>
      <c r="X22" s="2">
        <f t="shared" si="6"/>
        <v>13.62</v>
      </c>
      <c r="Y22" s="114">
        <f t="shared" si="7"/>
        <v>31.325999999999997</v>
      </c>
      <c r="AA22" s="11">
        <f t="shared" ca="1" si="12"/>
        <v>22</v>
      </c>
      <c r="AB22" s="11">
        <f ca="1">+AA22+'parametres articles'!$C$9-1</f>
        <v>36</v>
      </c>
      <c r="AC22" s="11">
        <f ca="1">+AA22+'parametres articles'!$C$24-1</f>
        <v>41</v>
      </c>
      <c r="AD22" s="11">
        <f ca="1">+IF(AE22&lt;='parametres articles'!$H$8,0,AA22-'parametres articles'!$H$8+1)</f>
        <v>18</v>
      </c>
      <c r="AE22" s="11">
        <v>18</v>
      </c>
      <c r="AF22" s="2" t="str">
        <f t="shared" ca="1" si="10"/>
        <v>F37</v>
      </c>
      <c r="AG22" s="172"/>
      <c r="AH22" s="168"/>
      <c r="AI22" s="2"/>
      <c r="AJ22" s="2"/>
      <c r="AK22" s="2"/>
      <c r="AL22" s="2"/>
    </row>
    <row r="23" spans="1:38" ht="14.45" x14ac:dyDescent="0.3">
      <c r="A23" s="166">
        <v>42031</v>
      </c>
      <c r="C23" s="160" t="s">
        <v>21</v>
      </c>
      <c r="D23" s="161">
        <f ca="1">+IF(AD23=0,P23,(SUM(INDIRECT(CONCATENATE("B",AD23,":B",AA23)))/'parametres articles'!$H$8))</f>
        <v>2</v>
      </c>
      <c r="E23" s="10">
        <f t="shared" si="11"/>
        <v>53</v>
      </c>
      <c r="F23" s="10"/>
      <c r="G23" s="10">
        <f t="shared" si="0"/>
        <v>53</v>
      </c>
      <c r="H23" s="140"/>
      <c r="I23" s="141"/>
      <c r="K23" s="2">
        <f>+HLOOKUP($C23,'parametres articles'!$C$5:$G$25,5,FALSE)</f>
        <v>15</v>
      </c>
      <c r="L23" s="2">
        <f>+HLOOKUP($C23,'parametres articles'!$C$5:$G$25,21,FALSE)</f>
        <v>13</v>
      </c>
      <c r="M23" s="124">
        <f>+HLOOKUP($C23,'parametres articles'!$C$5:$G$25,7,FALSE)</f>
        <v>0.8</v>
      </c>
      <c r="N23" s="124">
        <f>+HLOOKUP($C23,'parametres articles'!$C$5:$G$25,6,FALSE)</f>
        <v>0.4</v>
      </c>
      <c r="O23" s="2">
        <f>+HLOOKUP($C23,'parametres articles'!$C$5:$G$25,8,FALSE)</f>
        <v>0</v>
      </c>
      <c r="P23" s="114">
        <f>IF(C23="E",'parametres articles'!$C$8,HLOOKUP($C23,'parametres articles'!$C$5:$F$25,4,FALSE))</f>
        <v>2.27</v>
      </c>
      <c r="Q23" s="114">
        <f t="shared" si="1"/>
        <v>2.27</v>
      </c>
      <c r="R23" s="2">
        <f t="shared" si="8"/>
        <v>13.62</v>
      </c>
      <c r="S23" s="2">
        <f t="shared" si="2"/>
        <v>24.515999999999998</v>
      </c>
      <c r="T23" s="2">
        <f t="shared" si="3"/>
        <v>58.565999999999995</v>
      </c>
      <c r="U23" s="2">
        <f t="shared" si="9"/>
        <v>72.185999999999993</v>
      </c>
      <c r="V23" s="2">
        <f t="shared" si="4"/>
        <v>24.515999999999998</v>
      </c>
      <c r="W23" s="2">
        <f t="shared" si="5"/>
        <v>34.049999999999997</v>
      </c>
      <c r="X23" s="2">
        <f t="shared" si="6"/>
        <v>13.62</v>
      </c>
      <c r="Y23" s="114">
        <f t="shared" si="7"/>
        <v>31.325999999999997</v>
      </c>
      <c r="AA23" s="11">
        <f t="shared" ca="1" si="12"/>
        <v>23</v>
      </c>
      <c r="AB23" s="11">
        <f ca="1">+AA23+'parametres articles'!$C$9-1</f>
        <v>37</v>
      </c>
      <c r="AC23" s="11">
        <f ca="1">+AA23+'parametres articles'!$C$24-1</f>
        <v>42</v>
      </c>
      <c r="AD23" s="11">
        <f ca="1">+IF(AE23&lt;='parametres articles'!$H$8,0,AA23-'parametres articles'!$H$8+1)</f>
        <v>19</v>
      </c>
      <c r="AE23" s="11">
        <v>19</v>
      </c>
      <c r="AF23" s="2" t="str">
        <f t="shared" ca="1" si="10"/>
        <v>F38</v>
      </c>
      <c r="AG23" s="172">
        <v>-1</v>
      </c>
      <c r="AH23" s="168"/>
      <c r="AI23" s="2"/>
      <c r="AJ23" s="2"/>
      <c r="AK23" s="2"/>
      <c r="AL23" s="2"/>
    </row>
    <row r="24" spans="1:38" ht="14.45" x14ac:dyDescent="0.3">
      <c r="A24" s="166">
        <v>42032</v>
      </c>
      <c r="C24" s="160" t="s">
        <v>21</v>
      </c>
      <c r="D24" s="161">
        <f ca="1">+IF(AD24=0,P24,(SUM(INDIRECT(CONCATENATE("B",AD24,":B",AA24)))/'parametres articles'!$H$8))</f>
        <v>2</v>
      </c>
      <c r="E24" s="10">
        <f t="shared" si="11"/>
        <v>53</v>
      </c>
      <c r="F24" s="10"/>
      <c r="G24" s="10">
        <f t="shared" si="0"/>
        <v>53</v>
      </c>
      <c r="H24" s="140"/>
      <c r="I24" s="141"/>
      <c r="K24" s="2">
        <f>+HLOOKUP($C24,'parametres articles'!$C$5:$G$25,5,FALSE)</f>
        <v>15</v>
      </c>
      <c r="L24" s="2">
        <f>+HLOOKUP($C24,'parametres articles'!$C$5:$G$25,21,FALSE)</f>
        <v>13</v>
      </c>
      <c r="M24" s="124">
        <f>+HLOOKUP($C24,'parametres articles'!$C$5:$G$25,7,FALSE)</f>
        <v>0.8</v>
      </c>
      <c r="N24" s="124">
        <f>+HLOOKUP($C24,'parametres articles'!$C$5:$G$25,6,FALSE)</f>
        <v>0.4</v>
      </c>
      <c r="O24" s="2">
        <f>+HLOOKUP($C24,'parametres articles'!$C$5:$G$25,8,FALSE)</f>
        <v>0</v>
      </c>
      <c r="P24" s="114">
        <f>IF(C24="E",'parametres articles'!$C$8,HLOOKUP($C24,'parametres articles'!$C$5:$F$25,4,FALSE))</f>
        <v>2.27</v>
      </c>
      <c r="Q24" s="114">
        <f t="shared" si="1"/>
        <v>2.27</v>
      </c>
      <c r="R24" s="2">
        <f t="shared" si="8"/>
        <v>13.62</v>
      </c>
      <c r="S24" s="2">
        <f t="shared" si="2"/>
        <v>24.515999999999998</v>
      </c>
      <c r="T24" s="2">
        <f t="shared" si="3"/>
        <v>58.565999999999995</v>
      </c>
      <c r="U24" s="2">
        <f t="shared" si="9"/>
        <v>72.185999999999993</v>
      </c>
      <c r="V24" s="2">
        <f t="shared" si="4"/>
        <v>24.515999999999998</v>
      </c>
      <c r="W24" s="2">
        <f t="shared" si="5"/>
        <v>34.049999999999997</v>
      </c>
      <c r="X24" s="2">
        <f t="shared" si="6"/>
        <v>13.62</v>
      </c>
      <c r="Y24" s="114">
        <f t="shared" si="7"/>
        <v>31.325999999999997</v>
      </c>
      <c r="AA24" s="11">
        <f t="shared" ca="1" si="12"/>
        <v>24</v>
      </c>
      <c r="AB24" s="11">
        <f ca="1">+AA24+'parametres articles'!$C$9-1</f>
        <v>38</v>
      </c>
      <c r="AC24" s="11">
        <f ca="1">+AA24+'parametres articles'!$C$24-1</f>
        <v>43</v>
      </c>
      <c r="AD24" s="11">
        <f ca="1">+IF(AE24&lt;='parametres articles'!$H$8,0,AA24-'parametres articles'!$H$8+1)</f>
        <v>20</v>
      </c>
      <c r="AE24" s="11">
        <v>20</v>
      </c>
      <c r="AF24" s="2" t="str">
        <f t="shared" ca="1" si="10"/>
        <v>F39</v>
      </c>
      <c r="AG24" s="172"/>
      <c r="AH24" s="168"/>
      <c r="AI24" s="2"/>
      <c r="AJ24" s="2"/>
      <c r="AK24" s="2"/>
      <c r="AL24" s="2"/>
    </row>
    <row r="25" spans="1:38" ht="14.45" x14ac:dyDescent="0.35">
      <c r="A25" s="166">
        <v>42033</v>
      </c>
      <c r="C25" s="160" t="s">
        <v>21</v>
      </c>
      <c r="D25" s="161">
        <f ca="1">+IF(AD25=0,P25,(SUM(INDIRECT(CONCATENATE("B",AD25,":B",AA25)))/'parametres articles'!$H$8))</f>
        <v>2</v>
      </c>
      <c r="E25" s="10">
        <f t="shared" si="11"/>
        <v>53</v>
      </c>
      <c r="F25" s="10"/>
      <c r="G25" s="10">
        <f t="shared" si="0"/>
        <v>53</v>
      </c>
      <c r="H25" s="140"/>
      <c r="I25" s="141">
        <f t="shared" ref="I25:I56" si="13">+AVERAGE(E5:E25)</f>
        <v>32.61904761904762</v>
      </c>
      <c r="K25" s="2">
        <f>+HLOOKUP($C25,'parametres articles'!$C$5:$G$25,5,FALSE)</f>
        <v>15</v>
      </c>
      <c r="L25" s="2">
        <f>+HLOOKUP($C25,'parametres articles'!$C$5:$G$25,21,FALSE)</f>
        <v>13</v>
      </c>
      <c r="M25" s="124">
        <f>+HLOOKUP($C25,'parametres articles'!$C$5:$G$25,7,FALSE)</f>
        <v>0.8</v>
      </c>
      <c r="N25" s="124">
        <f>+HLOOKUP($C25,'parametres articles'!$C$5:$G$25,6,FALSE)</f>
        <v>0.4</v>
      </c>
      <c r="O25" s="2">
        <f>+HLOOKUP($C25,'parametres articles'!$C$5:$G$25,8,FALSE)</f>
        <v>0</v>
      </c>
      <c r="P25" s="114">
        <f>IF(C25="E",'parametres articles'!$C$8,HLOOKUP($C25,'parametres articles'!$C$5:$F$25,4,FALSE))</f>
        <v>2.27</v>
      </c>
      <c r="Q25" s="114">
        <f t="shared" si="1"/>
        <v>2.27</v>
      </c>
      <c r="R25" s="2">
        <f t="shared" si="8"/>
        <v>13.62</v>
      </c>
      <c r="S25" s="2">
        <f t="shared" si="2"/>
        <v>24.515999999999998</v>
      </c>
      <c r="T25" s="2">
        <f t="shared" si="3"/>
        <v>58.565999999999995</v>
      </c>
      <c r="U25" s="2">
        <f t="shared" si="9"/>
        <v>72.185999999999993</v>
      </c>
      <c r="V25" s="2">
        <f t="shared" si="4"/>
        <v>24.515999999999998</v>
      </c>
      <c r="W25" s="2">
        <f t="shared" si="5"/>
        <v>34.049999999999997</v>
      </c>
      <c r="X25" s="2">
        <f t="shared" si="6"/>
        <v>13.62</v>
      </c>
      <c r="Y25" s="114">
        <f t="shared" si="7"/>
        <v>31.325999999999997</v>
      </c>
      <c r="AA25" s="11">
        <f t="shared" ca="1" si="12"/>
        <v>25</v>
      </c>
      <c r="AB25" s="11">
        <f ca="1">+AA25+'parametres articles'!$C$9-1</f>
        <v>39</v>
      </c>
      <c r="AC25" s="11">
        <f ca="1">+AA25+'parametres articles'!$C$24-1</f>
        <v>44</v>
      </c>
      <c r="AD25" s="11">
        <f ca="1">+IF(AE25&lt;='parametres articles'!$H$8,0,AA25-'parametres articles'!$H$8+1)</f>
        <v>21</v>
      </c>
      <c r="AE25" s="11">
        <v>21</v>
      </c>
      <c r="AF25" s="2" t="str">
        <f t="shared" ca="1" si="10"/>
        <v>F40</v>
      </c>
      <c r="AG25" s="172"/>
      <c r="AH25" s="168"/>
      <c r="AI25" s="2"/>
      <c r="AJ25" s="2"/>
      <c r="AK25" s="2"/>
      <c r="AL25" s="2"/>
    </row>
    <row r="26" spans="1:38" ht="14.45" x14ac:dyDescent="0.35">
      <c r="A26" s="166">
        <v>42034</v>
      </c>
      <c r="C26" s="160" t="s">
        <v>21</v>
      </c>
      <c r="D26" s="161">
        <f ca="1">+IF(AD26=0,P26,(SUM(INDIRECT(CONCATENATE("B",AD26,":B",AA26)))/'parametres articles'!$H$8))</f>
        <v>0</v>
      </c>
      <c r="E26" s="10">
        <f t="shared" si="11"/>
        <v>53</v>
      </c>
      <c r="F26" s="10"/>
      <c r="G26" s="10">
        <f t="shared" si="0"/>
        <v>53</v>
      </c>
      <c r="H26" s="140"/>
      <c r="I26" s="141">
        <f t="shared" si="13"/>
        <v>33.523809523809526</v>
      </c>
      <c r="K26" s="2">
        <f>+HLOOKUP($C26,'parametres articles'!$C$5:$G$25,5,FALSE)</f>
        <v>15</v>
      </c>
      <c r="L26" s="2">
        <f>+HLOOKUP($C26,'parametres articles'!$C$5:$G$25,21,FALSE)</f>
        <v>13</v>
      </c>
      <c r="M26" s="124">
        <f>+HLOOKUP($C26,'parametres articles'!$C$5:$G$25,7,FALSE)</f>
        <v>0.8</v>
      </c>
      <c r="N26" s="124">
        <f>+HLOOKUP($C26,'parametres articles'!$C$5:$G$25,6,FALSE)</f>
        <v>0.4</v>
      </c>
      <c r="O26" s="2">
        <f>+HLOOKUP($C26,'parametres articles'!$C$5:$G$25,8,FALSE)</f>
        <v>0</v>
      </c>
      <c r="P26" s="114">
        <f>IF(C26="E",'parametres articles'!$C$8,HLOOKUP($C26,'parametres articles'!$C$5:$F$25,4,FALSE))</f>
        <v>2.27</v>
      </c>
      <c r="Q26" s="114">
        <f t="shared" si="1"/>
        <v>2.27</v>
      </c>
      <c r="R26" s="2">
        <f t="shared" si="8"/>
        <v>13.62</v>
      </c>
      <c r="S26" s="2">
        <f t="shared" si="2"/>
        <v>24.515999999999998</v>
      </c>
      <c r="T26" s="2">
        <f t="shared" si="3"/>
        <v>58.565999999999995</v>
      </c>
      <c r="U26" s="2">
        <f t="shared" si="9"/>
        <v>72.185999999999993</v>
      </c>
      <c r="V26" s="2">
        <f t="shared" si="4"/>
        <v>24.515999999999998</v>
      </c>
      <c r="W26" s="2">
        <f t="shared" si="5"/>
        <v>34.049999999999997</v>
      </c>
      <c r="X26" s="2">
        <f t="shared" si="6"/>
        <v>13.62</v>
      </c>
      <c r="Y26" s="114">
        <f t="shared" si="7"/>
        <v>31.325999999999997</v>
      </c>
      <c r="AA26" s="11">
        <f t="shared" ca="1" si="12"/>
        <v>26</v>
      </c>
      <c r="AB26" s="11">
        <f ca="1">+AA26+'parametres articles'!$C$9-1</f>
        <v>40</v>
      </c>
      <c r="AC26" s="11">
        <f ca="1">+AA26+'parametres articles'!$C$24-1</f>
        <v>45</v>
      </c>
      <c r="AD26" s="11">
        <f ca="1">+IF(AE26&lt;='parametres articles'!$H$8,0,AA26-'parametres articles'!$H$8+1)</f>
        <v>22</v>
      </c>
      <c r="AE26" s="11">
        <v>22</v>
      </c>
      <c r="AF26" s="2" t="str">
        <f t="shared" ca="1" si="10"/>
        <v>F41</v>
      </c>
      <c r="AG26" s="172"/>
      <c r="AH26" s="168"/>
      <c r="AI26" s="2"/>
      <c r="AJ26" s="2"/>
      <c r="AK26" s="2"/>
      <c r="AL26" s="2"/>
    </row>
    <row r="27" spans="1:38" ht="14.45" x14ac:dyDescent="0.35">
      <c r="A27" s="166">
        <v>42037</v>
      </c>
      <c r="B27" s="163">
        <v>2</v>
      </c>
      <c r="C27" s="160" t="s">
        <v>21</v>
      </c>
      <c r="D27" s="161">
        <f ca="1">+IF(AD27=0,P27,(SUM(INDIRECT(CONCATENATE("B",AD27,":B",AA27)))/'parametres articles'!$H$8))</f>
        <v>0.4</v>
      </c>
      <c r="E27" s="10">
        <f t="shared" si="11"/>
        <v>53</v>
      </c>
      <c r="F27" s="10"/>
      <c r="G27" s="10">
        <f t="shared" si="0"/>
        <v>51</v>
      </c>
      <c r="H27" s="140"/>
      <c r="I27" s="141">
        <f t="shared" si="13"/>
        <v>34.428571428571431</v>
      </c>
      <c r="K27" s="2">
        <f>+HLOOKUP($C27,'parametres articles'!$C$5:$G$25,5,FALSE)</f>
        <v>15</v>
      </c>
      <c r="L27" s="2">
        <f>+HLOOKUP($C27,'parametres articles'!$C$5:$G$25,21,FALSE)</f>
        <v>13</v>
      </c>
      <c r="M27" s="124">
        <f>+HLOOKUP($C27,'parametres articles'!$C$5:$G$25,7,FALSE)</f>
        <v>0.8</v>
      </c>
      <c r="N27" s="124">
        <f>+HLOOKUP($C27,'parametres articles'!$C$5:$G$25,6,FALSE)</f>
        <v>0.4</v>
      </c>
      <c r="O27" s="2">
        <f>+HLOOKUP($C27,'parametres articles'!$C$5:$G$25,8,FALSE)</f>
        <v>0</v>
      </c>
      <c r="P27" s="114">
        <f>IF(C27="E",'parametres articles'!$C$8,HLOOKUP($C27,'parametres articles'!$C$5:$F$25,4,FALSE))</f>
        <v>2.27</v>
      </c>
      <c r="Q27" s="114">
        <f t="shared" si="1"/>
        <v>2.27</v>
      </c>
      <c r="R27" s="2">
        <f t="shared" si="8"/>
        <v>13.62</v>
      </c>
      <c r="S27" s="2">
        <f t="shared" si="2"/>
        <v>24.515999999999998</v>
      </c>
      <c r="T27" s="2">
        <f t="shared" si="3"/>
        <v>58.565999999999995</v>
      </c>
      <c r="U27" s="2">
        <f t="shared" si="9"/>
        <v>72.185999999999993</v>
      </c>
      <c r="V27" s="2">
        <f t="shared" si="4"/>
        <v>24.515999999999998</v>
      </c>
      <c r="W27" s="2">
        <f t="shared" si="5"/>
        <v>34.049999999999997</v>
      </c>
      <c r="X27" s="2">
        <f t="shared" si="6"/>
        <v>13.62</v>
      </c>
      <c r="Y27" s="114">
        <f t="shared" si="7"/>
        <v>31.325999999999997</v>
      </c>
      <c r="AA27" s="11">
        <f t="shared" ca="1" si="12"/>
        <v>27</v>
      </c>
      <c r="AB27" s="11">
        <f ca="1">+AA27+'parametres articles'!$C$9-1</f>
        <v>41</v>
      </c>
      <c r="AC27" s="11">
        <f ca="1">+AA27+'parametres articles'!$C$24-1</f>
        <v>46</v>
      </c>
      <c r="AD27" s="11">
        <f ca="1">+IF(AE27&lt;='parametres articles'!$H$8,0,AA27-'parametres articles'!$H$8+1)</f>
        <v>23</v>
      </c>
      <c r="AE27" s="11">
        <v>23</v>
      </c>
      <c r="AF27" s="2" t="str">
        <f t="shared" ca="1" si="10"/>
        <v>F42</v>
      </c>
      <c r="AG27" s="172"/>
      <c r="AH27" s="168"/>
      <c r="AI27" s="2"/>
      <c r="AJ27" s="2"/>
      <c r="AK27" s="2"/>
      <c r="AL27" s="2"/>
    </row>
    <row r="28" spans="1:38" ht="14.45" x14ac:dyDescent="0.35">
      <c r="A28" s="166">
        <v>42038</v>
      </c>
      <c r="C28" s="160" t="s">
        <v>21</v>
      </c>
      <c r="D28" s="161">
        <f ca="1">+IF(AD28=0,P28,(SUM(INDIRECT(CONCATENATE("B",AD28,":B",AA28)))/'parametres articles'!$H$8))</f>
        <v>0.4</v>
      </c>
      <c r="E28" s="10">
        <f t="shared" si="11"/>
        <v>51</v>
      </c>
      <c r="F28" s="10"/>
      <c r="G28" s="10">
        <f t="shared" si="0"/>
        <v>51</v>
      </c>
      <c r="H28" s="140"/>
      <c r="I28" s="141">
        <f t="shared" si="13"/>
        <v>35.238095238095241</v>
      </c>
      <c r="K28" s="2">
        <f>+HLOOKUP($C28,'parametres articles'!$C$5:$G$25,5,FALSE)</f>
        <v>15</v>
      </c>
      <c r="L28" s="2">
        <f>+HLOOKUP($C28,'parametres articles'!$C$5:$G$25,21,FALSE)</f>
        <v>13</v>
      </c>
      <c r="M28" s="124">
        <f>+HLOOKUP($C28,'parametres articles'!$C$5:$G$25,7,FALSE)</f>
        <v>0.8</v>
      </c>
      <c r="N28" s="124">
        <f>+HLOOKUP($C28,'parametres articles'!$C$5:$G$25,6,FALSE)</f>
        <v>0.4</v>
      </c>
      <c r="O28" s="2">
        <f>+HLOOKUP($C28,'parametres articles'!$C$5:$G$25,8,FALSE)</f>
        <v>0</v>
      </c>
      <c r="P28" s="114">
        <f>IF(C28="E",'parametres articles'!$C$8,HLOOKUP($C28,'parametres articles'!$C$5:$F$25,4,FALSE))</f>
        <v>2.27</v>
      </c>
      <c r="Q28" s="114">
        <f t="shared" si="1"/>
        <v>2.27</v>
      </c>
      <c r="R28" s="2">
        <f t="shared" si="8"/>
        <v>13.62</v>
      </c>
      <c r="S28" s="2">
        <f t="shared" si="2"/>
        <v>24.515999999999998</v>
      </c>
      <c r="T28" s="2">
        <f t="shared" si="3"/>
        <v>58.565999999999995</v>
      </c>
      <c r="U28" s="2">
        <f t="shared" si="9"/>
        <v>72.185999999999993</v>
      </c>
      <c r="V28" s="2">
        <f t="shared" si="4"/>
        <v>24.515999999999998</v>
      </c>
      <c r="W28" s="2">
        <f t="shared" si="5"/>
        <v>34.049999999999997</v>
      </c>
      <c r="X28" s="2">
        <f t="shared" si="6"/>
        <v>13.62</v>
      </c>
      <c r="Y28" s="114">
        <f t="shared" si="7"/>
        <v>31.325999999999997</v>
      </c>
      <c r="AA28" s="11">
        <f t="shared" ca="1" si="12"/>
        <v>28</v>
      </c>
      <c r="AB28" s="11">
        <f ca="1">+AA28+'parametres articles'!$C$9-1</f>
        <v>42</v>
      </c>
      <c r="AC28" s="11">
        <f ca="1">+AA28+'parametres articles'!$C$24-1</f>
        <v>47</v>
      </c>
      <c r="AD28" s="11">
        <f ca="1">+IF(AE28&lt;='parametres articles'!$H$8,0,AA28-'parametres articles'!$H$8+1)</f>
        <v>24</v>
      </c>
      <c r="AE28" s="11">
        <v>24</v>
      </c>
      <c r="AF28" s="2" t="str">
        <f t="shared" ca="1" si="10"/>
        <v>F43</v>
      </c>
      <c r="AG28" s="172"/>
      <c r="AH28" s="168"/>
      <c r="AI28" s="2"/>
      <c r="AJ28" s="2"/>
      <c r="AK28" s="2"/>
      <c r="AL28" s="2"/>
    </row>
    <row r="29" spans="1:38" ht="14.45" x14ac:dyDescent="0.35">
      <c r="A29" s="166">
        <v>42039</v>
      </c>
      <c r="C29" s="160" t="s">
        <v>21</v>
      </c>
      <c r="D29" s="161">
        <f ca="1">+IF(AD29=0,P29,(SUM(INDIRECT(CONCATENATE("B",AD29,":B",AA29)))/'parametres articles'!$H$8))</f>
        <v>0.4</v>
      </c>
      <c r="E29" s="10">
        <f t="shared" si="11"/>
        <v>51</v>
      </c>
      <c r="F29" s="10"/>
      <c r="G29" s="10">
        <f t="shared" si="0"/>
        <v>51</v>
      </c>
      <c r="H29" s="140"/>
      <c r="I29" s="141">
        <f t="shared" si="13"/>
        <v>36.047619047619051</v>
      </c>
      <c r="K29" s="2">
        <f>+HLOOKUP($C29,'parametres articles'!$C$5:$G$25,5,FALSE)</f>
        <v>15</v>
      </c>
      <c r="L29" s="2">
        <f>+HLOOKUP($C29,'parametres articles'!$C$5:$G$25,21,FALSE)</f>
        <v>13</v>
      </c>
      <c r="M29" s="124">
        <f>+HLOOKUP($C29,'parametres articles'!$C$5:$G$25,7,FALSE)</f>
        <v>0.8</v>
      </c>
      <c r="N29" s="124">
        <f>+HLOOKUP($C29,'parametres articles'!$C$5:$G$25,6,FALSE)</f>
        <v>0.4</v>
      </c>
      <c r="O29" s="2">
        <f>+HLOOKUP($C29,'parametres articles'!$C$5:$G$25,8,FALSE)</f>
        <v>0</v>
      </c>
      <c r="P29" s="114">
        <f>IF(C29="E",'parametres articles'!$C$8,HLOOKUP($C29,'parametres articles'!$C$5:$F$25,4,FALSE))</f>
        <v>2.27</v>
      </c>
      <c r="Q29" s="114">
        <f t="shared" si="1"/>
        <v>2.27</v>
      </c>
      <c r="R29" s="2">
        <f t="shared" si="8"/>
        <v>13.62</v>
      </c>
      <c r="S29" s="2">
        <f t="shared" si="2"/>
        <v>24.515999999999998</v>
      </c>
      <c r="T29" s="2">
        <f t="shared" si="3"/>
        <v>58.565999999999995</v>
      </c>
      <c r="U29" s="2">
        <f t="shared" si="9"/>
        <v>72.185999999999993</v>
      </c>
      <c r="V29" s="2">
        <f t="shared" si="4"/>
        <v>24.515999999999998</v>
      </c>
      <c r="W29" s="2">
        <f t="shared" si="5"/>
        <v>34.049999999999997</v>
      </c>
      <c r="X29" s="2">
        <f t="shared" si="6"/>
        <v>13.62</v>
      </c>
      <c r="Y29" s="114">
        <f t="shared" si="7"/>
        <v>31.325999999999997</v>
      </c>
      <c r="AA29" s="11">
        <f t="shared" ca="1" si="12"/>
        <v>29</v>
      </c>
      <c r="AB29" s="11">
        <f ca="1">+AA29+'parametres articles'!$C$9-1</f>
        <v>43</v>
      </c>
      <c r="AC29" s="11">
        <f ca="1">+AA29+'parametres articles'!$C$24-1</f>
        <v>48</v>
      </c>
      <c r="AD29" s="11">
        <f ca="1">+IF(AE29&lt;='parametres articles'!$H$8,0,AA29-'parametres articles'!$H$8+1)</f>
        <v>25</v>
      </c>
      <c r="AE29" s="11">
        <v>25</v>
      </c>
      <c r="AF29" s="2" t="str">
        <f t="shared" ca="1" si="10"/>
        <v>F44</v>
      </c>
      <c r="AG29" s="172"/>
      <c r="AH29" s="168"/>
      <c r="AI29" s="2"/>
      <c r="AJ29" s="2"/>
      <c r="AK29" s="2"/>
      <c r="AL29" s="2"/>
    </row>
    <row r="30" spans="1:38" ht="14.45" x14ac:dyDescent="0.35">
      <c r="A30" s="166">
        <v>42040</v>
      </c>
      <c r="C30" s="160" t="s">
        <v>21</v>
      </c>
      <c r="D30" s="161">
        <f ca="1">+IF(AD30=0,P30,(SUM(INDIRECT(CONCATENATE("B",AD30,":B",AA30)))/'parametres articles'!$H$8))</f>
        <v>0.4</v>
      </c>
      <c r="E30" s="10">
        <f t="shared" si="11"/>
        <v>51</v>
      </c>
      <c r="F30" s="10"/>
      <c r="G30" s="10">
        <f t="shared" si="0"/>
        <v>51</v>
      </c>
      <c r="H30" s="140"/>
      <c r="I30" s="141">
        <f t="shared" si="13"/>
        <v>36.857142857142854</v>
      </c>
      <c r="K30" s="2">
        <f>+HLOOKUP($C30,'parametres articles'!$C$5:$G$25,5,FALSE)</f>
        <v>15</v>
      </c>
      <c r="L30" s="2">
        <f>+HLOOKUP($C30,'parametres articles'!$C$5:$G$25,21,FALSE)</f>
        <v>13</v>
      </c>
      <c r="M30" s="124">
        <f>+HLOOKUP($C30,'parametres articles'!$C$5:$G$25,7,FALSE)</f>
        <v>0.8</v>
      </c>
      <c r="N30" s="124">
        <f>+HLOOKUP($C30,'parametres articles'!$C$5:$G$25,6,FALSE)</f>
        <v>0.4</v>
      </c>
      <c r="O30" s="2">
        <f>+HLOOKUP($C30,'parametres articles'!$C$5:$G$25,8,FALSE)</f>
        <v>0</v>
      </c>
      <c r="P30" s="114">
        <f>IF(C30="E",'parametres articles'!$C$8,HLOOKUP($C30,'parametres articles'!$C$5:$F$25,4,FALSE))</f>
        <v>2.27</v>
      </c>
      <c r="Q30" s="114">
        <f t="shared" si="1"/>
        <v>2.27</v>
      </c>
      <c r="R30" s="2">
        <f t="shared" si="8"/>
        <v>13.62</v>
      </c>
      <c r="S30" s="2">
        <f t="shared" si="2"/>
        <v>24.515999999999998</v>
      </c>
      <c r="T30" s="2">
        <f t="shared" si="3"/>
        <v>58.565999999999995</v>
      </c>
      <c r="U30" s="2">
        <f t="shared" si="9"/>
        <v>72.185999999999993</v>
      </c>
      <c r="V30" s="2">
        <f t="shared" si="4"/>
        <v>24.515999999999998</v>
      </c>
      <c r="W30" s="2">
        <f t="shared" si="5"/>
        <v>34.049999999999997</v>
      </c>
      <c r="X30" s="2">
        <f t="shared" si="6"/>
        <v>13.62</v>
      </c>
      <c r="Y30" s="114">
        <f t="shared" si="7"/>
        <v>31.325999999999997</v>
      </c>
      <c r="AA30" s="11">
        <f t="shared" ca="1" si="12"/>
        <v>30</v>
      </c>
      <c r="AB30" s="11">
        <f ca="1">+AA30+'parametres articles'!$C$9-1</f>
        <v>44</v>
      </c>
      <c r="AC30" s="11">
        <f ca="1">+AA30+'parametres articles'!$C$24-1</f>
        <v>49</v>
      </c>
      <c r="AD30" s="11">
        <f ca="1">+IF(AE30&lt;='parametres articles'!$H$8,0,AA30-'parametres articles'!$H$8+1)</f>
        <v>26</v>
      </c>
      <c r="AE30" s="11">
        <v>26</v>
      </c>
      <c r="AF30" s="2" t="str">
        <f t="shared" ca="1" si="10"/>
        <v>F45</v>
      </c>
      <c r="AG30" s="172"/>
      <c r="AH30" s="168"/>
      <c r="AI30" s="2"/>
      <c r="AJ30" s="2"/>
      <c r="AK30" s="2"/>
      <c r="AL30" s="2"/>
    </row>
    <row r="31" spans="1:38" ht="14.45" x14ac:dyDescent="0.35">
      <c r="A31" s="166">
        <v>42041</v>
      </c>
      <c r="C31" s="160" t="s">
        <v>24</v>
      </c>
      <c r="D31" s="161">
        <f ca="1">+IF(AD31=0,P31,(SUM(INDIRECT(CONCATENATE("B",AD31,":B",AA31)))/'parametres articles'!$H$8))</f>
        <v>0.4</v>
      </c>
      <c r="E31" s="10">
        <f t="shared" si="11"/>
        <v>51</v>
      </c>
      <c r="F31" s="10">
        <f>+VLOOKUP(A31,Feuil1!$K$3:$L$37,2,FALSE)</f>
        <v>20</v>
      </c>
      <c r="G31" s="10">
        <f t="shared" si="0"/>
        <v>71</v>
      </c>
      <c r="H31" s="140"/>
      <c r="I31" s="141">
        <f t="shared" si="13"/>
        <v>38.238095238095241</v>
      </c>
      <c r="K31" s="2">
        <f>+HLOOKUP($C31,'parametres articles'!$C$5:$G$25,5,FALSE)</f>
        <v>15</v>
      </c>
      <c r="L31" s="2">
        <f>+HLOOKUP($C31,'parametres articles'!$C$5:$G$25,21,FALSE)</f>
        <v>19.6875</v>
      </c>
      <c r="M31" s="124">
        <f>+HLOOKUP($C31,'parametres articles'!$C$5:$G$25,7,FALSE)</f>
        <v>0.5</v>
      </c>
      <c r="N31" s="124">
        <f>+HLOOKUP($C31,'parametres articles'!$C$5:$G$25,6,FALSE)</f>
        <v>0.5</v>
      </c>
      <c r="O31" s="2">
        <f>+HLOOKUP($C31,'parametres articles'!$C$5:$G$25,8,FALSE)</f>
        <v>0</v>
      </c>
      <c r="P31" s="114">
        <f>IF(C31="E",'parametres articles'!$C$8,HLOOKUP($C31,'parametres articles'!$C$5:$F$25,4,FALSE))</f>
        <v>3.5</v>
      </c>
      <c r="Q31" s="114">
        <f t="shared" si="1"/>
        <v>3.5</v>
      </c>
      <c r="R31" s="2">
        <f t="shared" si="8"/>
        <v>26.25</v>
      </c>
      <c r="S31" s="2">
        <f t="shared" si="2"/>
        <v>39.375</v>
      </c>
      <c r="T31" s="2">
        <f t="shared" si="3"/>
        <v>91.875</v>
      </c>
      <c r="U31" s="2">
        <f t="shared" si="9"/>
        <v>118.125</v>
      </c>
      <c r="V31" s="2">
        <f t="shared" si="4"/>
        <v>39.375</v>
      </c>
      <c r="W31" s="2">
        <f t="shared" si="5"/>
        <v>52.5</v>
      </c>
      <c r="X31" s="2">
        <f t="shared" si="6"/>
        <v>26.25</v>
      </c>
      <c r="Y31" s="114">
        <f t="shared" si="7"/>
        <v>52.5</v>
      </c>
      <c r="AA31" s="11">
        <f t="shared" ca="1" si="12"/>
        <v>31</v>
      </c>
      <c r="AB31" s="11">
        <f ca="1">+AA31+'parametres articles'!$C$9-1</f>
        <v>45</v>
      </c>
      <c r="AC31" s="11">
        <f ca="1">+AA31+'parametres articles'!$C$24-1</f>
        <v>50</v>
      </c>
      <c r="AD31" s="11">
        <f ca="1">+IF(AE31&lt;='parametres articles'!$H$8,0,AA31-'parametres articles'!$H$8+1)</f>
        <v>27</v>
      </c>
      <c r="AE31" s="11">
        <v>27</v>
      </c>
      <c r="AF31" s="2" t="str">
        <f t="shared" ca="1" si="10"/>
        <v>F46</v>
      </c>
      <c r="AG31" s="172"/>
      <c r="AH31" s="168"/>
      <c r="AI31" s="2"/>
      <c r="AJ31" s="2"/>
      <c r="AK31" s="2"/>
      <c r="AL31" s="2"/>
    </row>
    <row r="32" spans="1:38" ht="14.45" x14ac:dyDescent="0.35">
      <c r="A32" s="166">
        <v>42044</v>
      </c>
      <c r="C32" s="160" t="s">
        <v>24</v>
      </c>
      <c r="D32" s="161">
        <f ca="1">+IF(AD32=0,P32,(SUM(INDIRECT(CONCATENATE("B",AD32,":B",AA32)))/'parametres articles'!$H$8))</f>
        <v>0</v>
      </c>
      <c r="E32" s="10">
        <f t="shared" si="11"/>
        <v>71</v>
      </c>
      <c r="F32" s="10"/>
      <c r="G32" s="10">
        <f t="shared" si="0"/>
        <v>71</v>
      </c>
      <c r="H32" s="140"/>
      <c r="I32" s="141">
        <f t="shared" si="13"/>
        <v>40.571428571428569</v>
      </c>
      <c r="K32" s="2">
        <f>+HLOOKUP($C32,'parametres articles'!$C$5:$G$25,5,FALSE)</f>
        <v>15</v>
      </c>
      <c r="L32" s="2">
        <f>+HLOOKUP($C32,'parametres articles'!$C$5:$G$25,21,FALSE)</f>
        <v>19.6875</v>
      </c>
      <c r="M32" s="124">
        <f>+HLOOKUP($C32,'parametres articles'!$C$5:$G$25,7,FALSE)</f>
        <v>0.5</v>
      </c>
      <c r="N32" s="124">
        <f>+HLOOKUP($C32,'parametres articles'!$C$5:$G$25,6,FALSE)</f>
        <v>0.5</v>
      </c>
      <c r="O32" s="2">
        <f>+HLOOKUP($C32,'parametres articles'!$C$5:$G$25,8,FALSE)</f>
        <v>0</v>
      </c>
      <c r="P32" s="114">
        <f>IF(C32="E",'parametres articles'!$C$8,HLOOKUP($C32,'parametres articles'!$C$5:$F$25,4,FALSE))</f>
        <v>3.5</v>
      </c>
      <c r="Q32" s="114">
        <f t="shared" si="1"/>
        <v>3.5</v>
      </c>
      <c r="R32" s="2">
        <f t="shared" si="8"/>
        <v>26.25</v>
      </c>
      <c r="S32" s="2">
        <f t="shared" si="2"/>
        <v>39.375</v>
      </c>
      <c r="T32" s="2">
        <f t="shared" si="3"/>
        <v>91.875</v>
      </c>
      <c r="U32" s="2">
        <f t="shared" si="9"/>
        <v>118.125</v>
      </c>
      <c r="V32" s="2">
        <f t="shared" si="4"/>
        <v>39.375</v>
      </c>
      <c r="W32" s="2">
        <f t="shared" si="5"/>
        <v>52.5</v>
      </c>
      <c r="X32" s="2">
        <f t="shared" si="6"/>
        <v>26.25</v>
      </c>
      <c r="Y32" s="114">
        <f t="shared" si="7"/>
        <v>52.5</v>
      </c>
      <c r="AA32" s="11">
        <f t="shared" ca="1" si="12"/>
        <v>32</v>
      </c>
      <c r="AB32" s="11">
        <f ca="1">+AA32+'parametres articles'!$C$9-1</f>
        <v>46</v>
      </c>
      <c r="AC32" s="11">
        <f ca="1">+AA32+'parametres articles'!$C$24-1</f>
        <v>51</v>
      </c>
      <c r="AD32" s="11">
        <f ca="1">+IF(AE32&lt;='parametres articles'!$H$8,0,AA32-'parametres articles'!$H$8+1)</f>
        <v>28</v>
      </c>
      <c r="AE32" s="11">
        <v>28</v>
      </c>
      <c r="AF32" s="2" t="str">
        <f t="shared" ca="1" si="10"/>
        <v>F47</v>
      </c>
      <c r="AG32" s="172"/>
      <c r="AH32" s="168"/>
      <c r="AI32" s="2"/>
      <c r="AJ32" s="2"/>
      <c r="AK32" s="2"/>
      <c r="AL32" s="2"/>
    </row>
    <row r="33" spans="1:38" ht="14.45" x14ac:dyDescent="0.35">
      <c r="A33" s="166">
        <v>42045</v>
      </c>
      <c r="C33" s="160" t="s">
        <v>24</v>
      </c>
      <c r="D33" s="161">
        <f ca="1">+IF(AD33=0,P33,(SUM(INDIRECT(CONCATENATE("B",AD33,":B",AA33)))/'parametres articles'!$H$8))</f>
        <v>0</v>
      </c>
      <c r="E33" s="10">
        <f t="shared" si="11"/>
        <v>71</v>
      </c>
      <c r="F33" s="10"/>
      <c r="G33" s="10">
        <f t="shared" si="0"/>
        <v>71</v>
      </c>
      <c r="H33" s="140"/>
      <c r="I33" s="141">
        <f t="shared" si="13"/>
        <v>42.428571428571431</v>
      </c>
      <c r="K33" s="2">
        <f>+HLOOKUP($C33,'parametres articles'!$C$5:$G$25,5,FALSE)</f>
        <v>15</v>
      </c>
      <c r="L33" s="2">
        <f>+HLOOKUP($C33,'parametres articles'!$C$5:$G$25,21,FALSE)</f>
        <v>19.6875</v>
      </c>
      <c r="M33" s="124">
        <f>+HLOOKUP($C33,'parametres articles'!$C$5:$G$25,7,FALSE)</f>
        <v>0.5</v>
      </c>
      <c r="N33" s="124">
        <f>+HLOOKUP($C33,'parametres articles'!$C$5:$G$25,6,FALSE)</f>
        <v>0.5</v>
      </c>
      <c r="O33" s="2">
        <f>+HLOOKUP($C33,'parametres articles'!$C$5:$G$25,8,FALSE)</f>
        <v>0</v>
      </c>
      <c r="P33" s="114">
        <f>IF(C33="E",'parametres articles'!$C$8,HLOOKUP($C33,'parametres articles'!$C$5:$F$25,4,FALSE))</f>
        <v>3.5</v>
      </c>
      <c r="Q33" s="114">
        <f t="shared" si="1"/>
        <v>3.5</v>
      </c>
      <c r="R33" s="2">
        <f t="shared" si="8"/>
        <v>26.25</v>
      </c>
      <c r="S33" s="2">
        <f t="shared" si="2"/>
        <v>39.375</v>
      </c>
      <c r="T33" s="2">
        <f t="shared" si="3"/>
        <v>91.875</v>
      </c>
      <c r="U33" s="2">
        <f t="shared" si="9"/>
        <v>118.125</v>
      </c>
      <c r="V33" s="2">
        <f t="shared" si="4"/>
        <v>39.375</v>
      </c>
      <c r="W33" s="2">
        <f t="shared" si="5"/>
        <v>52.5</v>
      </c>
      <c r="X33" s="2">
        <f t="shared" si="6"/>
        <v>26.25</v>
      </c>
      <c r="Y33" s="114">
        <f t="shared" si="7"/>
        <v>52.5</v>
      </c>
      <c r="AA33" s="11">
        <f t="shared" ca="1" si="12"/>
        <v>33</v>
      </c>
      <c r="AB33" s="11">
        <f ca="1">+AA33+'parametres articles'!$C$9-1</f>
        <v>47</v>
      </c>
      <c r="AC33" s="11">
        <f ca="1">+AA33+'parametres articles'!$C$24-1</f>
        <v>52</v>
      </c>
      <c r="AD33" s="11">
        <f ca="1">+IF(AE33&lt;='parametres articles'!$H$8,0,AA33-'parametres articles'!$H$8+1)</f>
        <v>29</v>
      </c>
      <c r="AE33" s="11">
        <v>29</v>
      </c>
      <c r="AF33" s="2" t="str">
        <f t="shared" ca="1" si="10"/>
        <v>F48</v>
      </c>
      <c r="AG33" s="172"/>
      <c r="AH33" s="168"/>
      <c r="AI33" s="2"/>
      <c r="AJ33" s="2"/>
      <c r="AK33" s="2"/>
      <c r="AL33" s="2"/>
    </row>
    <row r="34" spans="1:38" ht="14.45" x14ac:dyDescent="0.35">
      <c r="A34" s="166">
        <v>42046</v>
      </c>
      <c r="C34" s="160" t="s">
        <v>24</v>
      </c>
      <c r="D34" s="161">
        <f ca="1">+IF(AD34=0,P34,(SUM(INDIRECT(CONCATENATE("B",AD34,":B",AA34)))/'parametres articles'!$H$8))</f>
        <v>0</v>
      </c>
      <c r="E34" s="10">
        <f t="shared" si="11"/>
        <v>71</v>
      </c>
      <c r="F34" s="10"/>
      <c r="G34" s="10">
        <f t="shared" si="0"/>
        <v>71</v>
      </c>
      <c r="H34" s="140"/>
      <c r="I34" s="141">
        <f t="shared" si="13"/>
        <v>44.285714285714285</v>
      </c>
      <c r="K34" s="2">
        <f>+HLOOKUP($C34,'parametres articles'!$C$5:$G$25,5,FALSE)</f>
        <v>15</v>
      </c>
      <c r="L34" s="2">
        <f>+HLOOKUP($C34,'parametres articles'!$C$5:$G$25,21,FALSE)</f>
        <v>19.6875</v>
      </c>
      <c r="M34" s="124">
        <f>+HLOOKUP($C34,'parametres articles'!$C$5:$G$25,7,FALSE)</f>
        <v>0.5</v>
      </c>
      <c r="N34" s="124">
        <f>+HLOOKUP($C34,'parametres articles'!$C$5:$G$25,6,FALSE)</f>
        <v>0.5</v>
      </c>
      <c r="O34" s="2">
        <f>+HLOOKUP($C34,'parametres articles'!$C$5:$G$25,8,FALSE)</f>
        <v>0</v>
      </c>
      <c r="P34" s="114">
        <f>IF(C34="E",'parametres articles'!$C$8,HLOOKUP($C34,'parametres articles'!$C$5:$F$25,4,FALSE))</f>
        <v>3.5</v>
      </c>
      <c r="Q34" s="114">
        <f t="shared" si="1"/>
        <v>3.5</v>
      </c>
      <c r="R34" s="2">
        <f t="shared" si="8"/>
        <v>26.25</v>
      </c>
      <c r="S34" s="2">
        <f t="shared" si="2"/>
        <v>39.375</v>
      </c>
      <c r="T34" s="2">
        <f t="shared" si="3"/>
        <v>91.875</v>
      </c>
      <c r="U34" s="2">
        <f t="shared" si="9"/>
        <v>118.125</v>
      </c>
      <c r="V34" s="2">
        <f t="shared" si="4"/>
        <v>39.375</v>
      </c>
      <c r="W34" s="2">
        <f t="shared" si="5"/>
        <v>52.5</v>
      </c>
      <c r="X34" s="2">
        <f t="shared" si="6"/>
        <v>26.25</v>
      </c>
      <c r="Y34" s="114">
        <f t="shared" si="7"/>
        <v>52.5</v>
      </c>
      <c r="AA34" s="11">
        <f t="shared" ca="1" si="12"/>
        <v>34</v>
      </c>
      <c r="AB34" s="11">
        <f ca="1">+AA34+'parametres articles'!$C$9-1</f>
        <v>48</v>
      </c>
      <c r="AC34" s="11">
        <f ca="1">+AA34+'parametres articles'!$C$24-1</f>
        <v>53</v>
      </c>
      <c r="AD34" s="11">
        <f ca="1">+IF(AE34&lt;='parametres articles'!$H$8,0,AA34-'parametres articles'!$H$8+1)</f>
        <v>30</v>
      </c>
      <c r="AE34" s="11">
        <v>30</v>
      </c>
      <c r="AF34" s="2" t="str">
        <f t="shared" ca="1" si="10"/>
        <v>F49</v>
      </c>
      <c r="AG34" s="172"/>
      <c r="AH34" s="168"/>
      <c r="AI34" s="2"/>
      <c r="AJ34" s="2"/>
      <c r="AK34" s="2"/>
      <c r="AL34" s="2"/>
    </row>
    <row r="35" spans="1:38" ht="14.45" x14ac:dyDescent="0.35">
      <c r="A35" s="166">
        <v>42047</v>
      </c>
      <c r="B35" s="163">
        <v>1</v>
      </c>
      <c r="C35" s="160" t="s">
        <v>24</v>
      </c>
      <c r="D35" s="161">
        <f ca="1">+IF(AD35=0,P35,(SUM(INDIRECT(CONCATENATE("B",AD35,":B",AA35)))/'parametres articles'!$H$8))</f>
        <v>0.2</v>
      </c>
      <c r="E35" s="10">
        <f t="shared" si="11"/>
        <v>71</v>
      </c>
      <c r="F35" s="10"/>
      <c r="G35" s="10">
        <f t="shared" si="0"/>
        <v>70</v>
      </c>
      <c r="H35" s="140"/>
      <c r="I35" s="141">
        <f t="shared" si="13"/>
        <v>46.19047619047619</v>
      </c>
      <c r="K35" s="2">
        <f>+HLOOKUP($C35,'parametres articles'!$C$5:$G$25,5,FALSE)</f>
        <v>15</v>
      </c>
      <c r="L35" s="2">
        <f>+HLOOKUP($C35,'parametres articles'!$C$5:$G$25,21,FALSE)</f>
        <v>19.6875</v>
      </c>
      <c r="M35" s="124">
        <f>+HLOOKUP($C35,'parametres articles'!$C$5:$G$25,7,FALSE)</f>
        <v>0.5</v>
      </c>
      <c r="N35" s="124">
        <f>+HLOOKUP($C35,'parametres articles'!$C$5:$G$25,6,FALSE)</f>
        <v>0.5</v>
      </c>
      <c r="O35" s="2">
        <f>+HLOOKUP($C35,'parametres articles'!$C$5:$G$25,8,FALSE)</f>
        <v>0</v>
      </c>
      <c r="P35" s="114">
        <f>IF(C35="E",'parametres articles'!$C$8,HLOOKUP($C35,'parametres articles'!$C$5:$F$25,4,FALSE))</f>
        <v>3.5</v>
      </c>
      <c r="Q35" s="114">
        <f t="shared" si="1"/>
        <v>3.5</v>
      </c>
      <c r="R35" s="2">
        <f t="shared" si="8"/>
        <v>26.25</v>
      </c>
      <c r="S35" s="2">
        <f t="shared" si="2"/>
        <v>39.375</v>
      </c>
      <c r="T35" s="2">
        <f t="shared" si="3"/>
        <v>91.875</v>
      </c>
      <c r="U35" s="2">
        <f t="shared" si="9"/>
        <v>118.125</v>
      </c>
      <c r="V35" s="2">
        <f t="shared" si="4"/>
        <v>39.375</v>
      </c>
      <c r="W35" s="2">
        <f t="shared" si="5"/>
        <v>52.5</v>
      </c>
      <c r="X35" s="2">
        <f t="shared" si="6"/>
        <v>26.25</v>
      </c>
      <c r="Y35" s="114">
        <f t="shared" si="7"/>
        <v>52.5</v>
      </c>
      <c r="AA35" s="11">
        <f t="shared" ca="1" si="12"/>
        <v>35</v>
      </c>
      <c r="AB35" s="11">
        <f ca="1">+AA35+'parametres articles'!$C$9-1</f>
        <v>49</v>
      </c>
      <c r="AC35" s="11">
        <f ca="1">+AA35+'parametres articles'!$C$24-1</f>
        <v>54</v>
      </c>
      <c r="AD35" s="11">
        <f ca="1">+IF(AE35&lt;='parametres articles'!$H$8,0,AA35-'parametres articles'!$H$8+1)</f>
        <v>31</v>
      </c>
      <c r="AE35" s="11">
        <v>31</v>
      </c>
      <c r="AF35" s="2" t="str">
        <f t="shared" ca="1" si="10"/>
        <v>F50</v>
      </c>
      <c r="AG35" s="172"/>
      <c r="AH35" s="168"/>
      <c r="AI35" s="2"/>
      <c r="AJ35" s="2"/>
      <c r="AK35" s="2"/>
      <c r="AL35" s="2"/>
    </row>
    <row r="36" spans="1:38" ht="14.45" x14ac:dyDescent="0.35">
      <c r="A36" s="166">
        <v>42048</v>
      </c>
      <c r="B36" s="163">
        <v>8</v>
      </c>
      <c r="C36" s="160" t="s">
        <v>24</v>
      </c>
      <c r="D36" s="161">
        <f ca="1">+IF(AD36=0,P36,(SUM(INDIRECT(CONCATENATE("B",AD36,":B",AA36)))/'parametres articles'!$H$8))</f>
        <v>1.8</v>
      </c>
      <c r="E36" s="10">
        <f t="shared" si="11"/>
        <v>69</v>
      </c>
      <c r="F36" s="10"/>
      <c r="G36" s="10">
        <f t="shared" si="0"/>
        <v>61</v>
      </c>
      <c r="H36" s="140"/>
      <c r="I36" s="141">
        <f t="shared" si="13"/>
        <v>48</v>
      </c>
      <c r="K36" s="2">
        <f>+HLOOKUP($C36,'parametres articles'!$C$5:$G$25,5,FALSE)</f>
        <v>15</v>
      </c>
      <c r="L36" s="2">
        <f>+HLOOKUP($C36,'parametres articles'!$C$5:$G$25,21,FALSE)</f>
        <v>19.6875</v>
      </c>
      <c r="M36" s="124">
        <f>+HLOOKUP($C36,'parametres articles'!$C$5:$G$25,7,FALSE)</f>
        <v>0.5</v>
      </c>
      <c r="N36" s="124">
        <f>+HLOOKUP($C36,'parametres articles'!$C$5:$G$25,6,FALSE)</f>
        <v>0.5</v>
      </c>
      <c r="O36" s="2">
        <f>+HLOOKUP($C36,'parametres articles'!$C$5:$G$25,8,FALSE)</f>
        <v>0</v>
      </c>
      <c r="P36" s="114">
        <f>IF(C36="E",'parametres articles'!$C$8,HLOOKUP($C36,'parametres articles'!$C$5:$F$25,4,FALSE))</f>
        <v>3.5</v>
      </c>
      <c r="Q36" s="114">
        <f t="shared" si="1"/>
        <v>3.5</v>
      </c>
      <c r="R36" s="2">
        <f t="shared" si="8"/>
        <v>26.25</v>
      </c>
      <c r="S36" s="2">
        <f t="shared" si="2"/>
        <v>39.375</v>
      </c>
      <c r="T36" s="2">
        <f t="shared" si="3"/>
        <v>91.875</v>
      </c>
      <c r="U36" s="2">
        <f t="shared" si="9"/>
        <v>118.125</v>
      </c>
      <c r="V36" s="2">
        <f t="shared" si="4"/>
        <v>39.375</v>
      </c>
      <c r="W36" s="2">
        <f t="shared" si="5"/>
        <v>52.5</v>
      </c>
      <c r="X36" s="2">
        <f t="shared" si="6"/>
        <v>26.25</v>
      </c>
      <c r="Y36" s="114">
        <f t="shared" si="7"/>
        <v>52.5</v>
      </c>
      <c r="AA36" s="11">
        <f t="shared" ca="1" si="12"/>
        <v>36</v>
      </c>
      <c r="AB36" s="11">
        <f ca="1">+AA36+'parametres articles'!$C$9-1</f>
        <v>50</v>
      </c>
      <c r="AC36" s="11">
        <f ca="1">+AA36+'parametres articles'!$C$24-1</f>
        <v>55</v>
      </c>
      <c r="AD36" s="11">
        <f ca="1">+IF(AE36&lt;='parametres articles'!$H$8,0,AA36-'parametres articles'!$H$8+1)</f>
        <v>32</v>
      </c>
      <c r="AE36" s="11">
        <v>32</v>
      </c>
      <c r="AF36" s="2" t="str">
        <f t="shared" ca="1" si="10"/>
        <v>F51</v>
      </c>
      <c r="AG36" s="172">
        <v>-1</v>
      </c>
      <c r="AH36" s="168"/>
      <c r="AI36" s="2"/>
      <c r="AJ36" s="2"/>
      <c r="AK36" s="2"/>
      <c r="AL36" s="2"/>
    </row>
    <row r="37" spans="1:38" ht="14.45" x14ac:dyDescent="0.35">
      <c r="A37" s="166">
        <v>42051</v>
      </c>
      <c r="B37" s="163">
        <v>2</v>
      </c>
      <c r="C37" s="160" t="s">
        <v>24</v>
      </c>
      <c r="D37" s="161">
        <f ca="1">+IF(AD37=0,P37,(SUM(INDIRECT(CONCATENATE("B",AD37,":B",AA37)))/'parametres articles'!$H$8))</f>
        <v>2.2000000000000002</v>
      </c>
      <c r="E37" s="10">
        <f t="shared" si="11"/>
        <v>61</v>
      </c>
      <c r="F37" s="10"/>
      <c r="G37" s="10">
        <f t="shared" si="0"/>
        <v>59</v>
      </c>
      <c r="H37" s="140"/>
      <c r="I37" s="141">
        <f t="shared" si="13"/>
        <v>49.428571428571431</v>
      </c>
      <c r="K37" s="2">
        <f>+HLOOKUP($C37,'parametres articles'!$C$5:$G$25,5,FALSE)</f>
        <v>15</v>
      </c>
      <c r="L37" s="2">
        <f>+HLOOKUP($C37,'parametres articles'!$C$5:$G$25,21,FALSE)</f>
        <v>19.6875</v>
      </c>
      <c r="M37" s="124">
        <f>+HLOOKUP($C37,'parametres articles'!$C$5:$G$25,7,FALSE)</f>
        <v>0.5</v>
      </c>
      <c r="N37" s="124">
        <f>+HLOOKUP($C37,'parametres articles'!$C$5:$G$25,6,FALSE)</f>
        <v>0.5</v>
      </c>
      <c r="O37" s="2">
        <f>+HLOOKUP($C37,'parametres articles'!$C$5:$G$25,8,FALSE)</f>
        <v>0</v>
      </c>
      <c r="P37" s="114">
        <f>IF(C37="E",'parametres articles'!$C$8,HLOOKUP($C37,'parametres articles'!$C$5:$F$25,4,FALSE))</f>
        <v>3.5</v>
      </c>
      <c r="Q37" s="114">
        <f t="shared" si="1"/>
        <v>3.5</v>
      </c>
      <c r="R37" s="2">
        <f t="shared" si="8"/>
        <v>26.25</v>
      </c>
      <c r="S37" s="2">
        <f t="shared" si="2"/>
        <v>39.375</v>
      </c>
      <c r="T37" s="2">
        <f t="shared" si="3"/>
        <v>91.875</v>
      </c>
      <c r="U37" s="2">
        <f t="shared" si="9"/>
        <v>118.125</v>
      </c>
      <c r="V37" s="2">
        <f t="shared" si="4"/>
        <v>39.375</v>
      </c>
      <c r="W37" s="2">
        <f t="shared" si="5"/>
        <v>52.5</v>
      </c>
      <c r="X37" s="2">
        <f t="shared" si="6"/>
        <v>26.25</v>
      </c>
      <c r="Y37" s="114">
        <f t="shared" si="7"/>
        <v>52.5</v>
      </c>
      <c r="AA37" s="11">
        <f t="shared" ca="1" si="12"/>
        <v>37</v>
      </c>
      <c r="AB37" s="11">
        <f ca="1">+AA37+'parametres articles'!$C$9-1</f>
        <v>51</v>
      </c>
      <c r="AC37" s="11">
        <f ca="1">+AA37+'parametres articles'!$C$24-1</f>
        <v>56</v>
      </c>
      <c r="AD37" s="11">
        <f ca="1">+IF(AE37&lt;='parametres articles'!$H$8,0,AA37-'parametres articles'!$H$8+1)</f>
        <v>33</v>
      </c>
      <c r="AE37" s="11">
        <v>33</v>
      </c>
      <c r="AF37" s="2" t="str">
        <f t="shared" ca="1" si="10"/>
        <v>F52</v>
      </c>
      <c r="AG37" s="172"/>
      <c r="AH37" s="168"/>
      <c r="AI37" s="2"/>
      <c r="AJ37" s="2"/>
      <c r="AK37" s="2"/>
      <c r="AL37" s="2"/>
    </row>
    <row r="38" spans="1:38" ht="14.45" x14ac:dyDescent="0.35">
      <c r="A38" s="166">
        <v>42052</v>
      </c>
      <c r="C38" s="160" t="s">
        <v>24</v>
      </c>
      <c r="D38" s="161">
        <f ca="1">+IF(AD38=0,P38,(SUM(INDIRECT(CONCATENATE("B",AD38,":B",AA38)))/'parametres articles'!$H$8))</f>
        <v>2.2000000000000002</v>
      </c>
      <c r="E38" s="10">
        <f t="shared" si="11"/>
        <v>59</v>
      </c>
      <c r="F38" s="10"/>
      <c r="G38" s="10">
        <f t="shared" si="0"/>
        <v>59</v>
      </c>
      <c r="H38" s="140"/>
      <c r="I38" s="141">
        <f t="shared" si="13"/>
        <v>50.761904761904759</v>
      </c>
      <c r="K38" s="2">
        <f>+HLOOKUP($C38,'parametres articles'!$C$5:$G$25,5,FALSE)</f>
        <v>15</v>
      </c>
      <c r="L38" s="2">
        <f>+HLOOKUP($C38,'parametres articles'!$C$5:$G$25,21,FALSE)</f>
        <v>19.6875</v>
      </c>
      <c r="M38" s="124">
        <f>+HLOOKUP($C38,'parametres articles'!$C$5:$G$25,7,FALSE)</f>
        <v>0.5</v>
      </c>
      <c r="N38" s="124">
        <f>+HLOOKUP($C38,'parametres articles'!$C$5:$G$25,6,FALSE)</f>
        <v>0.5</v>
      </c>
      <c r="O38" s="2">
        <f>+HLOOKUP($C38,'parametres articles'!$C$5:$G$25,8,FALSE)</f>
        <v>0</v>
      </c>
      <c r="P38" s="114">
        <f>IF(C38="E",'parametres articles'!$C$8,HLOOKUP($C38,'parametres articles'!$C$5:$F$25,4,FALSE))</f>
        <v>3.5</v>
      </c>
      <c r="Q38" s="114">
        <f t="shared" si="1"/>
        <v>3.5</v>
      </c>
      <c r="R38" s="2">
        <f t="shared" si="8"/>
        <v>26.25</v>
      </c>
      <c r="S38" s="2">
        <f t="shared" si="2"/>
        <v>39.375</v>
      </c>
      <c r="T38" s="2">
        <f t="shared" si="3"/>
        <v>91.875</v>
      </c>
      <c r="U38" s="2">
        <f t="shared" si="9"/>
        <v>118.125</v>
      </c>
      <c r="V38" s="2">
        <f t="shared" si="4"/>
        <v>39.375</v>
      </c>
      <c r="W38" s="2">
        <f t="shared" si="5"/>
        <v>52.5</v>
      </c>
      <c r="X38" s="2">
        <f t="shared" si="6"/>
        <v>26.25</v>
      </c>
      <c r="Y38" s="114">
        <f t="shared" si="7"/>
        <v>52.5</v>
      </c>
      <c r="AA38" s="11">
        <f t="shared" ca="1" si="12"/>
        <v>38</v>
      </c>
      <c r="AB38" s="11">
        <f ca="1">+AA38+'parametres articles'!$C$9-1</f>
        <v>52</v>
      </c>
      <c r="AC38" s="11">
        <f ca="1">+AA38+'parametres articles'!$C$24-1</f>
        <v>57</v>
      </c>
      <c r="AD38" s="11">
        <f ca="1">+IF(AE38&lt;='parametres articles'!$H$8,0,AA38-'parametres articles'!$H$8+1)</f>
        <v>34</v>
      </c>
      <c r="AE38" s="11">
        <v>34</v>
      </c>
      <c r="AF38" s="2" t="str">
        <f t="shared" ca="1" si="10"/>
        <v>F53</v>
      </c>
      <c r="AG38" s="172"/>
      <c r="AH38" s="168"/>
      <c r="AI38" s="2"/>
      <c r="AJ38" s="2"/>
      <c r="AK38" s="2"/>
      <c r="AL38" s="2"/>
    </row>
    <row r="39" spans="1:38" ht="14.45" x14ac:dyDescent="0.35">
      <c r="A39" s="166">
        <v>42053</v>
      </c>
      <c r="C39" s="160" t="s">
        <v>24</v>
      </c>
      <c r="D39" s="161">
        <f ca="1">+IF(AD39=0,P39,(SUM(INDIRECT(CONCATENATE("B",AD39,":B",AA39)))/'parametres articles'!$H$8))</f>
        <v>2.2000000000000002</v>
      </c>
      <c r="E39" s="10">
        <f t="shared" si="11"/>
        <v>59</v>
      </c>
      <c r="F39" s="10"/>
      <c r="G39" s="10">
        <f t="shared" si="0"/>
        <v>59</v>
      </c>
      <c r="H39" s="140"/>
      <c r="I39" s="141">
        <f t="shared" si="13"/>
        <v>52.142857142857146</v>
      </c>
      <c r="K39" s="2">
        <f>+HLOOKUP($C39,'parametres articles'!$C$5:$G$25,5,FALSE)</f>
        <v>15</v>
      </c>
      <c r="L39" s="2">
        <f>+HLOOKUP($C39,'parametres articles'!$C$5:$G$25,21,FALSE)</f>
        <v>19.6875</v>
      </c>
      <c r="M39" s="124">
        <f>+HLOOKUP($C39,'parametres articles'!$C$5:$G$25,7,FALSE)</f>
        <v>0.5</v>
      </c>
      <c r="N39" s="124">
        <f>+HLOOKUP($C39,'parametres articles'!$C$5:$G$25,6,FALSE)</f>
        <v>0.5</v>
      </c>
      <c r="O39" s="2">
        <f>+HLOOKUP($C39,'parametres articles'!$C$5:$G$25,8,FALSE)</f>
        <v>0</v>
      </c>
      <c r="P39" s="114">
        <f>IF(C39="E",'parametres articles'!$C$8,HLOOKUP($C39,'parametres articles'!$C$5:$F$25,4,FALSE))</f>
        <v>3.5</v>
      </c>
      <c r="Q39" s="114">
        <f t="shared" si="1"/>
        <v>3.5</v>
      </c>
      <c r="R39" s="2">
        <f t="shared" si="8"/>
        <v>26.25</v>
      </c>
      <c r="S39" s="2">
        <f t="shared" si="2"/>
        <v>39.375</v>
      </c>
      <c r="T39" s="2">
        <f t="shared" si="3"/>
        <v>91.875</v>
      </c>
      <c r="U39" s="2">
        <f t="shared" si="9"/>
        <v>118.125</v>
      </c>
      <c r="V39" s="2">
        <f t="shared" si="4"/>
        <v>39.375</v>
      </c>
      <c r="W39" s="2">
        <f t="shared" si="5"/>
        <v>52.5</v>
      </c>
      <c r="X39" s="2">
        <f t="shared" si="6"/>
        <v>26.25</v>
      </c>
      <c r="Y39" s="114">
        <f t="shared" si="7"/>
        <v>52.5</v>
      </c>
      <c r="AA39" s="11">
        <f t="shared" ca="1" si="12"/>
        <v>39</v>
      </c>
      <c r="AB39" s="11">
        <f ca="1">+AA39+'parametres articles'!$C$9-1</f>
        <v>53</v>
      </c>
      <c r="AC39" s="11">
        <f ca="1">+AA39+'parametres articles'!$C$24-1</f>
        <v>58</v>
      </c>
      <c r="AD39" s="11">
        <f ca="1">+IF(AE39&lt;='parametres articles'!$H$8,0,AA39-'parametres articles'!$H$8+1)</f>
        <v>35</v>
      </c>
      <c r="AE39" s="11">
        <v>35</v>
      </c>
      <c r="AF39" s="2" t="str">
        <f t="shared" ca="1" si="10"/>
        <v>F54</v>
      </c>
      <c r="AG39" s="172"/>
      <c r="AH39" s="168"/>
      <c r="AI39" s="2"/>
      <c r="AJ39" s="2"/>
      <c r="AK39" s="2"/>
      <c r="AL39" s="2"/>
    </row>
    <row r="40" spans="1:38" x14ac:dyDescent="0.25">
      <c r="A40" s="166">
        <v>42054</v>
      </c>
      <c r="C40" s="160" t="s">
        <v>24</v>
      </c>
      <c r="D40" s="161">
        <f ca="1">+IF(AD40=0,P40,(SUM(INDIRECT(CONCATENATE("B",AD40,":B",AA40)))/'parametres articles'!$H$8))</f>
        <v>2</v>
      </c>
      <c r="E40" s="10">
        <f t="shared" si="11"/>
        <v>59</v>
      </c>
      <c r="F40" s="10"/>
      <c r="G40" s="10">
        <f t="shared" si="0"/>
        <v>59</v>
      </c>
      <c r="H40" s="140"/>
      <c r="I40" s="141">
        <f t="shared" si="13"/>
        <v>53.714285714285715</v>
      </c>
      <c r="K40" s="2">
        <f>+HLOOKUP($C40,'parametres articles'!$C$5:$G$25,5,FALSE)</f>
        <v>15</v>
      </c>
      <c r="L40" s="2">
        <f>+HLOOKUP($C40,'parametres articles'!$C$5:$G$25,21,FALSE)</f>
        <v>19.6875</v>
      </c>
      <c r="M40" s="124">
        <f>+HLOOKUP($C40,'parametres articles'!$C$5:$G$25,7,FALSE)</f>
        <v>0.5</v>
      </c>
      <c r="N40" s="124">
        <f>+HLOOKUP($C40,'parametres articles'!$C$5:$G$25,6,FALSE)</f>
        <v>0.5</v>
      </c>
      <c r="O40" s="2">
        <f>+HLOOKUP($C40,'parametres articles'!$C$5:$G$25,8,FALSE)</f>
        <v>0</v>
      </c>
      <c r="P40" s="114">
        <f>IF(C40="E",'parametres articles'!$C$8,HLOOKUP($C40,'parametres articles'!$C$5:$F$25,4,FALSE))</f>
        <v>3.5</v>
      </c>
      <c r="Q40" s="114">
        <f t="shared" si="1"/>
        <v>3.5</v>
      </c>
      <c r="R40" s="2">
        <f t="shared" si="8"/>
        <v>26.25</v>
      </c>
      <c r="S40" s="2">
        <f t="shared" si="2"/>
        <v>39.375</v>
      </c>
      <c r="T40" s="2">
        <f t="shared" si="3"/>
        <v>91.875</v>
      </c>
      <c r="U40" s="2">
        <f t="shared" si="9"/>
        <v>118.125</v>
      </c>
      <c r="V40" s="2">
        <f t="shared" si="4"/>
        <v>39.375</v>
      </c>
      <c r="W40" s="2">
        <f t="shared" si="5"/>
        <v>52.5</v>
      </c>
      <c r="X40" s="2">
        <f t="shared" si="6"/>
        <v>26.25</v>
      </c>
      <c r="Y40" s="114">
        <f t="shared" si="7"/>
        <v>52.5</v>
      </c>
      <c r="AA40" s="11">
        <f t="shared" ca="1" si="12"/>
        <v>40</v>
      </c>
      <c r="AB40" s="11">
        <f ca="1">+AA40+'parametres articles'!$C$9-1</f>
        <v>54</v>
      </c>
      <c r="AC40" s="11">
        <f ca="1">+AA40+'parametres articles'!$C$24-1</f>
        <v>59</v>
      </c>
      <c r="AD40" s="11">
        <f ca="1">+IF(AE40&lt;='parametres articles'!$H$8,0,AA40-'parametres articles'!$H$8+1)</f>
        <v>36</v>
      </c>
      <c r="AE40" s="11">
        <v>36</v>
      </c>
      <c r="AF40" s="2" t="str">
        <f t="shared" ca="1" si="10"/>
        <v>F55</v>
      </c>
      <c r="AG40" s="172"/>
      <c r="AH40" s="168"/>
      <c r="AI40" s="2"/>
      <c r="AJ40" s="2"/>
      <c r="AK40" s="2"/>
      <c r="AL40" s="2"/>
    </row>
    <row r="41" spans="1:38" x14ac:dyDescent="0.25">
      <c r="A41" s="166">
        <v>42055</v>
      </c>
      <c r="C41" s="160" t="s">
        <v>24</v>
      </c>
      <c r="D41" s="161">
        <f ca="1">+IF(AD41=0,P41,(SUM(INDIRECT(CONCATENATE("B",AD41,":B",AA41)))/'parametres articles'!$H$8))</f>
        <v>0.4</v>
      </c>
      <c r="E41" s="10">
        <f t="shared" si="11"/>
        <v>59</v>
      </c>
      <c r="F41" s="10"/>
      <c r="G41" s="10">
        <f t="shared" si="0"/>
        <v>59</v>
      </c>
      <c r="H41" s="140"/>
      <c r="I41" s="141">
        <f t="shared" si="13"/>
        <v>55.285714285714285</v>
      </c>
      <c r="K41" s="2">
        <f>+HLOOKUP($C41,'parametres articles'!$C$5:$G$25,5,FALSE)</f>
        <v>15</v>
      </c>
      <c r="L41" s="2">
        <f>+HLOOKUP($C41,'parametres articles'!$C$5:$G$25,21,FALSE)</f>
        <v>19.6875</v>
      </c>
      <c r="M41" s="124">
        <f>+HLOOKUP($C41,'parametres articles'!$C$5:$G$25,7,FALSE)</f>
        <v>0.5</v>
      </c>
      <c r="N41" s="124">
        <f>+HLOOKUP($C41,'parametres articles'!$C$5:$G$25,6,FALSE)</f>
        <v>0.5</v>
      </c>
      <c r="O41" s="2">
        <f>+HLOOKUP($C41,'parametres articles'!$C$5:$G$25,8,FALSE)</f>
        <v>0</v>
      </c>
      <c r="P41" s="114">
        <f>IF(C41="E",'parametres articles'!$C$8,HLOOKUP($C41,'parametres articles'!$C$5:$F$25,4,FALSE))</f>
        <v>3.5</v>
      </c>
      <c r="Q41" s="114">
        <f t="shared" si="1"/>
        <v>3.5</v>
      </c>
      <c r="R41" s="2">
        <f t="shared" si="8"/>
        <v>26.25</v>
      </c>
      <c r="S41" s="2">
        <f t="shared" si="2"/>
        <v>39.375</v>
      </c>
      <c r="T41" s="2">
        <f t="shared" si="3"/>
        <v>91.875</v>
      </c>
      <c r="U41" s="2">
        <f t="shared" si="9"/>
        <v>118.125</v>
      </c>
      <c r="V41" s="2">
        <f t="shared" si="4"/>
        <v>39.375</v>
      </c>
      <c r="W41" s="2">
        <f t="shared" si="5"/>
        <v>52.5</v>
      </c>
      <c r="X41" s="2">
        <f t="shared" si="6"/>
        <v>26.25</v>
      </c>
      <c r="Y41" s="114">
        <f t="shared" si="7"/>
        <v>52.5</v>
      </c>
      <c r="AA41" s="11">
        <f t="shared" ca="1" si="12"/>
        <v>41</v>
      </c>
      <c r="AB41" s="11">
        <f ca="1">+AA41+'parametres articles'!$C$9-1</f>
        <v>55</v>
      </c>
      <c r="AC41" s="11">
        <f ca="1">+AA41+'parametres articles'!$C$24-1</f>
        <v>60</v>
      </c>
      <c r="AD41" s="11">
        <f ca="1">+IF(AE41&lt;='parametres articles'!$H$8,0,AA41-'parametres articles'!$H$8+1)</f>
        <v>37</v>
      </c>
      <c r="AE41" s="11">
        <v>37</v>
      </c>
      <c r="AF41" s="2" t="str">
        <f t="shared" ca="1" si="10"/>
        <v>F56</v>
      </c>
      <c r="AG41" s="172"/>
      <c r="AH41" s="168"/>
      <c r="AI41" s="2"/>
      <c r="AJ41" s="2"/>
      <c r="AK41" s="2"/>
      <c r="AL41" s="2"/>
    </row>
    <row r="42" spans="1:38" x14ac:dyDescent="0.25">
      <c r="A42" s="166">
        <v>42058</v>
      </c>
      <c r="B42" s="163">
        <v>15</v>
      </c>
      <c r="C42" s="160" t="s">
        <v>24</v>
      </c>
      <c r="D42" s="161">
        <f ca="1">+IF(AD42=0,P42,(SUM(INDIRECT(CONCATENATE("B",AD42,":B",AA42)))/'parametres articles'!$H$8))</f>
        <v>3</v>
      </c>
      <c r="E42" s="10">
        <f t="shared" si="11"/>
        <v>59</v>
      </c>
      <c r="F42" s="10"/>
      <c r="G42" s="10">
        <f t="shared" si="0"/>
        <v>44</v>
      </c>
      <c r="H42" s="140"/>
      <c r="I42" s="141">
        <f t="shared" si="13"/>
        <v>56.857142857142854</v>
      </c>
      <c r="K42" s="2">
        <f>+HLOOKUP($C42,'parametres articles'!$C$5:$G$25,5,FALSE)</f>
        <v>15</v>
      </c>
      <c r="L42" s="2">
        <f>+HLOOKUP($C42,'parametres articles'!$C$5:$G$25,21,FALSE)</f>
        <v>19.6875</v>
      </c>
      <c r="M42" s="124">
        <f>+HLOOKUP($C42,'parametres articles'!$C$5:$G$25,7,FALSE)</f>
        <v>0.5</v>
      </c>
      <c r="N42" s="124">
        <f>+HLOOKUP($C42,'parametres articles'!$C$5:$G$25,6,FALSE)</f>
        <v>0.5</v>
      </c>
      <c r="O42" s="2">
        <f>+HLOOKUP($C42,'parametres articles'!$C$5:$G$25,8,FALSE)</f>
        <v>0</v>
      </c>
      <c r="P42" s="114">
        <f>IF(C42="E",'parametres articles'!$C$8,HLOOKUP($C42,'parametres articles'!$C$5:$F$25,4,FALSE))</f>
        <v>3.5</v>
      </c>
      <c r="Q42" s="114">
        <f t="shared" si="1"/>
        <v>3.5</v>
      </c>
      <c r="R42" s="2">
        <f t="shared" si="8"/>
        <v>26.25</v>
      </c>
      <c r="S42" s="2">
        <f t="shared" si="2"/>
        <v>39.375</v>
      </c>
      <c r="T42" s="2">
        <f t="shared" si="3"/>
        <v>91.875</v>
      </c>
      <c r="U42" s="2">
        <f t="shared" si="9"/>
        <v>118.125</v>
      </c>
      <c r="V42" s="2">
        <f t="shared" si="4"/>
        <v>39.375</v>
      </c>
      <c r="W42" s="2">
        <f t="shared" si="5"/>
        <v>52.5</v>
      </c>
      <c r="X42" s="2">
        <f t="shared" si="6"/>
        <v>26.25</v>
      </c>
      <c r="Y42" s="114">
        <f t="shared" si="7"/>
        <v>52.5</v>
      </c>
      <c r="AA42" s="11">
        <f t="shared" ca="1" si="12"/>
        <v>42</v>
      </c>
      <c r="AB42" s="11">
        <f ca="1">+AA42+'parametres articles'!$C$9-1</f>
        <v>56</v>
      </c>
      <c r="AC42" s="11">
        <f ca="1">+AA42+'parametres articles'!$C$24-1</f>
        <v>61</v>
      </c>
      <c r="AD42" s="11">
        <f ca="1">+IF(AE42&lt;='parametres articles'!$H$8,0,AA42-'parametres articles'!$H$8+1)</f>
        <v>38</v>
      </c>
      <c r="AE42" s="11">
        <v>38</v>
      </c>
      <c r="AF42" s="2" t="str">
        <f t="shared" ca="1" si="10"/>
        <v>F57</v>
      </c>
      <c r="AG42" s="172"/>
      <c r="AH42" s="168"/>
      <c r="AI42" s="2"/>
      <c r="AJ42" s="2"/>
      <c r="AK42" s="2"/>
      <c r="AL42" s="2"/>
    </row>
    <row r="43" spans="1:38" x14ac:dyDescent="0.25">
      <c r="A43" s="166">
        <v>42059</v>
      </c>
      <c r="C43" s="160" t="s">
        <v>24</v>
      </c>
      <c r="D43" s="161">
        <f ca="1">+IF(AD43=0,P43,(SUM(INDIRECT(CONCATENATE("B",AD43,":B",AA43)))/'parametres articles'!$H$8))</f>
        <v>3</v>
      </c>
      <c r="E43" s="10">
        <f t="shared" si="11"/>
        <v>44</v>
      </c>
      <c r="F43" s="10"/>
      <c r="G43" s="10">
        <f t="shared" si="0"/>
        <v>44</v>
      </c>
      <c r="H43" s="140"/>
      <c r="I43" s="141">
        <f t="shared" si="13"/>
        <v>58.19047619047619</v>
      </c>
      <c r="K43" s="2">
        <f>+HLOOKUP($C43,'parametres articles'!$C$5:$G$25,5,FALSE)</f>
        <v>15</v>
      </c>
      <c r="L43" s="2">
        <f>+HLOOKUP($C43,'parametres articles'!$C$5:$G$25,21,FALSE)</f>
        <v>19.6875</v>
      </c>
      <c r="M43" s="124">
        <f>+HLOOKUP($C43,'parametres articles'!$C$5:$G$25,7,FALSE)</f>
        <v>0.5</v>
      </c>
      <c r="N43" s="124">
        <f>+HLOOKUP($C43,'parametres articles'!$C$5:$G$25,6,FALSE)</f>
        <v>0.5</v>
      </c>
      <c r="O43" s="2">
        <f>+HLOOKUP($C43,'parametres articles'!$C$5:$G$25,8,FALSE)</f>
        <v>0</v>
      </c>
      <c r="P43" s="114">
        <f>IF(C43="E",'parametres articles'!$C$8,HLOOKUP($C43,'parametres articles'!$C$5:$F$25,4,FALSE))</f>
        <v>3.5</v>
      </c>
      <c r="Q43" s="114">
        <f t="shared" si="1"/>
        <v>3.5</v>
      </c>
      <c r="R43" s="2">
        <f t="shared" si="8"/>
        <v>26.25</v>
      </c>
      <c r="S43" s="2">
        <f t="shared" si="2"/>
        <v>39.375</v>
      </c>
      <c r="T43" s="2">
        <f t="shared" si="3"/>
        <v>91.875</v>
      </c>
      <c r="U43" s="2">
        <f t="shared" si="9"/>
        <v>118.125</v>
      </c>
      <c r="V43" s="2">
        <f t="shared" si="4"/>
        <v>39.375</v>
      </c>
      <c r="W43" s="2">
        <f t="shared" si="5"/>
        <v>52.5</v>
      </c>
      <c r="X43" s="2">
        <f t="shared" si="6"/>
        <v>26.25</v>
      </c>
      <c r="Y43" s="114">
        <f t="shared" si="7"/>
        <v>52.5</v>
      </c>
      <c r="AA43" s="11">
        <f t="shared" ca="1" si="12"/>
        <v>43</v>
      </c>
      <c r="AB43" s="11">
        <f ca="1">+AA43+'parametres articles'!$C$9-1</f>
        <v>57</v>
      </c>
      <c r="AC43" s="11">
        <f ca="1">+AA43+'parametres articles'!$C$24-1</f>
        <v>62</v>
      </c>
      <c r="AD43" s="11">
        <f ca="1">+IF(AE43&lt;='parametres articles'!$H$8,0,AA43-'parametres articles'!$H$8+1)</f>
        <v>39</v>
      </c>
      <c r="AE43" s="11">
        <v>39</v>
      </c>
      <c r="AF43" s="2" t="str">
        <f t="shared" ca="1" si="10"/>
        <v>F58</v>
      </c>
      <c r="AG43" s="172"/>
      <c r="AH43" s="168"/>
      <c r="AI43" s="2"/>
      <c r="AJ43" s="2"/>
      <c r="AK43" s="2"/>
      <c r="AL43" s="2"/>
    </row>
    <row r="44" spans="1:38" x14ac:dyDescent="0.25">
      <c r="A44" s="166">
        <v>42060</v>
      </c>
      <c r="C44" s="160" t="s">
        <v>24</v>
      </c>
      <c r="D44" s="161">
        <f ca="1">+IF(AD44=0,P44,(SUM(INDIRECT(CONCATENATE("B",AD44,":B",AA44)))/'parametres articles'!$H$8))</f>
        <v>3</v>
      </c>
      <c r="E44" s="10">
        <f t="shared" si="11"/>
        <v>44</v>
      </c>
      <c r="F44" s="10"/>
      <c r="G44" s="10">
        <f t="shared" si="0"/>
        <v>44</v>
      </c>
      <c r="H44" s="140"/>
      <c r="I44" s="141">
        <f t="shared" si="13"/>
        <v>57.761904761904759</v>
      </c>
      <c r="K44" s="2">
        <f>+HLOOKUP($C44,'parametres articles'!$C$5:$G$25,5,FALSE)</f>
        <v>15</v>
      </c>
      <c r="L44" s="2">
        <f>+HLOOKUP($C44,'parametres articles'!$C$5:$G$25,21,FALSE)</f>
        <v>19.6875</v>
      </c>
      <c r="M44" s="124">
        <f>+HLOOKUP($C44,'parametres articles'!$C$5:$G$25,7,FALSE)</f>
        <v>0.5</v>
      </c>
      <c r="N44" s="124">
        <f>+HLOOKUP($C44,'parametres articles'!$C$5:$G$25,6,FALSE)</f>
        <v>0.5</v>
      </c>
      <c r="O44" s="2">
        <f>+HLOOKUP($C44,'parametres articles'!$C$5:$G$25,8,FALSE)</f>
        <v>0</v>
      </c>
      <c r="P44" s="114">
        <f>IF(C44="E",'parametres articles'!$C$8,HLOOKUP($C44,'parametres articles'!$C$5:$F$25,4,FALSE))</f>
        <v>3.5</v>
      </c>
      <c r="Q44" s="114">
        <f t="shared" si="1"/>
        <v>3.5</v>
      </c>
      <c r="R44" s="2">
        <f t="shared" si="8"/>
        <v>26.25</v>
      </c>
      <c r="S44" s="2">
        <f t="shared" si="2"/>
        <v>39.375</v>
      </c>
      <c r="T44" s="2">
        <f t="shared" si="3"/>
        <v>91.875</v>
      </c>
      <c r="U44" s="2">
        <f t="shared" si="9"/>
        <v>118.125</v>
      </c>
      <c r="V44" s="2">
        <f t="shared" si="4"/>
        <v>39.375</v>
      </c>
      <c r="W44" s="2">
        <f t="shared" si="5"/>
        <v>52.5</v>
      </c>
      <c r="X44" s="2">
        <f t="shared" si="6"/>
        <v>26.25</v>
      </c>
      <c r="Y44" s="114">
        <f t="shared" si="7"/>
        <v>52.5</v>
      </c>
      <c r="AA44" s="11">
        <f t="shared" ca="1" si="12"/>
        <v>44</v>
      </c>
      <c r="AB44" s="11">
        <f ca="1">+AA44+'parametres articles'!$C$9-1</f>
        <v>58</v>
      </c>
      <c r="AC44" s="11">
        <f ca="1">+AA44+'parametres articles'!$C$24-1</f>
        <v>63</v>
      </c>
      <c r="AD44" s="11">
        <f ca="1">+IF(AE44&lt;='parametres articles'!$H$8,0,AA44-'parametres articles'!$H$8+1)</f>
        <v>40</v>
      </c>
      <c r="AE44" s="11">
        <v>40</v>
      </c>
      <c r="AF44" s="2" t="str">
        <f t="shared" ca="1" si="10"/>
        <v>F59</v>
      </c>
      <c r="AG44" s="172"/>
      <c r="AH44" s="168"/>
      <c r="AI44" s="2"/>
      <c r="AJ44" s="2"/>
      <c r="AK44" s="2"/>
      <c r="AL44" s="2"/>
    </row>
    <row r="45" spans="1:38" x14ac:dyDescent="0.25">
      <c r="A45" s="166">
        <v>42061</v>
      </c>
      <c r="C45" s="160" t="s">
        <v>24</v>
      </c>
      <c r="D45" s="161">
        <f ca="1">+IF(AD45=0,P45,(SUM(INDIRECT(CONCATENATE("B",AD45,":B",AA45)))/'parametres articles'!$H$8))</f>
        <v>3</v>
      </c>
      <c r="E45" s="10">
        <f t="shared" si="11"/>
        <v>44</v>
      </c>
      <c r="F45" s="10"/>
      <c r="G45" s="10">
        <f t="shared" si="0"/>
        <v>44</v>
      </c>
      <c r="H45" s="140"/>
      <c r="I45" s="141">
        <f t="shared" si="13"/>
        <v>57.333333333333336</v>
      </c>
      <c r="K45" s="2">
        <f>+HLOOKUP($C45,'parametres articles'!$C$5:$G$25,5,FALSE)</f>
        <v>15</v>
      </c>
      <c r="L45" s="2">
        <f>+HLOOKUP($C45,'parametres articles'!$C$5:$G$25,21,FALSE)</f>
        <v>19.6875</v>
      </c>
      <c r="M45" s="124">
        <f>+HLOOKUP($C45,'parametres articles'!$C$5:$G$25,7,FALSE)</f>
        <v>0.5</v>
      </c>
      <c r="N45" s="124">
        <f>+HLOOKUP($C45,'parametres articles'!$C$5:$G$25,6,FALSE)</f>
        <v>0.5</v>
      </c>
      <c r="O45" s="2">
        <f>+HLOOKUP($C45,'parametres articles'!$C$5:$G$25,8,FALSE)</f>
        <v>0</v>
      </c>
      <c r="P45" s="114">
        <f>IF(C45="E",'parametres articles'!$C$8,HLOOKUP($C45,'parametres articles'!$C$5:$F$25,4,FALSE))</f>
        <v>3.5</v>
      </c>
      <c r="Q45" s="114">
        <f t="shared" si="1"/>
        <v>3.5</v>
      </c>
      <c r="R45" s="2">
        <f t="shared" si="8"/>
        <v>26.25</v>
      </c>
      <c r="S45" s="2">
        <f t="shared" si="2"/>
        <v>39.375</v>
      </c>
      <c r="T45" s="2">
        <f t="shared" si="3"/>
        <v>91.875</v>
      </c>
      <c r="U45" s="2">
        <f t="shared" si="9"/>
        <v>118.125</v>
      </c>
      <c r="V45" s="2">
        <f t="shared" si="4"/>
        <v>39.375</v>
      </c>
      <c r="W45" s="2">
        <f t="shared" si="5"/>
        <v>52.5</v>
      </c>
      <c r="X45" s="2">
        <f t="shared" si="6"/>
        <v>26.25</v>
      </c>
      <c r="Y45" s="114">
        <f t="shared" si="7"/>
        <v>52.5</v>
      </c>
      <c r="AA45" s="11">
        <f t="shared" ca="1" si="12"/>
        <v>45</v>
      </c>
      <c r="AB45" s="11">
        <f ca="1">+AA45+'parametres articles'!$C$9-1</f>
        <v>59</v>
      </c>
      <c r="AC45" s="11">
        <f ca="1">+AA45+'parametres articles'!$C$24-1</f>
        <v>64</v>
      </c>
      <c r="AD45" s="11">
        <f ca="1">+IF(AE45&lt;='parametres articles'!$H$8,0,AA45-'parametres articles'!$H$8+1)</f>
        <v>41</v>
      </c>
      <c r="AE45" s="11">
        <v>41</v>
      </c>
      <c r="AF45" s="2" t="str">
        <f t="shared" ca="1" si="10"/>
        <v>F60</v>
      </c>
      <c r="AG45" s="172"/>
      <c r="AH45" s="168"/>
      <c r="AI45" s="2"/>
      <c r="AJ45" s="2"/>
      <c r="AK45" s="2"/>
      <c r="AL45" s="2"/>
    </row>
    <row r="46" spans="1:38" x14ac:dyDescent="0.25">
      <c r="A46" s="166">
        <v>42062</v>
      </c>
      <c r="C46" s="160" t="s">
        <v>24</v>
      </c>
      <c r="D46" s="161">
        <f ca="1">+IF(AD46=0,P46,(SUM(INDIRECT(CONCATENATE("B",AD46,":B",AA46)))/'parametres articles'!$H$8))</f>
        <v>3</v>
      </c>
      <c r="E46" s="10">
        <f t="shared" si="11"/>
        <v>44</v>
      </c>
      <c r="F46" s="10"/>
      <c r="G46" s="10">
        <f t="shared" si="0"/>
        <v>44</v>
      </c>
      <c r="H46" s="140"/>
      <c r="I46" s="141">
        <f t="shared" si="13"/>
        <v>56.904761904761905</v>
      </c>
      <c r="K46" s="2">
        <f>+HLOOKUP($C46,'parametres articles'!$C$5:$G$25,5,FALSE)</f>
        <v>15</v>
      </c>
      <c r="L46" s="2">
        <f>+HLOOKUP($C46,'parametres articles'!$C$5:$G$25,21,FALSE)</f>
        <v>19.6875</v>
      </c>
      <c r="M46" s="124">
        <f>+HLOOKUP($C46,'parametres articles'!$C$5:$G$25,7,FALSE)</f>
        <v>0.5</v>
      </c>
      <c r="N46" s="124">
        <f>+HLOOKUP($C46,'parametres articles'!$C$5:$G$25,6,FALSE)</f>
        <v>0.5</v>
      </c>
      <c r="O46" s="2">
        <f>+HLOOKUP($C46,'parametres articles'!$C$5:$G$25,8,FALSE)</f>
        <v>0</v>
      </c>
      <c r="P46" s="114">
        <f>IF(C46="E",'parametres articles'!$C$8,HLOOKUP($C46,'parametres articles'!$C$5:$F$25,4,FALSE))</f>
        <v>3.5</v>
      </c>
      <c r="Q46" s="114">
        <f t="shared" si="1"/>
        <v>3.5</v>
      </c>
      <c r="R46" s="2">
        <f t="shared" si="8"/>
        <v>26.25</v>
      </c>
      <c r="S46" s="2">
        <f t="shared" si="2"/>
        <v>39.375</v>
      </c>
      <c r="T46" s="2">
        <f t="shared" si="3"/>
        <v>91.875</v>
      </c>
      <c r="U46" s="2">
        <f t="shared" si="9"/>
        <v>118.125</v>
      </c>
      <c r="V46" s="2">
        <f t="shared" si="4"/>
        <v>39.375</v>
      </c>
      <c r="W46" s="2">
        <f t="shared" si="5"/>
        <v>52.5</v>
      </c>
      <c r="X46" s="2">
        <f t="shared" si="6"/>
        <v>26.25</v>
      </c>
      <c r="Y46" s="114">
        <f t="shared" si="7"/>
        <v>52.5</v>
      </c>
      <c r="AA46" s="11">
        <f t="shared" ca="1" si="12"/>
        <v>46</v>
      </c>
      <c r="AB46" s="11">
        <f ca="1">+AA46+'parametres articles'!$C$9-1</f>
        <v>60</v>
      </c>
      <c r="AC46" s="11">
        <f ca="1">+AA46+'parametres articles'!$C$24-1</f>
        <v>65</v>
      </c>
      <c r="AD46" s="11">
        <f ca="1">+IF(AE46&lt;='parametres articles'!$H$8,0,AA46-'parametres articles'!$H$8+1)</f>
        <v>42</v>
      </c>
      <c r="AE46" s="11">
        <v>42</v>
      </c>
      <c r="AF46" s="2" t="str">
        <f t="shared" ca="1" si="10"/>
        <v>F61</v>
      </c>
      <c r="AG46" s="172"/>
      <c r="AH46" s="168"/>
      <c r="AI46" s="2"/>
      <c r="AJ46" s="2"/>
      <c r="AK46" s="2"/>
      <c r="AL46" s="2"/>
    </row>
    <row r="47" spans="1:38" x14ac:dyDescent="0.25">
      <c r="A47" s="166">
        <v>42065</v>
      </c>
      <c r="C47" s="160" t="s">
        <v>21</v>
      </c>
      <c r="D47" s="161">
        <f ca="1">+IF(AD47=0,P47,(SUM(INDIRECT(CONCATENATE("B",AD47,":B",AA47)))/'parametres articles'!$H$8))</f>
        <v>0</v>
      </c>
      <c r="E47" s="10">
        <f t="shared" si="11"/>
        <v>44</v>
      </c>
      <c r="F47" s="10"/>
      <c r="G47" s="10">
        <f t="shared" si="0"/>
        <v>44</v>
      </c>
      <c r="H47" s="140"/>
      <c r="I47" s="141">
        <f t="shared" si="13"/>
        <v>56.476190476190474</v>
      </c>
      <c r="K47" s="2">
        <f>+HLOOKUP($C47,'parametres articles'!$C$5:$G$25,5,FALSE)</f>
        <v>15</v>
      </c>
      <c r="L47" s="2">
        <f>+HLOOKUP($C47,'parametres articles'!$C$5:$G$25,21,FALSE)</f>
        <v>13</v>
      </c>
      <c r="M47" s="124">
        <f>+HLOOKUP($C47,'parametres articles'!$C$5:$G$25,7,FALSE)</f>
        <v>0.8</v>
      </c>
      <c r="N47" s="124">
        <f>+HLOOKUP($C47,'parametres articles'!$C$5:$G$25,6,FALSE)</f>
        <v>0.4</v>
      </c>
      <c r="O47" s="2">
        <f>+HLOOKUP($C47,'parametres articles'!$C$5:$G$25,8,FALSE)</f>
        <v>0</v>
      </c>
      <c r="P47" s="114">
        <f>IF(C47="E",'parametres articles'!$C$8,HLOOKUP($C47,'parametres articles'!$C$5:$F$25,4,FALSE))</f>
        <v>2.27</v>
      </c>
      <c r="Q47" s="114">
        <f t="shared" si="1"/>
        <v>2.27</v>
      </c>
      <c r="R47" s="2">
        <f t="shared" si="8"/>
        <v>13.62</v>
      </c>
      <c r="S47" s="2">
        <f t="shared" si="2"/>
        <v>24.515999999999998</v>
      </c>
      <c r="T47" s="2">
        <f t="shared" si="3"/>
        <v>58.565999999999995</v>
      </c>
      <c r="U47" s="2">
        <f t="shared" si="9"/>
        <v>72.185999999999993</v>
      </c>
      <c r="V47" s="2">
        <f t="shared" si="4"/>
        <v>24.515999999999998</v>
      </c>
      <c r="W47" s="2">
        <f t="shared" si="5"/>
        <v>34.049999999999997</v>
      </c>
      <c r="X47" s="2">
        <f t="shared" si="6"/>
        <v>13.62</v>
      </c>
      <c r="Y47" s="114">
        <f t="shared" si="7"/>
        <v>31.325999999999997</v>
      </c>
      <c r="AA47" s="11">
        <f t="shared" ca="1" si="12"/>
        <v>47</v>
      </c>
      <c r="AB47" s="11">
        <f ca="1">+AA47+'parametres articles'!$C$9-1</f>
        <v>61</v>
      </c>
      <c r="AC47" s="11">
        <f ca="1">+AA47+'parametres articles'!$C$24-1</f>
        <v>66</v>
      </c>
      <c r="AD47" s="11">
        <f ca="1">+IF(AE47&lt;='parametres articles'!$H$8,0,AA47-'parametres articles'!$H$8+1)</f>
        <v>43</v>
      </c>
      <c r="AE47" s="11">
        <v>43</v>
      </c>
      <c r="AF47" s="2" t="str">
        <f t="shared" ca="1" si="10"/>
        <v>F62</v>
      </c>
      <c r="AG47" s="172"/>
      <c r="AH47" s="168"/>
      <c r="AI47" s="2"/>
      <c r="AJ47" s="2"/>
      <c r="AK47" s="2"/>
      <c r="AL47" s="2"/>
    </row>
    <row r="48" spans="1:38" x14ac:dyDescent="0.25">
      <c r="A48" s="166">
        <v>42066</v>
      </c>
      <c r="C48" s="160" t="s">
        <v>21</v>
      </c>
      <c r="D48" s="161">
        <f ca="1">+IF(AD48=0,P48,(SUM(INDIRECT(CONCATENATE("B",AD48,":B",AA48)))/'parametres articles'!$H$8))</f>
        <v>0</v>
      </c>
      <c r="E48" s="10">
        <f t="shared" si="11"/>
        <v>44</v>
      </c>
      <c r="F48" s="10"/>
      <c r="G48" s="10">
        <f t="shared" si="0"/>
        <v>44</v>
      </c>
      <c r="H48" s="140"/>
      <c r="I48" s="141">
        <f t="shared" si="13"/>
        <v>56.047619047619051</v>
      </c>
      <c r="K48" s="2">
        <f>+HLOOKUP($C48,'parametres articles'!$C$5:$G$25,5,FALSE)</f>
        <v>15</v>
      </c>
      <c r="L48" s="2">
        <f>+HLOOKUP($C48,'parametres articles'!$C$5:$G$25,21,FALSE)</f>
        <v>13</v>
      </c>
      <c r="M48" s="124">
        <f>+HLOOKUP($C48,'parametres articles'!$C$5:$G$25,7,FALSE)</f>
        <v>0.8</v>
      </c>
      <c r="N48" s="124">
        <f>+HLOOKUP($C48,'parametres articles'!$C$5:$G$25,6,FALSE)</f>
        <v>0.4</v>
      </c>
      <c r="O48" s="2">
        <f>+HLOOKUP($C48,'parametres articles'!$C$5:$G$25,8,FALSE)</f>
        <v>0</v>
      </c>
      <c r="P48" s="114">
        <f>IF(C48="E",'parametres articles'!$C$8,HLOOKUP($C48,'parametres articles'!$C$5:$F$25,4,FALSE))</f>
        <v>2.27</v>
      </c>
      <c r="Q48" s="114">
        <f t="shared" si="1"/>
        <v>2.27</v>
      </c>
      <c r="R48" s="2">
        <f t="shared" si="8"/>
        <v>13.62</v>
      </c>
      <c r="S48" s="2">
        <f t="shared" si="2"/>
        <v>24.515999999999998</v>
      </c>
      <c r="T48" s="2">
        <f t="shared" si="3"/>
        <v>58.565999999999995</v>
      </c>
      <c r="U48" s="2">
        <f t="shared" si="9"/>
        <v>72.185999999999993</v>
      </c>
      <c r="V48" s="2">
        <f t="shared" si="4"/>
        <v>24.515999999999998</v>
      </c>
      <c r="W48" s="2">
        <f t="shared" si="5"/>
        <v>34.049999999999997</v>
      </c>
      <c r="X48" s="2">
        <f t="shared" si="6"/>
        <v>13.62</v>
      </c>
      <c r="Y48" s="114">
        <f t="shared" si="7"/>
        <v>31.325999999999997</v>
      </c>
      <c r="AA48" s="11">
        <f t="shared" ca="1" si="12"/>
        <v>48</v>
      </c>
      <c r="AB48" s="11">
        <f ca="1">+AA48+'parametres articles'!$C$9-1</f>
        <v>62</v>
      </c>
      <c r="AC48" s="11">
        <f ca="1">+AA48+'parametres articles'!$C$24-1</f>
        <v>67</v>
      </c>
      <c r="AD48" s="11">
        <f ca="1">+IF(AE48&lt;='parametres articles'!$H$8,0,AA48-'parametres articles'!$H$8+1)</f>
        <v>44</v>
      </c>
      <c r="AE48" s="11">
        <v>44</v>
      </c>
      <c r="AF48" s="2" t="str">
        <f t="shared" ca="1" si="10"/>
        <v>F63</v>
      </c>
      <c r="AG48" s="172"/>
      <c r="AH48" s="168"/>
      <c r="AI48" s="2"/>
      <c r="AJ48" s="2"/>
      <c r="AK48" s="2"/>
      <c r="AL48" s="2"/>
    </row>
    <row r="49" spans="1:38" x14ac:dyDescent="0.25">
      <c r="A49" s="166">
        <v>42067</v>
      </c>
      <c r="C49" s="160" t="s">
        <v>21</v>
      </c>
      <c r="D49" s="161">
        <f ca="1">+IF(AD49=0,P49,(SUM(INDIRECT(CONCATENATE("B",AD49,":B",AA49)))/'parametres articles'!$H$8))</f>
        <v>0</v>
      </c>
      <c r="E49" s="10">
        <f t="shared" si="11"/>
        <v>43</v>
      </c>
      <c r="F49" s="10"/>
      <c r="G49" s="10">
        <f t="shared" si="0"/>
        <v>43</v>
      </c>
      <c r="H49" s="140"/>
      <c r="I49" s="141">
        <f t="shared" si="13"/>
        <v>55.666666666666664</v>
      </c>
      <c r="K49" s="2">
        <f>+HLOOKUP($C49,'parametres articles'!$C$5:$G$25,5,FALSE)</f>
        <v>15</v>
      </c>
      <c r="L49" s="2">
        <f>+HLOOKUP($C49,'parametres articles'!$C$5:$G$25,21,FALSE)</f>
        <v>13</v>
      </c>
      <c r="M49" s="124">
        <f>+HLOOKUP($C49,'parametres articles'!$C$5:$G$25,7,FALSE)</f>
        <v>0.8</v>
      </c>
      <c r="N49" s="124">
        <f>+HLOOKUP($C49,'parametres articles'!$C$5:$G$25,6,FALSE)</f>
        <v>0.4</v>
      </c>
      <c r="O49" s="2">
        <f>+HLOOKUP($C49,'parametres articles'!$C$5:$G$25,8,FALSE)</f>
        <v>0</v>
      </c>
      <c r="P49" s="114">
        <f>IF(C49="E",'parametres articles'!$C$8,HLOOKUP($C49,'parametres articles'!$C$5:$F$25,4,FALSE))</f>
        <v>2.27</v>
      </c>
      <c r="Q49" s="114">
        <f t="shared" si="1"/>
        <v>2.27</v>
      </c>
      <c r="R49" s="2">
        <f t="shared" si="8"/>
        <v>13.62</v>
      </c>
      <c r="S49" s="2">
        <f t="shared" si="2"/>
        <v>24.515999999999998</v>
      </c>
      <c r="T49" s="2">
        <f t="shared" si="3"/>
        <v>58.565999999999995</v>
      </c>
      <c r="U49" s="2">
        <f t="shared" si="9"/>
        <v>72.185999999999993</v>
      </c>
      <c r="V49" s="2">
        <f t="shared" si="4"/>
        <v>24.515999999999998</v>
      </c>
      <c r="W49" s="2">
        <f t="shared" si="5"/>
        <v>34.049999999999997</v>
      </c>
      <c r="X49" s="2">
        <f t="shared" si="6"/>
        <v>13.62</v>
      </c>
      <c r="Y49" s="114">
        <f t="shared" si="7"/>
        <v>31.325999999999997</v>
      </c>
      <c r="AA49" s="11">
        <f t="shared" ca="1" si="12"/>
        <v>49</v>
      </c>
      <c r="AB49" s="11">
        <f ca="1">+AA49+'parametres articles'!$C$9-1</f>
        <v>63</v>
      </c>
      <c r="AC49" s="11">
        <f ca="1">+AA49+'parametres articles'!$C$24-1</f>
        <v>68</v>
      </c>
      <c r="AD49" s="11">
        <f ca="1">+IF(AE49&lt;='parametres articles'!$H$8,0,AA49-'parametres articles'!$H$8+1)</f>
        <v>45</v>
      </c>
      <c r="AE49" s="11">
        <v>45</v>
      </c>
      <c r="AF49" s="2" t="str">
        <f t="shared" ca="1" si="10"/>
        <v>F64</v>
      </c>
      <c r="AG49" s="172">
        <v>-1</v>
      </c>
      <c r="AH49" s="168"/>
      <c r="AI49" s="2"/>
      <c r="AJ49" s="2"/>
      <c r="AK49" s="2"/>
      <c r="AL49" s="2"/>
    </row>
    <row r="50" spans="1:38" x14ac:dyDescent="0.25">
      <c r="A50" s="166">
        <v>42068</v>
      </c>
      <c r="B50" s="163">
        <v>2</v>
      </c>
      <c r="C50" s="160" t="s">
        <v>21</v>
      </c>
      <c r="D50" s="161">
        <f ca="1">+IF(AD50=0,P50,(SUM(INDIRECT(CONCATENATE("B",AD50,":B",AA50)))/'parametres articles'!$H$8))</f>
        <v>0.4</v>
      </c>
      <c r="E50" s="10">
        <f t="shared" si="11"/>
        <v>43</v>
      </c>
      <c r="F50" s="10"/>
      <c r="G50" s="10">
        <f t="shared" si="0"/>
        <v>41</v>
      </c>
      <c r="H50" s="140"/>
      <c r="I50" s="141">
        <f t="shared" si="13"/>
        <v>55.285714285714285</v>
      </c>
      <c r="K50" s="2">
        <f>+HLOOKUP($C50,'parametres articles'!$C$5:$G$25,5,FALSE)</f>
        <v>15</v>
      </c>
      <c r="L50" s="2">
        <f>+HLOOKUP($C50,'parametres articles'!$C$5:$G$25,21,FALSE)</f>
        <v>13</v>
      </c>
      <c r="M50" s="124">
        <f>+HLOOKUP($C50,'parametres articles'!$C$5:$G$25,7,FALSE)</f>
        <v>0.8</v>
      </c>
      <c r="N50" s="124">
        <f>+HLOOKUP($C50,'parametres articles'!$C$5:$G$25,6,FALSE)</f>
        <v>0.4</v>
      </c>
      <c r="O50" s="2">
        <f>+HLOOKUP($C50,'parametres articles'!$C$5:$G$25,8,FALSE)</f>
        <v>0</v>
      </c>
      <c r="P50" s="114">
        <f>IF(C50="E",'parametres articles'!$C$8,HLOOKUP($C50,'parametres articles'!$C$5:$F$25,4,FALSE))</f>
        <v>2.27</v>
      </c>
      <c r="Q50" s="114">
        <f t="shared" si="1"/>
        <v>2.27</v>
      </c>
      <c r="R50" s="2">
        <f t="shared" si="8"/>
        <v>13.62</v>
      </c>
      <c r="S50" s="2">
        <f t="shared" si="2"/>
        <v>24.515999999999998</v>
      </c>
      <c r="T50" s="2">
        <f t="shared" si="3"/>
        <v>58.565999999999995</v>
      </c>
      <c r="U50" s="2">
        <f t="shared" si="9"/>
        <v>72.185999999999993</v>
      </c>
      <c r="V50" s="2">
        <f t="shared" si="4"/>
        <v>24.515999999999998</v>
      </c>
      <c r="W50" s="2">
        <f t="shared" si="5"/>
        <v>34.049999999999997</v>
      </c>
      <c r="X50" s="2">
        <f t="shared" si="6"/>
        <v>13.62</v>
      </c>
      <c r="Y50" s="114">
        <f t="shared" si="7"/>
        <v>31.325999999999997</v>
      </c>
      <c r="AA50" s="11">
        <f t="shared" ca="1" si="12"/>
        <v>50</v>
      </c>
      <c r="AB50" s="11">
        <f ca="1">+AA50+'parametres articles'!$C$9-1</f>
        <v>64</v>
      </c>
      <c r="AC50" s="11">
        <f ca="1">+AA50+'parametres articles'!$C$24-1</f>
        <v>69</v>
      </c>
      <c r="AD50" s="11">
        <f ca="1">+IF(AE50&lt;='parametres articles'!$H$8,0,AA50-'parametres articles'!$H$8+1)</f>
        <v>46</v>
      </c>
      <c r="AE50" s="11">
        <v>46</v>
      </c>
      <c r="AF50" s="2" t="str">
        <f t="shared" ca="1" si="10"/>
        <v>F65</v>
      </c>
      <c r="AG50" s="172"/>
      <c r="AH50" s="168"/>
      <c r="AI50" s="2"/>
      <c r="AJ50" s="2"/>
      <c r="AK50" s="2"/>
      <c r="AL50" s="2"/>
    </row>
    <row r="51" spans="1:38" x14ac:dyDescent="0.25">
      <c r="A51" s="166">
        <v>42069</v>
      </c>
      <c r="C51" s="160" t="s">
        <v>21</v>
      </c>
      <c r="D51" s="161">
        <f ca="1">+IF(AD51=0,P51,(SUM(INDIRECT(CONCATENATE("B",AD51,":B",AA51)))/'parametres articles'!$H$8))</f>
        <v>0.4</v>
      </c>
      <c r="E51" s="10">
        <f t="shared" si="11"/>
        <v>41</v>
      </c>
      <c r="F51" s="10">
        <f>+VLOOKUP(A51,Feuil1!$K$3:$L$37,2,FALSE)</f>
        <v>13</v>
      </c>
      <c r="G51" s="10">
        <f t="shared" si="0"/>
        <v>54</v>
      </c>
      <c r="H51" s="140"/>
      <c r="I51" s="141">
        <f t="shared" si="13"/>
        <v>54.80952380952381</v>
      </c>
      <c r="K51" s="2">
        <f>+HLOOKUP($C51,'parametres articles'!$C$5:$G$25,5,FALSE)</f>
        <v>15</v>
      </c>
      <c r="L51" s="2">
        <f>+HLOOKUP($C51,'parametres articles'!$C$5:$G$25,21,FALSE)</f>
        <v>13</v>
      </c>
      <c r="M51" s="124">
        <f>+HLOOKUP($C51,'parametres articles'!$C$5:$G$25,7,FALSE)</f>
        <v>0.8</v>
      </c>
      <c r="N51" s="124">
        <f>+HLOOKUP($C51,'parametres articles'!$C$5:$G$25,6,FALSE)</f>
        <v>0.4</v>
      </c>
      <c r="O51" s="2">
        <f>+HLOOKUP($C51,'parametres articles'!$C$5:$G$25,8,FALSE)</f>
        <v>0</v>
      </c>
      <c r="P51" s="114">
        <f>IF(C51="E",'parametres articles'!$C$8,HLOOKUP($C51,'parametres articles'!$C$5:$F$25,4,FALSE))</f>
        <v>2.27</v>
      </c>
      <c r="Q51" s="114">
        <f t="shared" si="1"/>
        <v>2.27</v>
      </c>
      <c r="R51" s="2">
        <f t="shared" si="8"/>
        <v>13.62</v>
      </c>
      <c r="S51" s="2">
        <f t="shared" si="2"/>
        <v>24.515999999999998</v>
      </c>
      <c r="T51" s="2">
        <f t="shared" si="3"/>
        <v>58.565999999999995</v>
      </c>
      <c r="U51" s="2">
        <f t="shared" si="9"/>
        <v>72.185999999999993</v>
      </c>
      <c r="V51" s="2">
        <f t="shared" si="4"/>
        <v>24.515999999999998</v>
      </c>
      <c r="W51" s="2">
        <f t="shared" si="5"/>
        <v>34.049999999999997</v>
      </c>
      <c r="X51" s="2">
        <f t="shared" si="6"/>
        <v>13.62</v>
      </c>
      <c r="Y51" s="114">
        <f t="shared" si="7"/>
        <v>31.325999999999997</v>
      </c>
      <c r="AA51" s="11">
        <f t="shared" ca="1" si="12"/>
        <v>51</v>
      </c>
      <c r="AB51" s="11">
        <f ca="1">+AA51+'parametres articles'!$C$9-1</f>
        <v>65</v>
      </c>
      <c r="AC51" s="11">
        <f ca="1">+AA51+'parametres articles'!$C$24-1</f>
        <v>70</v>
      </c>
      <c r="AD51" s="11">
        <f ca="1">+IF(AE51&lt;='parametres articles'!$H$8,0,AA51-'parametres articles'!$H$8+1)</f>
        <v>47</v>
      </c>
      <c r="AE51" s="11">
        <v>47</v>
      </c>
      <c r="AF51" s="2" t="str">
        <f t="shared" ca="1" si="10"/>
        <v>F66</v>
      </c>
      <c r="AG51" s="172"/>
      <c r="AH51" s="168"/>
      <c r="AI51" s="2"/>
      <c r="AJ51" s="2"/>
      <c r="AK51" s="2"/>
      <c r="AL51" s="2"/>
    </row>
    <row r="52" spans="1:38" x14ac:dyDescent="0.25">
      <c r="A52" s="166">
        <v>42072</v>
      </c>
      <c r="B52" s="163">
        <v>1</v>
      </c>
      <c r="C52" s="160" t="s">
        <v>21</v>
      </c>
      <c r="D52" s="161">
        <f ca="1">+IF(AD52=0,P52,(SUM(INDIRECT(CONCATENATE("B",AD52,":B",AA52)))/'parametres articles'!$H$8))</f>
        <v>0.6</v>
      </c>
      <c r="E52" s="10">
        <f t="shared" si="11"/>
        <v>54</v>
      </c>
      <c r="F52" s="10"/>
      <c r="G52" s="10">
        <f t="shared" si="0"/>
        <v>53</v>
      </c>
      <c r="H52" s="140"/>
      <c r="I52" s="141">
        <f t="shared" si="13"/>
        <v>54.952380952380949</v>
      </c>
      <c r="K52" s="2">
        <f>+HLOOKUP($C52,'parametres articles'!$C$5:$G$25,5,FALSE)</f>
        <v>15</v>
      </c>
      <c r="L52" s="2">
        <f>+HLOOKUP($C52,'parametres articles'!$C$5:$G$25,21,FALSE)</f>
        <v>13</v>
      </c>
      <c r="M52" s="124">
        <f>+HLOOKUP($C52,'parametres articles'!$C$5:$G$25,7,FALSE)</f>
        <v>0.8</v>
      </c>
      <c r="N52" s="124">
        <f>+HLOOKUP($C52,'parametres articles'!$C$5:$G$25,6,FALSE)</f>
        <v>0.4</v>
      </c>
      <c r="O52" s="2">
        <f>+HLOOKUP($C52,'parametres articles'!$C$5:$G$25,8,FALSE)</f>
        <v>0</v>
      </c>
      <c r="P52" s="114">
        <f>IF(C52="E",'parametres articles'!$C$8,HLOOKUP($C52,'parametres articles'!$C$5:$F$25,4,FALSE))</f>
        <v>2.27</v>
      </c>
      <c r="Q52" s="114">
        <f t="shared" si="1"/>
        <v>2.27</v>
      </c>
      <c r="R52" s="2">
        <f t="shared" si="8"/>
        <v>13.62</v>
      </c>
      <c r="S52" s="2">
        <f t="shared" si="2"/>
        <v>24.515999999999998</v>
      </c>
      <c r="T52" s="2">
        <f t="shared" si="3"/>
        <v>58.565999999999995</v>
      </c>
      <c r="U52" s="2">
        <f t="shared" si="9"/>
        <v>72.185999999999993</v>
      </c>
      <c r="V52" s="2">
        <f t="shared" si="4"/>
        <v>24.515999999999998</v>
      </c>
      <c r="W52" s="2">
        <f t="shared" si="5"/>
        <v>34.049999999999997</v>
      </c>
      <c r="X52" s="2">
        <f t="shared" si="6"/>
        <v>13.62</v>
      </c>
      <c r="Y52" s="114">
        <f t="shared" si="7"/>
        <v>31.325999999999997</v>
      </c>
      <c r="AA52" s="11">
        <f t="shared" ca="1" si="12"/>
        <v>52</v>
      </c>
      <c r="AB52" s="11">
        <f ca="1">+AA52+'parametres articles'!$C$9-1</f>
        <v>66</v>
      </c>
      <c r="AC52" s="11">
        <f ca="1">+AA52+'parametres articles'!$C$24-1</f>
        <v>71</v>
      </c>
      <c r="AD52" s="11">
        <f ca="1">+IF(AE52&lt;='parametres articles'!$H$8,0,AA52-'parametres articles'!$H$8+1)</f>
        <v>48</v>
      </c>
      <c r="AE52" s="11">
        <v>48</v>
      </c>
      <c r="AF52" s="2" t="str">
        <f t="shared" ca="1" si="10"/>
        <v>F67</v>
      </c>
      <c r="AG52" s="172"/>
      <c r="AH52" s="168"/>
      <c r="AI52" s="2"/>
      <c r="AJ52" s="2"/>
      <c r="AK52" s="2"/>
      <c r="AL52" s="2"/>
    </row>
    <row r="53" spans="1:38" x14ac:dyDescent="0.25">
      <c r="A53" s="166">
        <v>42073</v>
      </c>
      <c r="B53" s="163">
        <v>6</v>
      </c>
      <c r="C53" s="160" t="s">
        <v>21</v>
      </c>
      <c r="D53" s="161">
        <f ca="1">+IF(AD53=0,P53,(SUM(INDIRECT(CONCATENATE("B",AD53,":B",AA53)))/'parametres articles'!$H$8))</f>
        <v>1.8</v>
      </c>
      <c r="E53" s="10">
        <f t="shared" si="11"/>
        <v>53</v>
      </c>
      <c r="F53" s="10"/>
      <c r="G53" s="10">
        <f t="shared" si="0"/>
        <v>47</v>
      </c>
      <c r="H53" s="140"/>
      <c r="I53" s="141">
        <f t="shared" si="13"/>
        <v>54.095238095238095</v>
      </c>
      <c r="K53" s="2">
        <f>+HLOOKUP($C53,'parametres articles'!$C$5:$G$25,5,FALSE)</f>
        <v>15</v>
      </c>
      <c r="L53" s="2">
        <f>+HLOOKUP($C53,'parametres articles'!$C$5:$G$25,21,FALSE)</f>
        <v>13</v>
      </c>
      <c r="M53" s="124">
        <f>+HLOOKUP($C53,'parametres articles'!$C$5:$G$25,7,FALSE)</f>
        <v>0.8</v>
      </c>
      <c r="N53" s="124">
        <f>+HLOOKUP($C53,'parametres articles'!$C$5:$G$25,6,FALSE)</f>
        <v>0.4</v>
      </c>
      <c r="O53" s="2">
        <f>+HLOOKUP($C53,'parametres articles'!$C$5:$G$25,8,FALSE)</f>
        <v>0</v>
      </c>
      <c r="P53" s="114">
        <f>IF(C53="E",'parametres articles'!$C$8,HLOOKUP($C53,'parametres articles'!$C$5:$F$25,4,FALSE))</f>
        <v>2.27</v>
      </c>
      <c r="Q53" s="114">
        <f t="shared" si="1"/>
        <v>2.27</v>
      </c>
      <c r="R53" s="2">
        <f t="shared" si="8"/>
        <v>13.62</v>
      </c>
      <c r="S53" s="2">
        <f t="shared" si="2"/>
        <v>24.515999999999998</v>
      </c>
      <c r="T53" s="2">
        <f t="shared" si="3"/>
        <v>58.565999999999995</v>
      </c>
      <c r="U53" s="2">
        <f t="shared" si="9"/>
        <v>72.185999999999993</v>
      </c>
      <c r="V53" s="2">
        <f t="shared" si="4"/>
        <v>24.515999999999998</v>
      </c>
      <c r="W53" s="2">
        <f t="shared" si="5"/>
        <v>34.049999999999997</v>
      </c>
      <c r="X53" s="2">
        <f t="shared" si="6"/>
        <v>13.62</v>
      </c>
      <c r="Y53" s="114">
        <f t="shared" si="7"/>
        <v>31.325999999999997</v>
      </c>
      <c r="AA53" s="11">
        <f t="shared" ca="1" si="12"/>
        <v>53</v>
      </c>
      <c r="AB53" s="11">
        <f ca="1">+AA53+'parametres articles'!$C$9-1</f>
        <v>67</v>
      </c>
      <c r="AC53" s="11">
        <f ca="1">+AA53+'parametres articles'!$C$24-1</f>
        <v>72</v>
      </c>
      <c r="AD53" s="11">
        <f ca="1">+IF(AE53&lt;='parametres articles'!$H$8,0,AA53-'parametres articles'!$H$8+1)</f>
        <v>49</v>
      </c>
      <c r="AE53" s="11">
        <v>49</v>
      </c>
      <c r="AF53" s="2" t="str">
        <f t="shared" ca="1" si="10"/>
        <v>F68</v>
      </c>
      <c r="AG53" s="172"/>
      <c r="AH53" s="168"/>
      <c r="AI53" s="2"/>
      <c r="AJ53" s="2"/>
      <c r="AK53" s="2"/>
      <c r="AL53" s="2"/>
    </row>
    <row r="54" spans="1:38" x14ac:dyDescent="0.25">
      <c r="A54" s="166">
        <v>42074</v>
      </c>
      <c r="C54" s="160" t="s">
        <v>21</v>
      </c>
      <c r="D54" s="161">
        <f ca="1">+IF(AD54=0,P54,(SUM(INDIRECT(CONCATENATE("B",AD54,":B",AA54)))/'parametres articles'!$H$8))</f>
        <v>1.8</v>
      </c>
      <c r="E54" s="10">
        <f t="shared" si="11"/>
        <v>47</v>
      </c>
      <c r="F54" s="10"/>
      <c r="G54" s="10">
        <f t="shared" si="0"/>
        <v>47</v>
      </c>
      <c r="H54" s="140"/>
      <c r="I54" s="141">
        <f t="shared" si="13"/>
        <v>52.952380952380949</v>
      </c>
      <c r="K54" s="2">
        <f>+HLOOKUP($C54,'parametres articles'!$C$5:$G$25,5,FALSE)</f>
        <v>15</v>
      </c>
      <c r="L54" s="2">
        <f>+HLOOKUP($C54,'parametres articles'!$C$5:$G$25,21,FALSE)</f>
        <v>13</v>
      </c>
      <c r="M54" s="124">
        <f>+HLOOKUP($C54,'parametres articles'!$C$5:$G$25,7,FALSE)</f>
        <v>0.8</v>
      </c>
      <c r="N54" s="124">
        <f>+HLOOKUP($C54,'parametres articles'!$C$5:$G$25,6,FALSE)</f>
        <v>0.4</v>
      </c>
      <c r="O54" s="2">
        <f>+HLOOKUP($C54,'parametres articles'!$C$5:$G$25,8,FALSE)</f>
        <v>0</v>
      </c>
      <c r="P54" s="114">
        <f>IF(C54="E",'parametres articles'!$C$8,HLOOKUP($C54,'parametres articles'!$C$5:$F$25,4,FALSE))</f>
        <v>2.27</v>
      </c>
      <c r="Q54" s="114">
        <f t="shared" si="1"/>
        <v>2.27</v>
      </c>
      <c r="R54" s="2">
        <f t="shared" si="8"/>
        <v>13.62</v>
      </c>
      <c r="S54" s="2">
        <f t="shared" si="2"/>
        <v>24.515999999999998</v>
      </c>
      <c r="T54" s="2">
        <f t="shared" si="3"/>
        <v>58.565999999999995</v>
      </c>
      <c r="U54" s="2">
        <f t="shared" si="9"/>
        <v>72.185999999999993</v>
      </c>
      <c r="V54" s="2">
        <f t="shared" si="4"/>
        <v>24.515999999999998</v>
      </c>
      <c r="W54" s="2">
        <f t="shared" si="5"/>
        <v>34.049999999999997</v>
      </c>
      <c r="X54" s="2">
        <f t="shared" si="6"/>
        <v>13.62</v>
      </c>
      <c r="Y54" s="114">
        <f t="shared" si="7"/>
        <v>31.325999999999997</v>
      </c>
      <c r="AA54" s="11">
        <f t="shared" ca="1" si="12"/>
        <v>54</v>
      </c>
      <c r="AB54" s="11">
        <f ca="1">+AA54+'parametres articles'!$C$9-1</f>
        <v>68</v>
      </c>
      <c r="AC54" s="11">
        <f ca="1">+AA54+'parametres articles'!$C$24-1</f>
        <v>73</v>
      </c>
      <c r="AD54" s="11">
        <f ca="1">+IF(AE54&lt;='parametres articles'!$H$8,0,AA54-'parametres articles'!$H$8+1)</f>
        <v>50</v>
      </c>
      <c r="AE54" s="11">
        <v>50</v>
      </c>
      <c r="AF54" s="2" t="str">
        <f t="shared" ca="1" si="10"/>
        <v>F69</v>
      </c>
      <c r="AG54" s="172"/>
      <c r="AH54" s="168"/>
      <c r="AI54" s="2"/>
      <c r="AJ54" s="2"/>
      <c r="AK54" s="2"/>
      <c r="AL54" s="2"/>
    </row>
    <row r="55" spans="1:38" x14ac:dyDescent="0.25">
      <c r="A55" s="166">
        <v>42075</v>
      </c>
      <c r="C55" s="160" t="s">
        <v>21</v>
      </c>
      <c r="D55" s="161">
        <f ca="1">+IF(AD55=0,P55,(SUM(INDIRECT(CONCATENATE("B",AD55,":B",AA55)))/'parametres articles'!$H$8))</f>
        <v>1.4</v>
      </c>
      <c r="E55" s="10">
        <f t="shared" si="11"/>
        <v>47</v>
      </c>
      <c r="F55" s="10"/>
      <c r="G55" s="10">
        <f t="shared" si="0"/>
        <v>47</v>
      </c>
      <c r="H55" s="140"/>
      <c r="I55" s="141">
        <f t="shared" si="13"/>
        <v>51.80952380952381</v>
      </c>
      <c r="K55" s="2">
        <f>+HLOOKUP($C55,'parametres articles'!$C$5:$G$25,5,FALSE)</f>
        <v>15</v>
      </c>
      <c r="L55" s="2">
        <f>+HLOOKUP($C55,'parametres articles'!$C$5:$G$25,21,FALSE)</f>
        <v>13</v>
      </c>
      <c r="M55" s="124">
        <f>+HLOOKUP($C55,'parametres articles'!$C$5:$G$25,7,FALSE)</f>
        <v>0.8</v>
      </c>
      <c r="N55" s="124">
        <f>+HLOOKUP($C55,'parametres articles'!$C$5:$G$25,6,FALSE)</f>
        <v>0.4</v>
      </c>
      <c r="O55" s="2">
        <f>+HLOOKUP($C55,'parametres articles'!$C$5:$G$25,8,FALSE)</f>
        <v>0</v>
      </c>
      <c r="P55" s="114">
        <f>IF(C55="E",'parametres articles'!$C$8,HLOOKUP($C55,'parametres articles'!$C$5:$F$25,4,FALSE))</f>
        <v>2.27</v>
      </c>
      <c r="Q55" s="114">
        <f t="shared" si="1"/>
        <v>2.27</v>
      </c>
      <c r="R55" s="2">
        <f t="shared" si="8"/>
        <v>13.62</v>
      </c>
      <c r="S55" s="2">
        <f t="shared" si="2"/>
        <v>24.515999999999998</v>
      </c>
      <c r="T55" s="2">
        <f t="shared" si="3"/>
        <v>58.565999999999995</v>
      </c>
      <c r="U55" s="2">
        <f t="shared" si="9"/>
        <v>72.185999999999993</v>
      </c>
      <c r="V55" s="2">
        <f t="shared" si="4"/>
        <v>24.515999999999998</v>
      </c>
      <c r="W55" s="2">
        <f t="shared" si="5"/>
        <v>34.049999999999997</v>
      </c>
      <c r="X55" s="2">
        <f t="shared" si="6"/>
        <v>13.62</v>
      </c>
      <c r="Y55" s="114">
        <f t="shared" si="7"/>
        <v>31.325999999999997</v>
      </c>
      <c r="AA55" s="11">
        <f t="shared" ca="1" si="12"/>
        <v>55</v>
      </c>
      <c r="AB55" s="11">
        <f ca="1">+AA55+'parametres articles'!$C$9-1</f>
        <v>69</v>
      </c>
      <c r="AC55" s="11">
        <f ca="1">+AA55+'parametres articles'!$C$24-1</f>
        <v>74</v>
      </c>
      <c r="AD55" s="11">
        <f ca="1">+IF(AE55&lt;='parametres articles'!$H$8,0,AA55-'parametres articles'!$H$8+1)</f>
        <v>51</v>
      </c>
      <c r="AE55" s="11">
        <v>51</v>
      </c>
      <c r="AF55" s="2" t="str">
        <f t="shared" ca="1" si="10"/>
        <v>F70</v>
      </c>
      <c r="AG55" s="172"/>
      <c r="AH55" s="168"/>
      <c r="AI55" s="2"/>
      <c r="AJ55" s="2"/>
      <c r="AK55" s="2"/>
      <c r="AL55" s="2"/>
    </row>
    <row r="56" spans="1:38" x14ac:dyDescent="0.25">
      <c r="A56" s="166">
        <v>42076</v>
      </c>
      <c r="C56" s="160" t="s">
        <v>21</v>
      </c>
      <c r="D56" s="161">
        <f ca="1">+IF(AD56=0,P56,(SUM(INDIRECT(CONCATENATE("B",AD56,":B",AA56)))/'parametres articles'!$H$8))</f>
        <v>1.4</v>
      </c>
      <c r="E56" s="10">
        <f t="shared" si="11"/>
        <v>47</v>
      </c>
      <c r="F56" s="10">
        <f>+VLOOKUP(A56,Feuil1!$K$3:$L$37,2,FALSE)</f>
        <v>4</v>
      </c>
      <c r="G56" s="10">
        <f t="shared" si="0"/>
        <v>51</v>
      </c>
      <c r="H56" s="140"/>
      <c r="I56" s="141">
        <f t="shared" si="13"/>
        <v>50.666666666666664</v>
      </c>
      <c r="K56" s="2">
        <f>+HLOOKUP($C56,'parametres articles'!$C$5:$G$25,5,FALSE)</f>
        <v>15</v>
      </c>
      <c r="L56" s="2">
        <f>+HLOOKUP($C56,'parametres articles'!$C$5:$G$25,21,FALSE)</f>
        <v>13</v>
      </c>
      <c r="M56" s="124">
        <f>+HLOOKUP($C56,'parametres articles'!$C$5:$G$25,7,FALSE)</f>
        <v>0.8</v>
      </c>
      <c r="N56" s="124">
        <f>+HLOOKUP($C56,'parametres articles'!$C$5:$G$25,6,FALSE)</f>
        <v>0.4</v>
      </c>
      <c r="O56" s="2">
        <f>+HLOOKUP($C56,'parametres articles'!$C$5:$G$25,8,FALSE)</f>
        <v>0</v>
      </c>
      <c r="P56" s="114">
        <f>IF(C56="E",'parametres articles'!$C$8,HLOOKUP($C56,'parametres articles'!$C$5:$F$25,4,FALSE))</f>
        <v>2.27</v>
      </c>
      <c r="Q56" s="114">
        <f t="shared" si="1"/>
        <v>2.27</v>
      </c>
      <c r="R56" s="2">
        <f t="shared" si="8"/>
        <v>13.62</v>
      </c>
      <c r="S56" s="2">
        <f t="shared" si="2"/>
        <v>24.515999999999998</v>
      </c>
      <c r="T56" s="2">
        <f t="shared" si="3"/>
        <v>58.565999999999995</v>
      </c>
      <c r="U56" s="2">
        <f t="shared" si="9"/>
        <v>72.185999999999993</v>
      </c>
      <c r="V56" s="2">
        <f t="shared" si="4"/>
        <v>24.515999999999998</v>
      </c>
      <c r="W56" s="2">
        <f t="shared" si="5"/>
        <v>34.049999999999997</v>
      </c>
      <c r="X56" s="2">
        <f t="shared" si="6"/>
        <v>13.62</v>
      </c>
      <c r="Y56" s="114">
        <f t="shared" si="7"/>
        <v>31.325999999999997</v>
      </c>
      <c r="AA56" s="11">
        <f t="shared" ca="1" si="12"/>
        <v>56</v>
      </c>
      <c r="AB56" s="11">
        <f ca="1">+AA56+'parametres articles'!$C$9-1</f>
        <v>70</v>
      </c>
      <c r="AC56" s="11">
        <f ca="1">+AA56+'parametres articles'!$C$24-1</f>
        <v>75</v>
      </c>
      <c r="AD56" s="11">
        <f ca="1">+IF(AE56&lt;='parametres articles'!$H$8,0,AA56-'parametres articles'!$H$8+1)</f>
        <v>52</v>
      </c>
      <c r="AE56" s="11">
        <v>52</v>
      </c>
      <c r="AF56" s="2" t="str">
        <f t="shared" ca="1" si="10"/>
        <v>F71</v>
      </c>
      <c r="AG56" s="172"/>
      <c r="AH56" s="168"/>
      <c r="AI56" s="2"/>
      <c r="AJ56" s="2"/>
      <c r="AK56" s="2"/>
      <c r="AL56" s="2"/>
    </row>
    <row r="57" spans="1:38" x14ac:dyDescent="0.25">
      <c r="A57" s="166">
        <v>42079</v>
      </c>
      <c r="C57" s="160" t="s">
        <v>21</v>
      </c>
      <c r="D57" s="161">
        <f ca="1">+IF(AD57=0,P57,(SUM(INDIRECT(CONCATENATE("B",AD57,":B",AA57)))/'parametres articles'!$H$8))</f>
        <v>1.2</v>
      </c>
      <c r="E57" s="10">
        <f t="shared" si="11"/>
        <v>51</v>
      </c>
      <c r="F57" s="10"/>
      <c r="G57" s="10">
        <f t="shared" si="0"/>
        <v>51</v>
      </c>
      <c r="H57" s="140"/>
      <c r="I57" s="141">
        <f t="shared" ref="I57:I88" si="14">+AVERAGE(E37:E57)</f>
        <v>49.80952380952381</v>
      </c>
      <c r="K57" s="2">
        <f>+HLOOKUP($C57,'parametres articles'!$C$5:$G$25,5,FALSE)</f>
        <v>15</v>
      </c>
      <c r="L57" s="2">
        <f>+HLOOKUP($C57,'parametres articles'!$C$5:$G$25,21,FALSE)</f>
        <v>13</v>
      </c>
      <c r="M57" s="124">
        <f>+HLOOKUP($C57,'parametres articles'!$C$5:$G$25,7,FALSE)</f>
        <v>0.8</v>
      </c>
      <c r="N57" s="124">
        <f>+HLOOKUP($C57,'parametres articles'!$C$5:$G$25,6,FALSE)</f>
        <v>0.4</v>
      </c>
      <c r="O57" s="2">
        <f>+HLOOKUP($C57,'parametres articles'!$C$5:$G$25,8,FALSE)</f>
        <v>0</v>
      </c>
      <c r="P57" s="114">
        <f>IF(C57="E",'parametres articles'!$C$8,HLOOKUP($C57,'parametres articles'!$C$5:$F$25,4,FALSE))</f>
        <v>2.27</v>
      </c>
      <c r="Q57" s="114">
        <f t="shared" si="1"/>
        <v>2.27</v>
      </c>
      <c r="R57" s="2">
        <f t="shared" si="8"/>
        <v>13.62</v>
      </c>
      <c r="S57" s="2">
        <f t="shared" si="2"/>
        <v>24.515999999999998</v>
      </c>
      <c r="T57" s="2">
        <f t="shared" si="3"/>
        <v>58.565999999999995</v>
      </c>
      <c r="U57" s="2">
        <f t="shared" si="9"/>
        <v>72.185999999999993</v>
      </c>
      <c r="V57" s="2">
        <f t="shared" si="4"/>
        <v>24.515999999999998</v>
      </c>
      <c r="W57" s="2">
        <f t="shared" si="5"/>
        <v>34.049999999999997</v>
      </c>
      <c r="X57" s="2">
        <f t="shared" si="6"/>
        <v>13.62</v>
      </c>
      <c r="Y57" s="114">
        <f t="shared" si="7"/>
        <v>31.325999999999997</v>
      </c>
      <c r="AA57" s="11">
        <f t="shared" ca="1" si="12"/>
        <v>57</v>
      </c>
      <c r="AB57" s="11">
        <f ca="1">+AA57+'parametres articles'!$C$9-1</f>
        <v>71</v>
      </c>
      <c r="AC57" s="11">
        <f ca="1">+AA57+'parametres articles'!$C$24-1</f>
        <v>76</v>
      </c>
      <c r="AD57" s="11">
        <f ca="1">+IF(AE57&lt;='parametres articles'!$H$8,0,AA57-'parametres articles'!$H$8+1)</f>
        <v>53</v>
      </c>
      <c r="AE57" s="11">
        <v>53</v>
      </c>
      <c r="AF57" s="2" t="str">
        <f t="shared" ca="1" si="10"/>
        <v>F72</v>
      </c>
      <c r="AG57" s="172"/>
      <c r="AH57" s="168"/>
      <c r="AI57" s="2"/>
      <c r="AJ57" s="2"/>
      <c r="AK57" s="2"/>
      <c r="AL57" s="2"/>
    </row>
    <row r="58" spans="1:38" x14ac:dyDescent="0.25">
      <c r="A58" s="166">
        <v>42080</v>
      </c>
      <c r="B58" s="163">
        <v>10</v>
      </c>
      <c r="C58" s="160" t="s">
        <v>21</v>
      </c>
      <c r="D58" s="161">
        <f ca="1">+IF(AD58=0,P58,(SUM(INDIRECT(CONCATENATE("B",AD58,":B",AA58)))/'parametres articles'!$H$8))</f>
        <v>2</v>
      </c>
      <c r="E58" s="10">
        <f t="shared" si="11"/>
        <v>51</v>
      </c>
      <c r="F58" s="10"/>
      <c r="G58" s="10">
        <f t="shared" si="0"/>
        <v>41</v>
      </c>
      <c r="H58" s="140"/>
      <c r="I58" s="141">
        <f t="shared" si="14"/>
        <v>49.333333333333336</v>
      </c>
      <c r="K58" s="2">
        <f>+HLOOKUP($C58,'parametres articles'!$C$5:$G$25,5,FALSE)</f>
        <v>15</v>
      </c>
      <c r="L58" s="2">
        <f>+HLOOKUP($C58,'parametres articles'!$C$5:$G$25,21,FALSE)</f>
        <v>13</v>
      </c>
      <c r="M58" s="124">
        <f>+HLOOKUP($C58,'parametres articles'!$C$5:$G$25,7,FALSE)</f>
        <v>0.8</v>
      </c>
      <c r="N58" s="124">
        <f>+HLOOKUP($C58,'parametres articles'!$C$5:$G$25,6,FALSE)</f>
        <v>0.4</v>
      </c>
      <c r="O58" s="2">
        <f>+HLOOKUP($C58,'parametres articles'!$C$5:$G$25,8,FALSE)</f>
        <v>0</v>
      </c>
      <c r="P58" s="114">
        <f>IF(C58="E",'parametres articles'!$C$8,HLOOKUP($C58,'parametres articles'!$C$5:$F$25,4,FALSE))</f>
        <v>2.27</v>
      </c>
      <c r="Q58" s="114">
        <f t="shared" si="1"/>
        <v>2.27</v>
      </c>
      <c r="R58" s="2">
        <f t="shared" si="8"/>
        <v>13.62</v>
      </c>
      <c r="S58" s="2">
        <f t="shared" si="2"/>
        <v>24.515999999999998</v>
      </c>
      <c r="T58" s="2">
        <f t="shared" si="3"/>
        <v>58.565999999999995</v>
      </c>
      <c r="U58" s="2">
        <f t="shared" si="9"/>
        <v>72.185999999999993</v>
      </c>
      <c r="V58" s="2">
        <f t="shared" si="4"/>
        <v>24.515999999999998</v>
      </c>
      <c r="W58" s="2">
        <f t="shared" si="5"/>
        <v>34.049999999999997</v>
      </c>
      <c r="X58" s="2">
        <f t="shared" si="6"/>
        <v>13.62</v>
      </c>
      <c r="Y58" s="114">
        <f t="shared" si="7"/>
        <v>31.325999999999997</v>
      </c>
      <c r="AA58" s="11">
        <f t="shared" ca="1" si="12"/>
        <v>58</v>
      </c>
      <c r="AB58" s="11">
        <f ca="1">+AA58+'parametres articles'!$C$9-1</f>
        <v>72</v>
      </c>
      <c r="AC58" s="11">
        <f ca="1">+AA58+'parametres articles'!$C$24-1</f>
        <v>77</v>
      </c>
      <c r="AD58" s="11">
        <f ca="1">+IF(AE58&lt;='parametres articles'!$H$8,0,AA58-'parametres articles'!$H$8+1)</f>
        <v>54</v>
      </c>
      <c r="AE58" s="11">
        <v>54</v>
      </c>
      <c r="AF58" s="2" t="str">
        <f t="shared" ca="1" si="10"/>
        <v>F73</v>
      </c>
      <c r="AG58" s="172"/>
      <c r="AH58" s="168"/>
      <c r="AI58" s="2"/>
      <c r="AJ58" s="2"/>
      <c r="AK58" s="2"/>
      <c r="AL58" s="2"/>
    </row>
    <row r="59" spans="1:38" x14ac:dyDescent="0.25">
      <c r="A59" s="166">
        <v>42081</v>
      </c>
      <c r="C59" s="160" t="s">
        <v>21</v>
      </c>
      <c r="D59" s="161">
        <f ca="1">+IF(AD59=0,P59,(SUM(INDIRECT(CONCATENATE("B",AD59,":B",AA59)))/'parametres articles'!$H$8))</f>
        <v>2</v>
      </c>
      <c r="E59" s="10">
        <f t="shared" si="11"/>
        <v>41</v>
      </c>
      <c r="F59" s="10"/>
      <c r="G59" s="10">
        <f t="shared" si="0"/>
        <v>41</v>
      </c>
      <c r="H59" s="140"/>
      <c r="I59" s="141">
        <f t="shared" si="14"/>
        <v>48.476190476190474</v>
      </c>
      <c r="K59" s="2">
        <f>+HLOOKUP($C59,'parametres articles'!$C$5:$G$25,5,FALSE)</f>
        <v>15</v>
      </c>
      <c r="L59" s="2">
        <f>+HLOOKUP($C59,'parametres articles'!$C$5:$G$25,21,FALSE)</f>
        <v>13</v>
      </c>
      <c r="M59" s="124">
        <f>+HLOOKUP($C59,'parametres articles'!$C$5:$G$25,7,FALSE)</f>
        <v>0.8</v>
      </c>
      <c r="N59" s="124">
        <f>+HLOOKUP($C59,'parametres articles'!$C$5:$G$25,6,FALSE)</f>
        <v>0.4</v>
      </c>
      <c r="O59" s="2">
        <f>+HLOOKUP($C59,'parametres articles'!$C$5:$G$25,8,FALSE)</f>
        <v>0</v>
      </c>
      <c r="P59" s="114">
        <f>IF(C59="E",'parametres articles'!$C$8,HLOOKUP($C59,'parametres articles'!$C$5:$F$25,4,FALSE))</f>
        <v>2.27</v>
      </c>
      <c r="Q59" s="114">
        <f t="shared" si="1"/>
        <v>2.27</v>
      </c>
      <c r="R59" s="2">
        <f t="shared" si="8"/>
        <v>13.62</v>
      </c>
      <c r="S59" s="2">
        <f t="shared" si="2"/>
        <v>24.515999999999998</v>
      </c>
      <c r="T59" s="2">
        <f t="shared" si="3"/>
        <v>58.565999999999995</v>
      </c>
      <c r="U59" s="2">
        <f t="shared" si="9"/>
        <v>72.185999999999993</v>
      </c>
      <c r="V59" s="2">
        <f t="shared" si="4"/>
        <v>24.515999999999998</v>
      </c>
      <c r="W59" s="2">
        <f t="shared" si="5"/>
        <v>34.049999999999997</v>
      </c>
      <c r="X59" s="2">
        <f t="shared" si="6"/>
        <v>13.62</v>
      </c>
      <c r="Y59" s="114">
        <f t="shared" si="7"/>
        <v>31.325999999999997</v>
      </c>
      <c r="AA59" s="11">
        <f t="shared" ca="1" si="12"/>
        <v>59</v>
      </c>
      <c r="AB59" s="11">
        <f ca="1">+AA59+'parametres articles'!$C$9-1</f>
        <v>73</v>
      </c>
      <c r="AC59" s="11">
        <f ca="1">+AA59+'parametres articles'!$C$24-1</f>
        <v>78</v>
      </c>
      <c r="AD59" s="11">
        <f ca="1">+IF(AE59&lt;='parametres articles'!$H$8,0,AA59-'parametres articles'!$H$8+1)</f>
        <v>55</v>
      </c>
      <c r="AE59" s="11">
        <v>55</v>
      </c>
      <c r="AF59" s="2" t="str">
        <f t="shared" ca="1" si="10"/>
        <v>F74</v>
      </c>
      <c r="AG59" s="172"/>
      <c r="AH59" s="2"/>
      <c r="AI59" s="2"/>
      <c r="AJ59" s="2"/>
      <c r="AK59" s="2"/>
      <c r="AL59" s="2"/>
    </row>
    <row r="60" spans="1:38" x14ac:dyDescent="0.25">
      <c r="A60" s="166">
        <v>42082</v>
      </c>
      <c r="C60" s="160" t="s">
        <v>21</v>
      </c>
      <c r="D60" s="161">
        <f ca="1">+IF(AD60=0,P60,(SUM(INDIRECT(CONCATENATE("B",AD60,":B",AA60)))/'parametres articles'!$H$8))</f>
        <v>2</v>
      </c>
      <c r="E60" s="10">
        <f t="shared" si="11"/>
        <v>38</v>
      </c>
      <c r="F60" s="10"/>
      <c r="G60" s="10">
        <f t="shared" si="0"/>
        <v>38</v>
      </c>
      <c r="H60" s="140"/>
      <c r="I60" s="141">
        <f t="shared" si="14"/>
        <v>47.476190476190474</v>
      </c>
      <c r="K60" s="2">
        <f>+HLOOKUP($C60,'parametres articles'!$C$5:$G$25,5,FALSE)</f>
        <v>15</v>
      </c>
      <c r="L60" s="2">
        <f>+HLOOKUP($C60,'parametres articles'!$C$5:$G$25,21,FALSE)</f>
        <v>13</v>
      </c>
      <c r="M60" s="124">
        <f>+HLOOKUP($C60,'parametres articles'!$C$5:$G$25,7,FALSE)</f>
        <v>0.8</v>
      </c>
      <c r="N60" s="124">
        <f>+HLOOKUP($C60,'parametres articles'!$C$5:$G$25,6,FALSE)</f>
        <v>0.4</v>
      </c>
      <c r="O60" s="2">
        <f>+HLOOKUP($C60,'parametres articles'!$C$5:$G$25,8,FALSE)</f>
        <v>0</v>
      </c>
      <c r="P60" s="114">
        <f>IF(C60="E",'parametres articles'!$C$8,HLOOKUP($C60,'parametres articles'!$C$5:$F$25,4,FALSE))</f>
        <v>2.27</v>
      </c>
      <c r="Q60" s="114">
        <f t="shared" si="1"/>
        <v>2.27</v>
      </c>
      <c r="R60" s="2">
        <f t="shared" si="8"/>
        <v>13.62</v>
      </c>
      <c r="S60" s="2">
        <f t="shared" si="2"/>
        <v>24.515999999999998</v>
      </c>
      <c r="T60" s="2">
        <f t="shared" si="3"/>
        <v>58.565999999999995</v>
      </c>
      <c r="U60" s="2">
        <f t="shared" si="9"/>
        <v>72.185999999999993</v>
      </c>
      <c r="V60" s="2">
        <f t="shared" si="4"/>
        <v>24.515999999999998</v>
      </c>
      <c r="W60" s="2">
        <f t="shared" si="5"/>
        <v>34.049999999999997</v>
      </c>
      <c r="X60" s="2">
        <f t="shared" si="6"/>
        <v>13.62</v>
      </c>
      <c r="Y60" s="114">
        <f t="shared" si="7"/>
        <v>31.325999999999997</v>
      </c>
      <c r="AA60" s="11">
        <f t="shared" ca="1" si="12"/>
        <v>60</v>
      </c>
      <c r="AB60" s="11">
        <f ca="1">+AA60+'parametres articles'!$C$9-1</f>
        <v>74</v>
      </c>
      <c r="AC60" s="11">
        <f ca="1">+AA60+'parametres articles'!$C$24-1</f>
        <v>79</v>
      </c>
      <c r="AD60" s="11">
        <f ca="1">+IF(AE60&lt;='parametres articles'!$H$8,0,AA60-'parametres articles'!$H$8+1)</f>
        <v>56</v>
      </c>
      <c r="AE60" s="11">
        <v>56</v>
      </c>
      <c r="AF60" s="2" t="str">
        <f t="shared" ca="1" si="10"/>
        <v>F75</v>
      </c>
      <c r="AG60" s="172">
        <v>-3</v>
      </c>
      <c r="AH60" s="2"/>
      <c r="AI60" s="2"/>
      <c r="AJ60" s="2"/>
      <c r="AK60" s="2"/>
      <c r="AL60" s="2"/>
    </row>
    <row r="61" spans="1:38" x14ac:dyDescent="0.25">
      <c r="A61" s="166">
        <v>42083</v>
      </c>
      <c r="B61" s="163">
        <v>2</v>
      </c>
      <c r="C61" s="160" t="s">
        <v>21</v>
      </c>
      <c r="D61" s="161">
        <f ca="1">+IF(AD61=0,P61,(SUM(INDIRECT(CONCATENATE("B",AD61,":B",AA61)))/'parametres articles'!$H$8))</f>
        <v>2.4</v>
      </c>
      <c r="E61" s="10">
        <f t="shared" si="11"/>
        <v>38</v>
      </c>
      <c r="F61" s="10">
        <f>+VLOOKUP(A61,Feuil1!$K$3:$L$37,2,FALSE)</f>
        <v>22</v>
      </c>
      <c r="G61" s="10">
        <f t="shared" si="0"/>
        <v>58</v>
      </c>
      <c r="H61" s="140"/>
      <c r="I61" s="141">
        <f t="shared" si="14"/>
        <v>46.476190476190474</v>
      </c>
      <c r="K61" s="2">
        <f>+HLOOKUP($C61,'parametres articles'!$C$5:$G$25,5,FALSE)</f>
        <v>15</v>
      </c>
      <c r="L61" s="2">
        <f>+HLOOKUP($C61,'parametres articles'!$C$5:$G$25,21,FALSE)</f>
        <v>13</v>
      </c>
      <c r="M61" s="124">
        <f>+HLOOKUP($C61,'parametres articles'!$C$5:$G$25,7,FALSE)</f>
        <v>0.8</v>
      </c>
      <c r="N61" s="124">
        <f>+HLOOKUP($C61,'parametres articles'!$C$5:$G$25,6,FALSE)</f>
        <v>0.4</v>
      </c>
      <c r="O61" s="2">
        <f>+HLOOKUP($C61,'parametres articles'!$C$5:$G$25,8,FALSE)</f>
        <v>0</v>
      </c>
      <c r="P61" s="114">
        <f>IF(C61="E",'parametres articles'!$C$8,HLOOKUP($C61,'parametres articles'!$C$5:$F$25,4,FALSE))</f>
        <v>2.27</v>
      </c>
      <c r="Q61" s="114">
        <f t="shared" si="1"/>
        <v>2.27</v>
      </c>
      <c r="R61" s="2">
        <f t="shared" si="8"/>
        <v>13.62</v>
      </c>
      <c r="S61" s="2">
        <f t="shared" si="2"/>
        <v>24.515999999999998</v>
      </c>
      <c r="T61" s="2">
        <f t="shared" si="3"/>
        <v>58.565999999999995</v>
      </c>
      <c r="U61" s="2">
        <f t="shared" si="9"/>
        <v>72.185999999999993</v>
      </c>
      <c r="V61" s="2">
        <f t="shared" si="4"/>
        <v>24.515999999999998</v>
      </c>
      <c r="W61" s="2">
        <f t="shared" si="5"/>
        <v>34.049999999999997</v>
      </c>
      <c r="X61" s="2">
        <f t="shared" si="6"/>
        <v>13.62</v>
      </c>
      <c r="Y61" s="114">
        <f t="shared" si="7"/>
        <v>31.325999999999997</v>
      </c>
      <c r="AA61" s="11">
        <f t="shared" ca="1" si="12"/>
        <v>61</v>
      </c>
      <c r="AB61" s="11">
        <f ca="1">+AA61+'parametres articles'!$C$9-1</f>
        <v>75</v>
      </c>
      <c r="AC61" s="11">
        <f ca="1">+AA61+'parametres articles'!$C$24-1</f>
        <v>80</v>
      </c>
      <c r="AD61" s="11">
        <f ca="1">+IF(AE61&lt;='parametres articles'!$H$8,0,AA61-'parametres articles'!$H$8+1)</f>
        <v>57</v>
      </c>
      <c r="AE61" s="11">
        <v>57</v>
      </c>
      <c r="AF61" s="2" t="str">
        <f t="shared" ca="1" si="10"/>
        <v>F76</v>
      </c>
      <c r="AG61" s="172"/>
      <c r="AH61" s="2"/>
      <c r="AI61" s="2"/>
      <c r="AJ61" s="2"/>
      <c r="AK61" s="2"/>
      <c r="AL61" s="2"/>
    </row>
    <row r="62" spans="1:38" x14ac:dyDescent="0.25">
      <c r="A62" s="166">
        <v>42086</v>
      </c>
      <c r="B62" s="163">
        <v>2</v>
      </c>
      <c r="C62" s="160" t="s">
        <v>21</v>
      </c>
      <c r="D62" s="161">
        <f ca="1">+IF(AD62=0,P62,(SUM(INDIRECT(CONCATENATE("B",AD62,":B",AA62)))/'parametres articles'!$H$8))</f>
        <v>2.8</v>
      </c>
      <c r="E62" s="10">
        <f t="shared" si="11"/>
        <v>58</v>
      </c>
      <c r="F62" s="10"/>
      <c r="G62" s="10">
        <f t="shared" si="0"/>
        <v>56</v>
      </c>
      <c r="H62" s="140"/>
      <c r="I62" s="141">
        <f t="shared" si="14"/>
        <v>46.428571428571431</v>
      </c>
      <c r="K62" s="2">
        <f>+HLOOKUP($C62,'parametres articles'!$C$5:$G$25,5,FALSE)</f>
        <v>15</v>
      </c>
      <c r="L62" s="2">
        <f>+HLOOKUP($C62,'parametres articles'!$C$5:$G$25,21,FALSE)</f>
        <v>13</v>
      </c>
      <c r="M62" s="124">
        <f>+HLOOKUP($C62,'parametres articles'!$C$5:$G$25,7,FALSE)</f>
        <v>0.8</v>
      </c>
      <c r="N62" s="124">
        <f>+HLOOKUP($C62,'parametres articles'!$C$5:$G$25,6,FALSE)</f>
        <v>0.4</v>
      </c>
      <c r="O62" s="2">
        <f>+HLOOKUP($C62,'parametres articles'!$C$5:$G$25,8,FALSE)</f>
        <v>0</v>
      </c>
      <c r="P62" s="114">
        <f>IF(C62="E",'parametres articles'!$C$8,HLOOKUP($C62,'parametres articles'!$C$5:$F$25,4,FALSE))</f>
        <v>2.27</v>
      </c>
      <c r="Q62" s="114">
        <f t="shared" si="1"/>
        <v>2.27</v>
      </c>
      <c r="R62" s="2">
        <f t="shared" si="8"/>
        <v>13.62</v>
      </c>
      <c r="S62" s="2">
        <f t="shared" si="2"/>
        <v>24.515999999999998</v>
      </c>
      <c r="T62" s="2">
        <f t="shared" si="3"/>
        <v>58.565999999999995</v>
      </c>
      <c r="U62" s="2">
        <f t="shared" si="9"/>
        <v>72.185999999999993</v>
      </c>
      <c r="V62" s="2">
        <f t="shared" si="4"/>
        <v>24.515999999999998</v>
      </c>
      <c r="W62" s="2">
        <f t="shared" si="5"/>
        <v>34.049999999999997</v>
      </c>
      <c r="X62" s="2">
        <f t="shared" si="6"/>
        <v>13.62</v>
      </c>
      <c r="Y62" s="114">
        <f t="shared" si="7"/>
        <v>31.325999999999997</v>
      </c>
      <c r="AA62" s="11">
        <f t="shared" ca="1" si="12"/>
        <v>62</v>
      </c>
      <c r="AB62" s="11">
        <f ca="1">+AA62+'parametres articles'!$C$9-1</f>
        <v>76</v>
      </c>
      <c r="AC62" s="11">
        <f ca="1">+AA62+'parametres articles'!$C$24-1</f>
        <v>81</v>
      </c>
      <c r="AD62" s="11">
        <f ca="1">+IF(AE62&lt;='parametres articles'!$H$8,0,AA62-'parametres articles'!$H$8+1)</f>
        <v>58</v>
      </c>
      <c r="AE62" s="11">
        <v>58</v>
      </c>
      <c r="AF62" s="2" t="str">
        <f t="shared" ca="1" si="10"/>
        <v>F77</v>
      </c>
      <c r="AG62" s="172"/>
      <c r="AH62" s="2"/>
      <c r="AI62" s="2"/>
      <c r="AJ62" s="2"/>
      <c r="AK62" s="2"/>
      <c r="AL62" s="2"/>
    </row>
    <row r="63" spans="1:38" x14ac:dyDescent="0.25">
      <c r="A63" s="166">
        <v>42087</v>
      </c>
      <c r="C63" s="160" t="s">
        <v>21</v>
      </c>
      <c r="D63" s="161">
        <f ca="1">+IF(AD63=0,P63,(SUM(INDIRECT(CONCATENATE("B",AD63,":B",AA63)))/'parametres articles'!$H$8))</f>
        <v>0.8</v>
      </c>
      <c r="E63" s="10">
        <f t="shared" si="11"/>
        <v>56</v>
      </c>
      <c r="F63" s="10"/>
      <c r="G63" s="10">
        <f t="shared" si="0"/>
        <v>56</v>
      </c>
      <c r="H63" s="140"/>
      <c r="I63" s="141">
        <f t="shared" si="14"/>
        <v>46.285714285714285</v>
      </c>
      <c r="K63" s="2">
        <f>+HLOOKUP($C63,'parametres articles'!$C$5:$G$25,5,FALSE)</f>
        <v>15</v>
      </c>
      <c r="L63" s="2">
        <f>+HLOOKUP($C63,'parametres articles'!$C$5:$G$25,21,FALSE)</f>
        <v>13</v>
      </c>
      <c r="M63" s="124">
        <f>+HLOOKUP($C63,'parametres articles'!$C$5:$G$25,7,FALSE)</f>
        <v>0.8</v>
      </c>
      <c r="N63" s="124">
        <f>+HLOOKUP($C63,'parametres articles'!$C$5:$G$25,6,FALSE)</f>
        <v>0.4</v>
      </c>
      <c r="O63" s="2">
        <f>+HLOOKUP($C63,'parametres articles'!$C$5:$G$25,8,FALSE)</f>
        <v>0</v>
      </c>
      <c r="P63" s="114">
        <f>IF(C63="E",'parametres articles'!$C$8,HLOOKUP($C63,'parametres articles'!$C$5:$F$25,4,FALSE))</f>
        <v>2.27</v>
      </c>
      <c r="Q63" s="114">
        <f t="shared" si="1"/>
        <v>2.27</v>
      </c>
      <c r="R63" s="2">
        <f t="shared" si="8"/>
        <v>13.62</v>
      </c>
      <c r="S63" s="2">
        <f t="shared" si="2"/>
        <v>24.515999999999998</v>
      </c>
      <c r="T63" s="2">
        <f t="shared" si="3"/>
        <v>58.565999999999995</v>
      </c>
      <c r="U63" s="2">
        <f t="shared" si="9"/>
        <v>72.185999999999993</v>
      </c>
      <c r="V63" s="2">
        <f t="shared" si="4"/>
        <v>24.515999999999998</v>
      </c>
      <c r="W63" s="2">
        <f t="shared" si="5"/>
        <v>34.049999999999997</v>
      </c>
      <c r="X63" s="2">
        <f t="shared" si="6"/>
        <v>13.62</v>
      </c>
      <c r="Y63" s="114">
        <f t="shared" si="7"/>
        <v>31.325999999999997</v>
      </c>
      <c r="AA63" s="11">
        <f t="shared" ca="1" si="12"/>
        <v>63</v>
      </c>
      <c r="AB63" s="11">
        <f ca="1">+AA63+'parametres articles'!$C$9-1</f>
        <v>77</v>
      </c>
      <c r="AC63" s="11">
        <f ca="1">+AA63+'parametres articles'!$C$24-1</f>
        <v>82</v>
      </c>
      <c r="AD63" s="11">
        <f ca="1">+IF(AE63&lt;='parametres articles'!$H$8,0,AA63-'parametres articles'!$H$8+1)</f>
        <v>59</v>
      </c>
      <c r="AE63" s="11">
        <v>59</v>
      </c>
      <c r="AF63" s="2" t="str">
        <f t="shared" ca="1" si="10"/>
        <v>F78</v>
      </c>
      <c r="AG63" s="172"/>
      <c r="AH63" s="2"/>
      <c r="AI63" s="2"/>
      <c r="AJ63" s="2"/>
      <c r="AK63" s="2"/>
      <c r="AL63" s="2"/>
    </row>
    <row r="64" spans="1:38" x14ac:dyDescent="0.25">
      <c r="A64" s="166">
        <v>42088</v>
      </c>
      <c r="B64" s="163">
        <v>2</v>
      </c>
      <c r="C64" s="160" t="s">
        <v>21</v>
      </c>
      <c r="D64" s="161">
        <f ca="1">+IF(AD64=0,P64,(SUM(INDIRECT(CONCATENATE("B",AD64,":B",AA64)))/'parametres articles'!$H$8))</f>
        <v>1.2</v>
      </c>
      <c r="E64" s="10">
        <f t="shared" si="11"/>
        <v>56</v>
      </c>
      <c r="F64" s="10"/>
      <c r="G64" s="10">
        <f t="shared" si="0"/>
        <v>54</v>
      </c>
      <c r="H64" s="140"/>
      <c r="I64" s="141">
        <f t="shared" si="14"/>
        <v>46.857142857142854</v>
      </c>
      <c r="K64" s="2">
        <f>+HLOOKUP($C64,'parametres articles'!$C$5:$G$25,5,FALSE)</f>
        <v>15</v>
      </c>
      <c r="L64" s="2">
        <f>+HLOOKUP($C64,'parametres articles'!$C$5:$G$25,21,FALSE)</f>
        <v>13</v>
      </c>
      <c r="M64" s="124">
        <f>+HLOOKUP($C64,'parametres articles'!$C$5:$G$25,7,FALSE)</f>
        <v>0.8</v>
      </c>
      <c r="N64" s="124">
        <f>+HLOOKUP($C64,'parametres articles'!$C$5:$G$25,6,FALSE)</f>
        <v>0.4</v>
      </c>
      <c r="O64" s="2">
        <f>+HLOOKUP($C64,'parametres articles'!$C$5:$G$25,8,FALSE)</f>
        <v>0</v>
      </c>
      <c r="P64" s="114">
        <f>IF(C64="E",'parametres articles'!$C$8,HLOOKUP($C64,'parametres articles'!$C$5:$F$25,4,FALSE))</f>
        <v>2.27</v>
      </c>
      <c r="Q64" s="114">
        <f t="shared" si="1"/>
        <v>2.27</v>
      </c>
      <c r="R64" s="2">
        <f t="shared" si="8"/>
        <v>13.62</v>
      </c>
      <c r="S64" s="2">
        <f t="shared" si="2"/>
        <v>24.515999999999998</v>
      </c>
      <c r="T64" s="2">
        <f t="shared" si="3"/>
        <v>58.565999999999995</v>
      </c>
      <c r="U64" s="2">
        <f t="shared" si="9"/>
        <v>72.185999999999993</v>
      </c>
      <c r="V64" s="2">
        <f t="shared" si="4"/>
        <v>24.515999999999998</v>
      </c>
      <c r="W64" s="2">
        <f t="shared" si="5"/>
        <v>34.049999999999997</v>
      </c>
      <c r="X64" s="2">
        <f t="shared" si="6"/>
        <v>13.62</v>
      </c>
      <c r="Y64" s="114">
        <f t="shared" si="7"/>
        <v>31.325999999999997</v>
      </c>
      <c r="AA64" s="11">
        <f t="shared" ca="1" si="12"/>
        <v>64</v>
      </c>
      <c r="AB64" s="11">
        <f ca="1">+AA64+'parametres articles'!$C$9-1</f>
        <v>78</v>
      </c>
      <c r="AC64" s="11">
        <f ca="1">+AA64+'parametres articles'!$C$24-1</f>
        <v>83</v>
      </c>
      <c r="AD64" s="11">
        <f ca="1">+IF(AE64&lt;='parametres articles'!$H$8,0,AA64-'parametres articles'!$H$8+1)</f>
        <v>60</v>
      </c>
      <c r="AE64" s="11">
        <v>60</v>
      </c>
      <c r="AF64" s="2" t="str">
        <f t="shared" ca="1" si="10"/>
        <v>F79</v>
      </c>
      <c r="AG64" s="172"/>
      <c r="AH64" s="2"/>
      <c r="AI64" s="2"/>
      <c r="AJ64" s="2"/>
      <c r="AK64" s="2"/>
      <c r="AL64" s="2"/>
    </row>
    <row r="65" spans="1:38" x14ac:dyDescent="0.25">
      <c r="A65" s="166">
        <v>42089</v>
      </c>
      <c r="C65" s="160" t="s">
        <v>21</v>
      </c>
      <c r="D65" s="161">
        <f ca="1">+IF(AD65=0,P65,(SUM(INDIRECT(CONCATENATE("B",AD65,":B",AA65)))/'parametres articles'!$H$8))</f>
        <v>1.2</v>
      </c>
      <c r="E65" s="10">
        <f t="shared" si="11"/>
        <v>50</v>
      </c>
      <c r="F65" s="10"/>
      <c r="G65" s="10">
        <f t="shared" si="0"/>
        <v>50</v>
      </c>
      <c r="H65" s="140"/>
      <c r="I65" s="141">
        <f t="shared" si="14"/>
        <v>47.142857142857146</v>
      </c>
      <c r="K65" s="2">
        <f>+HLOOKUP($C65,'parametres articles'!$C$5:$G$25,5,FALSE)</f>
        <v>15</v>
      </c>
      <c r="L65" s="2">
        <f>+HLOOKUP($C65,'parametres articles'!$C$5:$G$25,21,FALSE)</f>
        <v>13</v>
      </c>
      <c r="M65" s="124">
        <f>+HLOOKUP($C65,'parametres articles'!$C$5:$G$25,7,FALSE)</f>
        <v>0.8</v>
      </c>
      <c r="N65" s="124">
        <f>+HLOOKUP($C65,'parametres articles'!$C$5:$G$25,6,FALSE)</f>
        <v>0.4</v>
      </c>
      <c r="O65" s="2">
        <f>+HLOOKUP($C65,'parametres articles'!$C$5:$G$25,8,FALSE)</f>
        <v>0</v>
      </c>
      <c r="P65" s="114">
        <f>IF(C65="E",'parametres articles'!$C$8,HLOOKUP($C65,'parametres articles'!$C$5:$F$25,4,FALSE))</f>
        <v>2.27</v>
      </c>
      <c r="Q65" s="114">
        <f t="shared" si="1"/>
        <v>2.27</v>
      </c>
      <c r="R65" s="2">
        <f t="shared" si="8"/>
        <v>13.62</v>
      </c>
      <c r="S65" s="2">
        <f t="shared" si="2"/>
        <v>24.515999999999998</v>
      </c>
      <c r="T65" s="2">
        <f t="shared" si="3"/>
        <v>58.565999999999995</v>
      </c>
      <c r="U65" s="2">
        <f t="shared" si="9"/>
        <v>72.185999999999993</v>
      </c>
      <c r="V65" s="2">
        <f t="shared" si="4"/>
        <v>24.515999999999998</v>
      </c>
      <c r="W65" s="2">
        <f t="shared" si="5"/>
        <v>34.049999999999997</v>
      </c>
      <c r="X65" s="2">
        <f t="shared" si="6"/>
        <v>13.62</v>
      </c>
      <c r="Y65" s="114">
        <f t="shared" si="7"/>
        <v>31.325999999999997</v>
      </c>
      <c r="AA65" s="11">
        <f t="shared" ca="1" si="12"/>
        <v>65</v>
      </c>
      <c r="AB65" s="11">
        <f ca="1">+AA65+'parametres articles'!$C$9-1</f>
        <v>79</v>
      </c>
      <c r="AC65" s="11">
        <f ca="1">+AA65+'parametres articles'!$C$24-1</f>
        <v>84</v>
      </c>
      <c r="AD65" s="11">
        <f ca="1">+IF(AE65&lt;='parametres articles'!$H$8,0,AA65-'parametres articles'!$H$8+1)</f>
        <v>61</v>
      </c>
      <c r="AE65" s="11">
        <v>61</v>
      </c>
      <c r="AF65" s="2" t="str">
        <f t="shared" ca="1" si="10"/>
        <v>F80</v>
      </c>
      <c r="AG65" s="172">
        <v>-4</v>
      </c>
      <c r="AH65" s="168"/>
      <c r="AI65" s="2"/>
      <c r="AJ65" s="2"/>
      <c r="AK65" s="2"/>
      <c r="AL65" s="2"/>
    </row>
    <row r="66" spans="1:38" x14ac:dyDescent="0.25">
      <c r="A66" s="166">
        <v>42090</v>
      </c>
      <c r="C66" s="160" t="s">
        <v>21</v>
      </c>
      <c r="D66" s="161">
        <f ca="1">+IF(AD66=0,P66,(SUM(INDIRECT(CONCATENATE("B",AD66,":B",AA66)))/'parametres articles'!$H$8))</f>
        <v>0.8</v>
      </c>
      <c r="E66" s="10">
        <f t="shared" si="11"/>
        <v>50</v>
      </c>
      <c r="F66" s="10">
        <f>+VLOOKUP(A66,Feuil1!$K$3:$L$37,2,FALSE)</f>
        <v>71</v>
      </c>
      <c r="G66" s="10">
        <f t="shared" si="0"/>
        <v>121</v>
      </c>
      <c r="H66" s="140"/>
      <c r="I66" s="141">
        <f t="shared" si="14"/>
        <v>47.428571428571431</v>
      </c>
      <c r="K66" s="2">
        <f>+HLOOKUP($C66,'parametres articles'!$C$5:$G$25,5,FALSE)</f>
        <v>15</v>
      </c>
      <c r="L66" s="2">
        <f>+HLOOKUP($C66,'parametres articles'!$C$5:$G$25,21,FALSE)</f>
        <v>13</v>
      </c>
      <c r="M66" s="124">
        <f>+HLOOKUP($C66,'parametres articles'!$C$5:$G$25,7,FALSE)</f>
        <v>0.8</v>
      </c>
      <c r="N66" s="124">
        <f>+HLOOKUP($C66,'parametres articles'!$C$5:$G$25,6,FALSE)</f>
        <v>0.4</v>
      </c>
      <c r="O66" s="2">
        <f>+HLOOKUP($C66,'parametres articles'!$C$5:$G$25,8,FALSE)</f>
        <v>0</v>
      </c>
      <c r="P66" s="114">
        <f>IF(C66="E",'parametres articles'!$C$8,HLOOKUP($C66,'parametres articles'!$C$5:$F$25,4,FALSE))</f>
        <v>2.27</v>
      </c>
      <c r="Q66" s="114">
        <f t="shared" si="1"/>
        <v>2.27</v>
      </c>
      <c r="R66" s="2">
        <f t="shared" si="8"/>
        <v>13.62</v>
      </c>
      <c r="S66" s="2">
        <f t="shared" si="2"/>
        <v>24.515999999999998</v>
      </c>
      <c r="T66" s="2">
        <f t="shared" si="3"/>
        <v>58.565999999999995</v>
      </c>
      <c r="U66" s="2">
        <f t="shared" si="9"/>
        <v>72.185999999999993</v>
      </c>
      <c r="V66" s="2">
        <f t="shared" si="4"/>
        <v>24.515999999999998</v>
      </c>
      <c r="W66" s="2">
        <f t="shared" si="5"/>
        <v>34.049999999999997</v>
      </c>
      <c r="X66" s="2">
        <f t="shared" si="6"/>
        <v>13.62</v>
      </c>
      <c r="Y66" s="114">
        <f t="shared" si="7"/>
        <v>31.325999999999997</v>
      </c>
      <c r="AA66" s="11">
        <f t="shared" ca="1" si="12"/>
        <v>66</v>
      </c>
      <c r="AB66" s="11">
        <f ca="1">+AA66+'parametres articles'!$C$9-1</f>
        <v>80</v>
      </c>
      <c r="AC66" s="11">
        <f ca="1">+AA66+'parametres articles'!$C$24-1</f>
        <v>85</v>
      </c>
      <c r="AD66" s="11">
        <f ca="1">+IF(AE66&lt;='parametres articles'!$H$8,0,AA66-'parametres articles'!$H$8+1)</f>
        <v>62</v>
      </c>
      <c r="AE66" s="11">
        <v>62</v>
      </c>
      <c r="AF66" s="2" t="str">
        <f t="shared" ca="1" si="10"/>
        <v>F81</v>
      </c>
      <c r="AG66" s="172"/>
      <c r="AH66" s="168"/>
      <c r="AI66" s="2"/>
      <c r="AJ66" s="2"/>
      <c r="AK66" s="2"/>
      <c r="AL66" s="2"/>
    </row>
    <row r="67" spans="1:38" x14ac:dyDescent="0.25">
      <c r="A67" s="166">
        <v>42093</v>
      </c>
      <c r="B67" s="163">
        <v>34</v>
      </c>
      <c r="C67" s="160" t="s">
        <v>21</v>
      </c>
      <c r="D67" s="161">
        <f ca="1">+IF(AD67=0,P67,(SUM(INDIRECT(CONCATENATE("B",AD67,":B",AA67)))/'parametres articles'!$H$8))</f>
        <v>7.2</v>
      </c>
      <c r="E67" s="10">
        <f t="shared" si="11"/>
        <v>121</v>
      </c>
      <c r="F67" s="10"/>
      <c r="G67" s="10">
        <f t="shared" si="0"/>
        <v>87</v>
      </c>
      <c r="H67" s="140"/>
      <c r="I67" s="141">
        <f t="shared" si="14"/>
        <v>51.095238095238095</v>
      </c>
      <c r="K67" s="2">
        <f>+HLOOKUP($C67,'parametres articles'!$C$5:$G$25,5,FALSE)</f>
        <v>15</v>
      </c>
      <c r="L67" s="2">
        <f>+HLOOKUP($C67,'parametres articles'!$C$5:$G$25,21,FALSE)</f>
        <v>13</v>
      </c>
      <c r="M67" s="124">
        <f>+HLOOKUP($C67,'parametres articles'!$C$5:$G$25,7,FALSE)</f>
        <v>0.8</v>
      </c>
      <c r="N67" s="124">
        <f>+HLOOKUP($C67,'parametres articles'!$C$5:$G$25,6,FALSE)</f>
        <v>0.4</v>
      </c>
      <c r="O67" s="2">
        <f>+HLOOKUP($C67,'parametres articles'!$C$5:$G$25,8,FALSE)</f>
        <v>0</v>
      </c>
      <c r="P67" s="114">
        <f>IF(C67="E",'parametres articles'!$C$8,HLOOKUP($C67,'parametres articles'!$C$5:$F$25,4,FALSE))</f>
        <v>2.27</v>
      </c>
      <c r="Q67" s="114">
        <f t="shared" si="1"/>
        <v>2.27</v>
      </c>
      <c r="R67" s="2">
        <f t="shared" si="8"/>
        <v>13.62</v>
      </c>
      <c r="S67" s="2">
        <f t="shared" si="2"/>
        <v>24.515999999999998</v>
      </c>
      <c r="T67" s="2">
        <f t="shared" si="3"/>
        <v>58.565999999999995</v>
      </c>
      <c r="U67" s="2">
        <f t="shared" si="9"/>
        <v>72.185999999999993</v>
      </c>
      <c r="V67" s="2">
        <f t="shared" si="4"/>
        <v>24.515999999999998</v>
      </c>
      <c r="W67" s="2">
        <f t="shared" si="5"/>
        <v>34.049999999999997</v>
      </c>
      <c r="X67" s="2">
        <f t="shared" si="6"/>
        <v>13.62</v>
      </c>
      <c r="Y67" s="114">
        <f t="shared" si="7"/>
        <v>31.325999999999997</v>
      </c>
      <c r="AA67" s="11">
        <f t="shared" ca="1" si="12"/>
        <v>67</v>
      </c>
      <c r="AB67" s="11">
        <f ca="1">+AA67+'parametres articles'!$C$9-1</f>
        <v>81</v>
      </c>
      <c r="AC67" s="11">
        <f ca="1">+AA67+'parametres articles'!$C$24-1</f>
        <v>86</v>
      </c>
      <c r="AD67" s="11">
        <f ca="1">+IF(AE67&lt;='parametres articles'!$H$8,0,AA67-'parametres articles'!$H$8+1)</f>
        <v>63</v>
      </c>
      <c r="AE67" s="11">
        <v>63</v>
      </c>
      <c r="AF67" s="2" t="str">
        <f t="shared" ca="1" si="10"/>
        <v>F82</v>
      </c>
      <c r="AG67" s="172"/>
      <c r="AH67" s="168"/>
      <c r="AI67" s="2"/>
      <c r="AJ67" s="2"/>
      <c r="AK67" s="2"/>
      <c r="AL67" s="2"/>
    </row>
    <row r="68" spans="1:38" x14ac:dyDescent="0.25">
      <c r="A68" s="166">
        <v>42094</v>
      </c>
      <c r="B68" s="163">
        <v>2</v>
      </c>
      <c r="C68" s="160" t="s">
        <v>21</v>
      </c>
      <c r="D68" s="161">
        <f ca="1">+IF(AD68=0,P68,(SUM(INDIRECT(CONCATENATE("B",AD68,":B",AA68)))/'parametres articles'!$H$8))</f>
        <v>7.6</v>
      </c>
      <c r="E68" s="10">
        <f t="shared" si="11"/>
        <v>87</v>
      </c>
      <c r="F68" s="10"/>
      <c r="G68" s="10">
        <f t="shared" si="0"/>
        <v>85</v>
      </c>
      <c r="H68" s="140"/>
      <c r="I68" s="141">
        <f t="shared" si="14"/>
        <v>53.142857142857146</v>
      </c>
      <c r="K68" s="2">
        <f>+HLOOKUP($C68,'parametres articles'!$C$5:$G$25,5,FALSE)</f>
        <v>15</v>
      </c>
      <c r="L68" s="2">
        <f>+HLOOKUP($C68,'parametres articles'!$C$5:$G$25,21,FALSE)</f>
        <v>13</v>
      </c>
      <c r="M68" s="124">
        <f>+HLOOKUP($C68,'parametres articles'!$C$5:$G$25,7,FALSE)</f>
        <v>0.8</v>
      </c>
      <c r="N68" s="124">
        <f>+HLOOKUP($C68,'parametres articles'!$C$5:$G$25,6,FALSE)</f>
        <v>0.4</v>
      </c>
      <c r="O68" s="2">
        <f>+HLOOKUP($C68,'parametres articles'!$C$5:$G$25,8,FALSE)</f>
        <v>0</v>
      </c>
      <c r="P68" s="114">
        <f>IF(C68="E",'parametres articles'!$C$8,HLOOKUP($C68,'parametres articles'!$C$5:$F$25,4,FALSE))</f>
        <v>2.27</v>
      </c>
      <c r="Q68" s="114">
        <f t="shared" si="1"/>
        <v>2.27</v>
      </c>
      <c r="R68" s="2">
        <f t="shared" si="8"/>
        <v>13.62</v>
      </c>
      <c r="S68" s="2">
        <f t="shared" si="2"/>
        <v>24.515999999999998</v>
      </c>
      <c r="T68" s="2">
        <f t="shared" si="3"/>
        <v>58.565999999999995</v>
      </c>
      <c r="U68" s="2">
        <f t="shared" si="9"/>
        <v>72.185999999999993</v>
      </c>
      <c r="V68" s="2">
        <f t="shared" si="4"/>
        <v>24.515999999999998</v>
      </c>
      <c r="W68" s="2">
        <f t="shared" si="5"/>
        <v>34.049999999999997</v>
      </c>
      <c r="X68" s="2">
        <f t="shared" si="6"/>
        <v>13.62</v>
      </c>
      <c r="Y68" s="114">
        <f t="shared" si="7"/>
        <v>31.325999999999997</v>
      </c>
      <c r="AA68" s="11">
        <f t="shared" ca="1" si="12"/>
        <v>68</v>
      </c>
      <c r="AB68" s="11">
        <f ca="1">+AA68+'parametres articles'!$C$9-1</f>
        <v>82</v>
      </c>
      <c r="AC68" s="11">
        <f ca="1">+AA68+'parametres articles'!$C$24-1</f>
        <v>87</v>
      </c>
      <c r="AD68" s="11">
        <f ca="1">+IF(AE68&lt;='parametres articles'!$H$8,0,AA68-'parametres articles'!$H$8+1)</f>
        <v>64</v>
      </c>
      <c r="AE68" s="11">
        <v>64</v>
      </c>
      <c r="AF68" s="2" t="str">
        <f t="shared" ca="1" si="10"/>
        <v>F83</v>
      </c>
      <c r="AG68" s="172"/>
      <c r="AH68" s="168"/>
      <c r="AI68" s="2"/>
      <c r="AJ68" s="2"/>
      <c r="AK68" s="2"/>
      <c r="AL68" s="2"/>
    </row>
    <row r="69" spans="1:38" x14ac:dyDescent="0.25">
      <c r="A69" s="166">
        <v>42095</v>
      </c>
      <c r="C69" s="160" t="s">
        <v>21</v>
      </c>
      <c r="D69" s="161">
        <f ca="1">+IF(AD69=0,P69,(SUM(INDIRECT(CONCATENATE("B",AD69,":B",AA69)))/'parametres articles'!$H$8))</f>
        <v>7.2</v>
      </c>
      <c r="E69" s="10">
        <f t="shared" si="11"/>
        <v>85</v>
      </c>
      <c r="F69" s="10"/>
      <c r="G69" s="10">
        <f t="shared" ref="G69:G132" si="15">+E69-B69+F69</f>
        <v>85</v>
      </c>
      <c r="H69" s="140"/>
      <c r="I69" s="141">
        <f t="shared" si="14"/>
        <v>55.095238095238095</v>
      </c>
      <c r="K69" s="2">
        <f>+HLOOKUP($C69,'parametres articles'!$C$5:$G$25,5,FALSE)</f>
        <v>15</v>
      </c>
      <c r="L69" s="2">
        <f>+HLOOKUP($C69,'parametres articles'!$C$5:$G$25,21,FALSE)</f>
        <v>13</v>
      </c>
      <c r="M69" s="124">
        <f>+HLOOKUP($C69,'parametres articles'!$C$5:$G$25,7,FALSE)</f>
        <v>0.8</v>
      </c>
      <c r="N69" s="124">
        <f>+HLOOKUP($C69,'parametres articles'!$C$5:$G$25,6,FALSE)</f>
        <v>0.4</v>
      </c>
      <c r="O69" s="2">
        <f>+HLOOKUP($C69,'parametres articles'!$C$5:$G$25,8,FALSE)</f>
        <v>0</v>
      </c>
      <c r="P69" s="114">
        <f>IF(C69="E",'parametres articles'!$C$8,HLOOKUP($C69,'parametres articles'!$C$5:$F$25,4,FALSE))</f>
        <v>2.27</v>
      </c>
      <c r="Q69" s="114">
        <f t="shared" ref="Q69:Q132" si="16">+IF(C69="E",D69,P69)</f>
        <v>2.27</v>
      </c>
      <c r="R69" s="2">
        <f t="shared" si="8"/>
        <v>13.62</v>
      </c>
      <c r="S69" s="2">
        <f t="shared" ref="S69:S132" si="17">(Q69*K69*N69)*(1+M69)</f>
        <v>24.515999999999998</v>
      </c>
      <c r="T69" s="2">
        <f t="shared" ref="T69:T132" si="18">+S69+Q69*K69</f>
        <v>58.565999999999995</v>
      </c>
      <c r="U69" s="2">
        <f t="shared" si="9"/>
        <v>72.185999999999993</v>
      </c>
      <c r="V69" s="2">
        <f t="shared" ref="V69:V132" si="19">+(Q69*K69*N69)*(1+M69)</f>
        <v>24.515999999999998</v>
      </c>
      <c r="W69" s="2">
        <f t="shared" ref="W69:W132" si="20">+Q69*K69</f>
        <v>34.049999999999997</v>
      </c>
      <c r="X69" s="2">
        <f t="shared" ref="X69:X132" si="21">+IF(O69&gt;K69*Q69*N69,O69,K69*Q69*N69)</f>
        <v>13.62</v>
      </c>
      <c r="Y69" s="114">
        <f t="shared" ref="Y69:Y132" si="22">+V69+X69/2</f>
        <v>31.325999999999997</v>
      </c>
      <c r="AA69" s="11">
        <f t="shared" ca="1" si="12"/>
        <v>69</v>
      </c>
      <c r="AB69" s="11">
        <f ca="1">+AA69+'parametres articles'!$C$9-1</f>
        <v>83</v>
      </c>
      <c r="AC69" s="11">
        <f ca="1">+AA69+'parametres articles'!$C$24-1</f>
        <v>88</v>
      </c>
      <c r="AD69" s="11">
        <f ca="1">+IF(AE69&lt;='parametres articles'!$H$8,0,AA69-'parametres articles'!$H$8+1)</f>
        <v>65</v>
      </c>
      <c r="AE69" s="11">
        <v>65</v>
      </c>
      <c r="AF69" s="2" t="str">
        <f t="shared" ca="1" si="10"/>
        <v>F84</v>
      </c>
      <c r="AG69" s="172"/>
      <c r="AI69" s="2"/>
      <c r="AJ69" s="2"/>
      <c r="AK69" s="2"/>
      <c r="AL69" s="2"/>
    </row>
    <row r="70" spans="1:38" x14ac:dyDescent="0.25">
      <c r="A70" s="166">
        <v>42096</v>
      </c>
      <c r="C70" s="160" t="s">
        <v>21</v>
      </c>
      <c r="D70" s="161">
        <f ca="1">+IF(AD70=0,P70,(SUM(INDIRECT(CONCATENATE("B",AD70,":B",AA70)))/'parametres articles'!$H$8))</f>
        <v>7.2</v>
      </c>
      <c r="E70" s="10">
        <f t="shared" si="11"/>
        <v>85</v>
      </c>
      <c r="F70" s="10"/>
      <c r="G70" s="10">
        <f t="shared" si="15"/>
        <v>85</v>
      </c>
      <c r="H70" s="140"/>
      <c r="I70" s="141">
        <f t="shared" si="14"/>
        <v>57.095238095238095</v>
      </c>
      <c r="K70" s="2">
        <f>+HLOOKUP($C70,'parametres articles'!$C$5:$G$25,5,FALSE)</f>
        <v>15</v>
      </c>
      <c r="L70" s="2">
        <f>+HLOOKUP($C70,'parametres articles'!$C$5:$G$25,21,FALSE)</f>
        <v>13</v>
      </c>
      <c r="M70" s="124">
        <f>+HLOOKUP($C70,'parametres articles'!$C$5:$G$25,7,FALSE)</f>
        <v>0.8</v>
      </c>
      <c r="N70" s="124">
        <f>+HLOOKUP($C70,'parametres articles'!$C$5:$G$25,6,FALSE)</f>
        <v>0.4</v>
      </c>
      <c r="O70" s="2">
        <f>+HLOOKUP($C70,'parametres articles'!$C$5:$G$25,8,FALSE)</f>
        <v>0</v>
      </c>
      <c r="P70" s="114">
        <f>IF(C70="E",'parametres articles'!$C$8,HLOOKUP($C70,'parametres articles'!$C$5:$F$25,4,FALSE))</f>
        <v>2.27</v>
      </c>
      <c r="Q70" s="114">
        <f t="shared" si="16"/>
        <v>2.27</v>
      </c>
      <c r="R70" s="2">
        <f t="shared" ref="R70:R133" si="23">+Q70*K70*N70</f>
        <v>13.62</v>
      </c>
      <c r="S70" s="2">
        <f t="shared" si="17"/>
        <v>24.515999999999998</v>
      </c>
      <c r="T70" s="2">
        <f t="shared" si="18"/>
        <v>58.565999999999995</v>
      </c>
      <c r="U70" s="2">
        <f t="shared" ref="U70:U133" si="24">+T70+X70</f>
        <v>72.185999999999993</v>
      </c>
      <c r="V70" s="2">
        <f t="shared" si="19"/>
        <v>24.515999999999998</v>
      </c>
      <c r="W70" s="2">
        <f t="shared" si="20"/>
        <v>34.049999999999997</v>
      </c>
      <c r="X70" s="2">
        <f t="shared" si="21"/>
        <v>13.62</v>
      </c>
      <c r="Y70" s="114">
        <f t="shared" si="22"/>
        <v>31.325999999999997</v>
      </c>
      <c r="AA70" s="11">
        <f t="shared" ca="1" si="12"/>
        <v>70</v>
      </c>
      <c r="AB70" s="11">
        <f ca="1">+AA70+'parametres articles'!$C$9-1</f>
        <v>84</v>
      </c>
      <c r="AC70" s="11">
        <f ca="1">+AA70+'parametres articles'!$C$24-1</f>
        <v>89</v>
      </c>
      <c r="AD70" s="11">
        <f ca="1">+IF(AE70&lt;='parametres articles'!$H$8,0,AA70-'parametres articles'!$H$8+1)</f>
        <v>66</v>
      </c>
      <c r="AE70" s="11">
        <v>66</v>
      </c>
      <c r="AF70" s="2" t="str">
        <f t="shared" ref="AF70:AF133" ca="1" si="25">CONCATENATE("F",AA70+K69)</f>
        <v>F85</v>
      </c>
      <c r="AG70" s="172"/>
      <c r="AI70" s="2"/>
      <c r="AJ70" s="2"/>
      <c r="AK70" s="2"/>
      <c r="AL70" s="2"/>
    </row>
    <row r="71" spans="1:38" x14ac:dyDescent="0.25">
      <c r="A71" s="166">
        <v>42097</v>
      </c>
      <c r="B71" s="163">
        <v>10</v>
      </c>
      <c r="C71" s="160" t="s">
        <v>21</v>
      </c>
      <c r="D71" s="161">
        <f ca="1">+IF(AD71=0,P71,(SUM(INDIRECT(CONCATENATE("B",AD71,":B",AA71)))/'parametres articles'!$H$8))</f>
        <v>9.1999999999999993</v>
      </c>
      <c r="E71" s="10">
        <f t="shared" ref="E71:E134" si="26">+G70+AG71</f>
        <v>85</v>
      </c>
      <c r="F71" s="10">
        <f>+VLOOKUP(A71,Feuil1!$K$3:$L$37,2,FALSE)</f>
        <v>22</v>
      </c>
      <c r="G71" s="10">
        <f t="shared" si="15"/>
        <v>97</v>
      </c>
      <c r="H71" s="140"/>
      <c r="I71" s="141">
        <f t="shared" si="14"/>
        <v>59.095238095238095</v>
      </c>
      <c r="K71" s="2">
        <f>+HLOOKUP($C71,'parametres articles'!$C$5:$G$25,5,FALSE)</f>
        <v>15</v>
      </c>
      <c r="L71" s="2">
        <f>+HLOOKUP($C71,'parametres articles'!$C$5:$G$25,21,FALSE)</f>
        <v>13</v>
      </c>
      <c r="M71" s="124">
        <f>+HLOOKUP($C71,'parametres articles'!$C$5:$G$25,7,FALSE)</f>
        <v>0.8</v>
      </c>
      <c r="N71" s="124">
        <f>+HLOOKUP($C71,'parametres articles'!$C$5:$G$25,6,FALSE)</f>
        <v>0.4</v>
      </c>
      <c r="O71" s="2">
        <f>+HLOOKUP($C71,'parametres articles'!$C$5:$G$25,8,FALSE)</f>
        <v>0</v>
      </c>
      <c r="P71" s="114">
        <f>IF(C71="E",'parametres articles'!$C$8,HLOOKUP($C71,'parametres articles'!$C$5:$F$25,4,FALSE))</f>
        <v>2.27</v>
      </c>
      <c r="Q71" s="114">
        <f t="shared" si="16"/>
        <v>2.27</v>
      </c>
      <c r="R71" s="2">
        <f t="shared" si="23"/>
        <v>13.62</v>
      </c>
      <c r="S71" s="2">
        <f t="shared" si="17"/>
        <v>24.515999999999998</v>
      </c>
      <c r="T71" s="2">
        <f t="shared" si="18"/>
        <v>58.565999999999995</v>
      </c>
      <c r="U71" s="2">
        <f t="shared" si="24"/>
        <v>72.185999999999993</v>
      </c>
      <c r="V71" s="2">
        <f t="shared" si="19"/>
        <v>24.515999999999998</v>
      </c>
      <c r="W71" s="2">
        <f t="shared" si="20"/>
        <v>34.049999999999997</v>
      </c>
      <c r="X71" s="2">
        <f t="shared" si="21"/>
        <v>13.62</v>
      </c>
      <c r="Y71" s="114">
        <f t="shared" si="22"/>
        <v>31.325999999999997</v>
      </c>
      <c r="AA71" s="11">
        <f t="shared" ref="AA71:AA134" ca="1" si="27">+AA70+1</f>
        <v>71</v>
      </c>
      <c r="AB71" s="11">
        <f ca="1">+AA71+'parametres articles'!$C$9-1</f>
        <v>85</v>
      </c>
      <c r="AC71" s="11">
        <f ca="1">+AA71+'parametres articles'!$C$24-1</f>
        <v>90</v>
      </c>
      <c r="AD71" s="11">
        <f ca="1">+IF(AE71&lt;='parametres articles'!$H$8,0,AA71-'parametres articles'!$H$8+1)</f>
        <v>67</v>
      </c>
      <c r="AE71" s="11">
        <v>67</v>
      </c>
      <c r="AF71" s="2" t="str">
        <f t="shared" ca="1" si="25"/>
        <v>F86</v>
      </c>
      <c r="AG71" s="172"/>
      <c r="AI71" s="2"/>
      <c r="AJ71" s="2"/>
      <c r="AK71" s="2"/>
      <c r="AL71" s="2"/>
    </row>
    <row r="72" spans="1:38" x14ac:dyDescent="0.25">
      <c r="A72" s="166">
        <v>42101</v>
      </c>
      <c r="C72" s="160" t="s">
        <v>21</v>
      </c>
      <c r="D72" s="161">
        <f ca="1">+IF(AD72=0,P72,(SUM(INDIRECT(CONCATENATE("B",AD72,":B",AA72)))/'parametres articles'!$H$8))</f>
        <v>2.4</v>
      </c>
      <c r="E72" s="10">
        <f t="shared" si="26"/>
        <v>97</v>
      </c>
      <c r="F72" s="10"/>
      <c r="G72" s="10">
        <f t="shared" si="15"/>
        <v>97</v>
      </c>
      <c r="H72" s="140"/>
      <c r="I72" s="141">
        <f t="shared" si="14"/>
        <v>61.761904761904759</v>
      </c>
      <c r="K72" s="2">
        <f>+HLOOKUP($C72,'parametres articles'!$C$5:$G$25,5,FALSE)</f>
        <v>15</v>
      </c>
      <c r="L72" s="2">
        <f>+HLOOKUP($C72,'parametres articles'!$C$5:$G$25,21,FALSE)</f>
        <v>13</v>
      </c>
      <c r="M72" s="124">
        <f>+HLOOKUP($C72,'parametres articles'!$C$5:$G$25,7,FALSE)</f>
        <v>0.8</v>
      </c>
      <c r="N72" s="124">
        <f>+HLOOKUP($C72,'parametres articles'!$C$5:$G$25,6,FALSE)</f>
        <v>0.4</v>
      </c>
      <c r="O72" s="2">
        <f>+HLOOKUP($C72,'parametres articles'!$C$5:$G$25,8,FALSE)</f>
        <v>0</v>
      </c>
      <c r="P72" s="114">
        <f>IF(C72="E",'parametres articles'!$C$8,HLOOKUP($C72,'parametres articles'!$C$5:$F$25,4,FALSE))</f>
        <v>2.27</v>
      </c>
      <c r="Q72" s="114">
        <f t="shared" si="16"/>
        <v>2.27</v>
      </c>
      <c r="R72" s="2">
        <f t="shared" si="23"/>
        <v>13.62</v>
      </c>
      <c r="S72" s="2">
        <f t="shared" si="17"/>
        <v>24.515999999999998</v>
      </c>
      <c r="T72" s="2">
        <f t="shared" si="18"/>
        <v>58.565999999999995</v>
      </c>
      <c r="U72" s="2">
        <f t="shared" si="24"/>
        <v>72.185999999999993</v>
      </c>
      <c r="V72" s="2">
        <f t="shared" si="19"/>
        <v>24.515999999999998</v>
      </c>
      <c r="W72" s="2">
        <f t="shared" si="20"/>
        <v>34.049999999999997</v>
      </c>
      <c r="X72" s="2">
        <f t="shared" si="21"/>
        <v>13.62</v>
      </c>
      <c r="Y72" s="114">
        <f t="shared" si="22"/>
        <v>31.325999999999997</v>
      </c>
      <c r="AA72" s="11">
        <f t="shared" ca="1" si="27"/>
        <v>72</v>
      </c>
      <c r="AB72" s="11">
        <f ca="1">+AA72+'parametres articles'!$C$9-1</f>
        <v>86</v>
      </c>
      <c r="AC72" s="11">
        <f ca="1">+AA72+'parametres articles'!$C$24-1</f>
        <v>91</v>
      </c>
      <c r="AD72" s="11">
        <f ca="1">+IF(AE72&lt;='parametres articles'!$H$8,0,AA72-'parametres articles'!$H$8+1)</f>
        <v>68</v>
      </c>
      <c r="AE72" s="11">
        <v>68</v>
      </c>
      <c r="AF72" s="2" t="str">
        <f t="shared" ca="1" si="25"/>
        <v>F87</v>
      </c>
      <c r="AG72" s="172"/>
      <c r="AI72" s="2"/>
      <c r="AJ72" s="2"/>
      <c r="AK72" s="2"/>
      <c r="AL72" s="2"/>
    </row>
    <row r="73" spans="1:38" x14ac:dyDescent="0.25">
      <c r="A73" s="166">
        <v>42102</v>
      </c>
      <c r="C73" s="160" t="s">
        <v>21</v>
      </c>
      <c r="D73" s="161">
        <f ca="1">+IF(AD73=0,P73,(SUM(INDIRECT(CONCATENATE("B",AD73,":B",AA73)))/'parametres articles'!$H$8))</f>
        <v>2</v>
      </c>
      <c r="E73" s="10">
        <f t="shared" si="26"/>
        <v>97</v>
      </c>
      <c r="F73" s="10"/>
      <c r="G73" s="10">
        <f t="shared" si="15"/>
        <v>97</v>
      </c>
      <c r="H73" s="140"/>
      <c r="I73" s="141">
        <f t="shared" si="14"/>
        <v>63.80952380952381</v>
      </c>
      <c r="K73" s="2">
        <f>+HLOOKUP($C73,'parametres articles'!$C$5:$G$25,5,FALSE)</f>
        <v>15</v>
      </c>
      <c r="L73" s="2">
        <f>+HLOOKUP($C73,'parametres articles'!$C$5:$G$25,21,FALSE)</f>
        <v>13</v>
      </c>
      <c r="M73" s="124">
        <f>+HLOOKUP($C73,'parametres articles'!$C$5:$G$25,7,FALSE)</f>
        <v>0.8</v>
      </c>
      <c r="N73" s="124">
        <f>+HLOOKUP($C73,'parametres articles'!$C$5:$G$25,6,FALSE)</f>
        <v>0.4</v>
      </c>
      <c r="O73" s="2">
        <f>+HLOOKUP($C73,'parametres articles'!$C$5:$G$25,8,FALSE)</f>
        <v>0</v>
      </c>
      <c r="P73" s="114">
        <f>IF(C73="E",'parametres articles'!$C$8,HLOOKUP($C73,'parametres articles'!$C$5:$F$25,4,FALSE))</f>
        <v>2.27</v>
      </c>
      <c r="Q73" s="114">
        <f t="shared" si="16"/>
        <v>2.27</v>
      </c>
      <c r="R73" s="2">
        <f t="shared" si="23"/>
        <v>13.62</v>
      </c>
      <c r="S73" s="2">
        <f t="shared" si="17"/>
        <v>24.515999999999998</v>
      </c>
      <c r="T73" s="2">
        <f t="shared" si="18"/>
        <v>58.565999999999995</v>
      </c>
      <c r="U73" s="2">
        <f t="shared" si="24"/>
        <v>72.185999999999993</v>
      </c>
      <c r="V73" s="2">
        <f t="shared" si="19"/>
        <v>24.515999999999998</v>
      </c>
      <c r="W73" s="2">
        <f t="shared" si="20"/>
        <v>34.049999999999997</v>
      </c>
      <c r="X73" s="2">
        <f t="shared" si="21"/>
        <v>13.62</v>
      </c>
      <c r="Y73" s="114">
        <f t="shared" si="22"/>
        <v>31.325999999999997</v>
      </c>
      <c r="AA73" s="11">
        <f t="shared" ca="1" si="27"/>
        <v>73</v>
      </c>
      <c r="AB73" s="11">
        <f ca="1">+AA73+'parametres articles'!$C$9-1</f>
        <v>87</v>
      </c>
      <c r="AC73" s="11">
        <f ca="1">+AA73+'parametres articles'!$C$24-1</f>
        <v>92</v>
      </c>
      <c r="AD73" s="11">
        <f ca="1">+IF(AE73&lt;='parametres articles'!$H$8,0,AA73-'parametres articles'!$H$8+1)</f>
        <v>69</v>
      </c>
      <c r="AE73" s="11">
        <v>69</v>
      </c>
      <c r="AF73" s="2" t="str">
        <f t="shared" ca="1" si="25"/>
        <v>F88</v>
      </c>
      <c r="AG73" s="172"/>
      <c r="AI73" s="2"/>
      <c r="AJ73" s="2"/>
      <c r="AK73" s="2"/>
      <c r="AL73" s="2"/>
    </row>
    <row r="74" spans="1:38" x14ac:dyDescent="0.25">
      <c r="A74" s="166">
        <v>42103</v>
      </c>
      <c r="C74" s="160" t="s">
        <v>21</v>
      </c>
      <c r="D74" s="161">
        <f ca="1">+IF(AD74=0,P74,(SUM(INDIRECT(CONCATENATE("B",AD74,":B",AA74)))/'parametres articles'!$H$8))</f>
        <v>2</v>
      </c>
      <c r="E74" s="10">
        <f t="shared" si="26"/>
        <v>96</v>
      </c>
      <c r="F74" s="10"/>
      <c r="G74" s="10">
        <f t="shared" si="15"/>
        <v>96</v>
      </c>
      <c r="H74" s="140"/>
      <c r="I74" s="141">
        <f t="shared" si="14"/>
        <v>65.857142857142861</v>
      </c>
      <c r="K74" s="2">
        <f>+HLOOKUP($C74,'parametres articles'!$C$5:$G$25,5,FALSE)</f>
        <v>15</v>
      </c>
      <c r="L74" s="2">
        <f>+HLOOKUP($C74,'parametres articles'!$C$5:$G$25,21,FALSE)</f>
        <v>13</v>
      </c>
      <c r="M74" s="124">
        <f>+HLOOKUP($C74,'parametres articles'!$C$5:$G$25,7,FALSE)</f>
        <v>0.8</v>
      </c>
      <c r="N74" s="124">
        <f>+HLOOKUP($C74,'parametres articles'!$C$5:$G$25,6,FALSE)</f>
        <v>0.4</v>
      </c>
      <c r="O74" s="2">
        <f>+HLOOKUP($C74,'parametres articles'!$C$5:$G$25,8,FALSE)</f>
        <v>0</v>
      </c>
      <c r="P74" s="114">
        <f>IF(C74="E",'parametres articles'!$C$8,HLOOKUP($C74,'parametres articles'!$C$5:$F$25,4,FALSE))</f>
        <v>2.27</v>
      </c>
      <c r="Q74" s="114">
        <f t="shared" si="16"/>
        <v>2.27</v>
      </c>
      <c r="R74" s="2">
        <f t="shared" si="23"/>
        <v>13.62</v>
      </c>
      <c r="S74" s="2">
        <f t="shared" si="17"/>
        <v>24.515999999999998</v>
      </c>
      <c r="T74" s="2">
        <f t="shared" si="18"/>
        <v>58.565999999999995</v>
      </c>
      <c r="U74" s="2">
        <f t="shared" si="24"/>
        <v>72.185999999999993</v>
      </c>
      <c r="V74" s="2">
        <f t="shared" si="19"/>
        <v>24.515999999999998</v>
      </c>
      <c r="W74" s="2">
        <f t="shared" si="20"/>
        <v>34.049999999999997</v>
      </c>
      <c r="X74" s="2">
        <f t="shared" si="21"/>
        <v>13.62</v>
      </c>
      <c r="Y74" s="114">
        <f t="shared" si="22"/>
        <v>31.325999999999997</v>
      </c>
      <c r="AA74" s="11">
        <f t="shared" ca="1" si="27"/>
        <v>74</v>
      </c>
      <c r="AB74" s="11">
        <f ca="1">+AA74+'parametres articles'!$C$9-1</f>
        <v>88</v>
      </c>
      <c r="AC74" s="11">
        <f ca="1">+AA74+'parametres articles'!$C$24-1</f>
        <v>93</v>
      </c>
      <c r="AD74" s="11">
        <f ca="1">+IF(AE74&lt;='parametres articles'!$H$8,0,AA74-'parametres articles'!$H$8+1)</f>
        <v>70</v>
      </c>
      <c r="AE74" s="11">
        <v>70</v>
      </c>
      <c r="AF74" s="2" t="str">
        <f t="shared" ca="1" si="25"/>
        <v>F89</v>
      </c>
      <c r="AG74" s="172">
        <v>-1</v>
      </c>
      <c r="AI74" s="2"/>
      <c r="AJ74" s="2"/>
      <c r="AK74" s="2"/>
      <c r="AL74" s="2"/>
    </row>
    <row r="75" spans="1:38" x14ac:dyDescent="0.25">
      <c r="A75" s="166">
        <v>42104</v>
      </c>
      <c r="B75" s="163">
        <v>1</v>
      </c>
      <c r="C75" s="160" t="s">
        <v>21</v>
      </c>
      <c r="D75" s="161">
        <f ca="1">+IF(AD75=0,P75,(SUM(INDIRECT(CONCATENATE("B",AD75,":B",AA75)))/'parametres articles'!$H$8))</f>
        <v>2.2000000000000002</v>
      </c>
      <c r="E75" s="10">
        <f t="shared" si="26"/>
        <v>96</v>
      </c>
      <c r="F75" s="10"/>
      <c r="G75" s="10">
        <f t="shared" si="15"/>
        <v>95</v>
      </c>
      <c r="H75" s="140"/>
      <c r="I75" s="141">
        <f t="shared" si="14"/>
        <v>68.19047619047619</v>
      </c>
      <c r="K75" s="2">
        <f>+HLOOKUP($C75,'parametres articles'!$C$5:$G$25,5,FALSE)</f>
        <v>15</v>
      </c>
      <c r="L75" s="2">
        <f>+HLOOKUP($C75,'parametres articles'!$C$5:$G$25,21,FALSE)</f>
        <v>13</v>
      </c>
      <c r="M75" s="124">
        <f>+HLOOKUP($C75,'parametres articles'!$C$5:$G$25,7,FALSE)</f>
        <v>0.8</v>
      </c>
      <c r="N75" s="124">
        <f>+HLOOKUP($C75,'parametres articles'!$C$5:$G$25,6,FALSE)</f>
        <v>0.4</v>
      </c>
      <c r="O75" s="2">
        <f>+HLOOKUP($C75,'parametres articles'!$C$5:$G$25,8,FALSE)</f>
        <v>0</v>
      </c>
      <c r="P75" s="114">
        <f>IF(C75="E",'parametres articles'!$C$8,HLOOKUP($C75,'parametres articles'!$C$5:$F$25,4,FALSE))</f>
        <v>2.27</v>
      </c>
      <c r="Q75" s="114">
        <f t="shared" si="16"/>
        <v>2.27</v>
      </c>
      <c r="R75" s="2">
        <f t="shared" si="23"/>
        <v>13.62</v>
      </c>
      <c r="S75" s="2">
        <f t="shared" si="17"/>
        <v>24.515999999999998</v>
      </c>
      <c r="T75" s="2">
        <f t="shared" si="18"/>
        <v>58.565999999999995</v>
      </c>
      <c r="U75" s="2">
        <f t="shared" si="24"/>
        <v>72.185999999999993</v>
      </c>
      <c r="V75" s="2">
        <f t="shared" si="19"/>
        <v>24.515999999999998</v>
      </c>
      <c r="W75" s="2">
        <f t="shared" si="20"/>
        <v>34.049999999999997</v>
      </c>
      <c r="X75" s="2">
        <f t="shared" si="21"/>
        <v>13.62</v>
      </c>
      <c r="Y75" s="114">
        <f t="shared" si="22"/>
        <v>31.325999999999997</v>
      </c>
      <c r="AA75" s="11">
        <f t="shared" ca="1" si="27"/>
        <v>75</v>
      </c>
      <c r="AB75" s="11">
        <f ca="1">+AA75+'parametres articles'!$C$9-1</f>
        <v>89</v>
      </c>
      <c r="AC75" s="11">
        <f ca="1">+AA75+'parametres articles'!$C$24-1</f>
        <v>94</v>
      </c>
      <c r="AD75" s="11">
        <f ca="1">+IF(AE75&lt;='parametres articles'!$H$8,0,AA75-'parametres articles'!$H$8+1)</f>
        <v>71</v>
      </c>
      <c r="AE75" s="11">
        <v>71</v>
      </c>
      <c r="AF75" s="2" t="str">
        <f t="shared" ca="1" si="25"/>
        <v>F90</v>
      </c>
      <c r="AG75" s="172"/>
      <c r="AI75" s="2"/>
      <c r="AJ75" s="2"/>
      <c r="AK75" s="2"/>
      <c r="AL75" s="2"/>
    </row>
    <row r="76" spans="1:38" x14ac:dyDescent="0.25">
      <c r="A76" s="166">
        <v>42107</v>
      </c>
      <c r="B76" s="163">
        <v>2</v>
      </c>
      <c r="C76" s="160" t="s">
        <v>21</v>
      </c>
      <c r="D76" s="161">
        <f ca="1">+IF(AD76=0,P76,(SUM(INDIRECT(CONCATENATE("B",AD76,":B",AA76)))/'parametres articles'!$H$8))</f>
        <v>0.6</v>
      </c>
      <c r="E76" s="10">
        <f t="shared" si="26"/>
        <v>95</v>
      </c>
      <c r="F76" s="10"/>
      <c r="G76" s="10">
        <f t="shared" si="15"/>
        <v>93</v>
      </c>
      <c r="H76" s="140"/>
      <c r="I76" s="141">
        <f t="shared" si="14"/>
        <v>70.476190476190482</v>
      </c>
      <c r="K76" s="2">
        <f>+HLOOKUP($C76,'parametres articles'!$C$5:$G$25,5,FALSE)</f>
        <v>15</v>
      </c>
      <c r="L76" s="2">
        <f>+HLOOKUP($C76,'parametres articles'!$C$5:$G$25,21,FALSE)</f>
        <v>13</v>
      </c>
      <c r="M76" s="124">
        <f>+HLOOKUP($C76,'parametres articles'!$C$5:$G$25,7,FALSE)</f>
        <v>0.8</v>
      </c>
      <c r="N76" s="124">
        <f>+HLOOKUP($C76,'parametres articles'!$C$5:$G$25,6,FALSE)</f>
        <v>0.4</v>
      </c>
      <c r="O76" s="2">
        <f>+HLOOKUP($C76,'parametres articles'!$C$5:$G$25,8,FALSE)</f>
        <v>0</v>
      </c>
      <c r="P76" s="114">
        <f>IF(C76="E",'parametres articles'!$C$8,HLOOKUP($C76,'parametres articles'!$C$5:$F$25,4,FALSE))</f>
        <v>2.27</v>
      </c>
      <c r="Q76" s="114">
        <f t="shared" si="16"/>
        <v>2.27</v>
      </c>
      <c r="R76" s="2">
        <f t="shared" si="23"/>
        <v>13.62</v>
      </c>
      <c r="S76" s="2">
        <f t="shared" si="17"/>
        <v>24.515999999999998</v>
      </c>
      <c r="T76" s="2">
        <f t="shared" si="18"/>
        <v>58.565999999999995</v>
      </c>
      <c r="U76" s="2">
        <f t="shared" si="24"/>
        <v>72.185999999999993</v>
      </c>
      <c r="V76" s="2">
        <f t="shared" si="19"/>
        <v>24.515999999999998</v>
      </c>
      <c r="W76" s="2">
        <f t="shared" si="20"/>
        <v>34.049999999999997</v>
      </c>
      <c r="X76" s="2">
        <f t="shared" si="21"/>
        <v>13.62</v>
      </c>
      <c r="Y76" s="114">
        <f t="shared" si="22"/>
        <v>31.325999999999997</v>
      </c>
      <c r="AA76" s="11">
        <f t="shared" ca="1" si="27"/>
        <v>76</v>
      </c>
      <c r="AB76" s="11">
        <f ca="1">+AA76+'parametres articles'!$C$9-1</f>
        <v>90</v>
      </c>
      <c r="AC76" s="11">
        <f ca="1">+AA76+'parametres articles'!$C$24-1</f>
        <v>95</v>
      </c>
      <c r="AD76" s="11">
        <f ca="1">+IF(AE76&lt;='parametres articles'!$H$8,0,AA76-'parametres articles'!$H$8+1)</f>
        <v>72</v>
      </c>
      <c r="AE76" s="11">
        <v>72</v>
      </c>
      <c r="AF76" s="2" t="str">
        <f t="shared" ca="1" si="25"/>
        <v>F91</v>
      </c>
      <c r="AG76" s="172"/>
      <c r="AI76" s="2"/>
      <c r="AJ76" s="2"/>
      <c r="AK76" s="2"/>
      <c r="AL76" s="2"/>
    </row>
    <row r="77" spans="1:38" x14ac:dyDescent="0.25">
      <c r="A77" s="166">
        <v>42108</v>
      </c>
      <c r="C77" s="160" t="s">
        <v>21</v>
      </c>
      <c r="D77" s="161">
        <f ca="1">+IF(AD77=0,P77,(SUM(INDIRECT(CONCATENATE("B",AD77,":B",AA77)))/'parametres articles'!$H$8))</f>
        <v>0.6</v>
      </c>
      <c r="E77" s="10">
        <f t="shared" si="26"/>
        <v>93</v>
      </c>
      <c r="F77" s="10"/>
      <c r="G77" s="10">
        <f t="shared" si="15"/>
        <v>93</v>
      </c>
      <c r="H77" s="140"/>
      <c r="I77" s="141">
        <f t="shared" si="14"/>
        <v>72.666666666666671</v>
      </c>
      <c r="K77" s="2">
        <f>+HLOOKUP($C77,'parametres articles'!$C$5:$G$25,5,FALSE)</f>
        <v>15</v>
      </c>
      <c r="L77" s="2">
        <f>+HLOOKUP($C77,'parametres articles'!$C$5:$G$25,21,FALSE)</f>
        <v>13</v>
      </c>
      <c r="M77" s="124">
        <f>+HLOOKUP($C77,'parametres articles'!$C$5:$G$25,7,FALSE)</f>
        <v>0.8</v>
      </c>
      <c r="N77" s="124">
        <f>+HLOOKUP($C77,'parametres articles'!$C$5:$G$25,6,FALSE)</f>
        <v>0.4</v>
      </c>
      <c r="O77" s="2">
        <f>+HLOOKUP($C77,'parametres articles'!$C$5:$G$25,8,FALSE)</f>
        <v>0</v>
      </c>
      <c r="P77" s="114">
        <f>IF(C77="E",'parametres articles'!$C$8,HLOOKUP($C77,'parametres articles'!$C$5:$F$25,4,FALSE))</f>
        <v>2.27</v>
      </c>
      <c r="Q77" s="114">
        <f t="shared" si="16"/>
        <v>2.27</v>
      </c>
      <c r="R77" s="2">
        <f t="shared" si="23"/>
        <v>13.62</v>
      </c>
      <c r="S77" s="2">
        <f t="shared" si="17"/>
        <v>24.515999999999998</v>
      </c>
      <c r="T77" s="2">
        <f t="shared" si="18"/>
        <v>58.565999999999995</v>
      </c>
      <c r="U77" s="2">
        <f t="shared" si="24"/>
        <v>72.185999999999993</v>
      </c>
      <c r="V77" s="2">
        <f t="shared" si="19"/>
        <v>24.515999999999998</v>
      </c>
      <c r="W77" s="2">
        <f t="shared" si="20"/>
        <v>34.049999999999997</v>
      </c>
      <c r="X77" s="2">
        <f t="shared" si="21"/>
        <v>13.62</v>
      </c>
      <c r="Y77" s="114">
        <f t="shared" si="22"/>
        <v>31.325999999999997</v>
      </c>
      <c r="AA77" s="11">
        <f t="shared" ca="1" si="27"/>
        <v>77</v>
      </c>
      <c r="AB77" s="11">
        <f ca="1">+AA77+'parametres articles'!$C$9-1</f>
        <v>91</v>
      </c>
      <c r="AC77" s="11">
        <f ca="1">+AA77+'parametres articles'!$C$24-1</f>
        <v>96</v>
      </c>
      <c r="AD77" s="11">
        <f ca="1">+IF(AE77&lt;='parametres articles'!$H$8,0,AA77-'parametres articles'!$H$8+1)</f>
        <v>73</v>
      </c>
      <c r="AE77" s="11">
        <v>73</v>
      </c>
      <c r="AF77" s="2" t="str">
        <f t="shared" ca="1" si="25"/>
        <v>F92</v>
      </c>
      <c r="AG77" s="172"/>
      <c r="AI77" s="2"/>
      <c r="AJ77" s="2"/>
      <c r="AK77" s="2"/>
      <c r="AL77" s="2"/>
    </row>
    <row r="78" spans="1:38" x14ac:dyDescent="0.25">
      <c r="A78" s="166">
        <v>42109</v>
      </c>
      <c r="C78" s="160" t="s">
        <v>21</v>
      </c>
      <c r="D78" s="161">
        <f ca="1">+IF(AD78=0,P78,(SUM(INDIRECT(CONCATENATE("B",AD78,":B",AA78)))/'parametres articles'!$H$8))</f>
        <v>0.6</v>
      </c>
      <c r="E78" s="10">
        <f t="shared" si="26"/>
        <v>93</v>
      </c>
      <c r="F78" s="10"/>
      <c r="G78" s="10">
        <f t="shared" si="15"/>
        <v>93</v>
      </c>
      <c r="H78" s="140"/>
      <c r="I78" s="141">
        <f t="shared" si="14"/>
        <v>74.666666666666671</v>
      </c>
      <c r="K78" s="2">
        <f>+HLOOKUP($C78,'parametres articles'!$C$5:$G$25,5,FALSE)</f>
        <v>15</v>
      </c>
      <c r="L78" s="2">
        <f>+HLOOKUP($C78,'parametres articles'!$C$5:$G$25,21,FALSE)</f>
        <v>13</v>
      </c>
      <c r="M78" s="124">
        <f>+HLOOKUP($C78,'parametres articles'!$C$5:$G$25,7,FALSE)</f>
        <v>0.8</v>
      </c>
      <c r="N78" s="124">
        <f>+HLOOKUP($C78,'parametres articles'!$C$5:$G$25,6,FALSE)</f>
        <v>0.4</v>
      </c>
      <c r="O78" s="2">
        <f>+HLOOKUP($C78,'parametres articles'!$C$5:$G$25,8,FALSE)</f>
        <v>0</v>
      </c>
      <c r="P78" s="114">
        <f>IF(C78="E",'parametres articles'!$C$8,HLOOKUP($C78,'parametres articles'!$C$5:$F$25,4,FALSE))</f>
        <v>2.27</v>
      </c>
      <c r="Q78" s="114">
        <f t="shared" si="16"/>
        <v>2.27</v>
      </c>
      <c r="R78" s="2">
        <f t="shared" si="23"/>
        <v>13.62</v>
      </c>
      <c r="S78" s="2">
        <f t="shared" si="17"/>
        <v>24.515999999999998</v>
      </c>
      <c r="T78" s="2">
        <f t="shared" si="18"/>
        <v>58.565999999999995</v>
      </c>
      <c r="U78" s="2">
        <f t="shared" si="24"/>
        <v>72.185999999999993</v>
      </c>
      <c r="V78" s="2">
        <f t="shared" si="19"/>
        <v>24.515999999999998</v>
      </c>
      <c r="W78" s="2">
        <f t="shared" si="20"/>
        <v>34.049999999999997</v>
      </c>
      <c r="X78" s="2">
        <f t="shared" si="21"/>
        <v>13.62</v>
      </c>
      <c r="Y78" s="114">
        <f t="shared" si="22"/>
        <v>31.325999999999997</v>
      </c>
      <c r="AA78" s="11">
        <f t="shared" ca="1" si="27"/>
        <v>78</v>
      </c>
      <c r="AB78" s="11">
        <f ca="1">+AA78+'parametres articles'!$C$9-1</f>
        <v>92</v>
      </c>
      <c r="AC78" s="11">
        <f ca="1">+AA78+'parametres articles'!$C$24-1</f>
        <v>97</v>
      </c>
      <c r="AD78" s="11">
        <f ca="1">+IF(AE78&lt;='parametres articles'!$H$8,0,AA78-'parametres articles'!$H$8+1)</f>
        <v>74</v>
      </c>
      <c r="AE78" s="11">
        <v>74</v>
      </c>
      <c r="AF78" s="2" t="str">
        <f t="shared" ca="1" si="25"/>
        <v>F93</v>
      </c>
      <c r="AG78" s="172"/>
      <c r="AI78" s="2"/>
      <c r="AJ78" s="2"/>
      <c r="AK78" s="2"/>
      <c r="AL78" s="2"/>
    </row>
    <row r="79" spans="1:38" x14ac:dyDescent="0.25">
      <c r="A79" s="166">
        <v>42110</v>
      </c>
      <c r="B79" s="163">
        <v>1</v>
      </c>
      <c r="C79" s="160" t="s">
        <v>21</v>
      </c>
      <c r="D79" s="161">
        <f ca="1">+IF(AD79=0,P79,(SUM(INDIRECT(CONCATENATE("B",AD79,":B",AA79)))/'parametres articles'!$H$8))</f>
        <v>0.8</v>
      </c>
      <c r="E79" s="10">
        <f t="shared" si="26"/>
        <v>89</v>
      </c>
      <c r="F79" s="10"/>
      <c r="G79" s="10">
        <f t="shared" si="15"/>
        <v>88</v>
      </c>
      <c r="H79" s="140"/>
      <c r="I79" s="141">
        <f t="shared" si="14"/>
        <v>76.476190476190482</v>
      </c>
      <c r="K79" s="2">
        <f>+HLOOKUP($C79,'parametres articles'!$C$5:$G$25,5,FALSE)</f>
        <v>15</v>
      </c>
      <c r="L79" s="2">
        <f>+HLOOKUP($C79,'parametres articles'!$C$5:$G$25,21,FALSE)</f>
        <v>13</v>
      </c>
      <c r="M79" s="124">
        <f>+HLOOKUP($C79,'parametres articles'!$C$5:$G$25,7,FALSE)</f>
        <v>0.8</v>
      </c>
      <c r="N79" s="124">
        <f>+HLOOKUP($C79,'parametres articles'!$C$5:$G$25,6,FALSE)</f>
        <v>0.4</v>
      </c>
      <c r="O79" s="2">
        <f>+HLOOKUP($C79,'parametres articles'!$C$5:$G$25,8,FALSE)</f>
        <v>0</v>
      </c>
      <c r="P79" s="114">
        <f>IF(C79="E",'parametres articles'!$C$8,HLOOKUP($C79,'parametres articles'!$C$5:$F$25,4,FALSE))</f>
        <v>2.27</v>
      </c>
      <c r="Q79" s="114">
        <f t="shared" si="16"/>
        <v>2.27</v>
      </c>
      <c r="R79" s="2">
        <f t="shared" si="23"/>
        <v>13.62</v>
      </c>
      <c r="S79" s="2">
        <f t="shared" si="17"/>
        <v>24.515999999999998</v>
      </c>
      <c r="T79" s="2">
        <f t="shared" si="18"/>
        <v>58.565999999999995</v>
      </c>
      <c r="U79" s="2">
        <f t="shared" si="24"/>
        <v>72.185999999999993</v>
      </c>
      <c r="V79" s="2">
        <f t="shared" si="19"/>
        <v>24.515999999999998</v>
      </c>
      <c r="W79" s="2">
        <f t="shared" si="20"/>
        <v>34.049999999999997</v>
      </c>
      <c r="X79" s="2">
        <f t="shared" si="21"/>
        <v>13.62</v>
      </c>
      <c r="Y79" s="114">
        <f t="shared" si="22"/>
        <v>31.325999999999997</v>
      </c>
      <c r="AA79" s="11">
        <f t="shared" ca="1" si="27"/>
        <v>79</v>
      </c>
      <c r="AB79" s="11">
        <f ca="1">+AA79+'parametres articles'!$C$9-1</f>
        <v>93</v>
      </c>
      <c r="AC79" s="11">
        <f ca="1">+AA79+'parametres articles'!$C$24-1</f>
        <v>98</v>
      </c>
      <c r="AD79" s="11">
        <f ca="1">+IF(AE79&lt;='parametres articles'!$H$8,0,AA79-'parametres articles'!$H$8+1)</f>
        <v>75</v>
      </c>
      <c r="AE79" s="11">
        <v>75</v>
      </c>
      <c r="AF79" s="2" t="str">
        <f t="shared" ca="1" si="25"/>
        <v>F94</v>
      </c>
      <c r="AG79" s="172">
        <v>-4</v>
      </c>
      <c r="AI79" s="2"/>
      <c r="AJ79" s="2"/>
      <c r="AK79" s="2"/>
      <c r="AL79" s="2"/>
    </row>
    <row r="80" spans="1:38" x14ac:dyDescent="0.25">
      <c r="A80" s="166">
        <v>42111</v>
      </c>
      <c r="B80" s="163">
        <v>1</v>
      </c>
      <c r="C80" s="160" t="s">
        <v>21</v>
      </c>
      <c r="D80" s="161">
        <f ca="1">+IF(AD80=0,P80,(SUM(INDIRECT(CONCATENATE("B",AD80,":B",AA80)))/'parametres articles'!$H$8))</f>
        <v>0.8</v>
      </c>
      <c r="E80" s="10">
        <f t="shared" si="26"/>
        <v>84</v>
      </c>
      <c r="F80" s="10">
        <f>+VLOOKUP(A80,Feuil1!$K$3:$L$37,2,FALSE)</f>
        <v>11</v>
      </c>
      <c r="G80" s="10">
        <f t="shared" si="15"/>
        <v>94</v>
      </c>
      <c r="H80" s="140"/>
      <c r="I80" s="141">
        <f t="shared" si="14"/>
        <v>78.523809523809518</v>
      </c>
      <c r="K80" s="2">
        <f>+HLOOKUP($C80,'parametres articles'!$C$5:$G$25,5,FALSE)</f>
        <v>15</v>
      </c>
      <c r="L80" s="2">
        <f>+HLOOKUP($C80,'parametres articles'!$C$5:$G$25,21,FALSE)</f>
        <v>13</v>
      </c>
      <c r="M80" s="124">
        <f>+HLOOKUP($C80,'parametres articles'!$C$5:$G$25,7,FALSE)</f>
        <v>0.8</v>
      </c>
      <c r="N80" s="124">
        <f>+HLOOKUP($C80,'parametres articles'!$C$5:$G$25,6,FALSE)</f>
        <v>0.4</v>
      </c>
      <c r="O80" s="2">
        <f>+HLOOKUP($C80,'parametres articles'!$C$5:$G$25,8,FALSE)</f>
        <v>0</v>
      </c>
      <c r="P80" s="114">
        <f>IF(C80="E",'parametres articles'!$C$8,HLOOKUP($C80,'parametres articles'!$C$5:$F$25,4,FALSE))</f>
        <v>2.27</v>
      </c>
      <c r="Q80" s="114">
        <f t="shared" si="16"/>
        <v>2.27</v>
      </c>
      <c r="R80" s="2">
        <f t="shared" si="23"/>
        <v>13.62</v>
      </c>
      <c r="S80" s="2">
        <f t="shared" si="17"/>
        <v>24.515999999999998</v>
      </c>
      <c r="T80" s="2">
        <f t="shared" si="18"/>
        <v>58.565999999999995</v>
      </c>
      <c r="U80" s="2">
        <f t="shared" si="24"/>
        <v>72.185999999999993</v>
      </c>
      <c r="V80" s="2">
        <f t="shared" si="19"/>
        <v>24.515999999999998</v>
      </c>
      <c r="W80" s="2">
        <f t="shared" si="20"/>
        <v>34.049999999999997</v>
      </c>
      <c r="X80" s="2">
        <f t="shared" si="21"/>
        <v>13.62</v>
      </c>
      <c r="Y80" s="114">
        <f t="shared" si="22"/>
        <v>31.325999999999997</v>
      </c>
      <c r="AA80" s="11">
        <f t="shared" ca="1" si="27"/>
        <v>80</v>
      </c>
      <c r="AB80" s="11">
        <f ca="1">+AA80+'parametres articles'!$C$9-1</f>
        <v>94</v>
      </c>
      <c r="AC80" s="11">
        <f ca="1">+AA80+'parametres articles'!$C$24-1</f>
        <v>99</v>
      </c>
      <c r="AD80" s="11">
        <f ca="1">+IF(AE80&lt;='parametres articles'!$H$8,0,AA80-'parametres articles'!$H$8+1)</f>
        <v>76</v>
      </c>
      <c r="AE80" s="11">
        <v>76</v>
      </c>
      <c r="AF80" s="2" t="str">
        <f t="shared" ca="1" si="25"/>
        <v>F95</v>
      </c>
      <c r="AG80" s="172">
        <v>-4</v>
      </c>
      <c r="AI80" s="2"/>
      <c r="AJ80" s="2"/>
      <c r="AK80" s="2"/>
      <c r="AL80" s="2"/>
    </row>
    <row r="81" spans="1:38" x14ac:dyDescent="0.25">
      <c r="A81" s="166">
        <v>42114</v>
      </c>
      <c r="C81" s="160" t="s">
        <v>21</v>
      </c>
      <c r="D81" s="161">
        <f ca="1">+IF(AD81=0,P81,(SUM(INDIRECT(CONCATENATE("B",AD81,":B",AA81)))/'parametres articles'!$H$8))</f>
        <v>0.4</v>
      </c>
      <c r="E81" s="10">
        <f t="shared" si="26"/>
        <v>94</v>
      </c>
      <c r="F81" s="10"/>
      <c r="G81" s="10">
        <f t="shared" si="15"/>
        <v>94</v>
      </c>
      <c r="H81" s="140"/>
      <c r="I81" s="141">
        <f t="shared" si="14"/>
        <v>81.19047619047619</v>
      </c>
      <c r="K81" s="2">
        <f>+HLOOKUP($C81,'parametres articles'!$C$5:$G$25,5,FALSE)</f>
        <v>15</v>
      </c>
      <c r="L81" s="2">
        <f>+HLOOKUP($C81,'parametres articles'!$C$5:$G$25,21,FALSE)</f>
        <v>13</v>
      </c>
      <c r="M81" s="124">
        <f>+HLOOKUP($C81,'parametres articles'!$C$5:$G$25,7,FALSE)</f>
        <v>0.8</v>
      </c>
      <c r="N81" s="124">
        <f>+HLOOKUP($C81,'parametres articles'!$C$5:$G$25,6,FALSE)</f>
        <v>0.4</v>
      </c>
      <c r="O81" s="2">
        <f>+HLOOKUP($C81,'parametres articles'!$C$5:$G$25,8,FALSE)</f>
        <v>0</v>
      </c>
      <c r="P81" s="114">
        <f>IF(C81="E",'parametres articles'!$C$8,HLOOKUP($C81,'parametres articles'!$C$5:$F$25,4,FALSE))</f>
        <v>2.27</v>
      </c>
      <c r="Q81" s="114">
        <f t="shared" si="16"/>
        <v>2.27</v>
      </c>
      <c r="R81" s="2">
        <f t="shared" si="23"/>
        <v>13.62</v>
      </c>
      <c r="S81" s="2">
        <f t="shared" si="17"/>
        <v>24.515999999999998</v>
      </c>
      <c r="T81" s="2">
        <f t="shared" si="18"/>
        <v>58.565999999999995</v>
      </c>
      <c r="U81" s="2">
        <f t="shared" si="24"/>
        <v>72.185999999999993</v>
      </c>
      <c r="V81" s="2">
        <f t="shared" si="19"/>
        <v>24.515999999999998</v>
      </c>
      <c r="W81" s="2">
        <f t="shared" si="20"/>
        <v>34.049999999999997</v>
      </c>
      <c r="X81" s="2">
        <f t="shared" si="21"/>
        <v>13.62</v>
      </c>
      <c r="Y81" s="114">
        <f t="shared" si="22"/>
        <v>31.325999999999997</v>
      </c>
      <c r="AA81" s="11">
        <f t="shared" ca="1" si="27"/>
        <v>81</v>
      </c>
      <c r="AB81" s="11">
        <f ca="1">+AA81+'parametres articles'!$C$9-1</f>
        <v>95</v>
      </c>
      <c r="AC81" s="11">
        <f ca="1">+AA81+'parametres articles'!$C$24-1</f>
        <v>100</v>
      </c>
      <c r="AD81" s="11">
        <f ca="1">+IF(AE81&lt;='parametres articles'!$H$8,0,AA81-'parametres articles'!$H$8+1)</f>
        <v>77</v>
      </c>
      <c r="AE81" s="11">
        <v>77</v>
      </c>
      <c r="AF81" s="2" t="str">
        <f t="shared" ca="1" si="25"/>
        <v>F96</v>
      </c>
      <c r="AG81" s="172"/>
      <c r="AI81" s="2"/>
      <c r="AJ81" s="2"/>
      <c r="AK81" s="2"/>
      <c r="AL81" s="2"/>
    </row>
    <row r="82" spans="1:38" x14ac:dyDescent="0.25">
      <c r="A82" s="166">
        <v>42115</v>
      </c>
      <c r="C82" s="160" t="s">
        <v>21</v>
      </c>
      <c r="D82" s="161">
        <f ca="1">+IF(AD82=0,P82,(SUM(INDIRECT(CONCATENATE("B",AD82,":B",AA82)))/'parametres articles'!$H$8))</f>
        <v>0.4</v>
      </c>
      <c r="E82" s="10">
        <f t="shared" si="26"/>
        <v>94</v>
      </c>
      <c r="F82" s="10"/>
      <c r="G82" s="10">
        <f t="shared" si="15"/>
        <v>94</v>
      </c>
      <c r="H82" s="140"/>
      <c r="I82" s="141">
        <f t="shared" si="14"/>
        <v>83.857142857142861</v>
      </c>
      <c r="K82" s="2">
        <f>+HLOOKUP($C82,'parametres articles'!$C$5:$G$25,5,FALSE)</f>
        <v>15</v>
      </c>
      <c r="L82" s="2">
        <f>+HLOOKUP($C82,'parametres articles'!$C$5:$G$25,21,FALSE)</f>
        <v>13</v>
      </c>
      <c r="M82" s="124">
        <f>+HLOOKUP($C82,'parametres articles'!$C$5:$G$25,7,FALSE)</f>
        <v>0.8</v>
      </c>
      <c r="N82" s="124">
        <f>+HLOOKUP($C82,'parametres articles'!$C$5:$G$25,6,FALSE)</f>
        <v>0.4</v>
      </c>
      <c r="O82" s="2">
        <f>+HLOOKUP($C82,'parametres articles'!$C$5:$G$25,8,FALSE)</f>
        <v>0</v>
      </c>
      <c r="P82" s="114">
        <f>IF(C82="E",'parametres articles'!$C$8,HLOOKUP($C82,'parametres articles'!$C$5:$F$25,4,FALSE))</f>
        <v>2.27</v>
      </c>
      <c r="Q82" s="114">
        <f t="shared" si="16"/>
        <v>2.27</v>
      </c>
      <c r="R82" s="2">
        <f t="shared" si="23"/>
        <v>13.62</v>
      </c>
      <c r="S82" s="2">
        <f t="shared" si="17"/>
        <v>24.515999999999998</v>
      </c>
      <c r="T82" s="2">
        <f t="shared" si="18"/>
        <v>58.565999999999995</v>
      </c>
      <c r="U82" s="2">
        <f t="shared" si="24"/>
        <v>72.185999999999993</v>
      </c>
      <c r="V82" s="2">
        <f t="shared" si="19"/>
        <v>24.515999999999998</v>
      </c>
      <c r="W82" s="2">
        <f t="shared" si="20"/>
        <v>34.049999999999997</v>
      </c>
      <c r="X82" s="2">
        <f t="shared" si="21"/>
        <v>13.62</v>
      </c>
      <c r="Y82" s="114">
        <f t="shared" si="22"/>
        <v>31.325999999999997</v>
      </c>
      <c r="AA82" s="11">
        <f t="shared" ca="1" si="27"/>
        <v>82</v>
      </c>
      <c r="AB82" s="11">
        <f ca="1">+AA82+'parametres articles'!$C$9-1</f>
        <v>96</v>
      </c>
      <c r="AC82" s="11">
        <f ca="1">+AA82+'parametres articles'!$C$24-1</f>
        <v>101</v>
      </c>
      <c r="AD82" s="11">
        <f ca="1">+IF(AE82&lt;='parametres articles'!$H$8,0,AA82-'parametres articles'!$H$8+1)</f>
        <v>78</v>
      </c>
      <c r="AE82" s="11">
        <v>78</v>
      </c>
      <c r="AF82" s="2" t="str">
        <f t="shared" ca="1" si="25"/>
        <v>F97</v>
      </c>
      <c r="AG82" s="172"/>
      <c r="AI82" s="2"/>
      <c r="AJ82" s="2"/>
      <c r="AK82" s="2"/>
      <c r="AL82" s="2"/>
    </row>
    <row r="83" spans="1:38" x14ac:dyDescent="0.25">
      <c r="A83" s="166">
        <v>42116</v>
      </c>
      <c r="B83" s="163">
        <v>1</v>
      </c>
      <c r="C83" s="160" t="s">
        <v>21</v>
      </c>
      <c r="D83" s="161">
        <f ca="1">+IF(AD83=0,P83,(SUM(INDIRECT(CONCATENATE("B",AD83,":B",AA83)))/'parametres articles'!$H$8))</f>
        <v>0.6</v>
      </c>
      <c r="E83" s="10">
        <f t="shared" si="26"/>
        <v>94</v>
      </c>
      <c r="F83" s="10"/>
      <c r="G83" s="10">
        <f t="shared" si="15"/>
        <v>93</v>
      </c>
      <c r="H83" s="140"/>
      <c r="I83" s="141">
        <f t="shared" si="14"/>
        <v>85.571428571428569</v>
      </c>
      <c r="K83" s="2">
        <f>+HLOOKUP($C83,'parametres articles'!$C$5:$G$25,5,FALSE)</f>
        <v>15</v>
      </c>
      <c r="L83" s="2">
        <f>+HLOOKUP($C83,'parametres articles'!$C$5:$G$25,21,FALSE)</f>
        <v>13</v>
      </c>
      <c r="M83" s="124">
        <f>+HLOOKUP($C83,'parametres articles'!$C$5:$G$25,7,FALSE)</f>
        <v>0.8</v>
      </c>
      <c r="N83" s="124">
        <f>+HLOOKUP($C83,'parametres articles'!$C$5:$G$25,6,FALSE)</f>
        <v>0.4</v>
      </c>
      <c r="O83" s="2">
        <f>+HLOOKUP($C83,'parametres articles'!$C$5:$G$25,8,FALSE)</f>
        <v>0</v>
      </c>
      <c r="P83" s="114">
        <f>IF(C83="E",'parametres articles'!$C$8,HLOOKUP($C83,'parametres articles'!$C$5:$F$25,4,FALSE))</f>
        <v>2.27</v>
      </c>
      <c r="Q83" s="114">
        <f t="shared" si="16"/>
        <v>2.27</v>
      </c>
      <c r="R83" s="2">
        <f t="shared" si="23"/>
        <v>13.62</v>
      </c>
      <c r="S83" s="2">
        <f t="shared" si="17"/>
        <v>24.515999999999998</v>
      </c>
      <c r="T83" s="2">
        <f t="shared" si="18"/>
        <v>58.565999999999995</v>
      </c>
      <c r="U83" s="2">
        <f t="shared" si="24"/>
        <v>72.185999999999993</v>
      </c>
      <c r="V83" s="2">
        <f t="shared" si="19"/>
        <v>24.515999999999998</v>
      </c>
      <c r="W83" s="2">
        <f t="shared" si="20"/>
        <v>34.049999999999997</v>
      </c>
      <c r="X83" s="2">
        <f t="shared" si="21"/>
        <v>13.62</v>
      </c>
      <c r="Y83" s="114">
        <f t="shared" si="22"/>
        <v>31.325999999999997</v>
      </c>
      <c r="AA83" s="11">
        <f t="shared" ca="1" si="27"/>
        <v>83</v>
      </c>
      <c r="AB83" s="11">
        <f ca="1">+AA83+'parametres articles'!$C$9-1</f>
        <v>97</v>
      </c>
      <c r="AC83" s="11">
        <f ca="1">+AA83+'parametres articles'!$C$24-1</f>
        <v>102</v>
      </c>
      <c r="AD83" s="11">
        <f ca="1">+IF(AE83&lt;='parametres articles'!$H$8,0,AA83-'parametres articles'!$H$8+1)</f>
        <v>79</v>
      </c>
      <c r="AE83" s="11">
        <v>79</v>
      </c>
      <c r="AF83" s="2" t="str">
        <f t="shared" ca="1" si="25"/>
        <v>F98</v>
      </c>
      <c r="AG83" s="172"/>
      <c r="AI83" s="2"/>
      <c r="AJ83" s="2"/>
      <c r="AK83" s="2"/>
      <c r="AL83" s="2"/>
    </row>
    <row r="84" spans="1:38" x14ac:dyDescent="0.25">
      <c r="A84" s="166">
        <v>42117</v>
      </c>
      <c r="B84" s="163">
        <v>14</v>
      </c>
      <c r="C84" s="160" t="s">
        <v>21</v>
      </c>
      <c r="D84" s="161">
        <f ca="1">+IF(AD84=0,P84,(SUM(INDIRECT(CONCATENATE("B",AD84,":B",AA84)))/'parametres articles'!$H$8))</f>
        <v>3.2</v>
      </c>
      <c r="E84" s="10">
        <f t="shared" si="26"/>
        <v>93</v>
      </c>
      <c r="F84" s="10"/>
      <c r="G84" s="10">
        <f t="shared" si="15"/>
        <v>79</v>
      </c>
      <c r="H84" s="140"/>
      <c r="I84" s="141">
        <f t="shared" si="14"/>
        <v>87.333333333333329</v>
      </c>
      <c r="K84" s="2">
        <f>+HLOOKUP($C84,'parametres articles'!$C$5:$G$25,5,FALSE)</f>
        <v>15</v>
      </c>
      <c r="L84" s="2">
        <f>+HLOOKUP($C84,'parametres articles'!$C$5:$G$25,21,FALSE)</f>
        <v>13</v>
      </c>
      <c r="M84" s="124">
        <f>+HLOOKUP($C84,'parametres articles'!$C$5:$G$25,7,FALSE)</f>
        <v>0.8</v>
      </c>
      <c r="N84" s="124">
        <f>+HLOOKUP($C84,'parametres articles'!$C$5:$G$25,6,FALSE)</f>
        <v>0.4</v>
      </c>
      <c r="O84" s="2">
        <f>+HLOOKUP($C84,'parametres articles'!$C$5:$G$25,8,FALSE)</f>
        <v>0</v>
      </c>
      <c r="P84" s="114">
        <f>IF(C84="E",'parametres articles'!$C$8,HLOOKUP($C84,'parametres articles'!$C$5:$F$25,4,FALSE))</f>
        <v>2.27</v>
      </c>
      <c r="Q84" s="114">
        <f t="shared" si="16"/>
        <v>2.27</v>
      </c>
      <c r="R84" s="2">
        <f t="shared" si="23"/>
        <v>13.62</v>
      </c>
      <c r="S84" s="2">
        <f t="shared" si="17"/>
        <v>24.515999999999998</v>
      </c>
      <c r="T84" s="2">
        <f t="shared" si="18"/>
        <v>58.565999999999995</v>
      </c>
      <c r="U84" s="2">
        <f t="shared" si="24"/>
        <v>72.185999999999993</v>
      </c>
      <c r="V84" s="2">
        <f t="shared" si="19"/>
        <v>24.515999999999998</v>
      </c>
      <c r="W84" s="2">
        <f t="shared" si="20"/>
        <v>34.049999999999997</v>
      </c>
      <c r="X84" s="2">
        <f t="shared" si="21"/>
        <v>13.62</v>
      </c>
      <c r="Y84" s="114">
        <f t="shared" si="22"/>
        <v>31.325999999999997</v>
      </c>
      <c r="AA84" s="11">
        <f t="shared" ca="1" si="27"/>
        <v>84</v>
      </c>
      <c r="AB84" s="11">
        <f ca="1">+AA84+'parametres articles'!$C$9-1</f>
        <v>98</v>
      </c>
      <c r="AC84" s="11">
        <f ca="1">+AA84+'parametres articles'!$C$24-1</f>
        <v>103</v>
      </c>
      <c r="AD84" s="11">
        <f ca="1">+IF(AE84&lt;='parametres articles'!$H$8,0,AA84-'parametres articles'!$H$8+1)</f>
        <v>80</v>
      </c>
      <c r="AE84" s="11">
        <v>80</v>
      </c>
      <c r="AF84" s="2" t="str">
        <f t="shared" ca="1" si="25"/>
        <v>F99</v>
      </c>
      <c r="AG84" s="172"/>
      <c r="AI84" s="2"/>
      <c r="AJ84" s="2"/>
      <c r="AK84" s="2"/>
      <c r="AL84" s="2"/>
    </row>
    <row r="85" spans="1:38" x14ac:dyDescent="0.25">
      <c r="A85" s="166">
        <v>42118</v>
      </c>
      <c r="C85" s="160" t="s">
        <v>21</v>
      </c>
      <c r="D85" s="161">
        <f ca="1">+IF(AD85=0,P85,(SUM(INDIRECT(CONCATENATE("B",AD85,":B",AA85)))/'parametres articles'!$H$8))</f>
        <v>3</v>
      </c>
      <c r="E85" s="10">
        <f t="shared" si="26"/>
        <v>74</v>
      </c>
      <c r="F85" s="10">
        <f>+VLOOKUP(A85,Feuil1!$K$3:$L$37,2,FALSE)</f>
        <v>50</v>
      </c>
      <c r="G85" s="10">
        <f t="shared" si="15"/>
        <v>124</v>
      </c>
      <c r="H85" s="140"/>
      <c r="I85" s="141">
        <f t="shared" si="14"/>
        <v>88.19047619047619</v>
      </c>
      <c r="K85" s="2">
        <f>+HLOOKUP($C85,'parametres articles'!$C$5:$G$25,5,FALSE)</f>
        <v>15</v>
      </c>
      <c r="L85" s="2">
        <f>+HLOOKUP($C85,'parametres articles'!$C$5:$G$25,21,FALSE)</f>
        <v>13</v>
      </c>
      <c r="M85" s="124">
        <f>+HLOOKUP($C85,'parametres articles'!$C$5:$G$25,7,FALSE)</f>
        <v>0.8</v>
      </c>
      <c r="N85" s="124">
        <f>+HLOOKUP($C85,'parametres articles'!$C$5:$G$25,6,FALSE)</f>
        <v>0.4</v>
      </c>
      <c r="O85" s="2">
        <f>+HLOOKUP($C85,'parametres articles'!$C$5:$G$25,8,FALSE)</f>
        <v>0</v>
      </c>
      <c r="P85" s="114">
        <f>IF(C85="E",'parametres articles'!$C$8,HLOOKUP($C85,'parametres articles'!$C$5:$F$25,4,FALSE))</f>
        <v>2.27</v>
      </c>
      <c r="Q85" s="114">
        <f t="shared" si="16"/>
        <v>2.27</v>
      </c>
      <c r="R85" s="2">
        <f t="shared" si="23"/>
        <v>13.62</v>
      </c>
      <c r="S85" s="2">
        <f t="shared" si="17"/>
        <v>24.515999999999998</v>
      </c>
      <c r="T85" s="2">
        <f t="shared" si="18"/>
        <v>58.565999999999995</v>
      </c>
      <c r="U85" s="2">
        <f t="shared" si="24"/>
        <v>72.185999999999993</v>
      </c>
      <c r="V85" s="2">
        <f t="shared" si="19"/>
        <v>24.515999999999998</v>
      </c>
      <c r="W85" s="2">
        <f t="shared" si="20"/>
        <v>34.049999999999997</v>
      </c>
      <c r="X85" s="2">
        <f t="shared" si="21"/>
        <v>13.62</v>
      </c>
      <c r="Y85" s="114">
        <f t="shared" si="22"/>
        <v>31.325999999999997</v>
      </c>
      <c r="AA85" s="11">
        <f t="shared" ca="1" si="27"/>
        <v>85</v>
      </c>
      <c r="AB85" s="11">
        <f ca="1">+AA85+'parametres articles'!$C$9-1</f>
        <v>99</v>
      </c>
      <c r="AC85" s="11">
        <f ca="1">+AA85+'parametres articles'!$C$24-1</f>
        <v>104</v>
      </c>
      <c r="AD85" s="11">
        <f ca="1">+IF(AE85&lt;='parametres articles'!$H$8,0,AA85-'parametres articles'!$H$8+1)</f>
        <v>81</v>
      </c>
      <c r="AE85" s="11">
        <v>81</v>
      </c>
      <c r="AF85" s="2" t="str">
        <f t="shared" ca="1" si="25"/>
        <v>F100</v>
      </c>
      <c r="AG85" s="172">
        <v>-5</v>
      </c>
      <c r="AH85" s="168"/>
      <c r="AI85" s="2"/>
      <c r="AJ85" s="2"/>
      <c r="AK85" s="2"/>
      <c r="AL85" s="2"/>
    </row>
    <row r="86" spans="1:38" x14ac:dyDescent="0.25">
      <c r="A86" s="166">
        <v>42121</v>
      </c>
      <c r="B86" s="163">
        <v>7</v>
      </c>
      <c r="C86" s="160" t="s">
        <v>21</v>
      </c>
      <c r="D86" s="161">
        <f ca="1">+IF(AD86=0,P86,(SUM(INDIRECT(CONCATENATE("B",AD86,":B",AA86)))/'parametres articles'!$H$8))</f>
        <v>4.4000000000000004</v>
      </c>
      <c r="E86" s="10">
        <f t="shared" si="26"/>
        <v>124</v>
      </c>
      <c r="F86" s="10"/>
      <c r="G86" s="10">
        <f t="shared" si="15"/>
        <v>117</v>
      </c>
      <c r="H86" s="140"/>
      <c r="I86" s="141">
        <f t="shared" si="14"/>
        <v>91.714285714285708</v>
      </c>
      <c r="K86" s="2">
        <f>+HLOOKUP($C86,'parametres articles'!$C$5:$G$25,5,FALSE)</f>
        <v>15</v>
      </c>
      <c r="L86" s="2">
        <f>+HLOOKUP($C86,'parametres articles'!$C$5:$G$25,21,FALSE)</f>
        <v>13</v>
      </c>
      <c r="M86" s="124">
        <f>+HLOOKUP($C86,'parametres articles'!$C$5:$G$25,7,FALSE)</f>
        <v>0.8</v>
      </c>
      <c r="N86" s="124">
        <f>+HLOOKUP($C86,'parametres articles'!$C$5:$G$25,6,FALSE)</f>
        <v>0.4</v>
      </c>
      <c r="O86" s="2">
        <f>+HLOOKUP($C86,'parametres articles'!$C$5:$G$25,8,FALSE)</f>
        <v>0</v>
      </c>
      <c r="P86" s="114">
        <f>IF(C86="E",'parametres articles'!$C$8,HLOOKUP($C86,'parametres articles'!$C$5:$F$25,4,FALSE))</f>
        <v>2.27</v>
      </c>
      <c r="Q86" s="114">
        <f t="shared" si="16"/>
        <v>2.27</v>
      </c>
      <c r="R86" s="2">
        <f t="shared" si="23"/>
        <v>13.62</v>
      </c>
      <c r="S86" s="2">
        <f t="shared" si="17"/>
        <v>24.515999999999998</v>
      </c>
      <c r="T86" s="2">
        <f t="shared" si="18"/>
        <v>58.565999999999995</v>
      </c>
      <c r="U86" s="2">
        <f t="shared" si="24"/>
        <v>72.185999999999993</v>
      </c>
      <c r="V86" s="2">
        <f t="shared" si="19"/>
        <v>24.515999999999998</v>
      </c>
      <c r="W86" s="2">
        <f t="shared" si="20"/>
        <v>34.049999999999997</v>
      </c>
      <c r="X86" s="2">
        <f t="shared" si="21"/>
        <v>13.62</v>
      </c>
      <c r="Y86" s="114">
        <f t="shared" si="22"/>
        <v>31.325999999999997</v>
      </c>
      <c r="AA86" s="11">
        <f t="shared" ca="1" si="27"/>
        <v>86</v>
      </c>
      <c r="AB86" s="11">
        <f ca="1">+AA86+'parametres articles'!$C$9-1</f>
        <v>100</v>
      </c>
      <c r="AC86" s="11">
        <f ca="1">+AA86+'parametres articles'!$C$24-1</f>
        <v>105</v>
      </c>
      <c r="AD86" s="11">
        <f ca="1">+IF(AE86&lt;='parametres articles'!$H$8,0,AA86-'parametres articles'!$H$8+1)</f>
        <v>82</v>
      </c>
      <c r="AE86" s="11">
        <v>82</v>
      </c>
      <c r="AF86" s="2" t="str">
        <f t="shared" ca="1" si="25"/>
        <v>F101</v>
      </c>
      <c r="AG86" s="172"/>
      <c r="AH86" s="168"/>
      <c r="AI86" s="2"/>
      <c r="AJ86" s="2"/>
      <c r="AK86" s="2"/>
      <c r="AL86" s="2"/>
    </row>
    <row r="87" spans="1:38" x14ac:dyDescent="0.25">
      <c r="A87" s="166">
        <v>42122</v>
      </c>
      <c r="B87" s="163">
        <v>3</v>
      </c>
      <c r="C87" s="160" t="s">
        <v>21</v>
      </c>
      <c r="D87" s="161">
        <f ca="1">+IF(AD87=0,P87,(SUM(INDIRECT(CONCATENATE("B",AD87,":B",AA87)))/'parametres articles'!$H$8))</f>
        <v>5</v>
      </c>
      <c r="E87" s="10">
        <f t="shared" si="26"/>
        <v>116</v>
      </c>
      <c r="F87" s="10"/>
      <c r="G87" s="10">
        <f t="shared" si="15"/>
        <v>113</v>
      </c>
      <c r="H87" s="140"/>
      <c r="I87" s="141">
        <f t="shared" si="14"/>
        <v>94.857142857142861</v>
      </c>
      <c r="K87" s="2">
        <f>+HLOOKUP($C87,'parametres articles'!$C$5:$G$25,5,FALSE)</f>
        <v>15</v>
      </c>
      <c r="L87" s="2">
        <f>+HLOOKUP($C87,'parametres articles'!$C$5:$G$25,21,FALSE)</f>
        <v>13</v>
      </c>
      <c r="M87" s="124">
        <f>+HLOOKUP($C87,'parametres articles'!$C$5:$G$25,7,FALSE)</f>
        <v>0.8</v>
      </c>
      <c r="N87" s="124">
        <f>+HLOOKUP($C87,'parametres articles'!$C$5:$G$25,6,FALSE)</f>
        <v>0.4</v>
      </c>
      <c r="O87" s="2">
        <f>+HLOOKUP($C87,'parametres articles'!$C$5:$G$25,8,FALSE)</f>
        <v>0</v>
      </c>
      <c r="P87" s="114">
        <f>IF(C87="E",'parametres articles'!$C$8,HLOOKUP($C87,'parametres articles'!$C$5:$F$25,4,FALSE))</f>
        <v>2.27</v>
      </c>
      <c r="Q87" s="114">
        <f t="shared" si="16"/>
        <v>2.27</v>
      </c>
      <c r="R87" s="2">
        <f t="shared" si="23"/>
        <v>13.62</v>
      </c>
      <c r="S87" s="2">
        <f t="shared" si="17"/>
        <v>24.515999999999998</v>
      </c>
      <c r="T87" s="2">
        <f t="shared" si="18"/>
        <v>58.565999999999995</v>
      </c>
      <c r="U87" s="2">
        <f t="shared" si="24"/>
        <v>72.185999999999993</v>
      </c>
      <c r="V87" s="2">
        <f t="shared" si="19"/>
        <v>24.515999999999998</v>
      </c>
      <c r="W87" s="2">
        <f t="shared" si="20"/>
        <v>34.049999999999997</v>
      </c>
      <c r="X87" s="2">
        <f t="shared" si="21"/>
        <v>13.62</v>
      </c>
      <c r="Y87" s="114">
        <f t="shared" si="22"/>
        <v>31.325999999999997</v>
      </c>
      <c r="AA87" s="11">
        <f t="shared" ca="1" si="27"/>
        <v>87</v>
      </c>
      <c r="AB87" s="11">
        <f ca="1">+AA87+'parametres articles'!$C$9-1</f>
        <v>101</v>
      </c>
      <c r="AC87" s="11">
        <f ca="1">+AA87+'parametres articles'!$C$24-1</f>
        <v>106</v>
      </c>
      <c r="AD87" s="11">
        <f ca="1">+IF(AE87&lt;='parametres articles'!$H$8,0,AA87-'parametres articles'!$H$8+1)</f>
        <v>83</v>
      </c>
      <c r="AE87" s="11">
        <v>83</v>
      </c>
      <c r="AF87" s="2" t="str">
        <f t="shared" ca="1" si="25"/>
        <v>F102</v>
      </c>
      <c r="AG87" s="172">
        <v>-1</v>
      </c>
      <c r="AH87" s="168"/>
      <c r="AI87" s="2"/>
      <c r="AJ87" s="2"/>
      <c r="AK87" s="2"/>
      <c r="AL87" s="2"/>
    </row>
    <row r="88" spans="1:38" x14ac:dyDescent="0.25">
      <c r="A88" s="166">
        <v>42123</v>
      </c>
      <c r="B88" s="163">
        <v>1</v>
      </c>
      <c r="C88" s="160" t="s">
        <v>21</v>
      </c>
      <c r="D88" s="161">
        <f ca="1">+IF(AD88=0,P88,(SUM(INDIRECT(CONCATENATE("B",AD88,":B",AA88)))/'parametres articles'!$H$8))</f>
        <v>5</v>
      </c>
      <c r="E88" s="10">
        <f t="shared" si="26"/>
        <v>113</v>
      </c>
      <c r="F88" s="10"/>
      <c r="G88" s="10">
        <f t="shared" si="15"/>
        <v>112</v>
      </c>
      <c r="H88" s="140"/>
      <c r="I88" s="141">
        <f t="shared" si="14"/>
        <v>94.476190476190482</v>
      </c>
      <c r="K88" s="2">
        <f>+HLOOKUP($C88,'parametres articles'!$C$5:$G$25,5,FALSE)</f>
        <v>15</v>
      </c>
      <c r="L88" s="2">
        <f>+HLOOKUP($C88,'parametres articles'!$C$5:$G$25,21,FALSE)</f>
        <v>13</v>
      </c>
      <c r="M88" s="124">
        <f>+HLOOKUP($C88,'parametres articles'!$C$5:$G$25,7,FALSE)</f>
        <v>0.8</v>
      </c>
      <c r="N88" s="124">
        <f>+HLOOKUP($C88,'parametres articles'!$C$5:$G$25,6,FALSE)</f>
        <v>0.4</v>
      </c>
      <c r="O88" s="2">
        <f>+HLOOKUP($C88,'parametres articles'!$C$5:$G$25,8,FALSE)</f>
        <v>0</v>
      </c>
      <c r="P88" s="114">
        <f>IF(C88="E",'parametres articles'!$C$8,HLOOKUP($C88,'parametres articles'!$C$5:$F$25,4,FALSE))</f>
        <v>2.27</v>
      </c>
      <c r="Q88" s="114">
        <f t="shared" si="16"/>
        <v>2.27</v>
      </c>
      <c r="R88" s="2">
        <f t="shared" si="23"/>
        <v>13.62</v>
      </c>
      <c r="S88" s="2">
        <f t="shared" si="17"/>
        <v>24.515999999999998</v>
      </c>
      <c r="T88" s="2">
        <f t="shared" si="18"/>
        <v>58.565999999999995</v>
      </c>
      <c r="U88" s="2">
        <f t="shared" si="24"/>
        <v>72.185999999999993</v>
      </c>
      <c r="V88" s="2">
        <f t="shared" si="19"/>
        <v>24.515999999999998</v>
      </c>
      <c r="W88" s="2">
        <f t="shared" si="20"/>
        <v>34.049999999999997</v>
      </c>
      <c r="X88" s="2">
        <f t="shared" si="21"/>
        <v>13.62</v>
      </c>
      <c r="Y88" s="114">
        <f t="shared" si="22"/>
        <v>31.325999999999997</v>
      </c>
      <c r="AA88" s="11">
        <f t="shared" ca="1" si="27"/>
        <v>88</v>
      </c>
      <c r="AB88" s="11">
        <f ca="1">+AA88+'parametres articles'!$C$9-1</f>
        <v>102</v>
      </c>
      <c r="AC88" s="11">
        <f ca="1">+AA88+'parametres articles'!$C$24-1</f>
        <v>107</v>
      </c>
      <c r="AD88" s="11">
        <f ca="1">+IF(AE88&lt;='parametres articles'!$H$8,0,AA88-'parametres articles'!$H$8+1)</f>
        <v>84</v>
      </c>
      <c r="AE88" s="11">
        <v>84</v>
      </c>
      <c r="AF88" s="2" t="str">
        <f t="shared" ca="1" si="25"/>
        <v>F103</v>
      </c>
      <c r="AG88" s="172"/>
      <c r="AH88" s="168"/>
      <c r="AI88" s="2"/>
      <c r="AJ88" s="2"/>
      <c r="AK88" s="2"/>
      <c r="AL88" s="2"/>
    </row>
    <row r="89" spans="1:38" x14ac:dyDescent="0.25">
      <c r="A89" s="166">
        <v>42124</v>
      </c>
      <c r="B89" s="163">
        <v>26</v>
      </c>
      <c r="C89" s="160" t="s">
        <v>21</v>
      </c>
      <c r="D89" s="161">
        <f ca="1">+IF(AD89=0,P89,(SUM(INDIRECT(CONCATENATE("B",AD89,":B",AA89)))/'parametres articles'!$H$8))</f>
        <v>7.4</v>
      </c>
      <c r="E89" s="10">
        <f t="shared" si="26"/>
        <v>112</v>
      </c>
      <c r="F89" s="10"/>
      <c r="G89" s="10">
        <f t="shared" si="15"/>
        <v>86</v>
      </c>
      <c r="H89" s="140"/>
      <c r="I89" s="141">
        <f t="shared" ref="I89:I120" si="28">+AVERAGE(E69:E89)</f>
        <v>95.666666666666671</v>
      </c>
      <c r="K89" s="2">
        <f>+HLOOKUP($C89,'parametres articles'!$C$5:$G$25,5,FALSE)</f>
        <v>15</v>
      </c>
      <c r="L89" s="2">
        <f>+HLOOKUP($C89,'parametres articles'!$C$5:$G$25,21,FALSE)</f>
        <v>13</v>
      </c>
      <c r="M89" s="124">
        <f>+HLOOKUP($C89,'parametres articles'!$C$5:$G$25,7,FALSE)</f>
        <v>0.8</v>
      </c>
      <c r="N89" s="124">
        <f>+HLOOKUP($C89,'parametres articles'!$C$5:$G$25,6,FALSE)</f>
        <v>0.4</v>
      </c>
      <c r="O89" s="2">
        <f>+HLOOKUP($C89,'parametres articles'!$C$5:$G$25,8,FALSE)</f>
        <v>0</v>
      </c>
      <c r="P89" s="114">
        <f>IF(C89="E",'parametres articles'!$C$8,HLOOKUP($C89,'parametres articles'!$C$5:$F$25,4,FALSE))</f>
        <v>2.27</v>
      </c>
      <c r="Q89" s="114">
        <f t="shared" si="16"/>
        <v>2.27</v>
      </c>
      <c r="R89" s="2">
        <f t="shared" si="23"/>
        <v>13.62</v>
      </c>
      <c r="S89" s="2">
        <f t="shared" si="17"/>
        <v>24.515999999999998</v>
      </c>
      <c r="T89" s="2">
        <f t="shared" si="18"/>
        <v>58.565999999999995</v>
      </c>
      <c r="U89" s="2">
        <f t="shared" si="24"/>
        <v>72.185999999999993</v>
      </c>
      <c r="V89" s="2">
        <f t="shared" si="19"/>
        <v>24.515999999999998</v>
      </c>
      <c r="W89" s="2">
        <f t="shared" si="20"/>
        <v>34.049999999999997</v>
      </c>
      <c r="X89" s="2">
        <f t="shared" si="21"/>
        <v>13.62</v>
      </c>
      <c r="Y89" s="114">
        <f t="shared" si="22"/>
        <v>31.325999999999997</v>
      </c>
      <c r="AA89" s="11">
        <f t="shared" ca="1" si="27"/>
        <v>89</v>
      </c>
      <c r="AB89" s="11">
        <f ca="1">+AA89+'parametres articles'!$C$9-1</f>
        <v>103</v>
      </c>
      <c r="AC89" s="11">
        <f ca="1">+AA89+'parametres articles'!$C$24-1</f>
        <v>108</v>
      </c>
      <c r="AD89" s="11">
        <f ca="1">+IF(AE89&lt;='parametres articles'!$H$8,0,AA89-'parametres articles'!$H$8+1)</f>
        <v>85</v>
      </c>
      <c r="AE89" s="11">
        <v>85</v>
      </c>
      <c r="AF89" s="2" t="str">
        <f t="shared" ca="1" si="25"/>
        <v>F104</v>
      </c>
      <c r="AG89" s="172"/>
      <c r="AH89" s="168"/>
      <c r="AI89" s="2"/>
      <c r="AJ89" s="2"/>
      <c r="AK89" s="2"/>
      <c r="AL89" s="2"/>
    </row>
    <row r="90" spans="1:38" x14ac:dyDescent="0.25">
      <c r="A90" s="166">
        <v>42128</v>
      </c>
      <c r="C90" s="160" t="s">
        <v>21</v>
      </c>
      <c r="D90" s="161">
        <f ca="1">+IF(AD90=0,P90,(SUM(INDIRECT(CONCATENATE("B",AD90,":B",AA90)))/'parametres articles'!$H$8))</f>
        <v>7.4</v>
      </c>
      <c r="E90" s="10">
        <f t="shared" si="26"/>
        <v>86</v>
      </c>
      <c r="F90" s="10">
        <f>+VLOOKUP(A90,Feuil1!$K$3:$L$37,2,FALSE)</f>
        <v>3</v>
      </c>
      <c r="G90" s="10">
        <f t="shared" si="15"/>
        <v>89</v>
      </c>
      <c r="H90" s="140"/>
      <c r="I90" s="141">
        <f t="shared" si="28"/>
        <v>95.714285714285708</v>
      </c>
      <c r="K90" s="2">
        <f>+HLOOKUP($C90,'parametres articles'!$C$5:$G$25,5,FALSE)</f>
        <v>15</v>
      </c>
      <c r="L90" s="2">
        <f>+HLOOKUP($C90,'parametres articles'!$C$5:$G$25,21,FALSE)</f>
        <v>13</v>
      </c>
      <c r="M90" s="124">
        <f>+HLOOKUP($C90,'parametres articles'!$C$5:$G$25,7,FALSE)</f>
        <v>0.8</v>
      </c>
      <c r="N90" s="124">
        <f>+HLOOKUP($C90,'parametres articles'!$C$5:$G$25,6,FALSE)</f>
        <v>0.4</v>
      </c>
      <c r="O90" s="2">
        <f>+HLOOKUP($C90,'parametres articles'!$C$5:$G$25,8,FALSE)</f>
        <v>0</v>
      </c>
      <c r="P90" s="114">
        <f>IF(C90="E",'parametres articles'!$C$8,HLOOKUP($C90,'parametres articles'!$C$5:$F$25,4,FALSE))</f>
        <v>2.27</v>
      </c>
      <c r="Q90" s="114">
        <f t="shared" si="16"/>
        <v>2.27</v>
      </c>
      <c r="R90" s="2">
        <f t="shared" si="23"/>
        <v>13.62</v>
      </c>
      <c r="S90" s="2">
        <f t="shared" si="17"/>
        <v>24.515999999999998</v>
      </c>
      <c r="T90" s="2">
        <f t="shared" si="18"/>
        <v>58.565999999999995</v>
      </c>
      <c r="U90" s="2">
        <f t="shared" si="24"/>
        <v>72.185999999999993</v>
      </c>
      <c r="V90" s="2">
        <f t="shared" si="19"/>
        <v>24.515999999999998</v>
      </c>
      <c r="W90" s="2">
        <f t="shared" si="20"/>
        <v>34.049999999999997</v>
      </c>
      <c r="X90" s="2">
        <f t="shared" si="21"/>
        <v>13.62</v>
      </c>
      <c r="Y90" s="114">
        <f t="shared" si="22"/>
        <v>31.325999999999997</v>
      </c>
      <c r="AA90" s="11">
        <f t="shared" ca="1" si="27"/>
        <v>90</v>
      </c>
      <c r="AB90" s="11">
        <f ca="1">+AA90+'parametres articles'!$C$9-1</f>
        <v>104</v>
      </c>
      <c r="AC90" s="11">
        <f ca="1">+AA90+'parametres articles'!$C$24-1</f>
        <v>109</v>
      </c>
      <c r="AD90" s="11">
        <f ca="1">+IF(AE90&lt;='parametres articles'!$H$8,0,AA90-'parametres articles'!$H$8+1)</f>
        <v>86</v>
      </c>
      <c r="AE90" s="11">
        <v>86</v>
      </c>
      <c r="AF90" s="2" t="str">
        <f t="shared" ca="1" si="25"/>
        <v>F105</v>
      </c>
      <c r="AG90" s="172"/>
      <c r="AH90" s="168"/>
      <c r="AI90" s="2"/>
      <c r="AJ90" s="2"/>
      <c r="AK90" s="2"/>
      <c r="AL90" s="2"/>
    </row>
    <row r="91" spans="1:38" x14ac:dyDescent="0.25">
      <c r="A91" s="166">
        <v>42129</v>
      </c>
      <c r="C91" s="160" t="s">
        <v>21</v>
      </c>
      <c r="D91" s="161">
        <f ca="1">+IF(AD91=0,P91,(SUM(INDIRECT(CONCATENATE("B",AD91,":B",AA91)))/'parametres articles'!$H$8))</f>
        <v>6</v>
      </c>
      <c r="E91" s="10">
        <f t="shared" si="26"/>
        <v>89</v>
      </c>
      <c r="F91" s="10"/>
      <c r="G91" s="10">
        <f t="shared" si="15"/>
        <v>89</v>
      </c>
      <c r="H91" s="140"/>
      <c r="I91" s="141">
        <f t="shared" si="28"/>
        <v>95.904761904761898</v>
      </c>
      <c r="K91" s="2">
        <f>+HLOOKUP($C91,'parametres articles'!$C$5:$G$25,5,FALSE)</f>
        <v>15</v>
      </c>
      <c r="L91" s="2">
        <f>+HLOOKUP($C91,'parametres articles'!$C$5:$G$25,21,FALSE)</f>
        <v>13</v>
      </c>
      <c r="M91" s="124">
        <f>+HLOOKUP($C91,'parametres articles'!$C$5:$G$25,7,FALSE)</f>
        <v>0.8</v>
      </c>
      <c r="N91" s="124">
        <f>+HLOOKUP($C91,'parametres articles'!$C$5:$G$25,6,FALSE)</f>
        <v>0.4</v>
      </c>
      <c r="O91" s="2">
        <f>+HLOOKUP($C91,'parametres articles'!$C$5:$G$25,8,FALSE)</f>
        <v>0</v>
      </c>
      <c r="P91" s="114">
        <f>IF(C91="E",'parametres articles'!$C$8,HLOOKUP($C91,'parametres articles'!$C$5:$F$25,4,FALSE))</f>
        <v>2.27</v>
      </c>
      <c r="Q91" s="114">
        <f t="shared" si="16"/>
        <v>2.27</v>
      </c>
      <c r="R91" s="2">
        <f t="shared" si="23"/>
        <v>13.62</v>
      </c>
      <c r="S91" s="2">
        <f t="shared" si="17"/>
        <v>24.515999999999998</v>
      </c>
      <c r="T91" s="2">
        <f t="shared" si="18"/>
        <v>58.565999999999995</v>
      </c>
      <c r="U91" s="2">
        <f t="shared" si="24"/>
        <v>72.185999999999993</v>
      </c>
      <c r="V91" s="2">
        <f t="shared" si="19"/>
        <v>24.515999999999998</v>
      </c>
      <c r="W91" s="2">
        <f t="shared" si="20"/>
        <v>34.049999999999997</v>
      </c>
      <c r="X91" s="2">
        <f t="shared" si="21"/>
        <v>13.62</v>
      </c>
      <c r="Y91" s="114">
        <f t="shared" si="22"/>
        <v>31.325999999999997</v>
      </c>
      <c r="AA91" s="11">
        <f t="shared" ca="1" si="27"/>
        <v>91</v>
      </c>
      <c r="AB91" s="11">
        <f ca="1">+AA91+'parametres articles'!$C$9-1</f>
        <v>105</v>
      </c>
      <c r="AC91" s="11">
        <f ca="1">+AA91+'parametres articles'!$C$24-1</f>
        <v>110</v>
      </c>
      <c r="AD91" s="11">
        <f ca="1">+IF(AE91&lt;='parametres articles'!$H$8,0,AA91-'parametres articles'!$H$8+1)</f>
        <v>87</v>
      </c>
      <c r="AE91" s="11">
        <v>87</v>
      </c>
      <c r="AF91" s="2" t="str">
        <f t="shared" ca="1" si="25"/>
        <v>F106</v>
      </c>
      <c r="AG91" s="172"/>
      <c r="AI91" s="2"/>
      <c r="AJ91" s="2"/>
      <c r="AK91" s="2"/>
      <c r="AL91" s="2"/>
    </row>
    <row r="92" spans="1:38" x14ac:dyDescent="0.25">
      <c r="A92" s="166">
        <v>42130</v>
      </c>
      <c r="B92" s="163">
        <v>10</v>
      </c>
      <c r="C92" s="160" t="s">
        <v>21</v>
      </c>
      <c r="D92" s="161">
        <f ca="1">+IF(AD92=0,P92,(SUM(INDIRECT(CONCATENATE("B",AD92,":B",AA92)))/'parametres articles'!$H$8))</f>
        <v>7.4</v>
      </c>
      <c r="E92" s="10">
        <f t="shared" si="26"/>
        <v>89</v>
      </c>
      <c r="F92" s="10"/>
      <c r="G92" s="10">
        <f t="shared" si="15"/>
        <v>79</v>
      </c>
      <c r="H92" s="140"/>
      <c r="I92" s="141">
        <f t="shared" si="28"/>
        <v>96.095238095238102</v>
      </c>
      <c r="K92" s="2">
        <f>+HLOOKUP($C92,'parametres articles'!$C$5:$G$25,5,FALSE)</f>
        <v>15</v>
      </c>
      <c r="L92" s="2">
        <f>+HLOOKUP($C92,'parametres articles'!$C$5:$G$25,21,FALSE)</f>
        <v>13</v>
      </c>
      <c r="M92" s="124">
        <f>+HLOOKUP($C92,'parametres articles'!$C$5:$G$25,7,FALSE)</f>
        <v>0.8</v>
      </c>
      <c r="N92" s="124">
        <f>+HLOOKUP($C92,'parametres articles'!$C$5:$G$25,6,FALSE)</f>
        <v>0.4</v>
      </c>
      <c r="O92" s="2">
        <f>+HLOOKUP($C92,'parametres articles'!$C$5:$G$25,8,FALSE)</f>
        <v>0</v>
      </c>
      <c r="P92" s="114">
        <f>IF(C92="E",'parametres articles'!$C$8,HLOOKUP($C92,'parametres articles'!$C$5:$F$25,4,FALSE))</f>
        <v>2.27</v>
      </c>
      <c r="Q92" s="114">
        <f t="shared" si="16"/>
        <v>2.27</v>
      </c>
      <c r="R92" s="2">
        <f t="shared" si="23"/>
        <v>13.62</v>
      </c>
      <c r="S92" s="2">
        <f t="shared" si="17"/>
        <v>24.515999999999998</v>
      </c>
      <c r="T92" s="2">
        <f t="shared" si="18"/>
        <v>58.565999999999995</v>
      </c>
      <c r="U92" s="2">
        <f t="shared" si="24"/>
        <v>72.185999999999993</v>
      </c>
      <c r="V92" s="2">
        <f t="shared" si="19"/>
        <v>24.515999999999998</v>
      </c>
      <c r="W92" s="2">
        <f t="shared" si="20"/>
        <v>34.049999999999997</v>
      </c>
      <c r="X92" s="2">
        <f t="shared" si="21"/>
        <v>13.62</v>
      </c>
      <c r="Y92" s="114">
        <f t="shared" si="22"/>
        <v>31.325999999999997</v>
      </c>
      <c r="AA92" s="11">
        <f t="shared" ca="1" si="27"/>
        <v>92</v>
      </c>
      <c r="AB92" s="11">
        <f ca="1">+AA92+'parametres articles'!$C$9-1</f>
        <v>106</v>
      </c>
      <c r="AC92" s="11">
        <f ca="1">+AA92+'parametres articles'!$C$24-1</f>
        <v>111</v>
      </c>
      <c r="AD92" s="11">
        <f ca="1">+IF(AE92&lt;='parametres articles'!$H$8,0,AA92-'parametres articles'!$H$8+1)</f>
        <v>88</v>
      </c>
      <c r="AE92" s="11">
        <v>88</v>
      </c>
      <c r="AF92" s="2" t="str">
        <f t="shared" ca="1" si="25"/>
        <v>F107</v>
      </c>
      <c r="AG92" s="172"/>
      <c r="AI92" s="2"/>
      <c r="AJ92" s="2"/>
      <c r="AK92" s="2"/>
      <c r="AL92" s="2"/>
    </row>
    <row r="93" spans="1:38" x14ac:dyDescent="0.25">
      <c r="A93" s="166">
        <v>42131</v>
      </c>
      <c r="C93" s="160" t="s">
        <v>21</v>
      </c>
      <c r="D93" s="161">
        <f ca="1">+IF(AD93=0,P93,(SUM(INDIRECT(CONCATENATE("B",AD93,":B",AA93)))/'parametres articles'!$H$8))</f>
        <v>7.2</v>
      </c>
      <c r="E93" s="10">
        <f t="shared" si="26"/>
        <v>79</v>
      </c>
      <c r="F93" s="10"/>
      <c r="G93" s="10">
        <f t="shared" si="15"/>
        <v>79</v>
      </c>
      <c r="H93" s="140"/>
      <c r="I93" s="141">
        <f t="shared" si="28"/>
        <v>95.238095238095241</v>
      </c>
      <c r="K93" s="2">
        <f>+HLOOKUP($C93,'parametres articles'!$C$5:$G$25,5,FALSE)</f>
        <v>15</v>
      </c>
      <c r="L93" s="2">
        <f>+HLOOKUP($C93,'parametres articles'!$C$5:$G$25,21,FALSE)</f>
        <v>13</v>
      </c>
      <c r="M93" s="124">
        <f>+HLOOKUP($C93,'parametres articles'!$C$5:$G$25,7,FALSE)</f>
        <v>0.8</v>
      </c>
      <c r="N93" s="124">
        <f>+HLOOKUP($C93,'parametres articles'!$C$5:$G$25,6,FALSE)</f>
        <v>0.4</v>
      </c>
      <c r="O93" s="2">
        <f>+HLOOKUP($C93,'parametres articles'!$C$5:$G$25,8,FALSE)</f>
        <v>0</v>
      </c>
      <c r="P93" s="114">
        <f>IF(C93="E",'parametres articles'!$C$8,HLOOKUP($C93,'parametres articles'!$C$5:$F$25,4,FALSE))</f>
        <v>2.27</v>
      </c>
      <c r="Q93" s="114">
        <f t="shared" si="16"/>
        <v>2.27</v>
      </c>
      <c r="R93" s="2">
        <f t="shared" si="23"/>
        <v>13.62</v>
      </c>
      <c r="S93" s="2">
        <f t="shared" si="17"/>
        <v>24.515999999999998</v>
      </c>
      <c r="T93" s="2">
        <f t="shared" si="18"/>
        <v>58.565999999999995</v>
      </c>
      <c r="U93" s="2">
        <f t="shared" si="24"/>
        <v>72.185999999999993</v>
      </c>
      <c r="V93" s="2">
        <f t="shared" si="19"/>
        <v>24.515999999999998</v>
      </c>
      <c r="W93" s="2">
        <f t="shared" si="20"/>
        <v>34.049999999999997</v>
      </c>
      <c r="X93" s="2">
        <f t="shared" si="21"/>
        <v>13.62</v>
      </c>
      <c r="Y93" s="114">
        <f t="shared" si="22"/>
        <v>31.325999999999997</v>
      </c>
      <c r="AA93" s="11">
        <f t="shared" ca="1" si="27"/>
        <v>93</v>
      </c>
      <c r="AB93" s="11">
        <f ca="1">+AA93+'parametres articles'!$C$9-1</f>
        <v>107</v>
      </c>
      <c r="AC93" s="11">
        <f ca="1">+AA93+'parametres articles'!$C$24-1</f>
        <v>112</v>
      </c>
      <c r="AD93" s="11">
        <f ca="1">+IF(AE93&lt;='parametres articles'!$H$8,0,AA93-'parametres articles'!$H$8+1)</f>
        <v>89</v>
      </c>
      <c r="AE93" s="11">
        <v>89</v>
      </c>
      <c r="AF93" s="2" t="str">
        <f t="shared" ca="1" si="25"/>
        <v>F108</v>
      </c>
      <c r="AG93" s="172"/>
      <c r="AI93" s="2"/>
      <c r="AJ93" s="2"/>
      <c r="AK93" s="2"/>
      <c r="AL93" s="2"/>
    </row>
    <row r="94" spans="1:38" x14ac:dyDescent="0.25">
      <c r="A94" s="166">
        <v>42135</v>
      </c>
      <c r="C94" s="160" t="s">
        <v>21</v>
      </c>
      <c r="D94" s="161">
        <f ca="1">+IF(AD94=0,P94,(SUM(INDIRECT(CONCATENATE("B",AD94,":B",AA94)))/'parametres articles'!$H$8))</f>
        <v>2</v>
      </c>
      <c r="E94" s="10">
        <f t="shared" si="26"/>
        <v>78</v>
      </c>
      <c r="F94" s="10">
        <f>+VLOOKUP(A94,Feuil1!$K$3:$L$37,2,FALSE)</f>
        <v>20</v>
      </c>
      <c r="G94" s="10">
        <f t="shared" si="15"/>
        <v>98</v>
      </c>
      <c r="H94" s="140"/>
      <c r="I94" s="141">
        <f t="shared" si="28"/>
        <v>94.333333333333329</v>
      </c>
      <c r="K94" s="2">
        <f>+HLOOKUP($C94,'parametres articles'!$C$5:$G$25,5,FALSE)</f>
        <v>15</v>
      </c>
      <c r="L94" s="2">
        <f>+HLOOKUP($C94,'parametres articles'!$C$5:$G$25,21,FALSE)</f>
        <v>13</v>
      </c>
      <c r="M94" s="124">
        <f>+HLOOKUP($C94,'parametres articles'!$C$5:$G$25,7,FALSE)</f>
        <v>0.8</v>
      </c>
      <c r="N94" s="124">
        <f>+HLOOKUP($C94,'parametres articles'!$C$5:$G$25,6,FALSE)</f>
        <v>0.4</v>
      </c>
      <c r="O94" s="2">
        <f>+HLOOKUP($C94,'parametres articles'!$C$5:$G$25,8,FALSE)</f>
        <v>0</v>
      </c>
      <c r="P94" s="114">
        <f>IF(C94="E",'parametres articles'!$C$8,HLOOKUP($C94,'parametres articles'!$C$5:$F$25,4,FALSE))</f>
        <v>2.27</v>
      </c>
      <c r="Q94" s="114">
        <f t="shared" si="16"/>
        <v>2.27</v>
      </c>
      <c r="R94" s="2">
        <f t="shared" si="23"/>
        <v>13.62</v>
      </c>
      <c r="S94" s="2">
        <f t="shared" si="17"/>
        <v>24.515999999999998</v>
      </c>
      <c r="T94" s="2">
        <f t="shared" si="18"/>
        <v>58.565999999999995</v>
      </c>
      <c r="U94" s="2">
        <f t="shared" si="24"/>
        <v>72.185999999999993</v>
      </c>
      <c r="V94" s="2">
        <f t="shared" si="19"/>
        <v>24.515999999999998</v>
      </c>
      <c r="W94" s="2">
        <f t="shared" si="20"/>
        <v>34.049999999999997</v>
      </c>
      <c r="X94" s="2">
        <f t="shared" si="21"/>
        <v>13.62</v>
      </c>
      <c r="Y94" s="114">
        <f t="shared" si="22"/>
        <v>31.325999999999997</v>
      </c>
      <c r="AA94" s="11">
        <f t="shared" ca="1" si="27"/>
        <v>94</v>
      </c>
      <c r="AB94" s="11">
        <f ca="1">+AA94+'parametres articles'!$C$9-1</f>
        <v>108</v>
      </c>
      <c r="AC94" s="11">
        <f ca="1">+AA94+'parametres articles'!$C$24-1</f>
        <v>113</v>
      </c>
      <c r="AD94" s="11">
        <f ca="1">+IF(AE94&lt;='parametres articles'!$H$8,0,AA94-'parametres articles'!$H$8+1)</f>
        <v>90</v>
      </c>
      <c r="AE94" s="11">
        <v>90</v>
      </c>
      <c r="AF94" s="2" t="str">
        <f t="shared" ca="1" si="25"/>
        <v>F109</v>
      </c>
      <c r="AG94" s="172">
        <v>-1</v>
      </c>
      <c r="AI94" s="2"/>
      <c r="AJ94" s="2"/>
      <c r="AK94" s="2"/>
      <c r="AL94" s="2"/>
    </row>
    <row r="95" spans="1:38" x14ac:dyDescent="0.25">
      <c r="A95" s="166">
        <v>42136</v>
      </c>
      <c r="B95" s="163">
        <v>1</v>
      </c>
      <c r="C95" s="160" t="s">
        <v>21</v>
      </c>
      <c r="D95" s="161">
        <f ca="1">+IF(AD95=0,P95,(SUM(INDIRECT(CONCATENATE("B",AD95,":B",AA95)))/'parametres articles'!$H$8))</f>
        <v>2.2000000000000002</v>
      </c>
      <c r="E95" s="10">
        <f t="shared" si="26"/>
        <v>98</v>
      </c>
      <c r="F95" s="10"/>
      <c r="G95" s="10">
        <f t="shared" si="15"/>
        <v>97</v>
      </c>
      <c r="H95" s="140"/>
      <c r="I95" s="141">
        <f t="shared" si="28"/>
        <v>94.428571428571431</v>
      </c>
      <c r="K95" s="2">
        <f>+HLOOKUP($C95,'parametres articles'!$C$5:$G$25,5,FALSE)</f>
        <v>15</v>
      </c>
      <c r="L95" s="2">
        <f>+HLOOKUP($C95,'parametres articles'!$C$5:$G$25,21,FALSE)</f>
        <v>13</v>
      </c>
      <c r="M95" s="124">
        <f>+HLOOKUP($C95,'parametres articles'!$C$5:$G$25,7,FALSE)</f>
        <v>0.8</v>
      </c>
      <c r="N95" s="124">
        <f>+HLOOKUP($C95,'parametres articles'!$C$5:$G$25,6,FALSE)</f>
        <v>0.4</v>
      </c>
      <c r="O95" s="2">
        <f>+HLOOKUP($C95,'parametres articles'!$C$5:$G$25,8,FALSE)</f>
        <v>0</v>
      </c>
      <c r="P95" s="114">
        <f>IF(C95="E",'parametres articles'!$C$8,HLOOKUP($C95,'parametres articles'!$C$5:$F$25,4,FALSE))</f>
        <v>2.27</v>
      </c>
      <c r="Q95" s="114">
        <f t="shared" si="16"/>
        <v>2.27</v>
      </c>
      <c r="R95" s="2">
        <f t="shared" si="23"/>
        <v>13.62</v>
      </c>
      <c r="S95" s="2">
        <f t="shared" si="17"/>
        <v>24.515999999999998</v>
      </c>
      <c r="T95" s="2">
        <f t="shared" si="18"/>
        <v>58.565999999999995</v>
      </c>
      <c r="U95" s="2">
        <f t="shared" si="24"/>
        <v>72.185999999999993</v>
      </c>
      <c r="V95" s="2">
        <f t="shared" si="19"/>
        <v>24.515999999999998</v>
      </c>
      <c r="W95" s="2">
        <f t="shared" si="20"/>
        <v>34.049999999999997</v>
      </c>
      <c r="X95" s="2">
        <f t="shared" si="21"/>
        <v>13.62</v>
      </c>
      <c r="Y95" s="114">
        <f t="shared" si="22"/>
        <v>31.325999999999997</v>
      </c>
      <c r="AA95" s="11">
        <f t="shared" ca="1" si="27"/>
        <v>95</v>
      </c>
      <c r="AB95" s="11">
        <f ca="1">+AA95+'parametres articles'!$C$9-1</f>
        <v>109</v>
      </c>
      <c r="AC95" s="11">
        <f ca="1">+AA95+'parametres articles'!$C$24-1</f>
        <v>114</v>
      </c>
      <c r="AD95" s="11">
        <f ca="1">+IF(AE95&lt;='parametres articles'!$H$8,0,AA95-'parametres articles'!$H$8+1)</f>
        <v>91</v>
      </c>
      <c r="AE95" s="11">
        <v>91</v>
      </c>
      <c r="AF95" s="2" t="str">
        <f t="shared" ca="1" si="25"/>
        <v>F110</v>
      </c>
      <c r="AG95" s="172"/>
      <c r="AI95" s="2"/>
      <c r="AJ95" s="2"/>
      <c r="AK95" s="2"/>
      <c r="AL95" s="2"/>
    </row>
    <row r="96" spans="1:38" x14ac:dyDescent="0.25">
      <c r="A96" s="166">
        <v>42137</v>
      </c>
      <c r="B96" s="163">
        <v>6</v>
      </c>
      <c r="C96" s="160" t="s">
        <v>21</v>
      </c>
      <c r="D96" s="161">
        <f ca="1">+IF(AD96=0,P96,(SUM(INDIRECT(CONCATENATE("B",AD96,":B",AA96)))/'parametres articles'!$H$8))</f>
        <v>3.4</v>
      </c>
      <c r="E96" s="10">
        <f t="shared" si="26"/>
        <v>73</v>
      </c>
      <c r="F96" s="10"/>
      <c r="G96" s="10">
        <f t="shared" si="15"/>
        <v>67</v>
      </c>
      <c r="H96" s="140"/>
      <c r="I96" s="141">
        <f t="shared" si="28"/>
        <v>93.333333333333329</v>
      </c>
      <c r="K96" s="2">
        <f>+HLOOKUP($C96,'parametres articles'!$C$5:$G$25,5,FALSE)</f>
        <v>15</v>
      </c>
      <c r="L96" s="2">
        <f>+HLOOKUP($C96,'parametres articles'!$C$5:$G$25,21,FALSE)</f>
        <v>13</v>
      </c>
      <c r="M96" s="124">
        <f>+HLOOKUP($C96,'parametres articles'!$C$5:$G$25,7,FALSE)</f>
        <v>0.8</v>
      </c>
      <c r="N96" s="124">
        <f>+HLOOKUP($C96,'parametres articles'!$C$5:$G$25,6,FALSE)</f>
        <v>0.4</v>
      </c>
      <c r="O96" s="2">
        <f>+HLOOKUP($C96,'parametres articles'!$C$5:$G$25,8,FALSE)</f>
        <v>0</v>
      </c>
      <c r="P96" s="114">
        <f>IF(C96="E",'parametres articles'!$C$8,HLOOKUP($C96,'parametres articles'!$C$5:$F$25,4,FALSE))</f>
        <v>2.27</v>
      </c>
      <c r="Q96" s="114">
        <f t="shared" si="16"/>
        <v>2.27</v>
      </c>
      <c r="R96" s="2">
        <f t="shared" si="23"/>
        <v>13.62</v>
      </c>
      <c r="S96" s="2">
        <f t="shared" si="17"/>
        <v>24.515999999999998</v>
      </c>
      <c r="T96" s="2">
        <f t="shared" si="18"/>
        <v>58.565999999999995</v>
      </c>
      <c r="U96" s="2">
        <f t="shared" si="24"/>
        <v>72.185999999999993</v>
      </c>
      <c r="V96" s="2">
        <f t="shared" si="19"/>
        <v>24.515999999999998</v>
      </c>
      <c r="W96" s="2">
        <f t="shared" si="20"/>
        <v>34.049999999999997</v>
      </c>
      <c r="X96" s="2">
        <f t="shared" si="21"/>
        <v>13.62</v>
      </c>
      <c r="Y96" s="114">
        <f t="shared" si="22"/>
        <v>31.325999999999997</v>
      </c>
      <c r="AA96" s="11">
        <f t="shared" ca="1" si="27"/>
        <v>96</v>
      </c>
      <c r="AB96" s="11">
        <f ca="1">+AA96+'parametres articles'!$C$9-1</f>
        <v>110</v>
      </c>
      <c r="AC96" s="11">
        <f ca="1">+AA96+'parametres articles'!$C$24-1</f>
        <v>115</v>
      </c>
      <c r="AD96" s="11">
        <f ca="1">+IF(AE96&lt;='parametres articles'!$H$8,0,AA96-'parametres articles'!$H$8+1)</f>
        <v>92</v>
      </c>
      <c r="AE96" s="11">
        <v>92</v>
      </c>
      <c r="AF96" s="2" t="str">
        <f t="shared" ca="1" si="25"/>
        <v>F111</v>
      </c>
      <c r="AG96" s="172">
        <v>-24</v>
      </c>
      <c r="AI96" s="2"/>
      <c r="AJ96" s="2"/>
      <c r="AK96" s="2"/>
      <c r="AL96" s="2"/>
    </row>
    <row r="97" spans="1:38" x14ac:dyDescent="0.25">
      <c r="A97" s="166">
        <v>42139</v>
      </c>
      <c r="C97" s="160" t="s">
        <v>21</v>
      </c>
      <c r="D97" s="161">
        <f ca="1">+IF(AD97=0,P97,(SUM(INDIRECT(CONCATENATE("B",AD97,":B",AA97)))/'parametres articles'!$H$8))</f>
        <v>1.4</v>
      </c>
      <c r="E97" s="10">
        <f t="shared" si="26"/>
        <v>67</v>
      </c>
      <c r="F97" s="10"/>
      <c r="G97" s="10">
        <f t="shared" si="15"/>
        <v>67</v>
      </c>
      <c r="H97" s="140"/>
      <c r="I97" s="141">
        <f t="shared" si="28"/>
        <v>92</v>
      </c>
      <c r="K97" s="2">
        <f>+HLOOKUP($C97,'parametres articles'!$C$5:$G$25,5,FALSE)</f>
        <v>15</v>
      </c>
      <c r="L97" s="2">
        <f>+HLOOKUP($C97,'parametres articles'!$C$5:$G$25,21,FALSE)</f>
        <v>13</v>
      </c>
      <c r="M97" s="124">
        <f>+HLOOKUP($C97,'parametres articles'!$C$5:$G$25,7,FALSE)</f>
        <v>0.8</v>
      </c>
      <c r="N97" s="124">
        <f>+HLOOKUP($C97,'parametres articles'!$C$5:$G$25,6,FALSE)</f>
        <v>0.4</v>
      </c>
      <c r="O97" s="2">
        <f>+HLOOKUP($C97,'parametres articles'!$C$5:$G$25,8,FALSE)</f>
        <v>0</v>
      </c>
      <c r="P97" s="114">
        <f>IF(C97="E",'parametres articles'!$C$8,HLOOKUP($C97,'parametres articles'!$C$5:$F$25,4,FALSE))</f>
        <v>2.27</v>
      </c>
      <c r="Q97" s="114">
        <f t="shared" si="16"/>
        <v>2.27</v>
      </c>
      <c r="R97" s="2">
        <f t="shared" si="23"/>
        <v>13.62</v>
      </c>
      <c r="S97" s="2">
        <f t="shared" si="17"/>
        <v>24.515999999999998</v>
      </c>
      <c r="T97" s="2">
        <f t="shared" si="18"/>
        <v>58.565999999999995</v>
      </c>
      <c r="U97" s="2">
        <f t="shared" si="24"/>
        <v>72.185999999999993</v>
      </c>
      <c r="V97" s="2">
        <f t="shared" si="19"/>
        <v>24.515999999999998</v>
      </c>
      <c r="W97" s="2">
        <f t="shared" si="20"/>
        <v>34.049999999999997</v>
      </c>
      <c r="X97" s="2">
        <f t="shared" si="21"/>
        <v>13.62</v>
      </c>
      <c r="Y97" s="114">
        <f t="shared" si="22"/>
        <v>31.325999999999997</v>
      </c>
      <c r="AA97" s="11">
        <f t="shared" ca="1" si="27"/>
        <v>97</v>
      </c>
      <c r="AB97" s="11">
        <f ca="1">+AA97+'parametres articles'!$C$9-1</f>
        <v>111</v>
      </c>
      <c r="AC97" s="11">
        <f ca="1">+AA97+'parametres articles'!$C$24-1</f>
        <v>116</v>
      </c>
      <c r="AD97" s="11">
        <f ca="1">+IF(AE97&lt;='parametres articles'!$H$8,0,AA97-'parametres articles'!$H$8+1)</f>
        <v>93</v>
      </c>
      <c r="AE97" s="11">
        <v>93</v>
      </c>
      <c r="AF97" s="2" t="str">
        <f t="shared" ca="1" si="25"/>
        <v>F112</v>
      </c>
      <c r="AG97" s="172"/>
      <c r="AI97" s="2"/>
      <c r="AJ97" s="2"/>
      <c r="AK97" s="2"/>
      <c r="AL97" s="2"/>
    </row>
    <row r="98" spans="1:38" x14ac:dyDescent="0.25">
      <c r="A98" s="166">
        <v>42142</v>
      </c>
      <c r="C98" s="160" t="s">
        <v>21</v>
      </c>
      <c r="D98" s="161">
        <f ca="1">+IF(AD98=0,P98,(SUM(INDIRECT(CONCATENATE("B",AD98,":B",AA98)))/'parametres articles'!$H$8))</f>
        <v>1.4</v>
      </c>
      <c r="E98" s="10">
        <f t="shared" si="26"/>
        <v>67</v>
      </c>
      <c r="F98" s="10">
        <f>+VLOOKUP(A98,Feuil1!$K$3:$L$37,2,FALSE)</f>
        <v>42</v>
      </c>
      <c r="G98" s="10">
        <f t="shared" si="15"/>
        <v>109</v>
      </c>
      <c r="H98" s="140"/>
      <c r="I98" s="141">
        <f t="shared" si="28"/>
        <v>90.761904761904759</v>
      </c>
      <c r="K98" s="2">
        <f>+HLOOKUP($C98,'parametres articles'!$C$5:$G$25,5,FALSE)</f>
        <v>15</v>
      </c>
      <c r="L98" s="2">
        <f>+HLOOKUP($C98,'parametres articles'!$C$5:$G$25,21,FALSE)</f>
        <v>13</v>
      </c>
      <c r="M98" s="124">
        <f>+HLOOKUP($C98,'parametres articles'!$C$5:$G$25,7,FALSE)</f>
        <v>0.8</v>
      </c>
      <c r="N98" s="124">
        <f>+HLOOKUP($C98,'parametres articles'!$C$5:$G$25,6,FALSE)</f>
        <v>0.4</v>
      </c>
      <c r="O98" s="2">
        <f>+HLOOKUP($C98,'parametres articles'!$C$5:$G$25,8,FALSE)</f>
        <v>0</v>
      </c>
      <c r="P98" s="114">
        <f>IF(C98="E",'parametres articles'!$C$8,HLOOKUP($C98,'parametres articles'!$C$5:$F$25,4,FALSE))</f>
        <v>2.27</v>
      </c>
      <c r="Q98" s="114">
        <f t="shared" si="16"/>
        <v>2.27</v>
      </c>
      <c r="R98" s="2">
        <f t="shared" si="23"/>
        <v>13.62</v>
      </c>
      <c r="S98" s="2">
        <f t="shared" si="17"/>
        <v>24.515999999999998</v>
      </c>
      <c r="T98" s="2">
        <f t="shared" si="18"/>
        <v>58.565999999999995</v>
      </c>
      <c r="U98" s="2">
        <f t="shared" si="24"/>
        <v>72.185999999999993</v>
      </c>
      <c r="V98" s="2">
        <f t="shared" si="19"/>
        <v>24.515999999999998</v>
      </c>
      <c r="W98" s="2">
        <f t="shared" si="20"/>
        <v>34.049999999999997</v>
      </c>
      <c r="X98" s="2">
        <f t="shared" si="21"/>
        <v>13.62</v>
      </c>
      <c r="Y98" s="114">
        <f t="shared" si="22"/>
        <v>31.325999999999997</v>
      </c>
      <c r="AA98" s="11">
        <f t="shared" ca="1" si="27"/>
        <v>98</v>
      </c>
      <c r="AB98" s="11">
        <f ca="1">+AA98+'parametres articles'!$C$9-1</f>
        <v>112</v>
      </c>
      <c r="AC98" s="11">
        <f ca="1">+AA98+'parametres articles'!$C$24-1</f>
        <v>117</v>
      </c>
      <c r="AD98" s="11">
        <f ca="1">+IF(AE98&lt;='parametres articles'!$H$8,0,AA98-'parametres articles'!$H$8+1)</f>
        <v>94</v>
      </c>
      <c r="AE98" s="11">
        <v>94</v>
      </c>
      <c r="AF98" s="2" t="str">
        <f t="shared" ca="1" si="25"/>
        <v>F113</v>
      </c>
      <c r="AG98" s="172"/>
      <c r="AI98" s="2"/>
      <c r="AJ98" s="2"/>
      <c r="AK98" s="2"/>
      <c r="AL98" s="2"/>
    </row>
    <row r="99" spans="1:38" x14ac:dyDescent="0.25">
      <c r="A99" s="166">
        <v>42143</v>
      </c>
      <c r="C99" s="160" t="s">
        <v>21</v>
      </c>
      <c r="D99" s="161">
        <f ca="1">+IF(AD99=0,P99,(SUM(INDIRECT(CONCATENATE("B",AD99,":B",AA99)))/'parametres articles'!$H$8))</f>
        <v>1.4</v>
      </c>
      <c r="E99" s="10">
        <f t="shared" si="26"/>
        <v>108</v>
      </c>
      <c r="F99" s="10"/>
      <c r="G99" s="10">
        <f t="shared" si="15"/>
        <v>108</v>
      </c>
      <c r="H99" s="140"/>
      <c r="I99" s="141">
        <f t="shared" si="28"/>
        <v>91.476190476190482</v>
      </c>
      <c r="K99" s="2">
        <f>+HLOOKUP($C99,'parametres articles'!$C$5:$G$25,5,FALSE)</f>
        <v>15</v>
      </c>
      <c r="L99" s="2">
        <f>+HLOOKUP($C99,'parametres articles'!$C$5:$G$25,21,FALSE)</f>
        <v>13</v>
      </c>
      <c r="M99" s="124">
        <f>+HLOOKUP($C99,'parametres articles'!$C$5:$G$25,7,FALSE)</f>
        <v>0.8</v>
      </c>
      <c r="N99" s="124">
        <f>+HLOOKUP($C99,'parametres articles'!$C$5:$G$25,6,FALSE)</f>
        <v>0.4</v>
      </c>
      <c r="O99" s="2">
        <f>+HLOOKUP($C99,'parametres articles'!$C$5:$G$25,8,FALSE)</f>
        <v>0</v>
      </c>
      <c r="P99" s="114">
        <f>IF(C99="E",'parametres articles'!$C$8,HLOOKUP($C99,'parametres articles'!$C$5:$F$25,4,FALSE))</f>
        <v>2.27</v>
      </c>
      <c r="Q99" s="114">
        <f t="shared" si="16"/>
        <v>2.27</v>
      </c>
      <c r="R99" s="2">
        <f t="shared" si="23"/>
        <v>13.62</v>
      </c>
      <c r="S99" s="2">
        <f t="shared" si="17"/>
        <v>24.515999999999998</v>
      </c>
      <c r="T99" s="2">
        <f t="shared" si="18"/>
        <v>58.565999999999995</v>
      </c>
      <c r="U99" s="2">
        <f t="shared" si="24"/>
        <v>72.185999999999993</v>
      </c>
      <c r="V99" s="2">
        <f t="shared" si="19"/>
        <v>24.515999999999998</v>
      </c>
      <c r="W99" s="2">
        <f t="shared" si="20"/>
        <v>34.049999999999997</v>
      </c>
      <c r="X99" s="2">
        <f t="shared" si="21"/>
        <v>13.62</v>
      </c>
      <c r="Y99" s="114">
        <f t="shared" si="22"/>
        <v>31.325999999999997</v>
      </c>
      <c r="AA99" s="11">
        <f t="shared" ca="1" si="27"/>
        <v>99</v>
      </c>
      <c r="AB99" s="11">
        <f ca="1">+AA99+'parametres articles'!$C$9-1</f>
        <v>113</v>
      </c>
      <c r="AC99" s="11">
        <f ca="1">+AA99+'parametres articles'!$C$24-1</f>
        <v>118</v>
      </c>
      <c r="AD99" s="11">
        <f ca="1">+IF(AE99&lt;='parametres articles'!$H$8,0,AA99-'parametres articles'!$H$8+1)</f>
        <v>95</v>
      </c>
      <c r="AE99" s="11">
        <v>95</v>
      </c>
      <c r="AF99" s="2" t="str">
        <f t="shared" ca="1" si="25"/>
        <v>F114</v>
      </c>
      <c r="AG99" s="172">
        <v>-1</v>
      </c>
      <c r="AI99" s="2"/>
      <c r="AJ99" s="2"/>
      <c r="AK99" s="2"/>
      <c r="AL99" s="2"/>
    </row>
    <row r="100" spans="1:38" x14ac:dyDescent="0.25">
      <c r="A100" s="166">
        <v>42144</v>
      </c>
      <c r="C100" s="160" t="s">
        <v>21</v>
      </c>
      <c r="D100" s="161">
        <f ca="1">+IF(AD100=0,P100,(SUM(INDIRECT(CONCATENATE("B",AD100,":B",AA100)))/'parametres articles'!$H$8))</f>
        <v>1.2</v>
      </c>
      <c r="E100" s="10">
        <f t="shared" si="26"/>
        <v>108</v>
      </c>
      <c r="F100" s="10"/>
      <c r="G100" s="10">
        <f t="shared" si="15"/>
        <v>108</v>
      </c>
      <c r="H100" s="140"/>
      <c r="I100" s="141">
        <f t="shared" si="28"/>
        <v>92.38095238095238</v>
      </c>
      <c r="K100" s="2">
        <f>+HLOOKUP($C100,'parametres articles'!$C$5:$G$25,5,FALSE)</f>
        <v>15</v>
      </c>
      <c r="L100" s="2">
        <f>+HLOOKUP($C100,'parametres articles'!$C$5:$G$25,21,FALSE)</f>
        <v>13</v>
      </c>
      <c r="M100" s="124">
        <f>+HLOOKUP($C100,'parametres articles'!$C$5:$G$25,7,FALSE)</f>
        <v>0.8</v>
      </c>
      <c r="N100" s="124">
        <f>+HLOOKUP($C100,'parametres articles'!$C$5:$G$25,6,FALSE)</f>
        <v>0.4</v>
      </c>
      <c r="O100" s="2">
        <f>+HLOOKUP($C100,'parametres articles'!$C$5:$G$25,8,FALSE)</f>
        <v>0</v>
      </c>
      <c r="P100" s="114">
        <f>IF(C100="E",'parametres articles'!$C$8,HLOOKUP($C100,'parametres articles'!$C$5:$F$25,4,FALSE))</f>
        <v>2.27</v>
      </c>
      <c r="Q100" s="114">
        <f t="shared" si="16"/>
        <v>2.27</v>
      </c>
      <c r="R100" s="2">
        <f t="shared" si="23"/>
        <v>13.62</v>
      </c>
      <c r="S100" s="2">
        <f t="shared" si="17"/>
        <v>24.515999999999998</v>
      </c>
      <c r="T100" s="2">
        <f t="shared" si="18"/>
        <v>58.565999999999995</v>
      </c>
      <c r="U100" s="2">
        <f t="shared" si="24"/>
        <v>72.185999999999993</v>
      </c>
      <c r="V100" s="2">
        <f t="shared" si="19"/>
        <v>24.515999999999998</v>
      </c>
      <c r="W100" s="2">
        <f t="shared" si="20"/>
        <v>34.049999999999997</v>
      </c>
      <c r="X100" s="2">
        <f t="shared" si="21"/>
        <v>13.62</v>
      </c>
      <c r="Y100" s="114">
        <f t="shared" si="22"/>
        <v>31.325999999999997</v>
      </c>
      <c r="AA100" s="11">
        <f t="shared" ca="1" si="27"/>
        <v>100</v>
      </c>
      <c r="AB100" s="11">
        <f ca="1">+AA100+'parametres articles'!$C$9-1</f>
        <v>114</v>
      </c>
      <c r="AC100" s="11">
        <f ca="1">+AA100+'parametres articles'!$C$24-1</f>
        <v>119</v>
      </c>
      <c r="AD100" s="11">
        <f ca="1">+IF(AE100&lt;='parametres articles'!$H$8,0,AA100-'parametres articles'!$H$8+1)</f>
        <v>96</v>
      </c>
      <c r="AE100" s="11">
        <v>96</v>
      </c>
      <c r="AF100" s="2" t="str">
        <f t="shared" ca="1" si="25"/>
        <v>F115</v>
      </c>
      <c r="AG100" s="172"/>
      <c r="AI100" s="2"/>
      <c r="AJ100" s="2"/>
      <c r="AK100" s="2"/>
      <c r="AL100" s="2"/>
    </row>
    <row r="101" spans="1:38" x14ac:dyDescent="0.25">
      <c r="A101" s="166">
        <v>42145</v>
      </c>
      <c r="B101" s="163">
        <v>1</v>
      </c>
      <c r="C101" s="160" t="s">
        <v>21</v>
      </c>
      <c r="D101" s="161">
        <f ca="1">+IF(AD101=0,P101,(SUM(INDIRECT(CONCATENATE("B",AD101,":B",AA101)))/'parametres articles'!$H$8))</f>
        <v>0.2</v>
      </c>
      <c r="E101" s="10">
        <f t="shared" si="26"/>
        <v>108</v>
      </c>
      <c r="F101" s="10"/>
      <c r="G101" s="10">
        <f t="shared" si="15"/>
        <v>107</v>
      </c>
      <c r="H101" s="140"/>
      <c r="I101" s="141">
        <f t="shared" si="28"/>
        <v>93.523809523809518</v>
      </c>
      <c r="K101" s="2">
        <f>+HLOOKUP($C101,'parametres articles'!$C$5:$G$25,5,FALSE)</f>
        <v>15</v>
      </c>
      <c r="L101" s="2">
        <f>+HLOOKUP($C101,'parametres articles'!$C$5:$G$25,21,FALSE)</f>
        <v>13</v>
      </c>
      <c r="M101" s="124">
        <f>+HLOOKUP($C101,'parametres articles'!$C$5:$G$25,7,FALSE)</f>
        <v>0.8</v>
      </c>
      <c r="N101" s="124">
        <f>+HLOOKUP($C101,'parametres articles'!$C$5:$G$25,6,FALSE)</f>
        <v>0.4</v>
      </c>
      <c r="O101" s="2">
        <f>+HLOOKUP($C101,'parametres articles'!$C$5:$G$25,8,FALSE)</f>
        <v>0</v>
      </c>
      <c r="P101" s="114">
        <f>IF(C101="E",'parametres articles'!$C$8,HLOOKUP($C101,'parametres articles'!$C$5:$F$25,4,FALSE))</f>
        <v>2.27</v>
      </c>
      <c r="Q101" s="114">
        <f t="shared" si="16"/>
        <v>2.27</v>
      </c>
      <c r="R101" s="2">
        <f t="shared" si="23"/>
        <v>13.62</v>
      </c>
      <c r="S101" s="2">
        <f t="shared" si="17"/>
        <v>24.515999999999998</v>
      </c>
      <c r="T101" s="2">
        <f t="shared" si="18"/>
        <v>58.565999999999995</v>
      </c>
      <c r="U101" s="2">
        <f t="shared" si="24"/>
        <v>72.185999999999993</v>
      </c>
      <c r="V101" s="2">
        <f t="shared" si="19"/>
        <v>24.515999999999998</v>
      </c>
      <c r="W101" s="2">
        <f t="shared" si="20"/>
        <v>34.049999999999997</v>
      </c>
      <c r="X101" s="2">
        <f t="shared" si="21"/>
        <v>13.62</v>
      </c>
      <c r="Y101" s="114">
        <f t="shared" si="22"/>
        <v>31.325999999999997</v>
      </c>
      <c r="AA101" s="11">
        <f t="shared" ca="1" si="27"/>
        <v>101</v>
      </c>
      <c r="AB101" s="11">
        <f ca="1">+AA101+'parametres articles'!$C$9-1</f>
        <v>115</v>
      </c>
      <c r="AC101" s="11">
        <f ca="1">+AA101+'parametres articles'!$C$24-1</f>
        <v>120</v>
      </c>
      <c r="AD101" s="11">
        <f ca="1">+IF(AE101&lt;='parametres articles'!$H$8,0,AA101-'parametres articles'!$H$8+1)</f>
        <v>97</v>
      </c>
      <c r="AE101" s="11">
        <v>97</v>
      </c>
      <c r="AF101" s="2" t="str">
        <f t="shared" ca="1" si="25"/>
        <v>F116</v>
      </c>
      <c r="AG101" s="172"/>
      <c r="AI101" s="2"/>
      <c r="AJ101" s="2"/>
      <c r="AK101" s="2"/>
      <c r="AL101" s="2"/>
    </row>
    <row r="102" spans="1:38" x14ac:dyDescent="0.25">
      <c r="A102" s="166">
        <v>42146</v>
      </c>
      <c r="C102" s="160" t="s">
        <v>21</v>
      </c>
      <c r="D102" s="161">
        <f ca="1">+IF(AD102=0,P102,(SUM(INDIRECT(CONCATENATE("B",AD102,":B",AA102)))/'parametres articles'!$H$8))</f>
        <v>0.2</v>
      </c>
      <c r="E102" s="10">
        <f t="shared" si="26"/>
        <v>107</v>
      </c>
      <c r="F102" s="10"/>
      <c r="G102" s="10">
        <f t="shared" si="15"/>
        <v>107</v>
      </c>
      <c r="H102" s="140"/>
      <c r="I102" s="141">
        <f t="shared" si="28"/>
        <v>94.142857142857139</v>
      </c>
      <c r="K102" s="2">
        <f>+HLOOKUP($C102,'parametres articles'!$C$5:$G$25,5,FALSE)</f>
        <v>15</v>
      </c>
      <c r="L102" s="2">
        <f>+HLOOKUP($C102,'parametres articles'!$C$5:$G$25,21,FALSE)</f>
        <v>13</v>
      </c>
      <c r="M102" s="124">
        <f>+HLOOKUP($C102,'parametres articles'!$C$5:$G$25,7,FALSE)</f>
        <v>0.8</v>
      </c>
      <c r="N102" s="124">
        <f>+HLOOKUP($C102,'parametres articles'!$C$5:$G$25,6,FALSE)</f>
        <v>0.4</v>
      </c>
      <c r="O102" s="2">
        <f>+HLOOKUP($C102,'parametres articles'!$C$5:$G$25,8,FALSE)</f>
        <v>0</v>
      </c>
      <c r="P102" s="114">
        <f>IF(C102="E",'parametres articles'!$C$8,HLOOKUP($C102,'parametres articles'!$C$5:$F$25,4,FALSE))</f>
        <v>2.27</v>
      </c>
      <c r="Q102" s="114">
        <f t="shared" si="16"/>
        <v>2.27</v>
      </c>
      <c r="R102" s="2">
        <f t="shared" si="23"/>
        <v>13.62</v>
      </c>
      <c r="S102" s="2">
        <f t="shared" si="17"/>
        <v>24.515999999999998</v>
      </c>
      <c r="T102" s="2">
        <f t="shared" si="18"/>
        <v>58.565999999999995</v>
      </c>
      <c r="U102" s="2">
        <f t="shared" si="24"/>
        <v>72.185999999999993</v>
      </c>
      <c r="V102" s="2">
        <f t="shared" si="19"/>
        <v>24.515999999999998</v>
      </c>
      <c r="W102" s="2">
        <f t="shared" si="20"/>
        <v>34.049999999999997</v>
      </c>
      <c r="X102" s="2">
        <f t="shared" si="21"/>
        <v>13.62</v>
      </c>
      <c r="Y102" s="114">
        <f t="shared" si="22"/>
        <v>31.325999999999997</v>
      </c>
      <c r="AA102" s="11">
        <f t="shared" ca="1" si="27"/>
        <v>102</v>
      </c>
      <c r="AB102" s="11">
        <f ca="1">+AA102+'parametres articles'!$C$9-1</f>
        <v>116</v>
      </c>
      <c r="AC102" s="11">
        <f ca="1">+AA102+'parametres articles'!$C$24-1</f>
        <v>121</v>
      </c>
      <c r="AD102" s="11">
        <f ca="1">+IF(AE102&lt;='parametres articles'!$H$8,0,AA102-'parametres articles'!$H$8+1)</f>
        <v>98</v>
      </c>
      <c r="AE102" s="11">
        <v>98</v>
      </c>
      <c r="AF102" s="2" t="str">
        <f t="shared" ca="1" si="25"/>
        <v>F117</v>
      </c>
      <c r="AG102" s="172"/>
      <c r="AI102" s="2"/>
      <c r="AJ102" s="2"/>
      <c r="AK102" s="2"/>
      <c r="AL102" s="2"/>
    </row>
    <row r="103" spans="1:38" x14ac:dyDescent="0.25">
      <c r="A103" s="166">
        <v>42149</v>
      </c>
      <c r="C103" s="160" t="s">
        <v>21</v>
      </c>
      <c r="D103" s="161">
        <f ca="1">+IF(AD103=0,P103,(SUM(INDIRECT(CONCATENATE("B",AD103,":B",AA103)))/'parametres articles'!$H$8))</f>
        <v>0.2</v>
      </c>
      <c r="E103" s="10">
        <f t="shared" si="26"/>
        <v>107</v>
      </c>
      <c r="F103" s="10"/>
      <c r="G103" s="10">
        <f t="shared" si="15"/>
        <v>107</v>
      </c>
      <c r="H103" s="140"/>
      <c r="I103" s="141">
        <f t="shared" si="28"/>
        <v>94.761904761904759</v>
      </c>
      <c r="K103" s="2">
        <f>+HLOOKUP($C103,'parametres articles'!$C$5:$G$25,5,FALSE)</f>
        <v>15</v>
      </c>
      <c r="L103" s="2">
        <f>+HLOOKUP($C103,'parametres articles'!$C$5:$G$25,21,FALSE)</f>
        <v>13</v>
      </c>
      <c r="M103" s="124">
        <f>+HLOOKUP($C103,'parametres articles'!$C$5:$G$25,7,FALSE)</f>
        <v>0.8</v>
      </c>
      <c r="N103" s="124">
        <f>+HLOOKUP($C103,'parametres articles'!$C$5:$G$25,6,FALSE)</f>
        <v>0.4</v>
      </c>
      <c r="O103" s="2">
        <f>+HLOOKUP($C103,'parametres articles'!$C$5:$G$25,8,FALSE)</f>
        <v>0</v>
      </c>
      <c r="P103" s="114">
        <f>IF(C103="E",'parametres articles'!$C$8,HLOOKUP($C103,'parametres articles'!$C$5:$F$25,4,FALSE))</f>
        <v>2.27</v>
      </c>
      <c r="Q103" s="114">
        <f t="shared" si="16"/>
        <v>2.27</v>
      </c>
      <c r="R103" s="2">
        <f t="shared" si="23"/>
        <v>13.62</v>
      </c>
      <c r="S103" s="2">
        <f t="shared" si="17"/>
        <v>24.515999999999998</v>
      </c>
      <c r="T103" s="2">
        <f t="shared" si="18"/>
        <v>58.565999999999995</v>
      </c>
      <c r="U103" s="2">
        <f t="shared" si="24"/>
        <v>72.185999999999993</v>
      </c>
      <c r="V103" s="2">
        <f t="shared" si="19"/>
        <v>24.515999999999998</v>
      </c>
      <c r="W103" s="2">
        <f t="shared" si="20"/>
        <v>34.049999999999997</v>
      </c>
      <c r="X103" s="2">
        <f t="shared" si="21"/>
        <v>13.62</v>
      </c>
      <c r="Y103" s="114">
        <f t="shared" si="22"/>
        <v>31.325999999999997</v>
      </c>
      <c r="AA103" s="11">
        <f t="shared" ca="1" si="27"/>
        <v>103</v>
      </c>
      <c r="AB103" s="11">
        <f ca="1">+AA103+'parametres articles'!$C$9-1</f>
        <v>117</v>
      </c>
      <c r="AC103" s="11">
        <f ca="1">+AA103+'parametres articles'!$C$24-1</f>
        <v>122</v>
      </c>
      <c r="AD103" s="11">
        <f ca="1">+IF(AE103&lt;='parametres articles'!$H$8,0,AA103-'parametres articles'!$H$8+1)</f>
        <v>99</v>
      </c>
      <c r="AE103" s="11">
        <v>99</v>
      </c>
      <c r="AF103" s="2" t="str">
        <f t="shared" ca="1" si="25"/>
        <v>F118</v>
      </c>
      <c r="AG103" s="172"/>
      <c r="AH103" s="2"/>
      <c r="AI103" s="2"/>
      <c r="AJ103" s="2"/>
      <c r="AK103" s="2"/>
      <c r="AL103" s="2"/>
    </row>
    <row r="104" spans="1:38" x14ac:dyDescent="0.25">
      <c r="A104" s="166">
        <v>42150</v>
      </c>
      <c r="B104" s="163">
        <v>6</v>
      </c>
      <c r="C104" s="160" t="s">
        <v>21</v>
      </c>
      <c r="D104" s="161">
        <f ca="1">+IF(AD104=0,P104,(SUM(INDIRECT(CONCATENATE("B",AD104,":B",AA104)))/'parametres articles'!$H$8))</f>
        <v>1.4</v>
      </c>
      <c r="E104" s="10">
        <f t="shared" si="26"/>
        <v>107</v>
      </c>
      <c r="F104" s="10">
        <f>+VLOOKUP(A104,Feuil1!$K$3:$L$37,2,FALSE)</f>
        <v>1</v>
      </c>
      <c r="G104" s="10">
        <f t="shared" si="15"/>
        <v>102</v>
      </c>
      <c r="H104" s="140"/>
      <c r="I104" s="141">
        <f t="shared" si="28"/>
        <v>95.38095238095238</v>
      </c>
      <c r="K104" s="2">
        <f>+HLOOKUP($C104,'parametres articles'!$C$5:$G$25,5,FALSE)</f>
        <v>15</v>
      </c>
      <c r="L104" s="2">
        <f>+HLOOKUP($C104,'parametres articles'!$C$5:$G$25,21,FALSE)</f>
        <v>13</v>
      </c>
      <c r="M104" s="124">
        <f>+HLOOKUP($C104,'parametres articles'!$C$5:$G$25,7,FALSE)</f>
        <v>0.8</v>
      </c>
      <c r="N104" s="124">
        <f>+HLOOKUP($C104,'parametres articles'!$C$5:$G$25,6,FALSE)</f>
        <v>0.4</v>
      </c>
      <c r="O104" s="2">
        <f>+HLOOKUP($C104,'parametres articles'!$C$5:$G$25,8,FALSE)</f>
        <v>0</v>
      </c>
      <c r="P104" s="114">
        <f>IF(C104="E",'parametres articles'!$C$8,HLOOKUP($C104,'parametres articles'!$C$5:$F$25,4,FALSE))</f>
        <v>2.27</v>
      </c>
      <c r="Q104" s="114">
        <f t="shared" si="16"/>
        <v>2.27</v>
      </c>
      <c r="R104" s="2">
        <f t="shared" si="23"/>
        <v>13.62</v>
      </c>
      <c r="S104" s="2">
        <f t="shared" si="17"/>
        <v>24.515999999999998</v>
      </c>
      <c r="T104" s="2">
        <f t="shared" si="18"/>
        <v>58.565999999999995</v>
      </c>
      <c r="U104" s="2">
        <f t="shared" si="24"/>
        <v>72.185999999999993</v>
      </c>
      <c r="V104" s="2">
        <f t="shared" si="19"/>
        <v>24.515999999999998</v>
      </c>
      <c r="W104" s="2">
        <f t="shared" si="20"/>
        <v>34.049999999999997</v>
      </c>
      <c r="X104" s="2">
        <f t="shared" si="21"/>
        <v>13.62</v>
      </c>
      <c r="Y104" s="114">
        <f t="shared" si="22"/>
        <v>31.325999999999997</v>
      </c>
      <c r="AA104" s="11">
        <f t="shared" ca="1" si="27"/>
        <v>104</v>
      </c>
      <c r="AB104" s="11">
        <f ca="1">+AA104+'parametres articles'!$C$9-1</f>
        <v>118</v>
      </c>
      <c r="AC104" s="11">
        <f ca="1">+AA104+'parametres articles'!$C$24-1</f>
        <v>123</v>
      </c>
      <c r="AD104" s="11">
        <f ca="1">+IF(AE104&lt;='parametres articles'!$H$8,0,AA104-'parametres articles'!$H$8+1)</f>
        <v>100</v>
      </c>
      <c r="AE104" s="11">
        <v>100</v>
      </c>
      <c r="AF104" s="2" t="str">
        <f t="shared" ca="1" si="25"/>
        <v>F119</v>
      </c>
      <c r="AG104" s="172"/>
      <c r="AH104" s="2"/>
      <c r="AI104" s="2"/>
      <c r="AJ104" s="2"/>
      <c r="AK104" s="2"/>
      <c r="AL104" s="2"/>
    </row>
    <row r="105" spans="1:38" x14ac:dyDescent="0.25">
      <c r="A105" s="166">
        <v>42151</v>
      </c>
      <c r="C105" s="160" t="s">
        <v>21</v>
      </c>
      <c r="D105" s="161">
        <f ca="1">+IF(AD105=0,P105,(SUM(INDIRECT(CONCATENATE("B",AD105,":B",AA105)))/'parametres articles'!$H$8))</f>
        <v>1.4</v>
      </c>
      <c r="E105" s="10">
        <f t="shared" si="26"/>
        <v>102</v>
      </c>
      <c r="F105" s="10"/>
      <c r="G105" s="10">
        <f t="shared" si="15"/>
        <v>102</v>
      </c>
      <c r="H105" s="140"/>
      <c r="I105" s="141">
        <f t="shared" si="28"/>
        <v>95.80952380952381</v>
      </c>
      <c r="K105" s="2">
        <f>+HLOOKUP($C105,'parametres articles'!$C$5:$G$25,5,FALSE)</f>
        <v>15</v>
      </c>
      <c r="L105" s="2">
        <f>+HLOOKUP($C105,'parametres articles'!$C$5:$G$25,21,FALSE)</f>
        <v>13</v>
      </c>
      <c r="M105" s="124">
        <f>+HLOOKUP($C105,'parametres articles'!$C$5:$G$25,7,FALSE)</f>
        <v>0.8</v>
      </c>
      <c r="N105" s="124">
        <f>+HLOOKUP($C105,'parametres articles'!$C$5:$G$25,6,FALSE)</f>
        <v>0.4</v>
      </c>
      <c r="O105" s="2">
        <f>+HLOOKUP($C105,'parametres articles'!$C$5:$G$25,8,FALSE)</f>
        <v>0</v>
      </c>
      <c r="P105" s="114">
        <f>IF(C105="E",'parametres articles'!$C$8,HLOOKUP($C105,'parametres articles'!$C$5:$F$25,4,FALSE))</f>
        <v>2.27</v>
      </c>
      <c r="Q105" s="114">
        <f t="shared" si="16"/>
        <v>2.27</v>
      </c>
      <c r="R105" s="2">
        <f t="shared" si="23"/>
        <v>13.62</v>
      </c>
      <c r="S105" s="2">
        <f t="shared" si="17"/>
        <v>24.515999999999998</v>
      </c>
      <c r="T105" s="2">
        <f t="shared" si="18"/>
        <v>58.565999999999995</v>
      </c>
      <c r="U105" s="2">
        <f t="shared" si="24"/>
        <v>72.185999999999993</v>
      </c>
      <c r="V105" s="2">
        <f t="shared" si="19"/>
        <v>24.515999999999998</v>
      </c>
      <c r="W105" s="2">
        <f t="shared" si="20"/>
        <v>34.049999999999997</v>
      </c>
      <c r="X105" s="2">
        <f t="shared" si="21"/>
        <v>13.62</v>
      </c>
      <c r="Y105" s="114">
        <f t="shared" si="22"/>
        <v>31.325999999999997</v>
      </c>
      <c r="AA105" s="11">
        <f t="shared" ca="1" si="27"/>
        <v>105</v>
      </c>
      <c r="AB105" s="11">
        <f ca="1">+AA105+'parametres articles'!$C$9-1</f>
        <v>119</v>
      </c>
      <c r="AC105" s="11">
        <f ca="1">+AA105+'parametres articles'!$C$24-1</f>
        <v>124</v>
      </c>
      <c r="AD105" s="11">
        <f ca="1">+IF(AE105&lt;='parametres articles'!$H$8,0,AA105-'parametres articles'!$H$8+1)</f>
        <v>101</v>
      </c>
      <c r="AE105" s="11">
        <v>101</v>
      </c>
      <c r="AF105" s="2" t="str">
        <f t="shared" ca="1" si="25"/>
        <v>F120</v>
      </c>
      <c r="AG105" s="172"/>
      <c r="AH105" s="2"/>
      <c r="AI105" s="2"/>
      <c r="AJ105" s="2"/>
      <c r="AK105" s="2"/>
      <c r="AL105" s="2"/>
    </row>
    <row r="106" spans="1:38" x14ac:dyDescent="0.25">
      <c r="A106" s="166">
        <v>42152</v>
      </c>
      <c r="C106" s="160" t="s">
        <v>21</v>
      </c>
      <c r="D106" s="161">
        <f ca="1">+IF(AD106=0,P106,(SUM(INDIRECT(CONCATENATE("B",AD106,":B",AA106)))/'parametres articles'!$H$8))</f>
        <v>1.2</v>
      </c>
      <c r="E106" s="10">
        <f t="shared" si="26"/>
        <v>102</v>
      </c>
      <c r="F106" s="10"/>
      <c r="G106" s="10">
        <f t="shared" si="15"/>
        <v>102</v>
      </c>
      <c r="H106" s="140"/>
      <c r="I106" s="141">
        <f t="shared" si="28"/>
        <v>97.142857142857139</v>
      </c>
      <c r="K106" s="2">
        <f>+HLOOKUP($C106,'parametres articles'!$C$5:$G$25,5,FALSE)</f>
        <v>15</v>
      </c>
      <c r="L106" s="2">
        <f>+HLOOKUP($C106,'parametres articles'!$C$5:$G$25,21,FALSE)</f>
        <v>13</v>
      </c>
      <c r="M106" s="124">
        <f>+HLOOKUP($C106,'parametres articles'!$C$5:$G$25,7,FALSE)</f>
        <v>0.8</v>
      </c>
      <c r="N106" s="124">
        <f>+HLOOKUP($C106,'parametres articles'!$C$5:$G$25,6,FALSE)</f>
        <v>0.4</v>
      </c>
      <c r="O106" s="2">
        <f>+HLOOKUP($C106,'parametres articles'!$C$5:$G$25,8,FALSE)</f>
        <v>0</v>
      </c>
      <c r="P106" s="114">
        <f>IF(C106="E",'parametres articles'!$C$8,HLOOKUP($C106,'parametres articles'!$C$5:$F$25,4,FALSE))</f>
        <v>2.27</v>
      </c>
      <c r="Q106" s="114">
        <f t="shared" si="16"/>
        <v>2.27</v>
      </c>
      <c r="R106" s="2">
        <f t="shared" si="23"/>
        <v>13.62</v>
      </c>
      <c r="S106" s="2">
        <f t="shared" si="17"/>
        <v>24.515999999999998</v>
      </c>
      <c r="T106" s="2">
        <f t="shared" si="18"/>
        <v>58.565999999999995</v>
      </c>
      <c r="U106" s="2">
        <f t="shared" si="24"/>
        <v>72.185999999999993</v>
      </c>
      <c r="V106" s="2">
        <f t="shared" si="19"/>
        <v>24.515999999999998</v>
      </c>
      <c r="W106" s="2">
        <f t="shared" si="20"/>
        <v>34.049999999999997</v>
      </c>
      <c r="X106" s="2">
        <f t="shared" si="21"/>
        <v>13.62</v>
      </c>
      <c r="Y106" s="114">
        <f t="shared" si="22"/>
        <v>31.325999999999997</v>
      </c>
      <c r="AA106" s="11">
        <f t="shared" ca="1" si="27"/>
        <v>106</v>
      </c>
      <c r="AB106" s="11">
        <f ca="1">+AA106+'parametres articles'!$C$9-1</f>
        <v>120</v>
      </c>
      <c r="AC106" s="11">
        <f ca="1">+AA106+'parametres articles'!$C$24-1</f>
        <v>125</v>
      </c>
      <c r="AD106" s="11">
        <f ca="1">+IF(AE106&lt;='parametres articles'!$H$8,0,AA106-'parametres articles'!$H$8+1)</f>
        <v>102</v>
      </c>
      <c r="AE106" s="11">
        <v>102</v>
      </c>
      <c r="AF106" s="2" t="str">
        <f t="shared" ca="1" si="25"/>
        <v>F121</v>
      </c>
      <c r="AG106" s="172"/>
      <c r="AH106" s="2"/>
      <c r="AI106" s="2"/>
      <c r="AJ106" s="2"/>
      <c r="AK106" s="2"/>
      <c r="AL106" s="2"/>
    </row>
    <row r="107" spans="1:38" x14ac:dyDescent="0.25">
      <c r="A107" s="166">
        <v>42153</v>
      </c>
      <c r="C107" s="160" t="s">
        <v>21</v>
      </c>
      <c r="D107" s="161">
        <f ca="1">+IF(AD107=0,P107,(SUM(INDIRECT(CONCATENATE("B",AD107,":B",AA107)))/'parametres articles'!$H$8))</f>
        <v>1.2</v>
      </c>
      <c r="E107" s="10">
        <f t="shared" si="26"/>
        <v>100</v>
      </c>
      <c r="F107" s="10">
        <f>+VLOOKUP(A107,Feuil1!$K$3:$L$37,2,FALSE)</f>
        <v>14</v>
      </c>
      <c r="G107" s="10">
        <f t="shared" si="15"/>
        <v>114</v>
      </c>
      <c r="H107" s="140"/>
      <c r="I107" s="141">
        <f t="shared" si="28"/>
        <v>96</v>
      </c>
      <c r="K107" s="2">
        <f>+HLOOKUP($C107,'parametres articles'!$C$5:$G$25,5,FALSE)</f>
        <v>15</v>
      </c>
      <c r="L107" s="2">
        <f>+HLOOKUP($C107,'parametres articles'!$C$5:$G$25,21,FALSE)</f>
        <v>13</v>
      </c>
      <c r="M107" s="124">
        <f>+HLOOKUP($C107,'parametres articles'!$C$5:$G$25,7,FALSE)</f>
        <v>0.8</v>
      </c>
      <c r="N107" s="124">
        <f>+HLOOKUP($C107,'parametres articles'!$C$5:$G$25,6,FALSE)</f>
        <v>0.4</v>
      </c>
      <c r="O107" s="2">
        <f>+HLOOKUP($C107,'parametres articles'!$C$5:$G$25,8,FALSE)</f>
        <v>0</v>
      </c>
      <c r="P107" s="114">
        <f>IF(C107="E",'parametres articles'!$C$8,HLOOKUP($C107,'parametres articles'!$C$5:$F$25,4,FALSE))</f>
        <v>2.27</v>
      </c>
      <c r="Q107" s="114">
        <f t="shared" si="16"/>
        <v>2.27</v>
      </c>
      <c r="R107" s="2">
        <f t="shared" si="23"/>
        <v>13.62</v>
      </c>
      <c r="S107" s="2">
        <f t="shared" si="17"/>
        <v>24.515999999999998</v>
      </c>
      <c r="T107" s="2">
        <f t="shared" si="18"/>
        <v>58.565999999999995</v>
      </c>
      <c r="U107" s="2">
        <f t="shared" si="24"/>
        <v>72.185999999999993</v>
      </c>
      <c r="V107" s="2">
        <f t="shared" si="19"/>
        <v>24.515999999999998</v>
      </c>
      <c r="W107" s="2">
        <f t="shared" si="20"/>
        <v>34.049999999999997</v>
      </c>
      <c r="X107" s="2">
        <f t="shared" si="21"/>
        <v>13.62</v>
      </c>
      <c r="Y107" s="114">
        <f t="shared" si="22"/>
        <v>31.325999999999997</v>
      </c>
      <c r="AA107" s="11">
        <f t="shared" ca="1" si="27"/>
        <v>107</v>
      </c>
      <c r="AB107" s="11">
        <f ca="1">+AA107+'parametres articles'!$C$9-1</f>
        <v>121</v>
      </c>
      <c r="AC107" s="11">
        <f ca="1">+AA107+'parametres articles'!$C$24-1</f>
        <v>126</v>
      </c>
      <c r="AD107" s="11">
        <f ca="1">+IF(AE107&lt;='parametres articles'!$H$8,0,AA107-'parametres articles'!$H$8+1)</f>
        <v>103</v>
      </c>
      <c r="AE107" s="11">
        <v>103</v>
      </c>
      <c r="AF107" s="2" t="str">
        <f t="shared" ca="1" si="25"/>
        <v>F122</v>
      </c>
      <c r="AG107" s="172">
        <v>-2</v>
      </c>
      <c r="AH107" s="168"/>
      <c r="AI107" s="2"/>
      <c r="AJ107" s="2"/>
      <c r="AK107" s="2"/>
      <c r="AL107" s="2"/>
    </row>
    <row r="108" spans="1:38" x14ac:dyDescent="0.25">
      <c r="A108" s="166">
        <v>42156</v>
      </c>
      <c r="C108" s="160" t="s">
        <v>21</v>
      </c>
      <c r="D108" s="161">
        <f ca="1">+IF(AD108=0,P108,(SUM(INDIRECT(CONCATENATE("B",AD108,":B",AA108)))/'parametres articles'!$H$8))</f>
        <v>1.2</v>
      </c>
      <c r="E108" s="10">
        <f t="shared" si="26"/>
        <v>114</v>
      </c>
      <c r="F108" s="10"/>
      <c r="G108" s="10">
        <f t="shared" si="15"/>
        <v>114</v>
      </c>
      <c r="H108" s="140"/>
      <c r="I108" s="141">
        <f t="shared" si="28"/>
        <v>95.904761904761898</v>
      </c>
      <c r="K108" s="2">
        <f>+HLOOKUP($C108,'parametres articles'!$C$5:$G$25,5,FALSE)</f>
        <v>15</v>
      </c>
      <c r="L108" s="2">
        <f>+HLOOKUP($C108,'parametres articles'!$C$5:$G$25,21,FALSE)</f>
        <v>13</v>
      </c>
      <c r="M108" s="124">
        <f>+HLOOKUP($C108,'parametres articles'!$C$5:$G$25,7,FALSE)</f>
        <v>0.8</v>
      </c>
      <c r="N108" s="124">
        <f>+HLOOKUP($C108,'parametres articles'!$C$5:$G$25,6,FALSE)</f>
        <v>0.4</v>
      </c>
      <c r="O108" s="2">
        <f>+HLOOKUP($C108,'parametres articles'!$C$5:$G$25,8,FALSE)</f>
        <v>0</v>
      </c>
      <c r="P108" s="114">
        <f>IF(C108="E",'parametres articles'!$C$8,HLOOKUP($C108,'parametres articles'!$C$5:$F$25,4,FALSE))</f>
        <v>2.27</v>
      </c>
      <c r="Q108" s="114">
        <f t="shared" si="16"/>
        <v>2.27</v>
      </c>
      <c r="R108" s="2">
        <f t="shared" si="23"/>
        <v>13.62</v>
      </c>
      <c r="S108" s="2">
        <f t="shared" si="17"/>
        <v>24.515999999999998</v>
      </c>
      <c r="T108" s="2">
        <f t="shared" si="18"/>
        <v>58.565999999999995</v>
      </c>
      <c r="U108" s="2">
        <f t="shared" si="24"/>
        <v>72.185999999999993</v>
      </c>
      <c r="V108" s="2">
        <f t="shared" si="19"/>
        <v>24.515999999999998</v>
      </c>
      <c r="W108" s="2">
        <f t="shared" si="20"/>
        <v>34.049999999999997</v>
      </c>
      <c r="X108" s="2">
        <f t="shared" si="21"/>
        <v>13.62</v>
      </c>
      <c r="Y108" s="114">
        <f t="shared" si="22"/>
        <v>31.325999999999997</v>
      </c>
      <c r="AA108" s="11">
        <f t="shared" ca="1" si="27"/>
        <v>108</v>
      </c>
      <c r="AB108" s="11">
        <f ca="1">+AA108+'parametres articles'!$C$9-1</f>
        <v>122</v>
      </c>
      <c r="AC108" s="11">
        <f ca="1">+AA108+'parametres articles'!$C$24-1</f>
        <v>127</v>
      </c>
      <c r="AD108" s="11">
        <f ca="1">+IF(AE108&lt;='parametres articles'!$H$8,0,AA108-'parametres articles'!$H$8+1)</f>
        <v>104</v>
      </c>
      <c r="AE108" s="11">
        <v>104</v>
      </c>
      <c r="AF108" s="2" t="str">
        <f t="shared" ca="1" si="25"/>
        <v>F123</v>
      </c>
      <c r="AG108" s="172"/>
      <c r="AH108" s="168"/>
      <c r="AI108" s="2"/>
      <c r="AJ108" s="2"/>
      <c r="AK108" s="2"/>
      <c r="AL108" s="2"/>
    </row>
    <row r="109" spans="1:38" x14ac:dyDescent="0.25">
      <c r="A109" s="166">
        <v>42157</v>
      </c>
      <c r="C109" s="160" t="s">
        <v>21</v>
      </c>
      <c r="D109" s="161">
        <f ca="1">+IF(AD109=0,P109,(SUM(INDIRECT(CONCATENATE("B",AD109,":B",AA109)))/'parametres articles'!$H$8))</f>
        <v>0</v>
      </c>
      <c r="E109" s="10">
        <f t="shared" si="26"/>
        <v>114</v>
      </c>
      <c r="F109" s="10"/>
      <c r="G109" s="10">
        <f t="shared" si="15"/>
        <v>114</v>
      </c>
      <c r="H109" s="140"/>
      <c r="I109" s="141">
        <f t="shared" si="28"/>
        <v>95.952380952380949</v>
      </c>
      <c r="K109" s="2">
        <f>+HLOOKUP($C109,'parametres articles'!$C$5:$G$25,5,FALSE)</f>
        <v>15</v>
      </c>
      <c r="L109" s="2">
        <f>+HLOOKUP($C109,'parametres articles'!$C$5:$G$25,21,FALSE)</f>
        <v>13</v>
      </c>
      <c r="M109" s="124">
        <f>+HLOOKUP($C109,'parametres articles'!$C$5:$G$25,7,FALSE)</f>
        <v>0.8</v>
      </c>
      <c r="N109" s="124">
        <f>+HLOOKUP($C109,'parametres articles'!$C$5:$G$25,6,FALSE)</f>
        <v>0.4</v>
      </c>
      <c r="O109" s="2">
        <f>+HLOOKUP($C109,'parametres articles'!$C$5:$G$25,8,FALSE)</f>
        <v>0</v>
      </c>
      <c r="P109" s="114">
        <f>IF(C109="E",'parametres articles'!$C$8,HLOOKUP($C109,'parametres articles'!$C$5:$F$25,4,FALSE))</f>
        <v>2.27</v>
      </c>
      <c r="Q109" s="114">
        <f t="shared" si="16"/>
        <v>2.27</v>
      </c>
      <c r="R109" s="2">
        <f t="shared" si="23"/>
        <v>13.62</v>
      </c>
      <c r="S109" s="2">
        <f t="shared" si="17"/>
        <v>24.515999999999998</v>
      </c>
      <c r="T109" s="2">
        <f t="shared" si="18"/>
        <v>58.565999999999995</v>
      </c>
      <c r="U109" s="2">
        <f t="shared" si="24"/>
        <v>72.185999999999993</v>
      </c>
      <c r="V109" s="2">
        <f t="shared" si="19"/>
        <v>24.515999999999998</v>
      </c>
      <c r="W109" s="2">
        <f t="shared" si="20"/>
        <v>34.049999999999997</v>
      </c>
      <c r="X109" s="2">
        <f t="shared" si="21"/>
        <v>13.62</v>
      </c>
      <c r="Y109" s="114">
        <f t="shared" si="22"/>
        <v>31.325999999999997</v>
      </c>
      <c r="AA109" s="11">
        <f t="shared" ca="1" si="27"/>
        <v>109</v>
      </c>
      <c r="AB109" s="11">
        <f ca="1">+AA109+'parametres articles'!$C$9-1</f>
        <v>123</v>
      </c>
      <c r="AC109" s="11">
        <f ca="1">+AA109+'parametres articles'!$C$24-1</f>
        <v>128</v>
      </c>
      <c r="AD109" s="11">
        <f ca="1">+IF(AE109&lt;='parametres articles'!$H$8,0,AA109-'parametres articles'!$H$8+1)</f>
        <v>105</v>
      </c>
      <c r="AE109" s="11">
        <v>105</v>
      </c>
      <c r="AF109" s="2" t="str">
        <f t="shared" ca="1" si="25"/>
        <v>F124</v>
      </c>
      <c r="AG109" s="172"/>
      <c r="AI109" s="2"/>
      <c r="AJ109" s="2"/>
      <c r="AK109" s="2"/>
      <c r="AL109" s="2"/>
    </row>
    <row r="110" spans="1:38" x14ac:dyDescent="0.25">
      <c r="A110" s="166">
        <v>42158</v>
      </c>
      <c r="B110" s="163">
        <v>18</v>
      </c>
      <c r="C110" s="160" t="s">
        <v>21</v>
      </c>
      <c r="D110" s="161">
        <f ca="1">+IF(AD110=0,P110,(SUM(INDIRECT(CONCATENATE("B",AD110,":B",AA110)))/'parametres articles'!$H$8))</f>
        <v>3.6</v>
      </c>
      <c r="E110" s="10">
        <f t="shared" si="26"/>
        <v>114</v>
      </c>
      <c r="F110" s="10"/>
      <c r="G110" s="10">
        <f t="shared" si="15"/>
        <v>96</v>
      </c>
      <c r="H110" s="140"/>
      <c r="I110" s="141">
        <f t="shared" si="28"/>
        <v>96.047619047619051</v>
      </c>
      <c r="K110" s="2">
        <f>+HLOOKUP($C110,'parametres articles'!$C$5:$G$25,5,FALSE)</f>
        <v>15</v>
      </c>
      <c r="L110" s="2">
        <f>+HLOOKUP($C110,'parametres articles'!$C$5:$G$25,21,FALSE)</f>
        <v>13</v>
      </c>
      <c r="M110" s="124">
        <f>+HLOOKUP($C110,'parametres articles'!$C$5:$G$25,7,FALSE)</f>
        <v>0.8</v>
      </c>
      <c r="N110" s="124">
        <f>+HLOOKUP($C110,'parametres articles'!$C$5:$G$25,6,FALSE)</f>
        <v>0.4</v>
      </c>
      <c r="O110" s="2">
        <f>+HLOOKUP($C110,'parametres articles'!$C$5:$G$25,8,FALSE)</f>
        <v>0</v>
      </c>
      <c r="P110" s="114">
        <f>IF(C110="E",'parametres articles'!$C$8,HLOOKUP($C110,'parametres articles'!$C$5:$F$25,4,FALSE))</f>
        <v>2.27</v>
      </c>
      <c r="Q110" s="114">
        <f t="shared" si="16"/>
        <v>2.27</v>
      </c>
      <c r="R110" s="2">
        <f t="shared" si="23"/>
        <v>13.62</v>
      </c>
      <c r="S110" s="2">
        <f t="shared" si="17"/>
        <v>24.515999999999998</v>
      </c>
      <c r="T110" s="2">
        <f t="shared" si="18"/>
        <v>58.565999999999995</v>
      </c>
      <c r="U110" s="2">
        <f t="shared" si="24"/>
        <v>72.185999999999993</v>
      </c>
      <c r="V110" s="2">
        <f t="shared" si="19"/>
        <v>24.515999999999998</v>
      </c>
      <c r="W110" s="2">
        <f t="shared" si="20"/>
        <v>34.049999999999997</v>
      </c>
      <c r="X110" s="2">
        <f t="shared" si="21"/>
        <v>13.62</v>
      </c>
      <c r="Y110" s="114">
        <f t="shared" si="22"/>
        <v>31.325999999999997</v>
      </c>
      <c r="AA110" s="11">
        <f t="shared" ca="1" si="27"/>
        <v>110</v>
      </c>
      <c r="AB110" s="11">
        <f ca="1">+AA110+'parametres articles'!$C$9-1</f>
        <v>124</v>
      </c>
      <c r="AC110" s="11">
        <f ca="1">+AA110+'parametres articles'!$C$24-1</f>
        <v>129</v>
      </c>
      <c r="AD110" s="11">
        <f ca="1">+IF(AE110&lt;='parametres articles'!$H$8,0,AA110-'parametres articles'!$H$8+1)</f>
        <v>106</v>
      </c>
      <c r="AE110" s="11">
        <v>106</v>
      </c>
      <c r="AF110" s="2" t="str">
        <f t="shared" ca="1" si="25"/>
        <v>F125</v>
      </c>
      <c r="AG110" s="172"/>
      <c r="AI110" s="2"/>
      <c r="AJ110" s="2"/>
      <c r="AK110" s="2"/>
      <c r="AL110" s="2"/>
    </row>
    <row r="111" spans="1:38" x14ac:dyDescent="0.25">
      <c r="A111" s="166">
        <v>42159</v>
      </c>
      <c r="B111" s="163">
        <v>1</v>
      </c>
      <c r="C111" s="160" t="s">
        <v>21</v>
      </c>
      <c r="D111" s="161">
        <f ca="1">+IF(AD111=0,P111,(SUM(INDIRECT(CONCATENATE("B",AD111,":B",AA111)))/'parametres articles'!$H$8))</f>
        <v>3.8</v>
      </c>
      <c r="E111" s="10">
        <f t="shared" si="26"/>
        <v>96</v>
      </c>
      <c r="F111" s="10"/>
      <c r="G111" s="10">
        <f t="shared" si="15"/>
        <v>95</v>
      </c>
      <c r="H111" s="140"/>
      <c r="I111" s="141">
        <f t="shared" si="28"/>
        <v>96.523809523809518</v>
      </c>
      <c r="K111" s="2">
        <f>+HLOOKUP($C111,'parametres articles'!$C$5:$G$25,5,FALSE)</f>
        <v>15</v>
      </c>
      <c r="L111" s="2">
        <f>+HLOOKUP($C111,'parametres articles'!$C$5:$G$25,21,FALSE)</f>
        <v>13</v>
      </c>
      <c r="M111" s="124">
        <f>+HLOOKUP($C111,'parametres articles'!$C$5:$G$25,7,FALSE)</f>
        <v>0.8</v>
      </c>
      <c r="N111" s="124">
        <f>+HLOOKUP($C111,'parametres articles'!$C$5:$G$25,6,FALSE)</f>
        <v>0.4</v>
      </c>
      <c r="O111" s="2">
        <f>+HLOOKUP($C111,'parametres articles'!$C$5:$G$25,8,FALSE)</f>
        <v>0</v>
      </c>
      <c r="P111" s="114">
        <f>IF(C111="E",'parametres articles'!$C$8,HLOOKUP($C111,'parametres articles'!$C$5:$F$25,4,FALSE))</f>
        <v>2.27</v>
      </c>
      <c r="Q111" s="114">
        <f t="shared" si="16"/>
        <v>2.27</v>
      </c>
      <c r="R111" s="2">
        <f t="shared" si="23"/>
        <v>13.62</v>
      </c>
      <c r="S111" s="2">
        <f t="shared" si="17"/>
        <v>24.515999999999998</v>
      </c>
      <c r="T111" s="2">
        <f t="shared" si="18"/>
        <v>58.565999999999995</v>
      </c>
      <c r="U111" s="2">
        <f t="shared" si="24"/>
        <v>72.185999999999993</v>
      </c>
      <c r="V111" s="2">
        <f t="shared" si="19"/>
        <v>24.515999999999998</v>
      </c>
      <c r="W111" s="2">
        <f t="shared" si="20"/>
        <v>34.049999999999997</v>
      </c>
      <c r="X111" s="2">
        <f t="shared" si="21"/>
        <v>13.62</v>
      </c>
      <c r="Y111" s="114">
        <f t="shared" si="22"/>
        <v>31.325999999999997</v>
      </c>
      <c r="AA111" s="11">
        <f t="shared" ca="1" si="27"/>
        <v>111</v>
      </c>
      <c r="AB111" s="11">
        <f ca="1">+AA111+'parametres articles'!$C$9-1</f>
        <v>125</v>
      </c>
      <c r="AC111" s="11">
        <f ca="1">+AA111+'parametres articles'!$C$24-1</f>
        <v>130</v>
      </c>
      <c r="AD111" s="11">
        <f ca="1">+IF(AE111&lt;='parametres articles'!$H$8,0,AA111-'parametres articles'!$H$8+1)</f>
        <v>107</v>
      </c>
      <c r="AE111" s="11">
        <v>107</v>
      </c>
      <c r="AF111" s="2" t="str">
        <f t="shared" ca="1" si="25"/>
        <v>F126</v>
      </c>
      <c r="AG111" s="172"/>
      <c r="AI111" s="2"/>
      <c r="AJ111" s="2"/>
      <c r="AK111" s="2"/>
      <c r="AL111" s="2"/>
    </row>
    <row r="112" spans="1:38" x14ac:dyDescent="0.25">
      <c r="A112" s="166">
        <v>42160</v>
      </c>
      <c r="C112" s="160" t="s">
        <v>21</v>
      </c>
      <c r="D112" s="161">
        <f ca="1">+IF(AD112=0,P112,(SUM(INDIRECT(CONCATENATE("B",AD112,":B",AA112)))/'parametres articles'!$H$8))</f>
        <v>3.8</v>
      </c>
      <c r="E112" s="10">
        <f t="shared" si="26"/>
        <v>95</v>
      </c>
      <c r="F112" s="10"/>
      <c r="G112" s="10">
        <f t="shared" si="15"/>
        <v>95</v>
      </c>
      <c r="H112" s="140"/>
      <c r="I112" s="141">
        <f t="shared" si="28"/>
        <v>96.80952380952381</v>
      </c>
      <c r="K112" s="2">
        <f>+HLOOKUP($C112,'parametres articles'!$C$5:$G$25,5,FALSE)</f>
        <v>15</v>
      </c>
      <c r="L112" s="2">
        <f>+HLOOKUP($C112,'parametres articles'!$C$5:$G$25,21,FALSE)</f>
        <v>13</v>
      </c>
      <c r="M112" s="124">
        <f>+HLOOKUP($C112,'parametres articles'!$C$5:$G$25,7,FALSE)</f>
        <v>0.8</v>
      </c>
      <c r="N112" s="124">
        <f>+HLOOKUP($C112,'parametres articles'!$C$5:$G$25,6,FALSE)</f>
        <v>0.4</v>
      </c>
      <c r="O112" s="2">
        <f>+HLOOKUP($C112,'parametres articles'!$C$5:$G$25,8,FALSE)</f>
        <v>0</v>
      </c>
      <c r="P112" s="114">
        <f>IF(C112="E",'parametres articles'!$C$8,HLOOKUP($C112,'parametres articles'!$C$5:$F$25,4,FALSE))</f>
        <v>2.27</v>
      </c>
      <c r="Q112" s="114">
        <f t="shared" si="16"/>
        <v>2.27</v>
      </c>
      <c r="R112" s="2">
        <f t="shared" si="23"/>
        <v>13.62</v>
      </c>
      <c r="S112" s="2">
        <f t="shared" si="17"/>
        <v>24.515999999999998</v>
      </c>
      <c r="T112" s="2">
        <f t="shared" si="18"/>
        <v>58.565999999999995</v>
      </c>
      <c r="U112" s="2">
        <f t="shared" si="24"/>
        <v>72.185999999999993</v>
      </c>
      <c r="V112" s="2">
        <f t="shared" si="19"/>
        <v>24.515999999999998</v>
      </c>
      <c r="W112" s="2">
        <f t="shared" si="20"/>
        <v>34.049999999999997</v>
      </c>
      <c r="X112" s="2">
        <f t="shared" si="21"/>
        <v>13.62</v>
      </c>
      <c r="Y112" s="114">
        <f t="shared" si="22"/>
        <v>31.325999999999997</v>
      </c>
      <c r="AA112" s="11">
        <f t="shared" ca="1" si="27"/>
        <v>112</v>
      </c>
      <c r="AB112" s="11">
        <f ca="1">+AA112+'parametres articles'!$C$9-1</f>
        <v>126</v>
      </c>
      <c r="AC112" s="11">
        <f ca="1">+AA112+'parametres articles'!$C$24-1</f>
        <v>131</v>
      </c>
      <c r="AD112" s="11">
        <f ca="1">+IF(AE112&lt;='parametres articles'!$H$8,0,AA112-'parametres articles'!$H$8+1)</f>
        <v>108</v>
      </c>
      <c r="AE112" s="11">
        <v>108</v>
      </c>
      <c r="AF112" s="2" t="str">
        <f t="shared" ca="1" si="25"/>
        <v>F127</v>
      </c>
      <c r="AG112" s="172"/>
      <c r="AI112" s="2"/>
      <c r="AJ112" s="2"/>
      <c r="AK112" s="2"/>
      <c r="AL112" s="2"/>
    </row>
    <row r="113" spans="1:38" x14ac:dyDescent="0.25">
      <c r="A113" s="166">
        <v>42163</v>
      </c>
      <c r="B113" s="163">
        <v>3</v>
      </c>
      <c r="C113" s="160" t="s">
        <v>21</v>
      </c>
      <c r="D113" s="161">
        <f ca="1">+IF(AD113=0,P113,(SUM(INDIRECT(CONCATENATE("B",AD113,":B",AA113)))/'parametres articles'!$H$8))</f>
        <v>4.4000000000000004</v>
      </c>
      <c r="E113" s="10">
        <f t="shared" si="26"/>
        <v>95</v>
      </c>
      <c r="F113" s="10"/>
      <c r="G113" s="10">
        <f t="shared" si="15"/>
        <v>92</v>
      </c>
      <c r="H113" s="140"/>
      <c r="I113" s="141">
        <f t="shared" si="28"/>
        <v>97.095238095238102</v>
      </c>
      <c r="K113" s="2">
        <f>+HLOOKUP($C113,'parametres articles'!$C$5:$G$25,5,FALSE)</f>
        <v>15</v>
      </c>
      <c r="L113" s="2">
        <f>+HLOOKUP($C113,'parametres articles'!$C$5:$G$25,21,FALSE)</f>
        <v>13</v>
      </c>
      <c r="M113" s="124">
        <f>+HLOOKUP($C113,'parametres articles'!$C$5:$G$25,7,FALSE)</f>
        <v>0.8</v>
      </c>
      <c r="N113" s="124">
        <f>+HLOOKUP($C113,'parametres articles'!$C$5:$G$25,6,FALSE)</f>
        <v>0.4</v>
      </c>
      <c r="O113" s="2">
        <f>+HLOOKUP($C113,'parametres articles'!$C$5:$G$25,8,FALSE)</f>
        <v>0</v>
      </c>
      <c r="P113" s="114">
        <f>IF(C113="E",'parametres articles'!$C$8,HLOOKUP($C113,'parametres articles'!$C$5:$F$25,4,FALSE))</f>
        <v>2.27</v>
      </c>
      <c r="Q113" s="114">
        <f t="shared" si="16"/>
        <v>2.27</v>
      </c>
      <c r="R113" s="2">
        <f t="shared" si="23"/>
        <v>13.62</v>
      </c>
      <c r="S113" s="2">
        <f t="shared" si="17"/>
        <v>24.515999999999998</v>
      </c>
      <c r="T113" s="2">
        <f t="shared" si="18"/>
        <v>58.565999999999995</v>
      </c>
      <c r="U113" s="2">
        <f t="shared" si="24"/>
        <v>72.185999999999993</v>
      </c>
      <c r="V113" s="2">
        <f t="shared" si="19"/>
        <v>24.515999999999998</v>
      </c>
      <c r="W113" s="2">
        <f t="shared" si="20"/>
        <v>34.049999999999997</v>
      </c>
      <c r="X113" s="2">
        <f t="shared" si="21"/>
        <v>13.62</v>
      </c>
      <c r="Y113" s="114">
        <f t="shared" si="22"/>
        <v>31.325999999999997</v>
      </c>
      <c r="AA113" s="11">
        <f t="shared" ca="1" si="27"/>
        <v>113</v>
      </c>
      <c r="AB113" s="11">
        <f ca="1">+AA113+'parametres articles'!$C$9-1</f>
        <v>127</v>
      </c>
      <c r="AC113" s="11">
        <f ca="1">+AA113+'parametres articles'!$C$24-1</f>
        <v>132</v>
      </c>
      <c r="AD113" s="11">
        <f ca="1">+IF(AE113&lt;='parametres articles'!$H$8,0,AA113-'parametres articles'!$H$8+1)</f>
        <v>109</v>
      </c>
      <c r="AE113" s="11">
        <v>109</v>
      </c>
      <c r="AF113" s="2" t="str">
        <f t="shared" ca="1" si="25"/>
        <v>F128</v>
      </c>
      <c r="AG113" s="172"/>
      <c r="AI113" s="2"/>
      <c r="AJ113" s="2"/>
      <c r="AK113" s="2"/>
      <c r="AL113" s="2"/>
    </row>
    <row r="114" spans="1:38" x14ac:dyDescent="0.25">
      <c r="A114" s="166">
        <v>42164</v>
      </c>
      <c r="B114" s="163">
        <v>2</v>
      </c>
      <c r="C114" s="160" t="s">
        <v>21</v>
      </c>
      <c r="D114" s="161">
        <f ca="1">+IF(AD114=0,P114,(SUM(INDIRECT(CONCATENATE("B",AD114,":B",AA114)))/'parametres articles'!$H$8))</f>
        <v>4.8</v>
      </c>
      <c r="E114" s="10">
        <f t="shared" si="26"/>
        <v>92</v>
      </c>
      <c r="F114" s="10"/>
      <c r="G114" s="10">
        <f t="shared" si="15"/>
        <v>90</v>
      </c>
      <c r="H114" s="140"/>
      <c r="I114" s="141">
        <f t="shared" si="28"/>
        <v>97.714285714285708</v>
      </c>
      <c r="K114" s="2">
        <f>+HLOOKUP($C114,'parametres articles'!$C$5:$G$25,5,FALSE)</f>
        <v>15</v>
      </c>
      <c r="L114" s="2">
        <f>+HLOOKUP($C114,'parametres articles'!$C$5:$G$25,21,FALSE)</f>
        <v>13</v>
      </c>
      <c r="M114" s="124">
        <f>+HLOOKUP($C114,'parametres articles'!$C$5:$G$25,7,FALSE)</f>
        <v>0.8</v>
      </c>
      <c r="N114" s="124">
        <f>+HLOOKUP($C114,'parametres articles'!$C$5:$G$25,6,FALSE)</f>
        <v>0.4</v>
      </c>
      <c r="O114" s="2">
        <f>+HLOOKUP($C114,'parametres articles'!$C$5:$G$25,8,FALSE)</f>
        <v>0</v>
      </c>
      <c r="P114" s="114">
        <f>IF(C114="E",'parametres articles'!$C$8,HLOOKUP($C114,'parametres articles'!$C$5:$F$25,4,FALSE))</f>
        <v>2.27</v>
      </c>
      <c r="Q114" s="114">
        <f t="shared" si="16"/>
        <v>2.27</v>
      </c>
      <c r="R114" s="2">
        <f t="shared" si="23"/>
        <v>13.62</v>
      </c>
      <c r="S114" s="2">
        <f t="shared" si="17"/>
        <v>24.515999999999998</v>
      </c>
      <c r="T114" s="2">
        <f t="shared" si="18"/>
        <v>58.565999999999995</v>
      </c>
      <c r="U114" s="2">
        <f t="shared" si="24"/>
        <v>72.185999999999993</v>
      </c>
      <c r="V114" s="2">
        <f t="shared" si="19"/>
        <v>24.515999999999998</v>
      </c>
      <c r="W114" s="2">
        <f t="shared" si="20"/>
        <v>34.049999999999997</v>
      </c>
      <c r="X114" s="2">
        <f t="shared" si="21"/>
        <v>13.62</v>
      </c>
      <c r="Y114" s="114">
        <f t="shared" si="22"/>
        <v>31.325999999999997</v>
      </c>
      <c r="AA114" s="11">
        <f t="shared" ca="1" si="27"/>
        <v>114</v>
      </c>
      <c r="AB114" s="11">
        <f ca="1">+AA114+'parametres articles'!$C$9-1</f>
        <v>128</v>
      </c>
      <c r="AC114" s="11">
        <f ca="1">+AA114+'parametres articles'!$C$24-1</f>
        <v>133</v>
      </c>
      <c r="AD114" s="11">
        <f ca="1">+IF(AE114&lt;='parametres articles'!$H$8,0,AA114-'parametres articles'!$H$8+1)</f>
        <v>110</v>
      </c>
      <c r="AE114" s="11">
        <v>110</v>
      </c>
      <c r="AF114" s="2" t="str">
        <f t="shared" ca="1" si="25"/>
        <v>F129</v>
      </c>
      <c r="AG114" s="172"/>
      <c r="AI114" s="2"/>
      <c r="AJ114" s="2"/>
      <c r="AK114" s="2"/>
      <c r="AL114" s="2"/>
    </row>
    <row r="115" spans="1:38" x14ac:dyDescent="0.25">
      <c r="A115" s="166">
        <v>42165</v>
      </c>
      <c r="C115" s="160" t="s">
        <v>21</v>
      </c>
      <c r="D115" s="161">
        <f ca="1">+IF(AD115=0,P115,(SUM(INDIRECT(CONCATENATE("B",AD115,":B",AA115)))/'parametres articles'!$H$8))</f>
        <v>1.2</v>
      </c>
      <c r="E115" s="10">
        <f t="shared" si="26"/>
        <v>90</v>
      </c>
      <c r="F115" s="10"/>
      <c r="G115" s="10">
        <f t="shared" si="15"/>
        <v>90</v>
      </c>
      <c r="H115" s="140"/>
      <c r="I115" s="141">
        <f t="shared" si="28"/>
        <v>98.285714285714292</v>
      </c>
      <c r="K115" s="2">
        <f>+HLOOKUP($C115,'parametres articles'!$C$5:$G$25,5,FALSE)</f>
        <v>15</v>
      </c>
      <c r="L115" s="2">
        <f>+HLOOKUP($C115,'parametres articles'!$C$5:$G$25,21,FALSE)</f>
        <v>13</v>
      </c>
      <c r="M115" s="124">
        <f>+HLOOKUP($C115,'parametres articles'!$C$5:$G$25,7,FALSE)</f>
        <v>0.8</v>
      </c>
      <c r="N115" s="124">
        <f>+HLOOKUP($C115,'parametres articles'!$C$5:$G$25,6,FALSE)</f>
        <v>0.4</v>
      </c>
      <c r="O115" s="2">
        <f>+HLOOKUP($C115,'parametres articles'!$C$5:$G$25,8,FALSE)</f>
        <v>0</v>
      </c>
      <c r="P115" s="114">
        <f>IF(C115="E",'parametres articles'!$C$8,HLOOKUP($C115,'parametres articles'!$C$5:$F$25,4,FALSE))</f>
        <v>2.27</v>
      </c>
      <c r="Q115" s="114">
        <f t="shared" si="16"/>
        <v>2.27</v>
      </c>
      <c r="R115" s="2">
        <f t="shared" si="23"/>
        <v>13.62</v>
      </c>
      <c r="S115" s="2">
        <f t="shared" si="17"/>
        <v>24.515999999999998</v>
      </c>
      <c r="T115" s="2">
        <f t="shared" si="18"/>
        <v>58.565999999999995</v>
      </c>
      <c r="U115" s="2">
        <f t="shared" si="24"/>
        <v>72.185999999999993</v>
      </c>
      <c r="V115" s="2">
        <f t="shared" si="19"/>
        <v>24.515999999999998</v>
      </c>
      <c r="W115" s="2">
        <f t="shared" si="20"/>
        <v>34.049999999999997</v>
      </c>
      <c r="X115" s="2">
        <f t="shared" si="21"/>
        <v>13.62</v>
      </c>
      <c r="Y115" s="114">
        <f t="shared" si="22"/>
        <v>31.325999999999997</v>
      </c>
      <c r="AA115" s="11">
        <f t="shared" ca="1" si="27"/>
        <v>115</v>
      </c>
      <c r="AB115" s="11">
        <f ca="1">+AA115+'parametres articles'!$C$9-1</f>
        <v>129</v>
      </c>
      <c r="AC115" s="11">
        <f ca="1">+AA115+'parametres articles'!$C$24-1</f>
        <v>134</v>
      </c>
      <c r="AD115" s="11">
        <f ca="1">+IF(AE115&lt;='parametres articles'!$H$8,0,AA115-'parametres articles'!$H$8+1)</f>
        <v>111</v>
      </c>
      <c r="AE115" s="11">
        <v>111</v>
      </c>
      <c r="AF115" s="2" t="str">
        <f t="shared" ca="1" si="25"/>
        <v>F130</v>
      </c>
      <c r="AG115" s="172"/>
      <c r="AI115" s="2"/>
      <c r="AJ115" s="2"/>
      <c r="AK115" s="2"/>
      <c r="AL115" s="2"/>
    </row>
    <row r="116" spans="1:38" x14ac:dyDescent="0.25">
      <c r="A116" s="166">
        <v>42166</v>
      </c>
      <c r="B116" s="163">
        <v>2</v>
      </c>
      <c r="C116" s="160" t="s">
        <v>21</v>
      </c>
      <c r="D116" s="161">
        <f ca="1">+IF(AD116=0,P116,(SUM(INDIRECT(CONCATENATE("B",AD116,":B",AA116)))/'parametres articles'!$H$8))</f>
        <v>1.4</v>
      </c>
      <c r="E116" s="10">
        <f t="shared" si="26"/>
        <v>90</v>
      </c>
      <c r="F116" s="10"/>
      <c r="G116" s="10">
        <f t="shared" si="15"/>
        <v>88</v>
      </c>
      <c r="H116" s="140"/>
      <c r="I116" s="141">
        <f t="shared" si="28"/>
        <v>97.904761904761898</v>
      </c>
      <c r="K116" s="2">
        <f>+HLOOKUP($C116,'parametres articles'!$C$5:$G$25,5,FALSE)</f>
        <v>15</v>
      </c>
      <c r="L116" s="2">
        <f>+HLOOKUP($C116,'parametres articles'!$C$5:$G$25,21,FALSE)</f>
        <v>13</v>
      </c>
      <c r="M116" s="124">
        <f>+HLOOKUP($C116,'parametres articles'!$C$5:$G$25,7,FALSE)</f>
        <v>0.8</v>
      </c>
      <c r="N116" s="124">
        <f>+HLOOKUP($C116,'parametres articles'!$C$5:$G$25,6,FALSE)</f>
        <v>0.4</v>
      </c>
      <c r="O116" s="2">
        <f>+HLOOKUP($C116,'parametres articles'!$C$5:$G$25,8,FALSE)</f>
        <v>0</v>
      </c>
      <c r="P116" s="114">
        <f>IF(C116="E",'parametres articles'!$C$8,HLOOKUP($C116,'parametres articles'!$C$5:$F$25,4,FALSE))</f>
        <v>2.27</v>
      </c>
      <c r="Q116" s="114">
        <f t="shared" si="16"/>
        <v>2.27</v>
      </c>
      <c r="R116" s="2">
        <f t="shared" si="23"/>
        <v>13.62</v>
      </c>
      <c r="S116" s="2">
        <f t="shared" si="17"/>
        <v>24.515999999999998</v>
      </c>
      <c r="T116" s="2">
        <f t="shared" si="18"/>
        <v>58.565999999999995</v>
      </c>
      <c r="U116" s="2">
        <f t="shared" si="24"/>
        <v>72.185999999999993</v>
      </c>
      <c r="V116" s="2">
        <f t="shared" si="19"/>
        <v>24.515999999999998</v>
      </c>
      <c r="W116" s="2">
        <f t="shared" si="20"/>
        <v>34.049999999999997</v>
      </c>
      <c r="X116" s="2">
        <f t="shared" si="21"/>
        <v>13.62</v>
      </c>
      <c r="Y116" s="114">
        <f t="shared" si="22"/>
        <v>31.325999999999997</v>
      </c>
      <c r="AA116" s="11">
        <f t="shared" ca="1" si="27"/>
        <v>116</v>
      </c>
      <c r="AB116" s="11">
        <f ca="1">+AA116+'parametres articles'!$C$9-1</f>
        <v>130</v>
      </c>
      <c r="AC116" s="11">
        <f ca="1">+AA116+'parametres articles'!$C$24-1</f>
        <v>135</v>
      </c>
      <c r="AD116" s="11">
        <f ca="1">+IF(AE116&lt;='parametres articles'!$H$8,0,AA116-'parametres articles'!$H$8+1)</f>
        <v>112</v>
      </c>
      <c r="AE116" s="11">
        <v>112</v>
      </c>
      <c r="AF116" s="2" t="str">
        <f t="shared" ca="1" si="25"/>
        <v>F131</v>
      </c>
      <c r="AG116" s="172"/>
      <c r="AI116" s="2"/>
      <c r="AJ116" s="2"/>
      <c r="AK116" s="2"/>
      <c r="AL116" s="2"/>
    </row>
    <row r="117" spans="1:38" x14ac:dyDescent="0.25">
      <c r="A117" s="166">
        <v>42167</v>
      </c>
      <c r="B117" s="163">
        <v>3</v>
      </c>
      <c r="C117" s="160" t="s">
        <v>21</v>
      </c>
      <c r="D117" s="161">
        <f ca="1">+IF(AD117=0,P117,(SUM(INDIRECT(CONCATENATE("B",AD117,":B",AA117)))/'parametres articles'!$H$8))</f>
        <v>2</v>
      </c>
      <c r="E117" s="10">
        <f t="shared" si="26"/>
        <v>88</v>
      </c>
      <c r="F117" s="10">
        <f>+VLOOKUP(A117,Feuil1!$K$3:$L$37,2,FALSE)</f>
        <v>9</v>
      </c>
      <c r="G117" s="10">
        <f t="shared" si="15"/>
        <v>94</v>
      </c>
      <c r="H117" s="140"/>
      <c r="I117" s="141">
        <f t="shared" si="28"/>
        <v>98.61904761904762</v>
      </c>
      <c r="K117" s="2">
        <f>+HLOOKUP($C117,'parametres articles'!$C$5:$G$25,5,FALSE)</f>
        <v>15</v>
      </c>
      <c r="L117" s="2">
        <f>+HLOOKUP($C117,'parametres articles'!$C$5:$G$25,21,FALSE)</f>
        <v>13</v>
      </c>
      <c r="M117" s="124">
        <f>+HLOOKUP($C117,'parametres articles'!$C$5:$G$25,7,FALSE)</f>
        <v>0.8</v>
      </c>
      <c r="N117" s="124">
        <f>+HLOOKUP($C117,'parametres articles'!$C$5:$G$25,6,FALSE)</f>
        <v>0.4</v>
      </c>
      <c r="O117" s="2">
        <f>+HLOOKUP($C117,'parametres articles'!$C$5:$G$25,8,FALSE)</f>
        <v>0</v>
      </c>
      <c r="P117" s="114">
        <f>IF(C117="E",'parametres articles'!$C$8,HLOOKUP($C117,'parametres articles'!$C$5:$F$25,4,FALSE))</f>
        <v>2.27</v>
      </c>
      <c r="Q117" s="114">
        <f t="shared" si="16"/>
        <v>2.27</v>
      </c>
      <c r="R117" s="2">
        <f t="shared" si="23"/>
        <v>13.62</v>
      </c>
      <c r="S117" s="2">
        <f t="shared" si="17"/>
        <v>24.515999999999998</v>
      </c>
      <c r="T117" s="2">
        <f t="shared" si="18"/>
        <v>58.565999999999995</v>
      </c>
      <c r="U117" s="2">
        <f t="shared" si="24"/>
        <v>72.185999999999993</v>
      </c>
      <c r="V117" s="2">
        <f t="shared" si="19"/>
        <v>24.515999999999998</v>
      </c>
      <c r="W117" s="2">
        <f t="shared" si="20"/>
        <v>34.049999999999997</v>
      </c>
      <c r="X117" s="2">
        <f t="shared" si="21"/>
        <v>13.62</v>
      </c>
      <c r="Y117" s="114">
        <f t="shared" si="22"/>
        <v>31.325999999999997</v>
      </c>
      <c r="AA117" s="11">
        <f t="shared" ca="1" si="27"/>
        <v>117</v>
      </c>
      <c r="AB117" s="11">
        <f ca="1">+AA117+'parametres articles'!$C$9-1</f>
        <v>131</v>
      </c>
      <c r="AC117" s="11">
        <f ca="1">+AA117+'parametres articles'!$C$24-1</f>
        <v>136</v>
      </c>
      <c r="AD117" s="11">
        <f ca="1">+IF(AE117&lt;='parametres articles'!$H$8,0,AA117-'parametres articles'!$H$8+1)</f>
        <v>113</v>
      </c>
      <c r="AE117" s="11">
        <v>113</v>
      </c>
      <c r="AF117" s="2" t="str">
        <f t="shared" ca="1" si="25"/>
        <v>F132</v>
      </c>
      <c r="AG117" s="172"/>
      <c r="AI117" s="2"/>
      <c r="AJ117" s="2"/>
      <c r="AK117" s="2"/>
      <c r="AL117" s="2"/>
    </row>
    <row r="118" spans="1:38" x14ac:dyDescent="0.25">
      <c r="A118" s="166">
        <v>42170</v>
      </c>
      <c r="C118" s="160" t="s">
        <v>21</v>
      </c>
      <c r="D118" s="161">
        <f ca="1">+IF(AD118=0,P118,(SUM(INDIRECT(CONCATENATE("B",AD118,":B",AA118)))/'parametres articles'!$H$8))</f>
        <v>1.4</v>
      </c>
      <c r="E118" s="10">
        <f t="shared" si="26"/>
        <v>94</v>
      </c>
      <c r="F118" s="10"/>
      <c r="G118" s="10">
        <f t="shared" si="15"/>
        <v>94</v>
      </c>
      <c r="H118" s="140"/>
      <c r="I118" s="141">
        <f t="shared" si="28"/>
        <v>99.904761904761898</v>
      </c>
      <c r="K118" s="2">
        <f>+HLOOKUP($C118,'parametres articles'!$C$5:$G$25,5,FALSE)</f>
        <v>15</v>
      </c>
      <c r="L118" s="2">
        <f>+HLOOKUP($C118,'parametres articles'!$C$5:$G$25,21,FALSE)</f>
        <v>13</v>
      </c>
      <c r="M118" s="124">
        <f>+HLOOKUP($C118,'parametres articles'!$C$5:$G$25,7,FALSE)</f>
        <v>0.8</v>
      </c>
      <c r="N118" s="124">
        <f>+HLOOKUP($C118,'parametres articles'!$C$5:$G$25,6,FALSE)</f>
        <v>0.4</v>
      </c>
      <c r="O118" s="2">
        <f>+HLOOKUP($C118,'parametres articles'!$C$5:$G$25,8,FALSE)</f>
        <v>0</v>
      </c>
      <c r="P118" s="114">
        <f>IF(C118="E",'parametres articles'!$C$8,HLOOKUP($C118,'parametres articles'!$C$5:$F$25,4,FALSE))</f>
        <v>2.27</v>
      </c>
      <c r="Q118" s="114">
        <f t="shared" si="16"/>
        <v>2.27</v>
      </c>
      <c r="R118" s="2">
        <f t="shared" si="23"/>
        <v>13.62</v>
      </c>
      <c r="S118" s="2">
        <f t="shared" si="17"/>
        <v>24.515999999999998</v>
      </c>
      <c r="T118" s="2">
        <f t="shared" si="18"/>
        <v>58.565999999999995</v>
      </c>
      <c r="U118" s="2">
        <f t="shared" si="24"/>
        <v>72.185999999999993</v>
      </c>
      <c r="V118" s="2">
        <f t="shared" si="19"/>
        <v>24.515999999999998</v>
      </c>
      <c r="W118" s="2">
        <f t="shared" si="20"/>
        <v>34.049999999999997</v>
      </c>
      <c r="X118" s="2">
        <f t="shared" si="21"/>
        <v>13.62</v>
      </c>
      <c r="Y118" s="114">
        <f t="shared" si="22"/>
        <v>31.325999999999997</v>
      </c>
      <c r="AA118" s="11">
        <f t="shared" ca="1" si="27"/>
        <v>118</v>
      </c>
      <c r="AB118" s="11">
        <f ca="1">+AA118+'parametres articles'!$C$9-1</f>
        <v>132</v>
      </c>
      <c r="AC118" s="11">
        <f ca="1">+AA118+'parametres articles'!$C$24-1</f>
        <v>137</v>
      </c>
      <c r="AD118" s="11">
        <f ca="1">+IF(AE118&lt;='parametres articles'!$H$8,0,AA118-'parametres articles'!$H$8+1)</f>
        <v>114</v>
      </c>
      <c r="AE118" s="11">
        <v>114</v>
      </c>
      <c r="AF118" s="2" t="str">
        <f t="shared" ca="1" si="25"/>
        <v>F133</v>
      </c>
      <c r="AG118" s="172"/>
      <c r="AI118" s="2"/>
      <c r="AJ118" s="2"/>
      <c r="AK118" s="2"/>
      <c r="AL118" s="2"/>
    </row>
    <row r="119" spans="1:38" x14ac:dyDescent="0.25">
      <c r="A119" s="166">
        <v>42171</v>
      </c>
      <c r="B119" s="163">
        <v>14</v>
      </c>
      <c r="C119" s="160" t="s">
        <v>21</v>
      </c>
      <c r="D119" s="161">
        <f ca="1">+IF(AD119=0,P119,(SUM(INDIRECT(CONCATENATE("B",AD119,":B",AA119)))/'parametres articles'!$H$8))</f>
        <v>3.8</v>
      </c>
      <c r="E119" s="10">
        <f t="shared" si="26"/>
        <v>94</v>
      </c>
      <c r="F119" s="10"/>
      <c r="G119" s="10">
        <f t="shared" si="15"/>
        <v>80</v>
      </c>
      <c r="H119" s="140"/>
      <c r="I119" s="141">
        <f t="shared" si="28"/>
        <v>101.19047619047619</v>
      </c>
      <c r="K119" s="2">
        <f>+HLOOKUP($C119,'parametres articles'!$C$5:$G$25,5,FALSE)</f>
        <v>15</v>
      </c>
      <c r="L119" s="2">
        <f>+HLOOKUP($C119,'parametres articles'!$C$5:$G$25,21,FALSE)</f>
        <v>13</v>
      </c>
      <c r="M119" s="124">
        <f>+HLOOKUP($C119,'parametres articles'!$C$5:$G$25,7,FALSE)</f>
        <v>0.8</v>
      </c>
      <c r="N119" s="124">
        <f>+HLOOKUP($C119,'parametres articles'!$C$5:$G$25,6,FALSE)</f>
        <v>0.4</v>
      </c>
      <c r="O119" s="2">
        <f>+HLOOKUP($C119,'parametres articles'!$C$5:$G$25,8,FALSE)</f>
        <v>0</v>
      </c>
      <c r="P119" s="114">
        <f>IF(C119="E",'parametres articles'!$C$8,HLOOKUP($C119,'parametres articles'!$C$5:$F$25,4,FALSE))</f>
        <v>2.27</v>
      </c>
      <c r="Q119" s="114">
        <f t="shared" si="16"/>
        <v>2.27</v>
      </c>
      <c r="R119" s="2">
        <f t="shared" si="23"/>
        <v>13.62</v>
      </c>
      <c r="S119" s="2">
        <f t="shared" si="17"/>
        <v>24.515999999999998</v>
      </c>
      <c r="T119" s="2">
        <f t="shared" si="18"/>
        <v>58.565999999999995</v>
      </c>
      <c r="U119" s="2">
        <f t="shared" si="24"/>
        <v>72.185999999999993</v>
      </c>
      <c r="V119" s="2">
        <f t="shared" si="19"/>
        <v>24.515999999999998</v>
      </c>
      <c r="W119" s="2">
        <f t="shared" si="20"/>
        <v>34.049999999999997</v>
      </c>
      <c r="X119" s="2">
        <f t="shared" si="21"/>
        <v>13.62</v>
      </c>
      <c r="Y119" s="114">
        <f t="shared" si="22"/>
        <v>31.325999999999997</v>
      </c>
      <c r="AA119" s="11">
        <f t="shared" ca="1" si="27"/>
        <v>119</v>
      </c>
      <c r="AB119" s="11">
        <f ca="1">+AA119+'parametres articles'!$C$9-1</f>
        <v>133</v>
      </c>
      <c r="AC119" s="11">
        <f ca="1">+AA119+'parametres articles'!$C$24-1</f>
        <v>138</v>
      </c>
      <c r="AD119" s="11">
        <f ca="1">+IF(AE119&lt;='parametres articles'!$H$8,0,AA119-'parametres articles'!$H$8+1)</f>
        <v>115</v>
      </c>
      <c r="AE119" s="11">
        <v>115</v>
      </c>
      <c r="AF119" s="2" t="str">
        <f t="shared" ca="1" si="25"/>
        <v>F134</v>
      </c>
      <c r="AG119" s="172"/>
      <c r="AH119" s="2"/>
      <c r="AI119" s="2"/>
      <c r="AJ119" s="2"/>
      <c r="AK119" s="2"/>
      <c r="AL119" s="2"/>
    </row>
    <row r="120" spans="1:38" x14ac:dyDescent="0.25">
      <c r="A120" s="166">
        <v>42172</v>
      </c>
      <c r="C120" s="160" t="s">
        <v>21</v>
      </c>
      <c r="D120" s="161">
        <f ca="1">+IF(AD120=0,P120,(SUM(INDIRECT(CONCATENATE("B",AD120,":B",AA120)))/'parametres articles'!$H$8))</f>
        <v>3.8</v>
      </c>
      <c r="E120" s="10">
        <f t="shared" si="26"/>
        <v>80</v>
      </c>
      <c r="F120" s="10"/>
      <c r="G120" s="10">
        <f t="shared" si="15"/>
        <v>80</v>
      </c>
      <c r="H120" s="140"/>
      <c r="I120" s="141">
        <f t="shared" si="28"/>
        <v>99.857142857142861</v>
      </c>
      <c r="K120" s="2">
        <f>+HLOOKUP($C120,'parametres articles'!$C$5:$G$25,5,FALSE)</f>
        <v>15</v>
      </c>
      <c r="L120" s="2">
        <f>+HLOOKUP($C120,'parametres articles'!$C$5:$G$25,21,FALSE)</f>
        <v>13</v>
      </c>
      <c r="M120" s="124">
        <f>+HLOOKUP($C120,'parametres articles'!$C$5:$G$25,7,FALSE)</f>
        <v>0.8</v>
      </c>
      <c r="N120" s="124">
        <f>+HLOOKUP($C120,'parametres articles'!$C$5:$G$25,6,FALSE)</f>
        <v>0.4</v>
      </c>
      <c r="O120" s="2">
        <f>+HLOOKUP($C120,'parametres articles'!$C$5:$G$25,8,FALSE)</f>
        <v>0</v>
      </c>
      <c r="P120" s="114">
        <f>IF(C120="E",'parametres articles'!$C$8,HLOOKUP($C120,'parametres articles'!$C$5:$F$25,4,FALSE))</f>
        <v>2.27</v>
      </c>
      <c r="Q120" s="114">
        <f t="shared" si="16"/>
        <v>2.27</v>
      </c>
      <c r="R120" s="2">
        <f t="shared" si="23"/>
        <v>13.62</v>
      </c>
      <c r="S120" s="2">
        <f t="shared" si="17"/>
        <v>24.515999999999998</v>
      </c>
      <c r="T120" s="2">
        <f t="shared" si="18"/>
        <v>58.565999999999995</v>
      </c>
      <c r="U120" s="2">
        <f t="shared" si="24"/>
        <v>72.185999999999993</v>
      </c>
      <c r="V120" s="2">
        <f t="shared" si="19"/>
        <v>24.515999999999998</v>
      </c>
      <c r="W120" s="2">
        <f t="shared" si="20"/>
        <v>34.049999999999997</v>
      </c>
      <c r="X120" s="2">
        <f t="shared" si="21"/>
        <v>13.62</v>
      </c>
      <c r="Y120" s="114">
        <f t="shared" si="22"/>
        <v>31.325999999999997</v>
      </c>
      <c r="AA120" s="11">
        <f t="shared" ca="1" si="27"/>
        <v>120</v>
      </c>
      <c r="AB120" s="11">
        <f ca="1">+AA120+'parametres articles'!$C$9-1</f>
        <v>134</v>
      </c>
      <c r="AC120" s="11">
        <f ca="1">+AA120+'parametres articles'!$C$24-1</f>
        <v>139</v>
      </c>
      <c r="AD120" s="11">
        <f ca="1">+IF(AE120&lt;='parametres articles'!$H$8,0,AA120-'parametres articles'!$H$8+1)</f>
        <v>116</v>
      </c>
      <c r="AE120" s="11">
        <v>116</v>
      </c>
      <c r="AF120" s="2" t="str">
        <f t="shared" ca="1" si="25"/>
        <v>F135</v>
      </c>
      <c r="AG120" s="172"/>
      <c r="AH120" s="2"/>
      <c r="AI120" s="2"/>
      <c r="AJ120" s="2"/>
      <c r="AK120" s="2"/>
      <c r="AL120" s="2"/>
    </row>
    <row r="121" spans="1:38" x14ac:dyDescent="0.25">
      <c r="A121" s="166">
        <v>42173</v>
      </c>
      <c r="C121" s="160" t="s">
        <v>21</v>
      </c>
      <c r="D121" s="161">
        <f ca="1">+IF(AD121=0,P121,(SUM(INDIRECT(CONCATENATE("B",AD121,":B",AA121)))/'parametres articles'!$H$8))</f>
        <v>3.4</v>
      </c>
      <c r="E121" s="10">
        <f t="shared" si="26"/>
        <v>80</v>
      </c>
      <c r="F121" s="10"/>
      <c r="G121" s="10">
        <f t="shared" si="15"/>
        <v>80</v>
      </c>
      <c r="H121" s="140"/>
      <c r="I121" s="141">
        <f t="shared" ref="I121:I152" si="29">+AVERAGE(E101:E121)</f>
        <v>98.523809523809518</v>
      </c>
      <c r="K121" s="2">
        <f>+HLOOKUP($C121,'parametres articles'!$C$5:$G$25,5,FALSE)</f>
        <v>15</v>
      </c>
      <c r="L121" s="2">
        <f>+HLOOKUP($C121,'parametres articles'!$C$5:$G$25,21,FALSE)</f>
        <v>13</v>
      </c>
      <c r="M121" s="124">
        <f>+HLOOKUP($C121,'parametres articles'!$C$5:$G$25,7,FALSE)</f>
        <v>0.8</v>
      </c>
      <c r="N121" s="124">
        <f>+HLOOKUP($C121,'parametres articles'!$C$5:$G$25,6,FALSE)</f>
        <v>0.4</v>
      </c>
      <c r="O121" s="2">
        <f>+HLOOKUP($C121,'parametres articles'!$C$5:$G$25,8,FALSE)</f>
        <v>0</v>
      </c>
      <c r="P121" s="114">
        <f>IF(C121="E",'parametres articles'!$C$8,HLOOKUP($C121,'parametres articles'!$C$5:$F$25,4,FALSE))</f>
        <v>2.27</v>
      </c>
      <c r="Q121" s="114">
        <f t="shared" si="16"/>
        <v>2.27</v>
      </c>
      <c r="R121" s="2">
        <f t="shared" si="23"/>
        <v>13.62</v>
      </c>
      <c r="S121" s="2">
        <f t="shared" si="17"/>
        <v>24.515999999999998</v>
      </c>
      <c r="T121" s="2">
        <f t="shared" si="18"/>
        <v>58.565999999999995</v>
      </c>
      <c r="U121" s="2">
        <f t="shared" si="24"/>
        <v>72.185999999999993</v>
      </c>
      <c r="V121" s="2">
        <f t="shared" si="19"/>
        <v>24.515999999999998</v>
      </c>
      <c r="W121" s="2">
        <f t="shared" si="20"/>
        <v>34.049999999999997</v>
      </c>
      <c r="X121" s="2">
        <f t="shared" si="21"/>
        <v>13.62</v>
      </c>
      <c r="Y121" s="114">
        <f t="shared" si="22"/>
        <v>31.325999999999997</v>
      </c>
      <c r="AA121" s="11">
        <f t="shared" ca="1" si="27"/>
        <v>121</v>
      </c>
      <c r="AB121" s="11">
        <f ca="1">+AA121+'parametres articles'!$C$9-1</f>
        <v>135</v>
      </c>
      <c r="AC121" s="11">
        <f ca="1">+AA121+'parametres articles'!$C$24-1</f>
        <v>140</v>
      </c>
      <c r="AD121" s="11">
        <f ca="1">+IF(AE121&lt;='parametres articles'!$H$8,0,AA121-'parametres articles'!$H$8+1)</f>
        <v>117</v>
      </c>
      <c r="AE121" s="11">
        <v>117</v>
      </c>
      <c r="AF121" s="2" t="str">
        <f t="shared" ca="1" si="25"/>
        <v>F136</v>
      </c>
      <c r="AG121" s="172"/>
      <c r="AH121" s="2"/>
      <c r="AI121" s="2"/>
      <c r="AJ121" s="2"/>
      <c r="AK121" s="2"/>
      <c r="AL121" s="2"/>
    </row>
    <row r="122" spans="1:38" x14ac:dyDescent="0.25">
      <c r="A122" s="166">
        <v>42174</v>
      </c>
      <c r="B122" s="163">
        <v>6</v>
      </c>
      <c r="C122" s="160" t="s">
        <v>21</v>
      </c>
      <c r="D122" s="161">
        <f ca="1">+IF(AD122=0,P122,(SUM(INDIRECT(CONCATENATE("B",AD122,":B",AA122)))/'parametres articles'!$H$8))</f>
        <v>4</v>
      </c>
      <c r="E122" s="10">
        <f t="shared" si="26"/>
        <v>76</v>
      </c>
      <c r="F122" s="10">
        <f>+VLOOKUP(A122,Feuil1!$K$3:$L$37,2,FALSE)</f>
        <v>6</v>
      </c>
      <c r="G122" s="10">
        <f t="shared" si="15"/>
        <v>76</v>
      </c>
      <c r="H122" s="140"/>
      <c r="I122" s="141">
        <f t="shared" si="29"/>
        <v>97</v>
      </c>
      <c r="K122" s="2">
        <f>+HLOOKUP($C122,'parametres articles'!$C$5:$G$25,5,FALSE)</f>
        <v>15</v>
      </c>
      <c r="L122" s="2">
        <f>+HLOOKUP($C122,'parametres articles'!$C$5:$G$25,21,FALSE)</f>
        <v>13</v>
      </c>
      <c r="M122" s="124">
        <f>+HLOOKUP($C122,'parametres articles'!$C$5:$G$25,7,FALSE)</f>
        <v>0.8</v>
      </c>
      <c r="N122" s="124">
        <f>+HLOOKUP($C122,'parametres articles'!$C$5:$G$25,6,FALSE)</f>
        <v>0.4</v>
      </c>
      <c r="O122" s="2">
        <f>+HLOOKUP($C122,'parametres articles'!$C$5:$G$25,8,FALSE)</f>
        <v>0</v>
      </c>
      <c r="P122" s="114">
        <f>IF(C122="E",'parametres articles'!$C$8,HLOOKUP($C122,'parametres articles'!$C$5:$F$25,4,FALSE))</f>
        <v>2.27</v>
      </c>
      <c r="Q122" s="114">
        <f t="shared" si="16"/>
        <v>2.27</v>
      </c>
      <c r="R122" s="2">
        <f t="shared" si="23"/>
        <v>13.62</v>
      </c>
      <c r="S122" s="2">
        <f t="shared" si="17"/>
        <v>24.515999999999998</v>
      </c>
      <c r="T122" s="2">
        <f t="shared" si="18"/>
        <v>58.565999999999995</v>
      </c>
      <c r="U122" s="2">
        <f t="shared" si="24"/>
        <v>72.185999999999993</v>
      </c>
      <c r="V122" s="2">
        <f t="shared" si="19"/>
        <v>24.515999999999998</v>
      </c>
      <c r="W122" s="2">
        <f t="shared" si="20"/>
        <v>34.049999999999997</v>
      </c>
      <c r="X122" s="2">
        <f t="shared" si="21"/>
        <v>13.62</v>
      </c>
      <c r="Y122" s="114">
        <f t="shared" si="22"/>
        <v>31.325999999999997</v>
      </c>
      <c r="AA122" s="11">
        <f t="shared" ca="1" si="27"/>
        <v>122</v>
      </c>
      <c r="AB122" s="11">
        <f ca="1">+AA122+'parametres articles'!$C$9-1</f>
        <v>136</v>
      </c>
      <c r="AC122" s="11">
        <f ca="1">+AA122+'parametres articles'!$C$24-1</f>
        <v>141</v>
      </c>
      <c r="AD122" s="11">
        <f ca="1">+IF(AE122&lt;='parametres articles'!$H$8,0,AA122-'parametres articles'!$H$8+1)</f>
        <v>118</v>
      </c>
      <c r="AE122" s="11">
        <v>118</v>
      </c>
      <c r="AF122" s="2" t="str">
        <f t="shared" ca="1" si="25"/>
        <v>F137</v>
      </c>
      <c r="AG122" s="172">
        <v>-4</v>
      </c>
      <c r="AH122" s="2"/>
      <c r="AI122" s="2"/>
      <c r="AJ122" s="2"/>
      <c r="AK122" s="2"/>
      <c r="AL122" s="2"/>
    </row>
    <row r="123" spans="1:38" x14ac:dyDescent="0.25">
      <c r="A123" s="166">
        <v>42177</v>
      </c>
      <c r="B123" s="163">
        <v>4</v>
      </c>
      <c r="C123" s="160" t="s">
        <v>21</v>
      </c>
      <c r="D123" s="161">
        <f ca="1">+IF(AD123=0,P123,(SUM(INDIRECT(CONCATENATE("B",AD123,":B",AA123)))/'parametres articles'!$H$8))</f>
        <v>4.8</v>
      </c>
      <c r="E123" s="10">
        <f t="shared" si="26"/>
        <v>76</v>
      </c>
      <c r="F123" s="10"/>
      <c r="G123" s="10">
        <f t="shared" si="15"/>
        <v>72</v>
      </c>
      <c r="H123" s="140"/>
      <c r="I123" s="141">
        <f t="shared" si="29"/>
        <v>95.523809523809518</v>
      </c>
      <c r="K123" s="2">
        <f>+HLOOKUP($C123,'parametres articles'!$C$5:$G$25,5,FALSE)</f>
        <v>15</v>
      </c>
      <c r="L123" s="2">
        <f>+HLOOKUP($C123,'parametres articles'!$C$5:$G$25,21,FALSE)</f>
        <v>13</v>
      </c>
      <c r="M123" s="124">
        <f>+HLOOKUP($C123,'parametres articles'!$C$5:$G$25,7,FALSE)</f>
        <v>0.8</v>
      </c>
      <c r="N123" s="124">
        <f>+HLOOKUP($C123,'parametres articles'!$C$5:$G$25,6,FALSE)</f>
        <v>0.4</v>
      </c>
      <c r="O123" s="2">
        <f>+HLOOKUP($C123,'parametres articles'!$C$5:$G$25,8,FALSE)</f>
        <v>0</v>
      </c>
      <c r="P123" s="114">
        <f>IF(C123="E",'parametres articles'!$C$8,HLOOKUP($C123,'parametres articles'!$C$5:$F$25,4,FALSE))</f>
        <v>2.27</v>
      </c>
      <c r="Q123" s="114">
        <f t="shared" si="16"/>
        <v>2.27</v>
      </c>
      <c r="R123" s="2">
        <f t="shared" si="23"/>
        <v>13.62</v>
      </c>
      <c r="S123" s="2">
        <f t="shared" si="17"/>
        <v>24.515999999999998</v>
      </c>
      <c r="T123" s="2">
        <f t="shared" si="18"/>
        <v>58.565999999999995</v>
      </c>
      <c r="U123" s="2">
        <f t="shared" si="24"/>
        <v>72.185999999999993</v>
      </c>
      <c r="V123" s="2">
        <f t="shared" si="19"/>
        <v>24.515999999999998</v>
      </c>
      <c r="W123" s="2">
        <f t="shared" si="20"/>
        <v>34.049999999999997</v>
      </c>
      <c r="X123" s="2">
        <f t="shared" si="21"/>
        <v>13.62</v>
      </c>
      <c r="Y123" s="114">
        <f t="shared" si="22"/>
        <v>31.325999999999997</v>
      </c>
      <c r="AA123" s="11">
        <f t="shared" ca="1" si="27"/>
        <v>123</v>
      </c>
      <c r="AB123" s="11">
        <f ca="1">+AA123+'parametres articles'!$C$9-1</f>
        <v>137</v>
      </c>
      <c r="AC123" s="11">
        <f ca="1">+AA123+'parametres articles'!$C$24-1</f>
        <v>142</v>
      </c>
      <c r="AD123" s="11">
        <f ca="1">+IF(AE123&lt;='parametres articles'!$H$8,0,AA123-'parametres articles'!$H$8+1)</f>
        <v>119</v>
      </c>
      <c r="AE123" s="11">
        <v>119</v>
      </c>
      <c r="AF123" s="2" t="str">
        <f t="shared" ca="1" si="25"/>
        <v>F138</v>
      </c>
      <c r="AG123" s="172"/>
      <c r="AH123" s="2"/>
      <c r="AI123" s="2"/>
      <c r="AJ123" s="2"/>
      <c r="AK123" s="2"/>
      <c r="AL123" s="2"/>
    </row>
    <row r="124" spans="1:38" x14ac:dyDescent="0.25">
      <c r="A124" s="166">
        <v>42178</v>
      </c>
      <c r="C124" s="160" t="s">
        <v>21</v>
      </c>
      <c r="D124" s="161">
        <f ca="1">+IF(AD124=0,P124,(SUM(INDIRECT(CONCATENATE("B",AD124,":B",AA124)))/'parametres articles'!$H$8))</f>
        <v>2</v>
      </c>
      <c r="E124" s="10">
        <f t="shared" si="26"/>
        <v>72</v>
      </c>
      <c r="F124" s="10"/>
      <c r="G124" s="10">
        <f t="shared" si="15"/>
        <v>72</v>
      </c>
      <c r="H124" s="140"/>
      <c r="I124" s="141">
        <f t="shared" si="29"/>
        <v>93.857142857142861</v>
      </c>
      <c r="K124" s="2">
        <f>+HLOOKUP($C124,'parametres articles'!$C$5:$G$25,5,FALSE)</f>
        <v>15</v>
      </c>
      <c r="L124" s="2">
        <f>+HLOOKUP($C124,'parametres articles'!$C$5:$G$25,21,FALSE)</f>
        <v>13</v>
      </c>
      <c r="M124" s="124">
        <f>+HLOOKUP($C124,'parametres articles'!$C$5:$G$25,7,FALSE)</f>
        <v>0.8</v>
      </c>
      <c r="N124" s="124">
        <f>+HLOOKUP($C124,'parametres articles'!$C$5:$G$25,6,FALSE)</f>
        <v>0.4</v>
      </c>
      <c r="O124" s="2">
        <f>+HLOOKUP($C124,'parametres articles'!$C$5:$G$25,8,FALSE)</f>
        <v>0</v>
      </c>
      <c r="P124" s="114">
        <f>IF(C124="E",'parametres articles'!$C$8,HLOOKUP($C124,'parametres articles'!$C$5:$F$25,4,FALSE))</f>
        <v>2.27</v>
      </c>
      <c r="Q124" s="114">
        <f t="shared" si="16"/>
        <v>2.27</v>
      </c>
      <c r="R124" s="2">
        <f t="shared" si="23"/>
        <v>13.62</v>
      </c>
      <c r="S124" s="2">
        <f t="shared" si="17"/>
        <v>24.515999999999998</v>
      </c>
      <c r="T124" s="2">
        <f t="shared" si="18"/>
        <v>58.565999999999995</v>
      </c>
      <c r="U124" s="2">
        <f t="shared" si="24"/>
        <v>72.185999999999993</v>
      </c>
      <c r="V124" s="2">
        <f t="shared" si="19"/>
        <v>24.515999999999998</v>
      </c>
      <c r="W124" s="2">
        <f t="shared" si="20"/>
        <v>34.049999999999997</v>
      </c>
      <c r="X124" s="2">
        <f t="shared" si="21"/>
        <v>13.62</v>
      </c>
      <c r="Y124" s="114">
        <f t="shared" si="22"/>
        <v>31.325999999999997</v>
      </c>
      <c r="AA124" s="11">
        <f t="shared" ca="1" si="27"/>
        <v>124</v>
      </c>
      <c r="AB124" s="11">
        <f ca="1">+AA124+'parametres articles'!$C$9-1</f>
        <v>138</v>
      </c>
      <c r="AC124" s="11">
        <f ca="1">+AA124+'parametres articles'!$C$24-1</f>
        <v>143</v>
      </c>
      <c r="AD124" s="11">
        <f ca="1">+IF(AE124&lt;='parametres articles'!$H$8,0,AA124-'parametres articles'!$H$8+1)</f>
        <v>120</v>
      </c>
      <c r="AE124" s="11">
        <v>120</v>
      </c>
      <c r="AF124" s="2" t="str">
        <f t="shared" ca="1" si="25"/>
        <v>F139</v>
      </c>
      <c r="AG124" s="172"/>
      <c r="AH124" s="2"/>
      <c r="AI124" s="2"/>
      <c r="AJ124" s="2"/>
      <c r="AK124" s="2"/>
      <c r="AL124" s="2"/>
    </row>
    <row r="125" spans="1:38" x14ac:dyDescent="0.25">
      <c r="A125" s="166">
        <v>42179</v>
      </c>
      <c r="B125" s="163">
        <v>2</v>
      </c>
      <c r="C125" s="160" t="s">
        <v>21</v>
      </c>
      <c r="D125" s="161">
        <f ca="1">+IF(AD125=0,P125,(SUM(INDIRECT(CONCATENATE("B",AD125,":B",AA125)))/'parametres articles'!$H$8))</f>
        <v>2.4</v>
      </c>
      <c r="E125" s="10">
        <f t="shared" si="26"/>
        <v>72</v>
      </c>
      <c r="F125" s="10"/>
      <c r="G125" s="10">
        <f t="shared" si="15"/>
        <v>70</v>
      </c>
      <c r="H125" s="140"/>
      <c r="I125" s="141">
        <f t="shared" si="29"/>
        <v>92.19047619047619</v>
      </c>
      <c r="K125" s="2">
        <f>+HLOOKUP($C125,'parametres articles'!$C$5:$G$25,5,FALSE)</f>
        <v>15</v>
      </c>
      <c r="L125" s="2">
        <f>+HLOOKUP($C125,'parametres articles'!$C$5:$G$25,21,FALSE)</f>
        <v>13</v>
      </c>
      <c r="M125" s="124">
        <f>+HLOOKUP($C125,'parametres articles'!$C$5:$G$25,7,FALSE)</f>
        <v>0.8</v>
      </c>
      <c r="N125" s="124">
        <f>+HLOOKUP($C125,'parametres articles'!$C$5:$G$25,6,FALSE)</f>
        <v>0.4</v>
      </c>
      <c r="O125" s="2">
        <f>+HLOOKUP($C125,'parametres articles'!$C$5:$G$25,8,FALSE)</f>
        <v>0</v>
      </c>
      <c r="P125" s="114">
        <f>IF(C125="E",'parametres articles'!$C$8,HLOOKUP($C125,'parametres articles'!$C$5:$F$25,4,FALSE))</f>
        <v>2.27</v>
      </c>
      <c r="Q125" s="114">
        <f t="shared" si="16"/>
        <v>2.27</v>
      </c>
      <c r="R125" s="2">
        <f t="shared" si="23"/>
        <v>13.62</v>
      </c>
      <c r="S125" s="2">
        <f t="shared" si="17"/>
        <v>24.515999999999998</v>
      </c>
      <c r="T125" s="2">
        <f t="shared" si="18"/>
        <v>58.565999999999995</v>
      </c>
      <c r="U125" s="2">
        <f t="shared" si="24"/>
        <v>72.185999999999993</v>
      </c>
      <c r="V125" s="2">
        <f t="shared" si="19"/>
        <v>24.515999999999998</v>
      </c>
      <c r="W125" s="2">
        <f t="shared" si="20"/>
        <v>34.049999999999997</v>
      </c>
      <c r="X125" s="2">
        <f t="shared" si="21"/>
        <v>13.62</v>
      </c>
      <c r="Y125" s="114">
        <f t="shared" si="22"/>
        <v>31.325999999999997</v>
      </c>
      <c r="AA125" s="11">
        <f t="shared" ca="1" si="27"/>
        <v>125</v>
      </c>
      <c r="AB125" s="11">
        <f ca="1">+AA125+'parametres articles'!$C$9-1</f>
        <v>139</v>
      </c>
      <c r="AC125" s="11">
        <f ca="1">+AA125+'parametres articles'!$C$24-1</f>
        <v>144</v>
      </c>
      <c r="AD125" s="11">
        <f ca="1">+IF(AE125&lt;='parametres articles'!$H$8,0,AA125-'parametres articles'!$H$8+1)</f>
        <v>121</v>
      </c>
      <c r="AE125" s="11">
        <v>121</v>
      </c>
      <c r="AF125" s="2" t="str">
        <f t="shared" ca="1" si="25"/>
        <v>F140</v>
      </c>
      <c r="AG125" s="172"/>
      <c r="AH125" s="2"/>
      <c r="AI125" s="2"/>
      <c r="AJ125" s="2"/>
      <c r="AK125" s="2"/>
      <c r="AL125" s="2"/>
    </row>
    <row r="126" spans="1:38" x14ac:dyDescent="0.25">
      <c r="A126" s="166">
        <v>42180</v>
      </c>
      <c r="C126" s="160" t="s">
        <v>21</v>
      </c>
      <c r="D126" s="161">
        <f ca="1">+IF(AD126=0,P126,(SUM(INDIRECT(CONCATENATE("B",AD126,":B",AA126)))/'parametres articles'!$H$8))</f>
        <v>2.4</v>
      </c>
      <c r="E126" s="10">
        <f t="shared" si="26"/>
        <v>70</v>
      </c>
      <c r="F126" s="10"/>
      <c r="G126" s="10">
        <f t="shared" si="15"/>
        <v>70</v>
      </c>
      <c r="H126" s="140"/>
      <c r="I126" s="141">
        <f t="shared" si="29"/>
        <v>90.666666666666671</v>
      </c>
      <c r="K126" s="2">
        <f>+HLOOKUP($C126,'parametres articles'!$C$5:$G$25,5,FALSE)</f>
        <v>15</v>
      </c>
      <c r="L126" s="2">
        <f>+HLOOKUP($C126,'parametres articles'!$C$5:$G$25,21,FALSE)</f>
        <v>13</v>
      </c>
      <c r="M126" s="124">
        <f>+HLOOKUP($C126,'parametres articles'!$C$5:$G$25,7,FALSE)</f>
        <v>0.8</v>
      </c>
      <c r="N126" s="124">
        <f>+HLOOKUP($C126,'parametres articles'!$C$5:$G$25,6,FALSE)</f>
        <v>0.4</v>
      </c>
      <c r="O126" s="2">
        <f>+HLOOKUP($C126,'parametres articles'!$C$5:$G$25,8,FALSE)</f>
        <v>0</v>
      </c>
      <c r="P126" s="114">
        <f>IF(C126="E",'parametres articles'!$C$8,HLOOKUP($C126,'parametres articles'!$C$5:$F$25,4,FALSE))</f>
        <v>2.27</v>
      </c>
      <c r="Q126" s="114">
        <f t="shared" si="16"/>
        <v>2.27</v>
      </c>
      <c r="R126" s="2">
        <f t="shared" si="23"/>
        <v>13.62</v>
      </c>
      <c r="S126" s="2">
        <f t="shared" si="17"/>
        <v>24.515999999999998</v>
      </c>
      <c r="T126" s="2">
        <f t="shared" si="18"/>
        <v>58.565999999999995</v>
      </c>
      <c r="U126" s="2">
        <f t="shared" si="24"/>
        <v>72.185999999999993</v>
      </c>
      <c r="V126" s="2">
        <f t="shared" si="19"/>
        <v>24.515999999999998</v>
      </c>
      <c r="W126" s="2">
        <f t="shared" si="20"/>
        <v>34.049999999999997</v>
      </c>
      <c r="X126" s="2">
        <f t="shared" si="21"/>
        <v>13.62</v>
      </c>
      <c r="Y126" s="114">
        <f t="shared" si="22"/>
        <v>31.325999999999997</v>
      </c>
      <c r="AA126" s="11">
        <f t="shared" ca="1" si="27"/>
        <v>126</v>
      </c>
      <c r="AB126" s="11">
        <f ca="1">+AA126+'parametres articles'!$C$9-1</f>
        <v>140</v>
      </c>
      <c r="AC126" s="11">
        <f ca="1">+AA126+'parametres articles'!$C$24-1</f>
        <v>145</v>
      </c>
      <c r="AD126" s="11">
        <f ca="1">+IF(AE126&lt;='parametres articles'!$H$8,0,AA126-'parametres articles'!$H$8+1)</f>
        <v>122</v>
      </c>
      <c r="AE126" s="11">
        <v>122</v>
      </c>
      <c r="AF126" s="2" t="str">
        <f t="shared" ca="1" si="25"/>
        <v>F141</v>
      </c>
      <c r="AG126" s="172"/>
      <c r="AH126" s="2"/>
      <c r="AI126" s="2"/>
      <c r="AJ126" s="2"/>
      <c r="AK126" s="2"/>
      <c r="AL126" s="2"/>
    </row>
    <row r="127" spans="1:38" x14ac:dyDescent="0.25">
      <c r="A127" s="166">
        <v>42181</v>
      </c>
      <c r="C127" s="160" t="s">
        <v>21</v>
      </c>
      <c r="D127" s="161">
        <f ca="1">+IF(AD127=0,P127,(SUM(INDIRECT(CONCATENATE("B",AD127,":B",AA127)))/'parametres articles'!$H$8))</f>
        <v>1.2</v>
      </c>
      <c r="E127" s="10">
        <f t="shared" si="26"/>
        <v>66</v>
      </c>
      <c r="F127" s="10"/>
      <c r="G127" s="10">
        <f t="shared" si="15"/>
        <v>66</v>
      </c>
      <c r="H127" s="140"/>
      <c r="I127" s="141">
        <f t="shared" si="29"/>
        <v>88.952380952380949</v>
      </c>
      <c r="K127" s="2">
        <f>+HLOOKUP($C127,'parametres articles'!$C$5:$G$25,5,FALSE)</f>
        <v>15</v>
      </c>
      <c r="L127" s="2">
        <f>+HLOOKUP($C127,'parametres articles'!$C$5:$G$25,21,FALSE)</f>
        <v>13</v>
      </c>
      <c r="M127" s="124">
        <f>+HLOOKUP($C127,'parametres articles'!$C$5:$G$25,7,FALSE)</f>
        <v>0.8</v>
      </c>
      <c r="N127" s="124">
        <f>+HLOOKUP($C127,'parametres articles'!$C$5:$G$25,6,FALSE)</f>
        <v>0.4</v>
      </c>
      <c r="O127" s="2">
        <f>+HLOOKUP($C127,'parametres articles'!$C$5:$G$25,8,FALSE)</f>
        <v>0</v>
      </c>
      <c r="P127" s="114">
        <f>IF(C127="E",'parametres articles'!$C$8,HLOOKUP($C127,'parametres articles'!$C$5:$F$25,4,FALSE))</f>
        <v>2.27</v>
      </c>
      <c r="Q127" s="114">
        <f t="shared" si="16"/>
        <v>2.27</v>
      </c>
      <c r="R127" s="2">
        <f t="shared" si="23"/>
        <v>13.62</v>
      </c>
      <c r="S127" s="2">
        <f t="shared" si="17"/>
        <v>24.515999999999998</v>
      </c>
      <c r="T127" s="2">
        <f t="shared" si="18"/>
        <v>58.565999999999995</v>
      </c>
      <c r="U127" s="2">
        <f t="shared" si="24"/>
        <v>72.185999999999993</v>
      </c>
      <c r="V127" s="2">
        <f t="shared" si="19"/>
        <v>24.515999999999998</v>
      </c>
      <c r="W127" s="2">
        <f t="shared" si="20"/>
        <v>34.049999999999997</v>
      </c>
      <c r="X127" s="2">
        <f t="shared" si="21"/>
        <v>13.62</v>
      </c>
      <c r="Y127" s="114">
        <f t="shared" si="22"/>
        <v>31.325999999999997</v>
      </c>
      <c r="AA127" s="11">
        <f t="shared" ca="1" si="27"/>
        <v>127</v>
      </c>
      <c r="AB127" s="11">
        <f ca="1">+AA127+'parametres articles'!$C$9-1</f>
        <v>141</v>
      </c>
      <c r="AC127" s="11">
        <f ca="1">+AA127+'parametres articles'!$C$24-1</f>
        <v>146</v>
      </c>
      <c r="AD127" s="11">
        <f ca="1">+IF(AE127&lt;='parametres articles'!$H$8,0,AA127-'parametres articles'!$H$8+1)</f>
        <v>123</v>
      </c>
      <c r="AE127" s="11">
        <v>123</v>
      </c>
      <c r="AF127" s="2" t="str">
        <f t="shared" ca="1" si="25"/>
        <v>F142</v>
      </c>
      <c r="AG127" s="172">
        <v>-4</v>
      </c>
      <c r="AH127" s="2"/>
      <c r="AI127" s="2"/>
      <c r="AJ127" s="2"/>
      <c r="AK127" s="2"/>
      <c r="AL127" s="2"/>
    </row>
    <row r="128" spans="1:38" x14ac:dyDescent="0.25">
      <c r="A128" s="166">
        <v>42184</v>
      </c>
      <c r="C128" s="160" t="s">
        <v>21</v>
      </c>
      <c r="D128" s="161">
        <f ca="1">+IF(AD128=0,P128,(SUM(INDIRECT(CONCATENATE("B",AD128,":B",AA128)))/'parametres articles'!$H$8))</f>
        <v>0.4</v>
      </c>
      <c r="E128" s="10">
        <f t="shared" si="26"/>
        <v>66</v>
      </c>
      <c r="F128" s="10">
        <f>+VLOOKUP(A128,Feuil1!$K$3:$L$37,2,FALSE)</f>
        <v>4</v>
      </c>
      <c r="G128" s="10">
        <f t="shared" si="15"/>
        <v>70</v>
      </c>
      <c r="H128" s="140"/>
      <c r="I128" s="141">
        <f t="shared" si="29"/>
        <v>87.333333333333329</v>
      </c>
      <c r="K128" s="2">
        <f>+HLOOKUP($C128,'parametres articles'!$C$5:$G$25,5,FALSE)</f>
        <v>15</v>
      </c>
      <c r="L128" s="2">
        <f>+HLOOKUP($C128,'parametres articles'!$C$5:$G$25,21,FALSE)</f>
        <v>13</v>
      </c>
      <c r="M128" s="124">
        <f>+HLOOKUP($C128,'parametres articles'!$C$5:$G$25,7,FALSE)</f>
        <v>0.8</v>
      </c>
      <c r="N128" s="124">
        <f>+HLOOKUP($C128,'parametres articles'!$C$5:$G$25,6,FALSE)</f>
        <v>0.4</v>
      </c>
      <c r="O128" s="2">
        <f>+HLOOKUP($C128,'parametres articles'!$C$5:$G$25,8,FALSE)</f>
        <v>0</v>
      </c>
      <c r="P128" s="114">
        <f>IF(C128="E",'parametres articles'!$C$8,HLOOKUP($C128,'parametres articles'!$C$5:$F$25,4,FALSE))</f>
        <v>2.27</v>
      </c>
      <c r="Q128" s="114">
        <f t="shared" si="16"/>
        <v>2.27</v>
      </c>
      <c r="R128" s="2">
        <f t="shared" si="23"/>
        <v>13.62</v>
      </c>
      <c r="S128" s="2">
        <f t="shared" si="17"/>
        <v>24.515999999999998</v>
      </c>
      <c r="T128" s="2">
        <f t="shared" si="18"/>
        <v>58.565999999999995</v>
      </c>
      <c r="U128" s="2">
        <f t="shared" si="24"/>
        <v>72.185999999999993</v>
      </c>
      <c r="V128" s="2">
        <f t="shared" si="19"/>
        <v>24.515999999999998</v>
      </c>
      <c r="W128" s="2">
        <f t="shared" si="20"/>
        <v>34.049999999999997</v>
      </c>
      <c r="X128" s="2">
        <f t="shared" si="21"/>
        <v>13.62</v>
      </c>
      <c r="Y128" s="114">
        <f t="shared" si="22"/>
        <v>31.325999999999997</v>
      </c>
      <c r="AA128" s="11">
        <f t="shared" ca="1" si="27"/>
        <v>128</v>
      </c>
      <c r="AB128" s="11">
        <f ca="1">+AA128+'parametres articles'!$C$9-1</f>
        <v>142</v>
      </c>
      <c r="AC128" s="11">
        <f ca="1">+AA128+'parametres articles'!$C$24-1</f>
        <v>147</v>
      </c>
      <c r="AD128" s="11">
        <f ca="1">+IF(AE128&lt;='parametres articles'!$H$8,0,AA128-'parametres articles'!$H$8+1)</f>
        <v>124</v>
      </c>
      <c r="AE128" s="11">
        <v>124</v>
      </c>
      <c r="AF128" s="2" t="str">
        <f t="shared" ca="1" si="25"/>
        <v>F143</v>
      </c>
      <c r="AG128" s="172"/>
      <c r="AH128" s="168"/>
      <c r="AI128" s="2"/>
      <c r="AJ128" s="2"/>
      <c r="AK128" s="2"/>
      <c r="AL128" s="2"/>
    </row>
    <row r="129" spans="1:38" x14ac:dyDescent="0.25">
      <c r="A129" s="166">
        <v>42185</v>
      </c>
      <c r="C129" s="160" t="s">
        <v>21</v>
      </c>
      <c r="D129" s="161">
        <f ca="1">+IF(AD129=0,P129,(SUM(INDIRECT(CONCATENATE("B",AD129,":B",AA129)))/'parametres articles'!$H$8))</f>
        <v>0.4</v>
      </c>
      <c r="E129" s="10">
        <f t="shared" si="26"/>
        <v>70</v>
      </c>
      <c r="F129" s="10"/>
      <c r="G129" s="10">
        <f t="shared" si="15"/>
        <v>70</v>
      </c>
      <c r="H129" s="140"/>
      <c r="I129" s="141">
        <f t="shared" si="29"/>
        <v>85.238095238095241</v>
      </c>
      <c r="K129" s="2">
        <f>+HLOOKUP($C129,'parametres articles'!$C$5:$G$25,5,FALSE)</f>
        <v>15</v>
      </c>
      <c r="L129" s="2">
        <f>+HLOOKUP($C129,'parametres articles'!$C$5:$G$25,21,FALSE)</f>
        <v>13</v>
      </c>
      <c r="M129" s="124">
        <f>+HLOOKUP($C129,'parametres articles'!$C$5:$G$25,7,FALSE)</f>
        <v>0.8</v>
      </c>
      <c r="N129" s="124">
        <f>+HLOOKUP($C129,'parametres articles'!$C$5:$G$25,6,FALSE)</f>
        <v>0.4</v>
      </c>
      <c r="O129" s="2">
        <f>+HLOOKUP($C129,'parametres articles'!$C$5:$G$25,8,FALSE)</f>
        <v>0</v>
      </c>
      <c r="P129" s="114">
        <f>IF(C129="E",'parametres articles'!$C$8,HLOOKUP($C129,'parametres articles'!$C$5:$F$25,4,FALSE))</f>
        <v>2.27</v>
      </c>
      <c r="Q129" s="114">
        <f t="shared" si="16"/>
        <v>2.27</v>
      </c>
      <c r="R129" s="2">
        <f t="shared" si="23"/>
        <v>13.62</v>
      </c>
      <c r="S129" s="2">
        <f t="shared" si="17"/>
        <v>24.515999999999998</v>
      </c>
      <c r="T129" s="2">
        <f t="shared" si="18"/>
        <v>58.565999999999995</v>
      </c>
      <c r="U129" s="2">
        <f t="shared" si="24"/>
        <v>72.185999999999993</v>
      </c>
      <c r="V129" s="2">
        <f t="shared" si="19"/>
        <v>24.515999999999998</v>
      </c>
      <c r="W129" s="2">
        <f t="shared" si="20"/>
        <v>34.049999999999997</v>
      </c>
      <c r="X129" s="2">
        <f t="shared" si="21"/>
        <v>13.62</v>
      </c>
      <c r="Y129" s="114">
        <f t="shared" si="22"/>
        <v>31.325999999999997</v>
      </c>
      <c r="AA129" s="11">
        <f t="shared" ca="1" si="27"/>
        <v>129</v>
      </c>
      <c r="AB129" s="11">
        <f ca="1">+AA129+'parametres articles'!$C$9-1</f>
        <v>143</v>
      </c>
      <c r="AC129" s="11">
        <f ca="1">+AA129+'parametres articles'!$C$24-1</f>
        <v>148</v>
      </c>
      <c r="AD129" s="11">
        <f ca="1">+IF(AE129&lt;='parametres articles'!$H$8,0,AA129-'parametres articles'!$H$8+1)</f>
        <v>125</v>
      </c>
      <c r="AE129" s="11">
        <v>125</v>
      </c>
      <c r="AF129" s="2" t="str">
        <f t="shared" ca="1" si="25"/>
        <v>F144</v>
      </c>
      <c r="AG129" s="172"/>
      <c r="AH129" s="168"/>
      <c r="AI129" s="2"/>
      <c r="AJ129" s="2"/>
      <c r="AK129" s="2"/>
      <c r="AL129" s="2"/>
    </row>
    <row r="130" spans="1:38" x14ac:dyDescent="0.25">
      <c r="A130" s="166">
        <v>42186</v>
      </c>
      <c r="B130" s="163">
        <v>8</v>
      </c>
      <c r="C130" s="160" t="s">
        <v>21</v>
      </c>
      <c r="D130" s="161">
        <f ca="1">+IF(AD130=0,P130,(SUM(INDIRECT(CONCATENATE("B",AD130,":B",AA130)))/'parametres articles'!$H$8))</f>
        <v>1.6</v>
      </c>
      <c r="E130" s="10">
        <f t="shared" si="26"/>
        <v>70</v>
      </c>
      <c r="F130" s="10"/>
      <c r="G130" s="10">
        <f t="shared" si="15"/>
        <v>62</v>
      </c>
      <c r="H130" s="140"/>
      <c r="I130" s="141">
        <f t="shared" si="29"/>
        <v>83.142857142857139</v>
      </c>
      <c r="K130" s="2">
        <f>+HLOOKUP($C130,'parametres articles'!$C$5:$G$25,5,FALSE)</f>
        <v>15</v>
      </c>
      <c r="L130" s="2">
        <f>+HLOOKUP($C130,'parametres articles'!$C$5:$G$25,21,FALSE)</f>
        <v>13</v>
      </c>
      <c r="M130" s="124">
        <f>+HLOOKUP($C130,'parametres articles'!$C$5:$G$25,7,FALSE)</f>
        <v>0.8</v>
      </c>
      <c r="N130" s="124">
        <f>+HLOOKUP($C130,'parametres articles'!$C$5:$G$25,6,FALSE)</f>
        <v>0.4</v>
      </c>
      <c r="O130" s="2">
        <f>+HLOOKUP($C130,'parametres articles'!$C$5:$G$25,8,FALSE)</f>
        <v>0</v>
      </c>
      <c r="P130" s="114">
        <f>IF(C130="E",'parametres articles'!$C$8,HLOOKUP($C130,'parametres articles'!$C$5:$F$25,4,FALSE))</f>
        <v>2.27</v>
      </c>
      <c r="Q130" s="114">
        <f t="shared" si="16"/>
        <v>2.27</v>
      </c>
      <c r="R130" s="2">
        <f t="shared" si="23"/>
        <v>13.62</v>
      </c>
      <c r="S130" s="2">
        <f t="shared" si="17"/>
        <v>24.515999999999998</v>
      </c>
      <c r="T130" s="2">
        <f t="shared" si="18"/>
        <v>58.565999999999995</v>
      </c>
      <c r="U130" s="2">
        <f t="shared" si="24"/>
        <v>72.185999999999993</v>
      </c>
      <c r="V130" s="2">
        <f t="shared" si="19"/>
        <v>24.515999999999998</v>
      </c>
      <c r="W130" s="2">
        <f t="shared" si="20"/>
        <v>34.049999999999997</v>
      </c>
      <c r="X130" s="2">
        <f t="shared" si="21"/>
        <v>13.62</v>
      </c>
      <c r="Y130" s="114">
        <f t="shared" si="22"/>
        <v>31.325999999999997</v>
      </c>
      <c r="AA130" s="11">
        <f t="shared" ca="1" si="27"/>
        <v>130</v>
      </c>
      <c r="AB130" s="11">
        <f ca="1">+AA130+'parametres articles'!$C$9-1</f>
        <v>144</v>
      </c>
      <c r="AC130" s="11">
        <f ca="1">+AA130+'parametres articles'!$C$24-1</f>
        <v>149</v>
      </c>
      <c r="AD130" s="11">
        <f ca="1">+IF(AE130&lt;='parametres articles'!$H$8,0,AA130-'parametres articles'!$H$8+1)</f>
        <v>126</v>
      </c>
      <c r="AE130" s="11">
        <v>126</v>
      </c>
      <c r="AF130" s="2" t="str">
        <f t="shared" ca="1" si="25"/>
        <v>F145</v>
      </c>
      <c r="AG130" s="172"/>
      <c r="AI130" s="2"/>
      <c r="AJ130" s="2"/>
      <c r="AK130" s="2"/>
      <c r="AL130" s="2"/>
    </row>
    <row r="131" spans="1:38" x14ac:dyDescent="0.25">
      <c r="A131" s="166">
        <v>42187</v>
      </c>
      <c r="C131" s="160" t="s">
        <v>21</v>
      </c>
      <c r="D131" s="161">
        <f ca="1">+IF(AD131=0,P131,(SUM(INDIRECT(CONCATENATE("B",AD131,":B",AA131)))/'parametres articles'!$H$8))</f>
        <v>1.6</v>
      </c>
      <c r="E131" s="10">
        <f t="shared" si="26"/>
        <v>62</v>
      </c>
      <c r="F131" s="10"/>
      <c r="G131" s="10">
        <f t="shared" si="15"/>
        <v>62</v>
      </c>
      <c r="H131" s="140"/>
      <c r="I131" s="141">
        <f t="shared" si="29"/>
        <v>80.666666666666671</v>
      </c>
      <c r="K131" s="2">
        <f>+HLOOKUP($C131,'parametres articles'!$C$5:$G$25,5,FALSE)</f>
        <v>15</v>
      </c>
      <c r="L131" s="2">
        <f>+HLOOKUP($C131,'parametres articles'!$C$5:$G$25,21,FALSE)</f>
        <v>13</v>
      </c>
      <c r="M131" s="124">
        <f>+HLOOKUP($C131,'parametres articles'!$C$5:$G$25,7,FALSE)</f>
        <v>0.8</v>
      </c>
      <c r="N131" s="124">
        <f>+HLOOKUP($C131,'parametres articles'!$C$5:$G$25,6,FALSE)</f>
        <v>0.4</v>
      </c>
      <c r="O131" s="2">
        <f>+HLOOKUP($C131,'parametres articles'!$C$5:$G$25,8,FALSE)</f>
        <v>0</v>
      </c>
      <c r="P131" s="114">
        <f>IF(C131="E",'parametres articles'!$C$8,HLOOKUP($C131,'parametres articles'!$C$5:$F$25,4,FALSE))</f>
        <v>2.27</v>
      </c>
      <c r="Q131" s="114">
        <f t="shared" si="16"/>
        <v>2.27</v>
      </c>
      <c r="R131" s="2">
        <f t="shared" si="23"/>
        <v>13.62</v>
      </c>
      <c r="S131" s="2">
        <f t="shared" si="17"/>
        <v>24.515999999999998</v>
      </c>
      <c r="T131" s="2">
        <f t="shared" si="18"/>
        <v>58.565999999999995</v>
      </c>
      <c r="U131" s="2">
        <f t="shared" si="24"/>
        <v>72.185999999999993</v>
      </c>
      <c r="V131" s="2">
        <f t="shared" si="19"/>
        <v>24.515999999999998</v>
      </c>
      <c r="W131" s="2">
        <f t="shared" si="20"/>
        <v>34.049999999999997</v>
      </c>
      <c r="X131" s="2">
        <f t="shared" si="21"/>
        <v>13.62</v>
      </c>
      <c r="Y131" s="114">
        <f t="shared" si="22"/>
        <v>31.325999999999997</v>
      </c>
      <c r="AA131" s="11">
        <f t="shared" ca="1" si="27"/>
        <v>131</v>
      </c>
      <c r="AB131" s="11">
        <f ca="1">+AA131+'parametres articles'!$C$9-1</f>
        <v>145</v>
      </c>
      <c r="AC131" s="11">
        <f ca="1">+AA131+'parametres articles'!$C$24-1</f>
        <v>150</v>
      </c>
      <c r="AD131" s="11">
        <f ca="1">+IF(AE131&lt;='parametres articles'!$H$8,0,AA131-'parametres articles'!$H$8+1)</f>
        <v>127</v>
      </c>
      <c r="AE131" s="11">
        <v>127</v>
      </c>
      <c r="AF131" s="2" t="str">
        <f t="shared" ca="1" si="25"/>
        <v>F146</v>
      </c>
      <c r="AG131" s="172"/>
      <c r="AI131" s="2"/>
      <c r="AJ131" s="2"/>
      <c r="AK131" s="2"/>
      <c r="AL131" s="2"/>
    </row>
    <row r="132" spans="1:38" x14ac:dyDescent="0.25">
      <c r="A132" s="166">
        <v>42188</v>
      </c>
      <c r="C132" s="160" t="s">
        <v>21</v>
      </c>
      <c r="D132" s="161">
        <f ca="1">+IF(AD132=0,P132,(SUM(INDIRECT(CONCATENATE("B",AD132,":B",AA132)))/'parametres articles'!$H$8))</f>
        <v>1.6</v>
      </c>
      <c r="E132" s="10">
        <f t="shared" si="26"/>
        <v>58</v>
      </c>
      <c r="F132" s="10"/>
      <c r="G132" s="10">
        <f t="shared" si="15"/>
        <v>58</v>
      </c>
      <c r="H132" s="140"/>
      <c r="I132" s="141">
        <f t="shared" si="29"/>
        <v>78.857142857142861</v>
      </c>
      <c r="K132" s="2">
        <f>+HLOOKUP($C132,'parametres articles'!$C$5:$G$25,5,FALSE)</f>
        <v>15</v>
      </c>
      <c r="L132" s="2">
        <f>+HLOOKUP($C132,'parametres articles'!$C$5:$G$25,21,FALSE)</f>
        <v>13</v>
      </c>
      <c r="M132" s="124">
        <f>+HLOOKUP($C132,'parametres articles'!$C$5:$G$25,7,FALSE)</f>
        <v>0.8</v>
      </c>
      <c r="N132" s="124">
        <f>+HLOOKUP($C132,'parametres articles'!$C$5:$G$25,6,FALSE)</f>
        <v>0.4</v>
      </c>
      <c r="O132" s="2">
        <f>+HLOOKUP($C132,'parametres articles'!$C$5:$G$25,8,FALSE)</f>
        <v>0</v>
      </c>
      <c r="P132" s="114">
        <f>IF(C132="E",'parametres articles'!$C$8,HLOOKUP($C132,'parametres articles'!$C$5:$F$25,4,FALSE))</f>
        <v>2.27</v>
      </c>
      <c r="Q132" s="114">
        <f t="shared" si="16"/>
        <v>2.27</v>
      </c>
      <c r="R132" s="2">
        <f t="shared" si="23"/>
        <v>13.62</v>
      </c>
      <c r="S132" s="2">
        <f t="shared" si="17"/>
        <v>24.515999999999998</v>
      </c>
      <c r="T132" s="2">
        <f t="shared" si="18"/>
        <v>58.565999999999995</v>
      </c>
      <c r="U132" s="2">
        <f t="shared" si="24"/>
        <v>72.185999999999993</v>
      </c>
      <c r="V132" s="2">
        <f t="shared" si="19"/>
        <v>24.515999999999998</v>
      </c>
      <c r="W132" s="2">
        <f t="shared" si="20"/>
        <v>34.049999999999997</v>
      </c>
      <c r="X132" s="2">
        <f t="shared" si="21"/>
        <v>13.62</v>
      </c>
      <c r="Y132" s="114">
        <f t="shared" si="22"/>
        <v>31.325999999999997</v>
      </c>
      <c r="AA132" s="11">
        <f t="shared" ca="1" si="27"/>
        <v>132</v>
      </c>
      <c r="AB132" s="11">
        <f ca="1">+AA132+'parametres articles'!$C$9-1</f>
        <v>146</v>
      </c>
      <c r="AC132" s="11">
        <f ca="1">+AA132+'parametres articles'!$C$24-1</f>
        <v>151</v>
      </c>
      <c r="AD132" s="11">
        <f ca="1">+IF(AE132&lt;='parametres articles'!$H$8,0,AA132-'parametres articles'!$H$8+1)</f>
        <v>128</v>
      </c>
      <c r="AE132" s="11">
        <v>128</v>
      </c>
      <c r="AF132" s="2" t="str">
        <f t="shared" ca="1" si="25"/>
        <v>F147</v>
      </c>
      <c r="AG132" s="172">
        <v>-4</v>
      </c>
      <c r="AI132" s="2"/>
      <c r="AJ132" s="2"/>
      <c r="AK132" s="2"/>
      <c r="AL132" s="2"/>
    </row>
    <row r="133" spans="1:38" x14ac:dyDescent="0.25">
      <c r="A133" s="166">
        <v>42191</v>
      </c>
      <c r="C133" s="160" t="s">
        <v>21</v>
      </c>
      <c r="D133" s="161">
        <f ca="1">+IF(AD133=0,P133,(SUM(INDIRECT(CONCATENATE("B",AD133,":B",AA133)))/'parametres articles'!$H$8))</f>
        <v>1.6</v>
      </c>
      <c r="E133" s="10">
        <f t="shared" si="26"/>
        <v>58</v>
      </c>
      <c r="F133" s="10"/>
      <c r="G133" s="10">
        <f t="shared" ref="G133:G196" si="30">+E133-B133+F133</f>
        <v>58</v>
      </c>
      <c r="H133" s="140"/>
      <c r="I133" s="141">
        <f t="shared" si="29"/>
        <v>77.095238095238102</v>
      </c>
      <c r="K133" s="2">
        <f>+HLOOKUP($C133,'parametres articles'!$C$5:$G$25,5,FALSE)</f>
        <v>15</v>
      </c>
      <c r="L133" s="2">
        <f>+HLOOKUP($C133,'parametres articles'!$C$5:$G$25,21,FALSE)</f>
        <v>13</v>
      </c>
      <c r="M133" s="124">
        <f>+HLOOKUP($C133,'parametres articles'!$C$5:$G$25,7,FALSE)</f>
        <v>0.8</v>
      </c>
      <c r="N133" s="124">
        <f>+HLOOKUP($C133,'parametres articles'!$C$5:$G$25,6,FALSE)</f>
        <v>0.4</v>
      </c>
      <c r="O133" s="2">
        <f>+HLOOKUP($C133,'parametres articles'!$C$5:$G$25,8,FALSE)</f>
        <v>0</v>
      </c>
      <c r="P133" s="114">
        <f>IF(C133="E",'parametres articles'!$C$8,HLOOKUP($C133,'parametres articles'!$C$5:$F$25,4,FALSE))</f>
        <v>2.27</v>
      </c>
      <c r="Q133" s="114">
        <f t="shared" ref="Q133:Q196" si="31">+IF(C133="E",D133,P133)</f>
        <v>2.27</v>
      </c>
      <c r="R133" s="2">
        <f t="shared" si="23"/>
        <v>13.62</v>
      </c>
      <c r="S133" s="2">
        <f t="shared" ref="S133:S196" si="32">(Q133*K133*N133)*(1+M133)</f>
        <v>24.515999999999998</v>
      </c>
      <c r="T133" s="2">
        <f t="shared" ref="T133:T196" si="33">+S133+Q133*K133</f>
        <v>58.565999999999995</v>
      </c>
      <c r="U133" s="2">
        <f t="shared" si="24"/>
        <v>72.185999999999993</v>
      </c>
      <c r="V133" s="2">
        <f t="shared" ref="V133:V196" si="34">+(Q133*K133*N133)*(1+M133)</f>
        <v>24.515999999999998</v>
      </c>
      <c r="W133" s="2">
        <f t="shared" ref="W133:W196" si="35">+Q133*K133</f>
        <v>34.049999999999997</v>
      </c>
      <c r="X133" s="2">
        <f t="shared" ref="X133:X196" si="36">+IF(O133&gt;K133*Q133*N133,O133,K133*Q133*N133)</f>
        <v>13.62</v>
      </c>
      <c r="Y133" s="114">
        <f t="shared" ref="Y133:Y196" si="37">+V133+X133/2</f>
        <v>31.325999999999997</v>
      </c>
      <c r="AA133" s="11">
        <f t="shared" ca="1" si="27"/>
        <v>133</v>
      </c>
      <c r="AB133" s="11">
        <f ca="1">+AA133+'parametres articles'!$C$9-1</f>
        <v>147</v>
      </c>
      <c r="AC133" s="11">
        <f ca="1">+AA133+'parametres articles'!$C$24-1</f>
        <v>152</v>
      </c>
      <c r="AD133" s="11">
        <f ca="1">+IF(AE133&lt;='parametres articles'!$H$8,0,AA133-'parametres articles'!$H$8+1)</f>
        <v>129</v>
      </c>
      <c r="AE133" s="11">
        <v>129</v>
      </c>
      <c r="AF133" s="2" t="str">
        <f t="shared" ca="1" si="25"/>
        <v>F148</v>
      </c>
      <c r="AG133" s="172"/>
      <c r="AI133" s="2"/>
      <c r="AJ133" s="2"/>
      <c r="AK133" s="2"/>
      <c r="AL133" s="2"/>
    </row>
    <row r="134" spans="1:38" x14ac:dyDescent="0.25">
      <c r="A134" s="166">
        <v>42192</v>
      </c>
      <c r="C134" s="160" t="s">
        <v>21</v>
      </c>
      <c r="D134" s="161">
        <f ca="1">+IF(AD134=0,P134,(SUM(INDIRECT(CONCATENATE("B",AD134,":B",AA134)))/'parametres articles'!$H$8))</f>
        <v>1.6</v>
      </c>
      <c r="E134" s="10">
        <f t="shared" si="26"/>
        <v>58</v>
      </c>
      <c r="F134" s="10"/>
      <c r="G134" s="10">
        <f t="shared" si="30"/>
        <v>58</v>
      </c>
      <c r="H134" s="140"/>
      <c r="I134" s="141">
        <f t="shared" si="29"/>
        <v>75.333333333333329</v>
      </c>
      <c r="K134" s="2">
        <f>+HLOOKUP($C134,'parametres articles'!$C$5:$G$25,5,FALSE)</f>
        <v>15</v>
      </c>
      <c r="L134" s="2">
        <f>+HLOOKUP($C134,'parametres articles'!$C$5:$G$25,21,FALSE)</f>
        <v>13</v>
      </c>
      <c r="M134" s="124">
        <f>+HLOOKUP($C134,'parametres articles'!$C$5:$G$25,7,FALSE)</f>
        <v>0.8</v>
      </c>
      <c r="N134" s="124">
        <f>+HLOOKUP($C134,'parametres articles'!$C$5:$G$25,6,FALSE)</f>
        <v>0.4</v>
      </c>
      <c r="O134" s="2">
        <f>+HLOOKUP($C134,'parametres articles'!$C$5:$G$25,8,FALSE)</f>
        <v>0</v>
      </c>
      <c r="P134" s="114">
        <f>IF(C134="E",'parametres articles'!$C$8,HLOOKUP($C134,'parametres articles'!$C$5:$F$25,4,FALSE))</f>
        <v>2.27</v>
      </c>
      <c r="Q134" s="114">
        <f t="shared" si="31"/>
        <v>2.27</v>
      </c>
      <c r="R134" s="2">
        <f t="shared" ref="R134:R197" si="38">+Q134*K134*N134</f>
        <v>13.62</v>
      </c>
      <c r="S134" s="2">
        <f t="shared" si="32"/>
        <v>24.515999999999998</v>
      </c>
      <c r="T134" s="2">
        <f t="shared" si="33"/>
        <v>58.565999999999995</v>
      </c>
      <c r="U134" s="2">
        <f t="shared" ref="U134:U197" si="39">+T134+X134</f>
        <v>72.185999999999993</v>
      </c>
      <c r="V134" s="2">
        <f t="shared" si="34"/>
        <v>24.515999999999998</v>
      </c>
      <c r="W134" s="2">
        <f t="shared" si="35"/>
        <v>34.049999999999997</v>
      </c>
      <c r="X134" s="2">
        <f t="shared" si="36"/>
        <v>13.62</v>
      </c>
      <c r="Y134" s="114">
        <f t="shared" si="37"/>
        <v>31.325999999999997</v>
      </c>
      <c r="AA134" s="11">
        <f t="shared" ca="1" si="27"/>
        <v>134</v>
      </c>
      <c r="AB134" s="11">
        <f ca="1">+AA134+'parametres articles'!$C$9-1</f>
        <v>148</v>
      </c>
      <c r="AC134" s="11">
        <f ca="1">+AA134+'parametres articles'!$C$24-1</f>
        <v>153</v>
      </c>
      <c r="AD134" s="11">
        <f ca="1">+IF(AE134&lt;='parametres articles'!$H$8,0,AA134-'parametres articles'!$H$8+1)</f>
        <v>130</v>
      </c>
      <c r="AE134" s="11">
        <v>130</v>
      </c>
      <c r="AF134" s="2" t="str">
        <f t="shared" ref="AF134:AF197" ca="1" si="40">CONCATENATE("F",AA134+K133)</f>
        <v>F149</v>
      </c>
      <c r="AG134" s="172"/>
      <c r="AI134" s="2"/>
      <c r="AJ134" s="2"/>
      <c r="AK134" s="2"/>
      <c r="AL134" s="2"/>
    </row>
    <row r="135" spans="1:38" x14ac:dyDescent="0.25">
      <c r="A135" s="166">
        <v>42193</v>
      </c>
      <c r="C135" s="160" t="s">
        <v>21</v>
      </c>
      <c r="D135" s="161">
        <f ca="1">+IF(AD135=0,P135,(SUM(INDIRECT(CONCATENATE("B",AD135,":B",AA135)))/'parametres articles'!$H$8))</f>
        <v>0</v>
      </c>
      <c r="E135" s="10">
        <f t="shared" ref="E135:E198" si="41">+G134+AG135</f>
        <v>58</v>
      </c>
      <c r="F135" s="10"/>
      <c r="G135" s="10">
        <f t="shared" si="30"/>
        <v>58</v>
      </c>
      <c r="H135" s="140"/>
      <c r="I135" s="141">
        <f t="shared" si="29"/>
        <v>73.714285714285708</v>
      </c>
      <c r="K135" s="2">
        <f>+HLOOKUP($C135,'parametres articles'!$C$5:$G$25,5,FALSE)</f>
        <v>15</v>
      </c>
      <c r="L135" s="2">
        <f>+HLOOKUP($C135,'parametres articles'!$C$5:$G$25,21,FALSE)</f>
        <v>13</v>
      </c>
      <c r="M135" s="124">
        <f>+HLOOKUP($C135,'parametres articles'!$C$5:$G$25,7,FALSE)</f>
        <v>0.8</v>
      </c>
      <c r="N135" s="124">
        <f>+HLOOKUP($C135,'parametres articles'!$C$5:$G$25,6,FALSE)</f>
        <v>0.4</v>
      </c>
      <c r="O135" s="2">
        <f>+HLOOKUP($C135,'parametres articles'!$C$5:$G$25,8,FALSE)</f>
        <v>0</v>
      </c>
      <c r="P135" s="114">
        <f>IF(C135="E",'parametres articles'!$C$8,HLOOKUP($C135,'parametres articles'!$C$5:$F$25,4,FALSE))</f>
        <v>2.27</v>
      </c>
      <c r="Q135" s="114">
        <f t="shared" si="31"/>
        <v>2.27</v>
      </c>
      <c r="R135" s="2">
        <f t="shared" si="38"/>
        <v>13.62</v>
      </c>
      <c r="S135" s="2">
        <f t="shared" si="32"/>
        <v>24.515999999999998</v>
      </c>
      <c r="T135" s="2">
        <f t="shared" si="33"/>
        <v>58.565999999999995</v>
      </c>
      <c r="U135" s="2">
        <f t="shared" si="39"/>
        <v>72.185999999999993</v>
      </c>
      <c r="V135" s="2">
        <f t="shared" si="34"/>
        <v>24.515999999999998</v>
      </c>
      <c r="W135" s="2">
        <f t="shared" si="35"/>
        <v>34.049999999999997</v>
      </c>
      <c r="X135" s="2">
        <f t="shared" si="36"/>
        <v>13.62</v>
      </c>
      <c r="Y135" s="114">
        <f t="shared" si="37"/>
        <v>31.325999999999997</v>
      </c>
      <c r="AA135" s="11">
        <f t="shared" ref="AA135:AA198" ca="1" si="42">+AA134+1</f>
        <v>135</v>
      </c>
      <c r="AB135" s="11">
        <f ca="1">+AA135+'parametres articles'!$C$9-1</f>
        <v>149</v>
      </c>
      <c r="AC135" s="11">
        <f ca="1">+AA135+'parametres articles'!$C$24-1</f>
        <v>154</v>
      </c>
      <c r="AD135" s="11">
        <f ca="1">+IF(AE135&lt;='parametres articles'!$H$8,0,AA135-'parametres articles'!$H$8+1)</f>
        <v>131</v>
      </c>
      <c r="AE135" s="11">
        <v>131</v>
      </c>
      <c r="AF135" s="2" t="str">
        <f t="shared" ca="1" si="40"/>
        <v>F150</v>
      </c>
      <c r="AG135" s="172"/>
      <c r="AI135" s="2"/>
      <c r="AJ135" s="2"/>
      <c r="AK135" s="2"/>
      <c r="AL135" s="2"/>
    </row>
    <row r="136" spans="1:38" x14ac:dyDescent="0.25">
      <c r="A136" s="166">
        <v>42194</v>
      </c>
      <c r="C136" s="160" t="s">
        <v>21</v>
      </c>
      <c r="D136" s="161">
        <f ca="1">+IF(AD136=0,P136,(SUM(INDIRECT(CONCATENATE("B",AD136,":B",AA136)))/'parametres articles'!$H$8))</f>
        <v>0</v>
      </c>
      <c r="E136" s="10">
        <f t="shared" si="41"/>
        <v>58</v>
      </c>
      <c r="F136" s="10"/>
      <c r="G136" s="10">
        <f t="shared" si="30"/>
        <v>58</v>
      </c>
      <c r="H136" s="140"/>
      <c r="I136" s="141">
        <f t="shared" si="29"/>
        <v>72.19047619047619</v>
      </c>
      <c r="K136" s="2">
        <f>+HLOOKUP($C136,'parametres articles'!$C$5:$G$25,5,FALSE)</f>
        <v>15</v>
      </c>
      <c r="L136" s="2">
        <f>+HLOOKUP($C136,'parametres articles'!$C$5:$G$25,21,FALSE)</f>
        <v>13</v>
      </c>
      <c r="M136" s="124">
        <f>+HLOOKUP($C136,'parametres articles'!$C$5:$G$25,7,FALSE)</f>
        <v>0.8</v>
      </c>
      <c r="N136" s="124">
        <f>+HLOOKUP($C136,'parametres articles'!$C$5:$G$25,6,FALSE)</f>
        <v>0.4</v>
      </c>
      <c r="O136" s="2">
        <f>+HLOOKUP($C136,'parametres articles'!$C$5:$G$25,8,FALSE)</f>
        <v>0</v>
      </c>
      <c r="P136" s="114">
        <f>IF(C136="E",'parametres articles'!$C$8,HLOOKUP($C136,'parametres articles'!$C$5:$F$25,4,FALSE))</f>
        <v>2.27</v>
      </c>
      <c r="Q136" s="114">
        <f t="shared" si="31"/>
        <v>2.27</v>
      </c>
      <c r="R136" s="2">
        <f t="shared" si="38"/>
        <v>13.62</v>
      </c>
      <c r="S136" s="2">
        <f t="shared" si="32"/>
        <v>24.515999999999998</v>
      </c>
      <c r="T136" s="2">
        <f t="shared" si="33"/>
        <v>58.565999999999995</v>
      </c>
      <c r="U136" s="2">
        <f t="shared" si="39"/>
        <v>72.185999999999993</v>
      </c>
      <c r="V136" s="2">
        <f t="shared" si="34"/>
        <v>24.515999999999998</v>
      </c>
      <c r="W136" s="2">
        <f t="shared" si="35"/>
        <v>34.049999999999997</v>
      </c>
      <c r="X136" s="2">
        <f t="shared" si="36"/>
        <v>13.62</v>
      </c>
      <c r="Y136" s="114">
        <f t="shared" si="37"/>
        <v>31.325999999999997</v>
      </c>
      <c r="AA136" s="11">
        <f t="shared" ca="1" si="42"/>
        <v>136</v>
      </c>
      <c r="AB136" s="11">
        <f ca="1">+AA136+'parametres articles'!$C$9-1</f>
        <v>150</v>
      </c>
      <c r="AC136" s="11">
        <f ca="1">+AA136+'parametres articles'!$C$24-1</f>
        <v>155</v>
      </c>
      <c r="AD136" s="11">
        <f ca="1">+IF(AE136&lt;='parametres articles'!$H$8,0,AA136-'parametres articles'!$H$8+1)</f>
        <v>132</v>
      </c>
      <c r="AE136" s="11">
        <v>132</v>
      </c>
      <c r="AF136" s="2" t="str">
        <f t="shared" ca="1" si="40"/>
        <v>F151</v>
      </c>
      <c r="AG136" s="172"/>
      <c r="AI136" s="2"/>
      <c r="AJ136" s="2"/>
      <c r="AK136" s="2"/>
      <c r="AL136" s="2"/>
    </row>
    <row r="137" spans="1:38" x14ac:dyDescent="0.25">
      <c r="A137" s="166">
        <v>42195</v>
      </c>
      <c r="C137" s="160" t="s">
        <v>21</v>
      </c>
      <c r="D137" s="161">
        <f ca="1">+IF(AD137=0,P137,(SUM(INDIRECT(CONCATENATE("B",AD137,":B",AA137)))/'parametres articles'!$H$8))</f>
        <v>0</v>
      </c>
      <c r="E137" s="10">
        <f t="shared" si="41"/>
        <v>58</v>
      </c>
      <c r="F137" s="10"/>
      <c r="G137" s="10">
        <f t="shared" si="30"/>
        <v>58</v>
      </c>
      <c r="H137" s="140"/>
      <c r="I137" s="141">
        <f t="shared" si="29"/>
        <v>70.666666666666671</v>
      </c>
      <c r="K137" s="2">
        <f>+HLOOKUP($C137,'parametres articles'!$C$5:$G$25,5,FALSE)</f>
        <v>15</v>
      </c>
      <c r="L137" s="2">
        <f>+HLOOKUP($C137,'parametres articles'!$C$5:$G$25,21,FALSE)</f>
        <v>13</v>
      </c>
      <c r="M137" s="124">
        <f>+HLOOKUP($C137,'parametres articles'!$C$5:$G$25,7,FALSE)</f>
        <v>0.8</v>
      </c>
      <c r="N137" s="124">
        <f>+HLOOKUP($C137,'parametres articles'!$C$5:$G$25,6,FALSE)</f>
        <v>0.4</v>
      </c>
      <c r="O137" s="2">
        <f>+HLOOKUP($C137,'parametres articles'!$C$5:$G$25,8,FALSE)</f>
        <v>0</v>
      </c>
      <c r="P137" s="114">
        <f>IF(C137="E",'parametres articles'!$C$8,HLOOKUP($C137,'parametres articles'!$C$5:$F$25,4,FALSE))</f>
        <v>2.27</v>
      </c>
      <c r="Q137" s="114">
        <f t="shared" si="31"/>
        <v>2.27</v>
      </c>
      <c r="R137" s="2">
        <f t="shared" si="38"/>
        <v>13.62</v>
      </c>
      <c r="S137" s="2">
        <f t="shared" si="32"/>
        <v>24.515999999999998</v>
      </c>
      <c r="T137" s="2">
        <f t="shared" si="33"/>
        <v>58.565999999999995</v>
      </c>
      <c r="U137" s="2">
        <f t="shared" si="39"/>
        <v>72.185999999999993</v>
      </c>
      <c r="V137" s="2">
        <f t="shared" si="34"/>
        <v>24.515999999999998</v>
      </c>
      <c r="W137" s="2">
        <f t="shared" si="35"/>
        <v>34.049999999999997</v>
      </c>
      <c r="X137" s="2">
        <f t="shared" si="36"/>
        <v>13.62</v>
      </c>
      <c r="Y137" s="114">
        <f t="shared" si="37"/>
        <v>31.325999999999997</v>
      </c>
      <c r="AA137" s="11">
        <f t="shared" ca="1" si="42"/>
        <v>137</v>
      </c>
      <c r="AB137" s="11">
        <f ca="1">+AA137+'parametres articles'!$C$9-1</f>
        <v>151</v>
      </c>
      <c r="AC137" s="11">
        <f ca="1">+AA137+'parametres articles'!$C$24-1</f>
        <v>156</v>
      </c>
      <c r="AD137" s="11">
        <f ca="1">+IF(AE137&lt;='parametres articles'!$H$8,0,AA137-'parametres articles'!$H$8+1)</f>
        <v>133</v>
      </c>
      <c r="AE137" s="11">
        <v>133</v>
      </c>
      <c r="AF137" s="2" t="str">
        <f t="shared" ca="1" si="40"/>
        <v>F152</v>
      </c>
      <c r="AG137" s="172"/>
      <c r="AI137" s="2"/>
      <c r="AJ137" s="2"/>
      <c r="AK137" s="2"/>
      <c r="AL137" s="2"/>
    </row>
    <row r="138" spans="1:38" x14ac:dyDescent="0.25">
      <c r="A138" s="166">
        <v>42198</v>
      </c>
      <c r="C138" s="160" t="s">
        <v>21</v>
      </c>
      <c r="D138" s="161">
        <f ca="1">+IF(AD138=0,P138,(SUM(INDIRECT(CONCATENATE("B",AD138,":B",AA138)))/'parametres articles'!$H$8))</f>
        <v>0</v>
      </c>
      <c r="E138" s="10">
        <f t="shared" si="41"/>
        <v>58</v>
      </c>
      <c r="F138" s="10"/>
      <c r="G138" s="10">
        <f t="shared" si="30"/>
        <v>58</v>
      </c>
      <c r="H138" s="140"/>
      <c r="I138" s="141">
        <f t="shared" si="29"/>
        <v>69.238095238095241</v>
      </c>
      <c r="K138" s="2">
        <f>+HLOOKUP($C138,'parametres articles'!$C$5:$G$25,5,FALSE)</f>
        <v>15</v>
      </c>
      <c r="L138" s="2">
        <f>+HLOOKUP($C138,'parametres articles'!$C$5:$G$25,21,FALSE)</f>
        <v>13</v>
      </c>
      <c r="M138" s="124">
        <f>+HLOOKUP($C138,'parametres articles'!$C$5:$G$25,7,FALSE)</f>
        <v>0.8</v>
      </c>
      <c r="N138" s="124">
        <f>+HLOOKUP($C138,'parametres articles'!$C$5:$G$25,6,FALSE)</f>
        <v>0.4</v>
      </c>
      <c r="O138" s="2">
        <f>+HLOOKUP($C138,'parametres articles'!$C$5:$G$25,8,FALSE)</f>
        <v>0</v>
      </c>
      <c r="P138" s="114">
        <f>IF(C138="E",'parametres articles'!$C$8,HLOOKUP($C138,'parametres articles'!$C$5:$F$25,4,FALSE))</f>
        <v>2.27</v>
      </c>
      <c r="Q138" s="114">
        <f t="shared" si="31"/>
        <v>2.27</v>
      </c>
      <c r="R138" s="2">
        <f t="shared" si="38"/>
        <v>13.62</v>
      </c>
      <c r="S138" s="2">
        <f t="shared" si="32"/>
        <v>24.515999999999998</v>
      </c>
      <c r="T138" s="2">
        <f t="shared" si="33"/>
        <v>58.565999999999995</v>
      </c>
      <c r="U138" s="2">
        <f t="shared" si="39"/>
        <v>72.185999999999993</v>
      </c>
      <c r="V138" s="2">
        <f t="shared" si="34"/>
        <v>24.515999999999998</v>
      </c>
      <c r="W138" s="2">
        <f t="shared" si="35"/>
        <v>34.049999999999997</v>
      </c>
      <c r="X138" s="2">
        <f t="shared" si="36"/>
        <v>13.62</v>
      </c>
      <c r="Y138" s="114">
        <f t="shared" si="37"/>
        <v>31.325999999999997</v>
      </c>
      <c r="AA138" s="11">
        <f t="shared" ca="1" si="42"/>
        <v>138</v>
      </c>
      <c r="AB138" s="11">
        <f ca="1">+AA138+'parametres articles'!$C$9-1</f>
        <v>152</v>
      </c>
      <c r="AC138" s="11">
        <f ca="1">+AA138+'parametres articles'!$C$24-1</f>
        <v>157</v>
      </c>
      <c r="AD138" s="11">
        <f ca="1">+IF(AE138&lt;='parametres articles'!$H$8,0,AA138-'parametres articles'!$H$8+1)</f>
        <v>134</v>
      </c>
      <c r="AE138" s="11">
        <v>134</v>
      </c>
      <c r="AF138" s="2" t="str">
        <f t="shared" ca="1" si="40"/>
        <v>F153</v>
      </c>
      <c r="AG138" s="172"/>
      <c r="AH138" s="2"/>
      <c r="AI138" s="2"/>
      <c r="AJ138" s="2"/>
      <c r="AK138" s="2"/>
      <c r="AL138" s="2"/>
    </row>
    <row r="139" spans="1:38" x14ac:dyDescent="0.25">
      <c r="A139" s="166">
        <v>42200</v>
      </c>
      <c r="B139" s="163">
        <v>1</v>
      </c>
      <c r="C139" s="160" t="s">
        <v>21</v>
      </c>
      <c r="D139" s="161">
        <f ca="1">+IF(AD139=0,P139,(SUM(INDIRECT(CONCATENATE("B",AD139,":B",AA139)))/'parametres articles'!$H$8))</f>
        <v>0.2</v>
      </c>
      <c r="E139" s="10">
        <f t="shared" si="41"/>
        <v>58</v>
      </c>
      <c r="F139" s="10"/>
      <c r="G139" s="10">
        <f t="shared" si="30"/>
        <v>57</v>
      </c>
      <c r="H139" s="140"/>
      <c r="I139" s="141">
        <f t="shared" si="29"/>
        <v>67.523809523809518</v>
      </c>
      <c r="K139" s="2">
        <f>+HLOOKUP($C139,'parametres articles'!$C$5:$G$25,5,FALSE)</f>
        <v>15</v>
      </c>
      <c r="L139" s="2">
        <f>+HLOOKUP($C139,'parametres articles'!$C$5:$G$25,21,FALSE)</f>
        <v>13</v>
      </c>
      <c r="M139" s="124">
        <f>+HLOOKUP($C139,'parametres articles'!$C$5:$G$25,7,FALSE)</f>
        <v>0.8</v>
      </c>
      <c r="N139" s="124">
        <f>+HLOOKUP($C139,'parametres articles'!$C$5:$G$25,6,FALSE)</f>
        <v>0.4</v>
      </c>
      <c r="O139" s="2">
        <f>+HLOOKUP($C139,'parametres articles'!$C$5:$G$25,8,FALSE)</f>
        <v>0</v>
      </c>
      <c r="P139" s="114">
        <f>IF(C139="E",'parametres articles'!$C$8,HLOOKUP($C139,'parametres articles'!$C$5:$F$25,4,FALSE))</f>
        <v>2.27</v>
      </c>
      <c r="Q139" s="114">
        <f t="shared" si="31"/>
        <v>2.27</v>
      </c>
      <c r="R139" s="2">
        <f t="shared" si="38"/>
        <v>13.62</v>
      </c>
      <c r="S139" s="2">
        <f t="shared" si="32"/>
        <v>24.515999999999998</v>
      </c>
      <c r="T139" s="2">
        <f t="shared" si="33"/>
        <v>58.565999999999995</v>
      </c>
      <c r="U139" s="2">
        <f t="shared" si="39"/>
        <v>72.185999999999993</v>
      </c>
      <c r="V139" s="2">
        <f t="shared" si="34"/>
        <v>24.515999999999998</v>
      </c>
      <c r="W139" s="2">
        <f t="shared" si="35"/>
        <v>34.049999999999997</v>
      </c>
      <c r="X139" s="2">
        <f t="shared" si="36"/>
        <v>13.62</v>
      </c>
      <c r="Y139" s="114">
        <f t="shared" si="37"/>
        <v>31.325999999999997</v>
      </c>
      <c r="AA139" s="11">
        <f t="shared" ca="1" si="42"/>
        <v>139</v>
      </c>
      <c r="AB139" s="11">
        <f ca="1">+AA139+'parametres articles'!$C$9-1</f>
        <v>153</v>
      </c>
      <c r="AC139" s="11">
        <f ca="1">+AA139+'parametres articles'!$C$24-1</f>
        <v>158</v>
      </c>
      <c r="AD139" s="11">
        <f ca="1">+IF(AE139&lt;='parametres articles'!$H$8,0,AA139-'parametres articles'!$H$8+1)</f>
        <v>135</v>
      </c>
      <c r="AE139" s="11">
        <v>135</v>
      </c>
      <c r="AF139" s="2" t="str">
        <f t="shared" ca="1" si="40"/>
        <v>F154</v>
      </c>
      <c r="AG139" s="172"/>
      <c r="AH139" s="2"/>
      <c r="AI139" s="2"/>
      <c r="AJ139" s="2"/>
      <c r="AK139" s="2"/>
      <c r="AL139" s="2"/>
    </row>
    <row r="140" spans="1:38" x14ac:dyDescent="0.25">
      <c r="A140" s="166">
        <v>42201</v>
      </c>
      <c r="C140" s="160" t="s">
        <v>21</v>
      </c>
      <c r="D140" s="161">
        <f ca="1">+IF(AD140=0,P140,(SUM(INDIRECT(CONCATENATE("B",AD140,":B",AA140)))/'parametres articles'!$H$8))</f>
        <v>0.2</v>
      </c>
      <c r="E140" s="10">
        <f t="shared" si="41"/>
        <v>57</v>
      </c>
      <c r="F140" s="10">
        <f>+VLOOKUP(A140,Feuil1!$K$3:$L$37,2,FALSE)</f>
        <v>16</v>
      </c>
      <c r="G140" s="10">
        <f t="shared" si="30"/>
        <v>73</v>
      </c>
      <c r="H140" s="140"/>
      <c r="I140" s="141">
        <f t="shared" si="29"/>
        <v>65.761904761904759</v>
      </c>
      <c r="K140" s="2">
        <f>+HLOOKUP($C140,'parametres articles'!$C$5:$G$25,5,FALSE)</f>
        <v>15</v>
      </c>
      <c r="L140" s="2">
        <f>+HLOOKUP($C140,'parametres articles'!$C$5:$G$25,21,FALSE)</f>
        <v>13</v>
      </c>
      <c r="M140" s="124">
        <f>+HLOOKUP($C140,'parametres articles'!$C$5:$G$25,7,FALSE)</f>
        <v>0.8</v>
      </c>
      <c r="N140" s="124">
        <f>+HLOOKUP($C140,'parametres articles'!$C$5:$G$25,6,FALSE)</f>
        <v>0.4</v>
      </c>
      <c r="O140" s="2">
        <f>+HLOOKUP($C140,'parametres articles'!$C$5:$G$25,8,FALSE)</f>
        <v>0</v>
      </c>
      <c r="P140" s="114">
        <f>IF(C140="E",'parametres articles'!$C$8,HLOOKUP($C140,'parametres articles'!$C$5:$F$25,4,FALSE))</f>
        <v>2.27</v>
      </c>
      <c r="Q140" s="114">
        <f t="shared" si="31"/>
        <v>2.27</v>
      </c>
      <c r="R140" s="2">
        <f t="shared" si="38"/>
        <v>13.62</v>
      </c>
      <c r="S140" s="2">
        <f t="shared" si="32"/>
        <v>24.515999999999998</v>
      </c>
      <c r="T140" s="2">
        <f t="shared" si="33"/>
        <v>58.565999999999995</v>
      </c>
      <c r="U140" s="2">
        <f t="shared" si="39"/>
        <v>72.185999999999993</v>
      </c>
      <c r="V140" s="2">
        <f t="shared" si="34"/>
        <v>24.515999999999998</v>
      </c>
      <c r="W140" s="2">
        <f t="shared" si="35"/>
        <v>34.049999999999997</v>
      </c>
      <c r="X140" s="2">
        <f t="shared" si="36"/>
        <v>13.62</v>
      </c>
      <c r="Y140" s="114">
        <f t="shared" si="37"/>
        <v>31.325999999999997</v>
      </c>
      <c r="AA140" s="11">
        <f t="shared" ca="1" si="42"/>
        <v>140</v>
      </c>
      <c r="AB140" s="11">
        <f ca="1">+AA140+'parametres articles'!$C$9-1</f>
        <v>154</v>
      </c>
      <c r="AC140" s="11">
        <f ca="1">+AA140+'parametres articles'!$C$24-1</f>
        <v>159</v>
      </c>
      <c r="AD140" s="11">
        <f ca="1">+IF(AE140&lt;='parametres articles'!$H$8,0,AA140-'parametres articles'!$H$8+1)</f>
        <v>136</v>
      </c>
      <c r="AE140" s="11">
        <v>136</v>
      </c>
      <c r="AF140" s="2" t="str">
        <f t="shared" ca="1" si="40"/>
        <v>F155</v>
      </c>
      <c r="AG140" s="172"/>
      <c r="AH140" s="2"/>
      <c r="AI140" s="2"/>
      <c r="AJ140" s="2"/>
      <c r="AK140" s="2"/>
      <c r="AL140" s="2"/>
    </row>
    <row r="141" spans="1:38" x14ac:dyDescent="0.25">
      <c r="A141" s="166">
        <v>42202</v>
      </c>
      <c r="C141" s="160" t="s">
        <v>21</v>
      </c>
      <c r="D141" s="161">
        <f ca="1">+IF(AD141=0,P141,(SUM(INDIRECT(CONCATENATE("B",AD141,":B",AA141)))/'parametres articles'!$H$8))</f>
        <v>0.2</v>
      </c>
      <c r="E141" s="10">
        <f t="shared" si="41"/>
        <v>73</v>
      </c>
      <c r="F141" s="10"/>
      <c r="G141" s="10">
        <f t="shared" si="30"/>
        <v>73</v>
      </c>
      <c r="H141" s="140"/>
      <c r="I141" s="141">
        <f t="shared" si="29"/>
        <v>65.428571428571431</v>
      </c>
      <c r="K141" s="2">
        <f>+HLOOKUP($C141,'parametres articles'!$C$5:$G$25,5,FALSE)</f>
        <v>15</v>
      </c>
      <c r="L141" s="2">
        <f>+HLOOKUP($C141,'parametres articles'!$C$5:$G$25,21,FALSE)</f>
        <v>13</v>
      </c>
      <c r="M141" s="124">
        <f>+HLOOKUP($C141,'parametres articles'!$C$5:$G$25,7,FALSE)</f>
        <v>0.8</v>
      </c>
      <c r="N141" s="124">
        <f>+HLOOKUP($C141,'parametres articles'!$C$5:$G$25,6,FALSE)</f>
        <v>0.4</v>
      </c>
      <c r="O141" s="2">
        <f>+HLOOKUP($C141,'parametres articles'!$C$5:$G$25,8,FALSE)</f>
        <v>0</v>
      </c>
      <c r="P141" s="114">
        <f>IF(C141="E",'parametres articles'!$C$8,HLOOKUP($C141,'parametres articles'!$C$5:$F$25,4,FALSE))</f>
        <v>2.27</v>
      </c>
      <c r="Q141" s="114">
        <f t="shared" si="31"/>
        <v>2.27</v>
      </c>
      <c r="R141" s="2">
        <f t="shared" si="38"/>
        <v>13.62</v>
      </c>
      <c r="S141" s="2">
        <f t="shared" si="32"/>
        <v>24.515999999999998</v>
      </c>
      <c r="T141" s="2">
        <f t="shared" si="33"/>
        <v>58.565999999999995</v>
      </c>
      <c r="U141" s="2">
        <f t="shared" si="39"/>
        <v>72.185999999999993</v>
      </c>
      <c r="V141" s="2">
        <f t="shared" si="34"/>
        <v>24.515999999999998</v>
      </c>
      <c r="W141" s="2">
        <f t="shared" si="35"/>
        <v>34.049999999999997</v>
      </c>
      <c r="X141" s="2">
        <f t="shared" si="36"/>
        <v>13.62</v>
      </c>
      <c r="Y141" s="114">
        <f t="shared" si="37"/>
        <v>31.325999999999997</v>
      </c>
      <c r="AA141" s="11">
        <f t="shared" ca="1" si="42"/>
        <v>141</v>
      </c>
      <c r="AB141" s="11">
        <f ca="1">+AA141+'parametres articles'!$C$9-1</f>
        <v>155</v>
      </c>
      <c r="AC141" s="11">
        <f ca="1">+AA141+'parametres articles'!$C$24-1</f>
        <v>160</v>
      </c>
      <c r="AD141" s="11">
        <f ca="1">+IF(AE141&lt;='parametres articles'!$H$8,0,AA141-'parametres articles'!$H$8+1)</f>
        <v>137</v>
      </c>
      <c r="AE141" s="11">
        <v>137</v>
      </c>
      <c r="AF141" s="2" t="str">
        <f t="shared" ca="1" si="40"/>
        <v>F156</v>
      </c>
      <c r="AG141" s="172"/>
      <c r="AH141" s="2"/>
      <c r="AI141" s="2"/>
      <c r="AJ141" s="2"/>
      <c r="AK141" s="2"/>
      <c r="AL141" s="2"/>
    </row>
    <row r="142" spans="1:38" x14ac:dyDescent="0.25">
      <c r="A142" s="166">
        <v>42205</v>
      </c>
      <c r="C142" s="160" t="s">
        <v>21</v>
      </c>
      <c r="D142" s="161">
        <f ca="1">+IF(AD142=0,P142,(SUM(INDIRECT(CONCATENATE("B",AD142,":B",AA142)))/'parametres articles'!$H$8))</f>
        <v>0.2</v>
      </c>
      <c r="E142" s="10">
        <f t="shared" si="41"/>
        <v>73</v>
      </c>
      <c r="F142" s="10"/>
      <c r="G142" s="10">
        <f t="shared" si="30"/>
        <v>73</v>
      </c>
      <c r="H142" s="140"/>
      <c r="I142" s="141">
        <f t="shared" si="29"/>
        <v>65.095238095238102</v>
      </c>
      <c r="K142" s="2">
        <f>+HLOOKUP($C142,'parametres articles'!$C$5:$G$25,5,FALSE)</f>
        <v>15</v>
      </c>
      <c r="L142" s="2">
        <f>+HLOOKUP($C142,'parametres articles'!$C$5:$G$25,21,FALSE)</f>
        <v>13</v>
      </c>
      <c r="M142" s="124">
        <f>+HLOOKUP($C142,'parametres articles'!$C$5:$G$25,7,FALSE)</f>
        <v>0.8</v>
      </c>
      <c r="N142" s="124">
        <f>+HLOOKUP($C142,'parametres articles'!$C$5:$G$25,6,FALSE)</f>
        <v>0.4</v>
      </c>
      <c r="O142" s="2">
        <f>+HLOOKUP($C142,'parametres articles'!$C$5:$G$25,8,FALSE)</f>
        <v>0</v>
      </c>
      <c r="P142" s="114">
        <f>IF(C142="E",'parametres articles'!$C$8,HLOOKUP($C142,'parametres articles'!$C$5:$F$25,4,FALSE))</f>
        <v>2.27</v>
      </c>
      <c r="Q142" s="114">
        <f t="shared" si="31"/>
        <v>2.27</v>
      </c>
      <c r="R142" s="2">
        <f t="shared" si="38"/>
        <v>13.62</v>
      </c>
      <c r="S142" s="2">
        <f t="shared" si="32"/>
        <v>24.515999999999998</v>
      </c>
      <c r="T142" s="2">
        <f t="shared" si="33"/>
        <v>58.565999999999995</v>
      </c>
      <c r="U142" s="2">
        <f t="shared" si="39"/>
        <v>72.185999999999993</v>
      </c>
      <c r="V142" s="2">
        <f t="shared" si="34"/>
        <v>24.515999999999998</v>
      </c>
      <c r="W142" s="2">
        <f t="shared" si="35"/>
        <v>34.049999999999997</v>
      </c>
      <c r="X142" s="2">
        <f t="shared" si="36"/>
        <v>13.62</v>
      </c>
      <c r="Y142" s="114">
        <f t="shared" si="37"/>
        <v>31.325999999999997</v>
      </c>
      <c r="AA142" s="11">
        <f t="shared" ca="1" si="42"/>
        <v>142</v>
      </c>
      <c r="AB142" s="11">
        <f ca="1">+AA142+'parametres articles'!$C$9-1</f>
        <v>156</v>
      </c>
      <c r="AC142" s="11">
        <f ca="1">+AA142+'parametres articles'!$C$24-1</f>
        <v>161</v>
      </c>
      <c r="AD142" s="11">
        <f ca="1">+IF(AE142&lt;='parametres articles'!$H$8,0,AA142-'parametres articles'!$H$8+1)</f>
        <v>138</v>
      </c>
      <c r="AE142" s="11">
        <v>138</v>
      </c>
      <c r="AF142" s="2" t="str">
        <f t="shared" ca="1" si="40"/>
        <v>F157</v>
      </c>
      <c r="AG142" s="172"/>
      <c r="AI142" s="2"/>
      <c r="AJ142" s="2"/>
      <c r="AK142" s="2"/>
      <c r="AL142" s="2"/>
    </row>
    <row r="143" spans="1:38" x14ac:dyDescent="0.25">
      <c r="A143" s="166">
        <v>42206</v>
      </c>
      <c r="C143" s="160" t="s">
        <v>21</v>
      </c>
      <c r="D143" s="161">
        <f ca="1">+IF(AD143=0,P143,(SUM(INDIRECT(CONCATENATE("B",AD143,":B",AA143)))/'parametres articles'!$H$8))</f>
        <v>0.2</v>
      </c>
      <c r="E143" s="10">
        <f t="shared" si="41"/>
        <v>73</v>
      </c>
      <c r="F143" s="10"/>
      <c r="G143" s="10">
        <f t="shared" si="30"/>
        <v>73</v>
      </c>
      <c r="H143" s="140"/>
      <c r="I143" s="141">
        <f t="shared" si="29"/>
        <v>64.952380952380949</v>
      </c>
      <c r="K143" s="2">
        <f>+HLOOKUP($C143,'parametres articles'!$C$5:$G$25,5,FALSE)</f>
        <v>15</v>
      </c>
      <c r="L143" s="2">
        <f>+HLOOKUP($C143,'parametres articles'!$C$5:$G$25,21,FALSE)</f>
        <v>13</v>
      </c>
      <c r="M143" s="124">
        <f>+HLOOKUP($C143,'parametres articles'!$C$5:$G$25,7,FALSE)</f>
        <v>0.8</v>
      </c>
      <c r="N143" s="124">
        <f>+HLOOKUP($C143,'parametres articles'!$C$5:$G$25,6,FALSE)</f>
        <v>0.4</v>
      </c>
      <c r="O143" s="2">
        <f>+HLOOKUP($C143,'parametres articles'!$C$5:$G$25,8,FALSE)</f>
        <v>0</v>
      </c>
      <c r="P143" s="114">
        <f>IF(C143="E",'parametres articles'!$C$8,HLOOKUP($C143,'parametres articles'!$C$5:$F$25,4,FALSE))</f>
        <v>2.27</v>
      </c>
      <c r="Q143" s="114">
        <f t="shared" si="31"/>
        <v>2.27</v>
      </c>
      <c r="R143" s="2">
        <f t="shared" si="38"/>
        <v>13.62</v>
      </c>
      <c r="S143" s="2">
        <f t="shared" si="32"/>
        <v>24.515999999999998</v>
      </c>
      <c r="T143" s="2">
        <f t="shared" si="33"/>
        <v>58.565999999999995</v>
      </c>
      <c r="U143" s="2">
        <f t="shared" si="39"/>
        <v>72.185999999999993</v>
      </c>
      <c r="V143" s="2">
        <f t="shared" si="34"/>
        <v>24.515999999999998</v>
      </c>
      <c r="W143" s="2">
        <f t="shared" si="35"/>
        <v>34.049999999999997</v>
      </c>
      <c r="X143" s="2">
        <f t="shared" si="36"/>
        <v>13.62</v>
      </c>
      <c r="Y143" s="114">
        <f t="shared" si="37"/>
        <v>31.325999999999997</v>
      </c>
      <c r="AA143" s="11">
        <f t="shared" ca="1" si="42"/>
        <v>143</v>
      </c>
      <c r="AB143" s="11">
        <f ca="1">+AA143+'parametres articles'!$C$9-1</f>
        <v>157</v>
      </c>
      <c r="AC143" s="11">
        <f ca="1">+AA143+'parametres articles'!$C$24-1</f>
        <v>162</v>
      </c>
      <c r="AD143" s="11">
        <f ca="1">+IF(AE143&lt;='parametres articles'!$H$8,0,AA143-'parametres articles'!$H$8+1)</f>
        <v>139</v>
      </c>
      <c r="AE143" s="11">
        <v>139</v>
      </c>
      <c r="AF143" s="2" t="str">
        <f t="shared" ca="1" si="40"/>
        <v>F158</v>
      </c>
      <c r="AG143" s="172"/>
      <c r="AI143" s="2"/>
      <c r="AJ143" s="2"/>
      <c r="AK143" s="2"/>
      <c r="AL143" s="2"/>
    </row>
    <row r="144" spans="1:38" x14ac:dyDescent="0.25">
      <c r="A144" s="166">
        <v>42207</v>
      </c>
      <c r="B144" s="163">
        <v>2</v>
      </c>
      <c r="C144" s="160" t="s">
        <v>21</v>
      </c>
      <c r="D144" s="161">
        <f ca="1">+IF(AD144=0,P144,(SUM(INDIRECT(CONCATENATE("B",AD144,":B",AA144)))/'parametres articles'!$H$8))</f>
        <v>0.4</v>
      </c>
      <c r="E144" s="10">
        <f t="shared" si="41"/>
        <v>73</v>
      </c>
      <c r="F144" s="10"/>
      <c r="G144" s="10">
        <f t="shared" si="30"/>
        <v>71</v>
      </c>
      <c r="H144" s="140"/>
      <c r="I144" s="141">
        <f t="shared" si="29"/>
        <v>64.80952380952381</v>
      </c>
      <c r="K144" s="2">
        <f>+HLOOKUP($C144,'parametres articles'!$C$5:$G$25,5,FALSE)</f>
        <v>15</v>
      </c>
      <c r="L144" s="2">
        <f>+HLOOKUP($C144,'parametres articles'!$C$5:$G$25,21,FALSE)</f>
        <v>13</v>
      </c>
      <c r="M144" s="124">
        <f>+HLOOKUP($C144,'parametres articles'!$C$5:$G$25,7,FALSE)</f>
        <v>0.8</v>
      </c>
      <c r="N144" s="124">
        <f>+HLOOKUP($C144,'parametres articles'!$C$5:$G$25,6,FALSE)</f>
        <v>0.4</v>
      </c>
      <c r="O144" s="2">
        <f>+HLOOKUP($C144,'parametres articles'!$C$5:$G$25,8,FALSE)</f>
        <v>0</v>
      </c>
      <c r="P144" s="114">
        <f>IF(C144="E",'parametres articles'!$C$8,HLOOKUP($C144,'parametres articles'!$C$5:$F$25,4,FALSE))</f>
        <v>2.27</v>
      </c>
      <c r="Q144" s="114">
        <f t="shared" si="31"/>
        <v>2.27</v>
      </c>
      <c r="R144" s="2">
        <f t="shared" si="38"/>
        <v>13.62</v>
      </c>
      <c r="S144" s="2">
        <f t="shared" si="32"/>
        <v>24.515999999999998</v>
      </c>
      <c r="T144" s="2">
        <f t="shared" si="33"/>
        <v>58.565999999999995</v>
      </c>
      <c r="U144" s="2">
        <f t="shared" si="39"/>
        <v>72.185999999999993</v>
      </c>
      <c r="V144" s="2">
        <f t="shared" si="34"/>
        <v>24.515999999999998</v>
      </c>
      <c r="W144" s="2">
        <f t="shared" si="35"/>
        <v>34.049999999999997</v>
      </c>
      <c r="X144" s="2">
        <f t="shared" si="36"/>
        <v>13.62</v>
      </c>
      <c r="Y144" s="114">
        <f t="shared" si="37"/>
        <v>31.325999999999997</v>
      </c>
      <c r="AA144" s="11">
        <f t="shared" ca="1" si="42"/>
        <v>144</v>
      </c>
      <c r="AB144" s="11">
        <f ca="1">+AA144+'parametres articles'!$C$9-1</f>
        <v>158</v>
      </c>
      <c r="AC144" s="11">
        <f ca="1">+AA144+'parametres articles'!$C$24-1</f>
        <v>163</v>
      </c>
      <c r="AD144" s="11">
        <f ca="1">+IF(AE144&lt;='parametres articles'!$H$8,0,AA144-'parametres articles'!$H$8+1)</f>
        <v>140</v>
      </c>
      <c r="AE144" s="11">
        <v>140</v>
      </c>
      <c r="AF144" s="2" t="str">
        <f t="shared" ca="1" si="40"/>
        <v>F159</v>
      </c>
      <c r="AG144" s="172"/>
      <c r="AI144" s="2"/>
      <c r="AJ144" s="2"/>
      <c r="AK144" s="2"/>
      <c r="AL144" s="2"/>
    </row>
    <row r="145" spans="1:38" x14ac:dyDescent="0.25">
      <c r="A145" s="166">
        <v>42208</v>
      </c>
      <c r="C145" s="160" t="s">
        <v>21</v>
      </c>
      <c r="D145" s="161">
        <f ca="1">+IF(AD145=0,P145,(SUM(INDIRECT(CONCATENATE("B",AD145,":B",AA145)))/'parametres articles'!$H$8))</f>
        <v>0.4</v>
      </c>
      <c r="E145" s="10">
        <f t="shared" si="41"/>
        <v>71</v>
      </c>
      <c r="F145" s="10"/>
      <c r="G145" s="10">
        <f t="shared" si="30"/>
        <v>71</v>
      </c>
      <c r="H145" s="140"/>
      <c r="I145" s="141">
        <f t="shared" si="29"/>
        <v>64.761904761904759</v>
      </c>
      <c r="K145" s="2">
        <f>+HLOOKUP($C145,'parametres articles'!$C$5:$G$25,5,FALSE)</f>
        <v>15</v>
      </c>
      <c r="L145" s="2">
        <f>+HLOOKUP($C145,'parametres articles'!$C$5:$G$25,21,FALSE)</f>
        <v>13</v>
      </c>
      <c r="M145" s="124">
        <f>+HLOOKUP($C145,'parametres articles'!$C$5:$G$25,7,FALSE)</f>
        <v>0.8</v>
      </c>
      <c r="N145" s="124">
        <f>+HLOOKUP($C145,'parametres articles'!$C$5:$G$25,6,FALSE)</f>
        <v>0.4</v>
      </c>
      <c r="O145" s="2">
        <f>+HLOOKUP($C145,'parametres articles'!$C$5:$G$25,8,FALSE)</f>
        <v>0</v>
      </c>
      <c r="P145" s="114">
        <f>IF(C145="E",'parametres articles'!$C$8,HLOOKUP($C145,'parametres articles'!$C$5:$F$25,4,FALSE))</f>
        <v>2.27</v>
      </c>
      <c r="Q145" s="114">
        <f t="shared" si="31"/>
        <v>2.27</v>
      </c>
      <c r="R145" s="2">
        <f t="shared" si="38"/>
        <v>13.62</v>
      </c>
      <c r="S145" s="2">
        <f t="shared" si="32"/>
        <v>24.515999999999998</v>
      </c>
      <c r="T145" s="2">
        <f t="shared" si="33"/>
        <v>58.565999999999995</v>
      </c>
      <c r="U145" s="2">
        <f t="shared" si="39"/>
        <v>72.185999999999993</v>
      </c>
      <c r="V145" s="2">
        <f t="shared" si="34"/>
        <v>24.515999999999998</v>
      </c>
      <c r="W145" s="2">
        <f t="shared" si="35"/>
        <v>34.049999999999997</v>
      </c>
      <c r="X145" s="2">
        <f t="shared" si="36"/>
        <v>13.62</v>
      </c>
      <c r="Y145" s="114">
        <f t="shared" si="37"/>
        <v>31.325999999999997</v>
      </c>
      <c r="AA145" s="11">
        <f t="shared" ca="1" si="42"/>
        <v>145</v>
      </c>
      <c r="AB145" s="11">
        <f ca="1">+AA145+'parametres articles'!$C$9-1</f>
        <v>159</v>
      </c>
      <c r="AC145" s="11">
        <f ca="1">+AA145+'parametres articles'!$C$24-1</f>
        <v>164</v>
      </c>
      <c r="AD145" s="11">
        <f ca="1">+IF(AE145&lt;='parametres articles'!$H$8,0,AA145-'parametres articles'!$H$8+1)</f>
        <v>141</v>
      </c>
      <c r="AE145" s="11">
        <v>141</v>
      </c>
      <c r="AF145" s="2" t="str">
        <f t="shared" ca="1" si="40"/>
        <v>F160</v>
      </c>
      <c r="AG145" s="172"/>
      <c r="AI145" s="2"/>
      <c r="AJ145" s="2"/>
      <c r="AK145" s="2"/>
      <c r="AL145" s="2"/>
    </row>
    <row r="146" spans="1:38" x14ac:dyDescent="0.25">
      <c r="A146" s="166">
        <v>42209</v>
      </c>
      <c r="C146" s="160" t="s">
        <v>21</v>
      </c>
      <c r="D146" s="161">
        <f ca="1">+IF(AD146=0,P146,(SUM(INDIRECT(CONCATENATE("B",AD146,":B",AA146)))/'parametres articles'!$H$8))</f>
        <v>0.4</v>
      </c>
      <c r="E146" s="10">
        <f t="shared" si="41"/>
        <v>71</v>
      </c>
      <c r="F146" s="10"/>
      <c r="G146" s="10">
        <f t="shared" si="30"/>
        <v>71</v>
      </c>
      <c r="H146" s="140"/>
      <c r="I146" s="141">
        <f t="shared" si="29"/>
        <v>64.714285714285708</v>
      </c>
      <c r="K146" s="2">
        <f>+HLOOKUP($C146,'parametres articles'!$C$5:$G$25,5,FALSE)</f>
        <v>15</v>
      </c>
      <c r="L146" s="2">
        <f>+HLOOKUP($C146,'parametres articles'!$C$5:$G$25,21,FALSE)</f>
        <v>13</v>
      </c>
      <c r="M146" s="124">
        <f>+HLOOKUP($C146,'parametres articles'!$C$5:$G$25,7,FALSE)</f>
        <v>0.8</v>
      </c>
      <c r="N146" s="124">
        <f>+HLOOKUP($C146,'parametres articles'!$C$5:$G$25,6,FALSE)</f>
        <v>0.4</v>
      </c>
      <c r="O146" s="2">
        <f>+HLOOKUP($C146,'parametres articles'!$C$5:$G$25,8,FALSE)</f>
        <v>0</v>
      </c>
      <c r="P146" s="114">
        <f>IF(C146="E",'parametres articles'!$C$8,HLOOKUP($C146,'parametres articles'!$C$5:$F$25,4,FALSE))</f>
        <v>2.27</v>
      </c>
      <c r="Q146" s="114">
        <f t="shared" si="31"/>
        <v>2.27</v>
      </c>
      <c r="R146" s="2">
        <f t="shared" si="38"/>
        <v>13.62</v>
      </c>
      <c r="S146" s="2">
        <f t="shared" si="32"/>
        <v>24.515999999999998</v>
      </c>
      <c r="T146" s="2">
        <f t="shared" si="33"/>
        <v>58.565999999999995</v>
      </c>
      <c r="U146" s="2">
        <f t="shared" si="39"/>
        <v>72.185999999999993</v>
      </c>
      <c r="V146" s="2">
        <f t="shared" si="34"/>
        <v>24.515999999999998</v>
      </c>
      <c r="W146" s="2">
        <f t="shared" si="35"/>
        <v>34.049999999999997</v>
      </c>
      <c r="X146" s="2">
        <f t="shared" si="36"/>
        <v>13.62</v>
      </c>
      <c r="Y146" s="114">
        <f t="shared" si="37"/>
        <v>31.325999999999997</v>
      </c>
      <c r="AA146" s="11">
        <f t="shared" ca="1" si="42"/>
        <v>146</v>
      </c>
      <c r="AB146" s="11">
        <f ca="1">+AA146+'parametres articles'!$C$9-1</f>
        <v>160</v>
      </c>
      <c r="AC146" s="11">
        <f ca="1">+AA146+'parametres articles'!$C$24-1</f>
        <v>165</v>
      </c>
      <c r="AD146" s="11">
        <f ca="1">+IF(AE146&lt;='parametres articles'!$H$8,0,AA146-'parametres articles'!$H$8+1)</f>
        <v>142</v>
      </c>
      <c r="AE146" s="11">
        <v>142</v>
      </c>
      <c r="AF146" s="2" t="str">
        <f t="shared" ca="1" si="40"/>
        <v>F161</v>
      </c>
      <c r="AG146" s="172"/>
      <c r="AI146" s="2"/>
      <c r="AJ146" s="2"/>
      <c r="AK146" s="2"/>
      <c r="AL146" s="2"/>
    </row>
    <row r="147" spans="1:38" x14ac:dyDescent="0.25">
      <c r="A147" s="166">
        <v>42212</v>
      </c>
      <c r="C147" s="160" t="s">
        <v>21</v>
      </c>
      <c r="D147" s="161">
        <f ca="1">+IF(AD147=0,P147,(SUM(INDIRECT(CONCATENATE("B",AD147,":B",AA147)))/'parametres articles'!$H$8))</f>
        <v>0.4</v>
      </c>
      <c r="E147" s="10">
        <f t="shared" si="41"/>
        <v>71</v>
      </c>
      <c r="F147" s="10"/>
      <c r="G147" s="10">
        <f t="shared" si="30"/>
        <v>71</v>
      </c>
      <c r="H147" s="140"/>
      <c r="I147" s="141">
        <f t="shared" si="29"/>
        <v>64.761904761904759</v>
      </c>
      <c r="K147" s="2">
        <f>+HLOOKUP($C147,'parametres articles'!$C$5:$G$25,5,FALSE)</f>
        <v>15</v>
      </c>
      <c r="L147" s="2">
        <f>+HLOOKUP($C147,'parametres articles'!$C$5:$G$25,21,FALSE)</f>
        <v>13</v>
      </c>
      <c r="M147" s="124">
        <f>+HLOOKUP($C147,'parametres articles'!$C$5:$G$25,7,FALSE)</f>
        <v>0.8</v>
      </c>
      <c r="N147" s="124">
        <f>+HLOOKUP($C147,'parametres articles'!$C$5:$G$25,6,FALSE)</f>
        <v>0.4</v>
      </c>
      <c r="O147" s="2">
        <f>+HLOOKUP($C147,'parametres articles'!$C$5:$G$25,8,FALSE)</f>
        <v>0</v>
      </c>
      <c r="P147" s="114">
        <f>IF(C147="E",'parametres articles'!$C$8,HLOOKUP($C147,'parametres articles'!$C$5:$F$25,4,FALSE))</f>
        <v>2.27</v>
      </c>
      <c r="Q147" s="114">
        <f t="shared" si="31"/>
        <v>2.27</v>
      </c>
      <c r="R147" s="2">
        <f t="shared" si="38"/>
        <v>13.62</v>
      </c>
      <c r="S147" s="2">
        <f t="shared" si="32"/>
        <v>24.515999999999998</v>
      </c>
      <c r="T147" s="2">
        <f t="shared" si="33"/>
        <v>58.565999999999995</v>
      </c>
      <c r="U147" s="2">
        <f t="shared" si="39"/>
        <v>72.185999999999993</v>
      </c>
      <c r="V147" s="2">
        <f t="shared" si="34"/>
        <v>24.515999999999998</v>
      </c>
      <c r="W147" s="2">
        <f t="shared" si="35"/>
        <v>34.049999999999997</v>
      </c>
      <c r="X147" s="2">
        <f t="shared" si="36"/>
        <v>13.62</v>
      </c>
      <c r="Y147" s="114">
        <f t="shared" si="37"/>
        <v>31.325999999999997</v>
      </c>
      <c r="AA147" s="11">
        <f t="shared" ca="1" si="42"/>
        <v>147</v>
      </c>
      <c r="AB147" s="11">
        <f ca="1">+AA147+'parametres articles'!$C$9-1</f>
        <v>161</v>
      </c>
      <c r="AC147" s="11">
        <f ca="1">+AA147+'parametres articles'!$C$24-1</f>
        <v>166</v>
      </c>
      <c r="AD147" s="11">
        <f ca="1">+IF(AE147&lt;='parametres articles'!$H$8,0,AA147-'parametres articles'!$H$8+1)</f>
        <v>143</v>
      </c>
      <c r="AE147" s="11">
        <v>143</v>
      </c>
      <c r="AF147" s="2" t="str">
        <f t="shared" ca="1" si="40"/>
        <v>F162</v>
      </c>
      <c r="AG147" s="172"/>
      <c r="AI147" s="2"/>
      <c r="AJ147" s="2"/>
      <c r="AK147" s="2"/>
      <c r="AL147" s="2"/>
    </row>
    <row r="148" spans="1:38" x14ac:dyDescent="0.25">
      <c r="A148" s="166">
        <v>42213</v>
      </c>
      <c r="B148" s="163">
        <v>1</v>
      </c>
      <c r="C148" s="160" t="s">
        <v>21</v>
      </c>
      <c r="D148" s="161">
        <f ca="1">+IF(AD148=0,P148,(SUM(INDIRECT(CONCATENATE("B",AD148,":B",AA148)))/'parametres articles'!$H$8))</f>
        <v>0.6</v>
      </c>
      <c r="E148" s="10">
        <f t="shared" si="41"/>
        <v>67</v>
      </c>
      <c r="F148" s="10">
        <f>+VLOOKUP(A148,Feuil1!$K$3:$L$37,2,FALSE)</f>
        <v>6</v>
      </c>
      <c r="G148" s="10">
        <f t="shared" si="30"/>
        <v>72</v>
      </c>
      <c r="H148" s="140"/>
      <c r="I148" s="141">
        <f t="shared" si="29"/>
        <v>64.80952380952381</v>
      </c>
      <c r="K148" s="2">
        <f>+HLOOKUP($C148,'parametres articles'!$C$5:$G$25,5,FALSE)</f>
        <v>15</v>
      </c>
      <c r="L148" s="2">
        <f>+HLOOKUP($C148,'parametres articles'!$C$5:$G$25,21,FALSE)</f>
        <v>13</v>
      </c>
      <c r="M148" s="124">
        <f>+HLOOKUP($C148,'parametres articles'!$C$5:$G$25,7,FALSE)</f>
        <v>0.8</v>
      </c>
      <c r="N148" s="124">
        <f>+HLOOKUP($C148,'parametres articles'!$C$5:$G$25,6,FALSE)</f>
        <v>0.4</v>
      </c>
      <c r="O148" s="2">
        <f>+HLOOKUP($C148,'parametres articles'!$C$5:$G$25,8,FALSE)</f>
        <v>0</v>
      </c>
      <c r="P148" s="114">
        <f>IF(C148="E",'parametres articles'!$C$8,HLOOKUP($C148,'parametres articles'!$C$5:$F$25,4,FALSE))</f>
        <v>2.27</v>
      </c>
      <c r="Q148" s="114">
        <f t="shared" si="31"/>
        <v>2.27</v>
      </c>
      <c r="R148" s="2">
        <f t="shared" si="38"/>
        <v>13.62</v>
      </c>
      <c r="S148" s="2">
        <f t="shared" si="32"/>
        <v>24.515999999999998</v>
      </c>
      <c r="T148" s="2">
        <f t="shared" si="33"/>
        <v>58.565999999999995</v>
      </c>
      <c r="U148" s="2">
        <f t="shared" si="39"/>
        <v>72.185999999999993</v>
      </c>
      <c r="V148" s="2">
        <f t="shared" si="34"/>
        <v>24.515999999999998</v>
      </c>
      <c r="W148" s="2">
        <f t="shared" si="35"/>
        <v>34.049999999999997</v>
      </c>
      <c r="X148" s="2">
        <f t="shared" si="36"/>
        <v>13.62</v>
      </c>
      <c r="Y148" s="114">
        <f t="shared" si="37"/>
        <v>31.325999999999997</v>
      </c>
      <c r="AA148" s="11">
        <f t="shared" ca="1" si="42"/>
        <v>148</v>
      </c>
      <c r="AB148" s="11">
        <f ca="1">+AA148+'parametres articles'!$C$9-1</f>
        <v>162</v>
      </c>
      <c r="AC148" s="11">
        <f ca="1">+AA148+'parametres articles'!$C$24-1</f>
        <v>167</v>
      </c>
      <c r="AD148" s="11">
        <f ca="1">+IF(AE148&lt;='parametres articles'!$H$8,0,AA148-'parametres articles'!$H$8+1)</f>
        <v>144</v>
      </c>
      <c r="AE148" s="11">
        <v>144</v>
      </c>
      <c r="AF148" s="2" t="str">
        <f t="shared" ca="1" si="40"/>
        <v>F163</v>
      </c>
      <c r="AG148" s="172">
        <v>-4</v>
      </c>
      <c r="AI148" s="2"/>
      <c r="AJ148" s="2"/>
      <c r="AK148" s="2"/>
      <c r="AL148" s="2"/>
    </row>
    <row r="149" spans="1:38" x14ac:dyDescent="0.25">
      <c r="A149" s="166">
        <v>42214</v>
      </c>
      <c r="C149" s="160" t="s">
        <v>21</v>
      </c>
      <c r="D149" s="161">
        <f ca="1">+IF(AD149=0,P149,(SUM(INDIRECT(CONCATENATE("B",AD149,":B",AA149)))/'parametres articles'!$H$8))</f>
        <v>0.2</v>
      </c>
      <c r="E149" s="10">
        <f t="shared" si="41"/>
        <v>72</v>
      </c>
      <c r="F149" s="10"/>
      <c r="G149" s="10">
        <f t="shared" si="30"/>
        <v>72</v>
      </c>
      <c r="H149" s="140"/>
      <c r="I149" s="141">
        <f t="shared" si="29"/>
        <v>65.095238095238102</v>
      </c>
      <c r="K149" s="2">
        <f>+HLOOKUP($C149,'parametres articles'!$C$5:$G$25,5,FALSE)</f>
        <v>15</v>
      </c>
      <c r="L149" s="2">
        <f>+HLOOKUP($C149,'parametres articles'!$C$5:$G$25,21,FALSE)</f>
        <v>13</v>
      </c>
      <c r="M149" s="124">
        <f>+HLOOKUP($C149,'parametres articles'!$C$5:$G$25,7,FALSE)</f>
        <v>0.8</v>
      </c>
      <c r="N149" s="124">
        <f>+HLOOKUP($C149,'parametres articles'!$C$5:$G$25,6,FALSE)</f>
        <v>0.4</v>
      </c>
      <c r="O149" s="2">
        <f>+HLOOKUP($C149,'parametres articles'!$C$5:$G$25,8,FALSE)</f>
        <v>0</v>
      </c>
      <c r="P149" s="114">
        <f>IF(C149="E",'parametres articles'!$C$8,HLOOKUP($C149,'parametres articles'!$C$5:$F$25,4,FALSE))</f>
        <v>2.27</v>
      </c>
      <c r="Q149" s="114">
        <f t="shared" si="31"/>
        <v>2.27</v>
      </c>
      <c r="R149" s="2">
        <f t="shared" si="38"/>
        <v>13.62</v>
      </c>
      <c r="S149" s="2">
        <f t="shared" si="32"/>
        <v>24.515999999999998</v>
      </c>
      <c r="T149" s="2">
        <f t="shared" si="33"/>
        <v>58.565999999999995</v>
      </c>
      <c r="U149" s="2">
        <f t="shared" si="39"/>
        <v>72.185999999999993</v>
      </c>
      <c r="V149" s="2">
        <f t="shared" si="34"/>
        <v>24.515999999999998</v>
      </c>
      <c r="W149" s="2">
        <f t="shared" si="35"/>
        <v>34.049999999999997</v>
      </c>
      <c r="X149" s="2">
        <f t="shared" si="36"/>
        <v>13.62</v>
      </c>
      <c r="Y149" s="114">
        <f t="shared" si="37"/>
        <v>31.325999999999997</v>
      </c>
      <c r="AA149" s="11">
        <f t="shared" ca="1" si="42"/>
        <v>149</v>
      </c>
      <c r="AB149" s="11">
        <f ca="1">+AA149+'parametres articles'!$C$9-1</f>
        <v>163</v>
      </c>
      <c r="AC149" s="11">
        <f ca="1">+AA149+'parametres articles'!$C$24-1</f>
        <v>168</v>
      </c>
      <c r="AD149" s="11">
        <f ca="1">+IF(AE149&lt;='parametres articles'!$H$8,0,AA149-'parametres articles'!$H$8+1)</f>
        <v>145</v>
      </c>
      <c r="AE149" s="11">
        <v>145</v>
      </c>
      <c r="AF149" s="2" t="str">
        <f t="shared" ca="1" si="40"/>
        <v>F164</v>
      </c>
      <c r="AG149" s="172"/>
      <c r="AI149" s="2"/>
      <c r="AJ149" s="2"/>
      <c r="AK149" s="2"/>
      <c r="AL149" s="2"/>
    </row>
    <row r="150" spans="1:38" x14ac:dyDescent="0.25">
      <c r="A150" s="166">
        <v>42215</v>
      </c>
      <c r="B150" s="163">
        <v>4</v>
      </c>
      <c r="C150" s="160" t="s">
        <v>21</v>
      </c>
      <c r="D150" s="161">
        <f ca="1">+IF(AD150=0,P150,(SUM(INDIRECT(CONCATENATE("B",AD150,":B",AA150)))/'parametres articles'!$H$8))</f>
        <v>1</v>
      </c>
      <c r="E150" s="10">
        <f t="shared" si="41"/>
        <v>72</v>
      </c>
      <c r="F150" s="10">
        <f>+VLOOKUP(A150,Feuil1!$K$3:$L$37,2,FALSE)</f>
        <v>5</v>
      </c>
      <c r="G150" s="10">
        <f t="shared" si="30"/>
        <v>73</v>
      </c>
      <c r="H150" s="140"/>
      <c r="I150" s="141">
        <f t="shared" si="29"/>
        <v>65.19047619047619</v>
      </c>
      <c r="K150" s="2">
        <f>+HLOOKUP($C150,'parametres articles'!$C$5:$G$25,5,FALSE)</f>
        <v>15</v>
      </c>
      <c r="L150" s="2">
        <f>+HLOOKUP($C150,'parametres articles'!$C$5:$G$25,21,FALSE)</f>
        <v>13</v>
      </c>
      <c r="M150" s="124">
        <f>+HLOOKUP($C150,'parametres articles'!$C$5:$G$25,7,FALSE)</f>
        <v>0.8</v>
      </c>
      <c r="N150" s="124">
        <f>+HLOOKUP($C150,'parametres articles'!$C$5:$G$25,6,FALSE)</f>
        <v>0.4</v>
      </c>
      <c r="O150" s="2">
        <f>+HLOOKUP($C150,'parametres articles'!$C$5:$G$25,8,FALSE)</f>
        <v>0</v>
      </c>
      <c r="P150" s="114">
        <f>IF(C150="E",'parametres articles'!$C$8,HLOOKUP($C150,'parametres articles'!$C$5:$F$25,4,FALSE))</f>
        <v>2.27</v>
      </c>
      <c r="Q150" s="114">
        <f t="shared" si="31"/>
        <v>2.27</v>
      </c>
      <c r="R150" s="2">
        <f t="shared" si="38"/>
        <v>13.62</v>
      </c>
      <c r="S150" s="2">
        <f t="shared" si="32"/>
        <v>24.515999999999998</v>
      </c>
      <c r="T150" s="2">
        <f t="shared" si="33"/>
        <v>58.565999999999995</v>
      </c>
      <c r="U150" s="2">
        <f t="shared" si="39"/>
        <v>72.185999999999993</v>
      </c>
      <c r="V150" s="2">
        <f t="shared" si="34"/>
        <v>24.515999999999998</v>
      </c>
      <c r="W150" s="2">
        <f t="shared" si="35"/>
        <v>34.049999999999997</v>
      </c>
      <c r="X150" s="2">
        <f t="shared" si="36"/>
        <v>13.62</v>
      </c>
      <c r="Y150" s="114">
        <f t="shared" si="37"/>
        <v>31.325999999999997</v>
      </c>
      <c r="AA150" s="11">
        <f t="shared" ca="1" si="42"/>
        <v>150</v>
      </c>
      <c r="AB150" s="11">
        <f ca="1">+AA150+'parametres articles'!$C$9-1</f>
        <v>164</v>
      </c>
      <c r="AC150" s="11">
        <f ca="1">+AA150+'parametres articles'!$C$24-1</f>
        <v>169</v>
      </c>
      <c r="AD150" s="11">
        <f ca="1">+IF(AE150&lt;='parametres articles'!$H$8,0,AA150-'parametres articles'!$H$8+1)</f>
        <v>146</v>
      </c>
      <c r="AE150" s="11">
        <v>146</v>
      </c>
      <c r="AF150" s="2" t="str">
        <f t="shared" ca="1" si="40"/>
        <v>F165</v>
      </c>
      <c r="AG150" s="172"/>
      <c r="AH150" s="2"/>
      <c r="AI150" s="2"/>
      <c r="AJ150" s="2"/>
      <c r="AK150" s="2"/>
      <c r="AL150" s="2"/>
    </row>
    <row r="151" spans="1:38" x14ac:dyDescent="0.25">
      <c r="A151" s="166">
        <v>42216</v>
      </c>
      <c r="C151" s="160" t="s">
        <v>21</v>
      </c>
      <c r="D151" s="161">
        <f ca="1">+IF(AD151=0,P151,(SUM(INDIRECT(CONCATENATE("B",AD151,":B",AA151)))/'parametres articles'!$H$8))</f>
        <v>1</v>
      </c>
      <c r="E151" s="10">
        <f t="shared" si="41"/>
        <v>73</v>
      </c>
      <c r="F151" s="10"/>
      <c r="G151" s="10">
        <f t="shared" si="30"/>
        <v>73</v>
      </c>
      <c r="H151" s="140"/>
      <c r="I151" s="141">
        <f t="shared" si="29"/>
        <v>65.333333333333329</v>
      </c>
      <c r="K151" s="2">
        <f>+HLOOKUP($C151,'parametres articles'!$C$5:$G$25,5,FALSE)</f>
        <v>15</v>
      </c>
      <c r="L151" s="2">
        <f>+HLOOKUP($C151,'parametres articles'!$C$5:$G$25,21,FALSE)</f>
        <v>13</v>
      </c>
      <c r="M151" s="124">
        <f>+HLOOKUP($C151,'parametres articles'!$C$5:$G$25,7,FALSE)</f>
        <v>0.8</v>
      </c>
      <c r="N151" s="124">
        <f>+HLOOKUP($C151,'parametres articles'!$C$5:$G$25,6,FALSE)</f>
        <v>0.4</v>
      </c>
      <c r="O151" s="2">
        <f>+HLOOKUP($C151,'parametres articles'!$C$5:$G$25,8,FALSE)</f>
        <v>0</v>
      </c>
      <c r="P151" s="114">
        <f>IF(C151="E",'parametres articles'!$C$8,HLOOKUP($C151,'parametres articles'!$C$5:$F$25,4,FALSE))</f>
        <v>2.27</v>
      </c>
      <c r="Q151" s="114">
        <f t="shared" si="31"/>
        <v>2.27</v>
      </c>
      <c r="R151" s="2">
        <f t="shared" si="38"/>
        <v>13.62</v>
      </c>
      <c r="S151" s="2">
        <f t="shared" si="32"/>
        <v>24.515999999999998</v>
      </c>
      <c r="T151" s="2">
        <f t="shared" si="33"/>
        <v>58.565999999999995</v>
      </c>
      <c r="U151" s="2">
        <f t="shared" si="39"/>
        <v>72.185999999999993</v>
      </c>
      <c r="V151" s="2">
        <f t="shared" si="34"/>
        <v>24.515999999999998</v>
      </c>
      <c r="W151" s="2">
        <f t="shared" si="35"/>
        <v>34.049999999999997</v>
      </c>
      <c r="X151" s="2">
        <f t="shared" si="36"/>
        <v>13.62</v>
      </c>
      <c r="Y151" s="114">
        <f t="shared" si="37"/>
        <v>31.325999999999997</v>
      </c>
      <c r="AA151" s="11">
        <f t="shared" ca="1" si="42"/>
        <v>151</v>
      </c>
      <c r="AB151" s="11">
        <f ca="1">+AA151+'parametres articles'!$C$9-1</f>
        <v>165</v>
      </c>
      <c r="AC151" s="11">
        <f ca="1">+AA151+'parametres articles'!$C$24-1</f>
        <v>170</v>
      </c>
      <c r="AD151" s="11">
        <f ca="1">+IF(AE151&lt;='parametres articles'!$H$8,0,AA151-'parametres articles'!$H$8+1)</f>
        <v>147</v>
      </c>
      <c r="AE151" s="11">
        <v>147</v>
      </c>
      <c r="AF151" s="2" t="str">
        <f t="shared" ca="1" si="40"/>
        <v>F166</v>
      </c>
      <c r="AG151" s="172"/>
      <c r="AH151" s="168"/>
      <c r="AI151" s="2"/>
      <c r="AJ151" s="2"/>
      <c r="AK151" s="2"/>
      <c r="AL151" s="2"/>
    </row>
    <row r="152" spans="1:38" x14ac:dyDescent="0.25">
      <c r="A152" s="166">
        <v>42219</v>
      </c>
      <c r="C152" s="160" t="s">
        <v>21</v>
      </c>
      <c r="D152" s="161">
        <f ca="1">+IF(AD152=0,P152,(SUM(INDIRECT(CONCATENATE("B",AD152,":B",AA152)))/'parametres articles'!$H$8))</f>
        <v>1</v>
      </c>
      <c r="E152" s="10">
        <f t="shared" si="41"/>
        <v>73</v>
      </c>
      <c r="F152" s="10"/>
      <c r="G152" s="10">
        <f t="shared" si="30"/>
        <v>73</v>
      </c>
      <c r="H152" s="140"/>
      <c r="I152" s="141">
        <f t="shared" si="29"/>
        <v>65.857142857142861</v>
      </c>
      <c r="K152" s="2">
        <f>+HLOOKUP($C152,'parametres articles'!$C$5:$G$25,5,FALSE)</f>
        <v>15</v>
      </c>
      <c r="L152" s="2">
        <f>+HLOOKUP($C152,'parametres articles'!$C$5:$G$25,21,FALSE)</f>
        <v>13</v>
      </c>
      <c r="M152" s="124">
        <f>+HLOOKUP($C152,'parametres articles'!$C$5:$G$25,7,FALSE)</f>
        <v>0.8</v>
      </c>
      <c r="N152" s="124">
        <f>+HLOOKUP($C152,'parametres articles'!$C$5:$G$25,6,FALSE)</f>
        <v>0.4</v>
      </c>
      <c r="O152" s="2">
        <f>+HLOOKUP($C152,'parametres articles'!$C$5:$G$25,8,FALSE)</f>
        <v>0</v>
      </c>
      <c r="P152" s="114">
        <f>IF(C152="E",'parametres articles'!$C$8,HLOOKUP($C152,'parametres articles'!$C$5:$F$25,4,FALSE))</f>
        <v>2.27</v>
      </c>
      <c r="Q152" s="114">
        <f t="shared" si="31"/>
        <v>2.27</v>
      </c>
      <c r="R152" s="2">
        <f t="shared" si="38"/>
        <v>13.62</v>
      </c>
      <c r="S152" s="2">
        <f t="shared" si="32"/>
        <v>24.515999999999998</v>
      </c>
      <c r="T152" s="2">
        <f t="shared" si="33"/>
        <v>58.565999999999995</v>
      </c>
      <c r="U152" s="2">
        <f t="shared" si="39"/>
        <v>72.185999999999993</v>
      </c>
      <c r="V152" s="2">
        <f t="shared" si="34"/>
        <v>24.515999999999998</v>
      </c>
      <c r="W152" s="2">
        <f t="shared" si="35"/>
        <v>34.049999999999997</v>
      </c>
      <c r="X152" s="2">
        <f t="shared" si="36"/>
        <v>13.62</v>
      </c>
      <c r="Y152" s="114">
        <f t="shared" si="37"/>
        <v>31.325999999999997</v>
      </c>
      <c r="AA152" s="11">
        <f t="shared" ca="1" si="42"/>
        <v>152</v>
      </c>
      <c r="AB152" s="11">
        <f ca="1">+AA152+'parametres articles'!$C$9-1</f>
        <v>166</v>
      </c>
      <c r="AC152" s="11">
        <f ca="1">+AA152+'parametres articles'!$C$24-1</f>
        <v>171</v>
      </c>
      <c r="AD152" s="11">
        <f ca="1">+IF(AE152&lt;='parametres articles'!$H$8,0,AA152-'parametres articles'!$H$8+1)</f>
        <v>148</v>
      </c>
      <c r="AE152" s="11">
        <v>148</v>
      </c>
      <c r="AF152" s="2" t="str">
        <f t="shared" ca="1" si="40"/>
        <v>F167</v>
      </c>
      <c r="AG152" s="172"/>
      <c r="AI152" s="2"/>
      <c r="AJ152" s="2"/>
      <c r="AK152" s="2"/>
      <c r="AL152" s="2"/>
    </row>
    <row r="153" spans="1:38" x14ac:dyDescent="0.25">
      <c r="A153" s="166">
        <v>42220</v>
      </c>
      <c r="C153" s="160" t="s">
        <v>21</v>
      </c>
      <c r="D153" s="161">
        <f ca="1">+IF(AD153=0,P153,(SUM(INDIRECT(CONCATENATE("B",AD153,":B",AA153)))/'parametres articles'!$H$8))</f>
        <v>0.8</v>
      </c>
      <c r="E153" s="10">
        <f t="shared" si="41"/>
        <v>73</v>
      </c>
      <c r="F153" s="10"/>
      <c r="G153" s="10">
        <f t="shared" si="30"/>
        <v>73</v>
      </c>
      <c r="H153" s="140"/>
      <c r="I153" s="141">
        <f t="shared" ref="I153:I184" si="43">+AVERAGE(E133:E153)</f>
        <v>66.571428571428569</v>
      </c>
      <c r="K153" s="2">
        <f>+HLOOKUP($C153,'parametres articles'!$C$5:$G$25,5,FALSE)</f>
        <v>15</v>
      </c>
      <c r="L153" s="2">
        <f>+HLOOKUP($C153,'parametres articles'!$C$5:$G$25,21,FALSE)</f>
        <v>13</v>
      </c>
      <c r="M153" s="124">
        <f>+HLOOKUP($C153,'parametres articles'!$C$5:$G$25,7,FALSE)</f>
        <v>0.8</v>
      </c>
      <c r="N153" s="124">
        <f>+HLOOKUP($C153,'parametres articles'!$C$5:$G$25,6,FALSE)</f>
        <v>0.4</v>
      </c>
      <c r="O153" s="2">
        <f>+HLOOKUP($C153,'parametres articles'!$C$5:$G$25,8,FALSE)</f>
        <v>0</v>
      </c>
      <c r="P153" s="114">
        <f>IF(C153="E",'parametres articles'!$C$8,HLOOKUP($C153,'parametres articles'!$C$5:$F$25,4,FALSE))</f>
        <v>2.27</v>
      </c>
      <c r="Q153" s="114">
        <f t="shared" si="31"/>
        <v>2.27</v>
      </c>
      <c r="R153" s="2">
        <f t="shared" si="38"/>
        <v>13.62</v>
      </c>
      <c r="S153" s="2">
        <f t="shared" si="32"/>
        <v>24.515999999999998</v>
      </c>
      <c r="T153" s="2">
        <f t="shared" si="33"/>
        <v>58.565999999999995</v>
      </c>
      <c r="U153" s="2">
        <f t="shared" si="39"/>
        <v>72.185999999999993</v>
      </c>
      <c r="V153" s="2">
        <f t="shared" si="34"/>
        <v>24.515999999999998</v>
      </c>
      <c r="W153" s="2">
        <f t="shared" si="35"/>
        <v>34.049999999999997</v>
      </c>
      <c r="X153" s="2">
        <f t="shared" si="36"/>
        <v>13.62</v>
      </c>
      <c r="Y153" s="114">
        <f t="shared" si="37"/>
        <v>31.325999999999997</v>
      </c>
      <c r="AA153" s="11">
        <f t="shared" ca="1" si="42"/>
        <v>153</v>
      </c>
      <c r="AB153" s="11">
        <f ca="1">+AA153+'parametres articles'!$C$9-1</f>
        <v>167</v>
      </c>
      <c r="AC153" s="11">
        <f ca="1">+AA153+'parametres articles'!$C$24-1</f>
        <v>172</v>
      </c>
      <c r="AD153" s="11">
        <f ca="1">+IF(AE153&lt;='parametres articles'!$H$8,0,AA153-'parametres articles'!$H$8+1)</f>
        <v>149</v>
      </c>
      <c r="AE153" s="11">
        <v>149</v>
      </c>
      <c r="AF153" s="2" t="str">
        <f t="shared" ca="1" si="40"/>
        <v>F168</v>
      </c>
      <c r="AG153" s="172"/>
      <c r="AI153" s="2"/>
      <c r="AJ153" s="2"/>
      <c r="AK153" s="2"/>
      <c r="AL153" s="2"/>
    </row>
    <row r="154" spans="1:38" x14ac:dyDescent="0.25">
      <c r="A154" s="166">
        <v>42221</v>
      </c>
      <c r="C154" s="160" t="s">
        <v>21</v>
      </c>
      <c r="D154" s="161">
        <f ca="1">+IF(AD154=0,P154,(SUM(INDIRECT(CONCATENATE("B",AD154,":B",AA154)))/'parametres articles'!$H$8))</f>
        <v>0.8</v>
      </c>
      <c r="E154" s="10">
        <f t="shared" si="41"/>
        <v>73</v>
      </c>
      <c r="F154" s="10"/>
      <c r="G154" s="10">
        <f t="shared" si="30"/>
        <v>73</v>
      </c>
      <c r="H154" s="140"/>
      <c r="I154" s="141">
        <f t="shared" si="43"/>
        <v>67.285714285714292</v>
      </c>
      <c r="K154" s="2">
        <f>+HLOOKUP($C154,'parametres articles'!$C$5:$G$25,5,FALSE)</f>
        <v>15</v>
      </c>
      <c r="L154" s="2">
        <f>+HLOOKUP($C154,'parametres articles'!$C$5:$G$25,21,FALSE)</f>
        <v>13</v>
      </c>
      <c r="M154" s="124">
        <f>+HLOOKUP($C154,'parametres articles'!$C$5:$G$25,7,FALSE)</f>
        <v>0.8</v>
      </c>
      <c r="N154" s="124">
        <f>+HLOOKUP($C154,'parametres articles'!$C$5:$G$25,6,FALSE)</f>
        <v>0.4</v>
      </c>
      <c r="O154" s="2">
        <f>+HLOOKUP($C154,'parametres articles'!$C$5:$G$25,8,FALSE)</f>
        <v>0</v>
      </c>
      <c r="P154" s="114">
        <f>IF(C154="E",'parametres articles'!$C$8,HLOOKUP($C154,'parametres articles'!$C$5:$F$25,4,FALSE))</f>
        <v>2.27</v>
      </c>
      <c r="Q154" s="114">
        <f t="shared" si="31"/>
        <v>2.27</v>
      </c>
      <c r="R154" s="2">
        <f t="shared" si="38"/>
        <v>13.62</v>
      </c>
      <c r="S154" s="2">
        <f t="shared" si="32"/>
        <v>24.515999999999998</v>
      </c>
      <c r="T154" s="2">
        <f t="shared" si="33"/>
        <v>58.565999999999995</v>
      </c>
      <c r="U154" s="2">
        <f t="shared" si="39"/>
        <v>72.185999999999993</v>
      </c>
      <c r="V154" s="2">
        <f t="shared" si="34"/>
        <v>24.515999999999998</v>
      </c>
      <c r="W154" s="2">
        <f t="shared" si="35"/>
        <v>34.049999999999997</v>
      </c>
      <c r="X154" s="2">
        <f t="shared" si="36"/>
        <v>13.62</v>
      </c>
      <c r="Y154" s="114">
        <f t="shared" si="37"/>
        <v>31.325999999999997</v>
      </c>
      <c r="AA154" s="11">
        <f t="shared" ca="1" si="42"/>
        <v>154</v>
      </c>
      <c r="AB154" s="11">
        <f ca="1">+AA154+'parametres articles'!$C$9-1</f>
        <v>168</v>
      </c>
      <c r="AC154" s="11">
        <f ca="1">+AA154+'parametres articles'!$C$24-1</f>
        <v>173</v>
      </c>
      <c r="AD154" s="11">
        <f ca="1">+IF(AE154&lt;='parametres articles'!$H$8,0,AA154-'parametres articles'!$H$8+1)</f>
        <v>150</v>
      </c>
      <c r="AE154" s="11">
        <v>150</v>
      </c>
      <c r="AF154" s="2" t="str">
        <f t="shared" ca="1" si="40"/>
        <v>F169</v>
      </c>
      <c r="AG154" s="172"/>
      <c r="AI154" s="2"/>
      <c r="AJ154" s="2"/>
      <c r="AK154" s="2"/>
      <c r="AL154" s="2"/>
    </row>
    <row r="155" spans="1:38" x14ac:dyDescent="0.25">
      <c r="A155" s="166">
        <v>42222</v>
      </c>
      <c r="B155" s="163">
        <v>1</v>
      </c>
      <c r="C155" s="160" t="s">
        <v>21</v>
      </c>
      <c r="D155" s="161">
        <f ca="1">+IF(AD155=0,P155,(SUM(INDIRECT(CONCATENATE("B",AD155,":B",AA155)))/'parametres articles'!$H$8))</f>
        <v>0.2</v>
      </c>
      <c r="E155" s="10">
        <f t="shared" si="41"/>
        <v>73</v>
      </c>
      <c r="F155" s="10"/>
      <c r="G155" s="10">
        <f t="shared" si="30"/>
        <v>72</v>
      </c>
      <c r="H155" s="140"/>
      <c r="I155" s="141">
        <f t="shared" si="43"/>
        <v>68</v>
      </c>
      <c r="K155" s="2">
        <f>+HLOOKUP($C155,'parametres articles'!$C$5:$G$25,5,FALSE)</f>
        <v>15</v>
      </c>
      <c r="L155" s="2">
        <f>+HLOOKUP($C155,'parametres articles'!$C$5:$G$25,21,FALSE)</f>
        <v>13</v>
      </c>
      <c r="M155" s="124">
        <f>+HLOOKUP($C155,'parametres articles'!$C$5:$G$25,7,FALSE)</f>
        <v>0.8</v>
      </c>
      <c r="N155" s="124">
        <f>+HLOOKUP($C155,'parametres articles'!$C$5:$G$25,6,FALSE)</f>
        <v>0.4</v>
      </c>
      <c r="O155" s="2">
        <f>+HLOOKUP($C155,'parametres articles'!$C$5:$G$25,8,FALSE)</f>
        <v>0</v>
      </c>
      <c r="P155" s="114">
        <f>IF(C155="E",'parametres articles'!$C$8,HLOOKUP($C155,'parametres articles'!$C$5:$F$25,4,FALSE))</f>
        <v>2.27</v>
      </c>
      <c r="Q155" s="114">
        <f t="shared" si="31"/>
        <v>2.27</v>
      </c>
      <c r="R155" s="2">
        <f t="shared" si="38"/>
        <v>13.62</v>
      </c>
      <c r="S155" s="2">
        <f t="shared" si="32"/>
        <v>24.515999999999998</v>
      </c>
      <c r="T155" s="2">
        <f t="shared" si="33"/>
        <v>58.565999999999995</v>
      </c>
      <c r="U155" s="2">
        <f t="shared" si="39"/>
        <v>72.185999999999993</v>
      </c>
      <c r="V155" s="2">
        <f t="shared" si="34"/>
        <v>24.515999999999998</v>
      </c>
      <c r="W155" s="2">
        <f t="shared" si="35"/>
        <v>34.049999999999997</v>
      </c>
      <c r="X155" s="2">
        <f t="shared" si="36"/>
        <v>13.62</v>
      </c>
      <c r="Y155" s="114">
        <f t="shared" si="37"/>
        <v>31.325999999999997</v>
      </c>
      <c r="AA155" s="11">
        <f t="shared" ca="1" si="42"/>
        <v>155</v>
      </c>
      <c r="AB155" s="11">
        <f ca="1">+AA155+'parametres articles'!$C$9-1</f>
        <v>169</v>
      </c>
      <c r="AC155" s="11">
        <f ca="1">+AA155+'parametres articles'!$C$24-1</f>
        <v>174</v>
      </c>
      <c r="AD155" s="11">
        <f ca="1">+IF(AE155&lt;='parametres articles'!$H$8,0,AA155-'parametres articles'!$H$8+1)</f>
        <v>151</v>
      </c>
      <c r="AE155" s="11">
        <v>151</v>
      </c>
      <c r="AF155" s="2" t="str">
        <f t="shared" ca="1" si="40"/>
        <v>F170</v>
      </c>
      <c r="AG155" s="172"/>
      <c r="AI155" s="2"/>
      <c r="AJ155" s="2"/>
      <c r="AK155" s="2"/>
      <c r="AL155" s="2"/>
    </row>
    <row r="156" spans="1:38" x14ac:dyDescent="0.25">
      <c r="A156" s="166">
        <v>42223</v>
      </c>
      <c r="B156" s="163">
        <v>2</v>
      </c>
      <c r="C156" s="160" t="s">
        <v>21</v>
      </c>
      <c r="D156" s="161">
        <f ca="1">+IF(AD156=0,P156,(SUM(INDIRECT(CONCATENATE("B",AD156,":B",AA156)))/'parametres articles'!$H$8))</f>
        <v>0.6</v>
      </c>
      <c r="E156" s="10">
        <f t="shared" si="41"/>
        <v>72</v>
      </c>
      <c r="F156" s="10"/>
      <c r="G156" s="10">
        <f t="shared" si="30"/>
        <v>70</v>
      </c>
      <c r="H156" s="140"/>
      <c r="I156" s="141">
        <f t="shared" si="43"/>
        <v>68.666666666666671</v>
      </c>
      <c r="K156" s="2">
        <f>+HLOOKUP($C156,'parametres articles'!$C$5:$G$25,5,FALSE)</f>
        <v>15</v>
      </c>
      <c r="L156" s="2">
        <f>+HLOOKUP($C156,'parametres articles'!$C$5:$G$25,21,FALSE)</f>
        <v>13</v>
      </c>
      <c r="M156" s="124">
        <f>+HLOOKUP($C156,'parametres articles'!$C$5:$G$25,7,FALSE)</f>
        <v>0.8</v>
      </c>
      <c r="N156" s="124">
        <f>+HLOOKUP($C156,'parametres articles'!$C$5:$G$25,6,FALSE)</f>
        <v>0.4</v>
      </c>
      <c r="O156" s="2">
        <f>+HLOOKUP($C156,'parametres articles'!$C$5:$G$25,8,FALSE)</f>
        <v>0</v>
      </c>
      <c r="P156" s="114">
        <f>IF(C156="E",'parametres articles'!$C$8,HLOOKUP($C156,'parametres articles'!$C$5:$F$25,4,FALSE))</f>
        <v>2.27</v>
      </c>
      <c r="Q156" s="114">
        <f t="shared" si="31"/>
        <v>2.27</v>
      </c>
      <c r="R156" s="2">
        <f t="shared" si="38"/>
        <v>13.62</v>
      </c>
      <c r="S156" s="2">
        <f t="shared" si="32"/>
        <v>24.515999999999998</v>
      </c>
      <c r="T156" s="2">
        <f t="shared" si="33"/>
        <v>58.565999999999995</v>
      </c>
      <c r="U156" s="2">
        <f t="shared" si="39"/>
        <v>72.185999999999993</v>
      </c>
      <c r="V156" s="2">
        <f t="shared" si="34"/>
        <v>24.515999999999998</v>
      </c>
      <c r="W156" s="2">
        <f t="shared" si="35"/>
        <v>34.049999999999997</v>
      </c>
      <c r="X156" s="2">
        <f t="shared" si="36"/>
        <v>13.62</v>
      </c>
      <c r="Y156" s="114">
        <f t="shared" si="37"/>
        <v>31.325999999999997</v>
      </c>
      <c r="AA156" s="11">
        <f t="shared" ca="1" si="42"/>
        <v>156</v>
      </c>
      <c r="AB156" s="11">
        <f ca="1">+AA156+'parametres articles'!$C$9-1</f>
        <v>170</v>
      </c>
      <c r="AC156" s="11">
        <f ca="1">+AA156+'parametres articles'!$C$24-1</f>
        <v>175</v>
      </c>
      <c r="AD156" s="11">
        <f ca="1">+IF(AE156&lt;='parametres articles'!$H$8,0,AA156-'parametres articles'!$H$8+1)</f>
        <v>152</v>
      </c>
      <c r="AE156" s="11">
        <v>152</v>
      </c>
      <c r="AF156" s="2" t="str">
        <f t="shared" ca="1" si="40"/>
        <v>F171</v>
      </c>
      <c r="AG156" s="172"/>
      <c r="AI156" s="2"/>
      <c r="AJ156" s="2"/>
      <c r="AK156" s="2"/>
      <c r="AL156" s="2"/>
    </row>
    <row r="157" spans="1:38" x14ac:dyDescent="0.25">
      <c r="A157" s="166">
        <v>42226</v>
      </c>
      <c r="C157" s="160" t="s">
        <v>21</v>
      </c>
      <c r="D157" s="161">
        <f ca="1">+IF(AD157=0,P157,(SUM(INDIRECT(CONCATENATE("B",AD157,":B",AA157)))/'parametres articles'!$H$8))</f>
        <v>0.6</v>
      </c>
      <c r="E157" s="10">
        <f t="shared" si="41"/>
        <v>70</v>
      </c>
      <c r="F157" s="10"/>
      <c r="G157" s="10">
        <f t="shared" si="30"/>
        <v>70</v>
      </c>
      <c r="H157" s="140"/>
      <c r="I157" s="141">
        <f t="shared" si="43"/>
        <v>69.238095238095241</v>
      </c>
      <c r="K157" s="2">
        <f>+HLOOKUP($C157,'parametres articles'!$C$5:$G$25,5,FALSE)</f>
        <v>15</v>
      </c>
      <c r="L157" s="2">
        <f>+HLOOKUP($C157,'parametres articles'!$C$5:$G$25,21,FALSE)</f>
        <v>13</v>
      </c>
      <c r="M157" s="124">
        <f>+HLOOKUP($C157,'parametres articles'!$C$5:$G$25,7,FALSE)</f>
        <v>0.8</v>
      </c>
      <c r="N157" s="124">
        <f>+HLOOKUP($C157,'parametres articles'!$C$5:$G$25,6,FALSE)</f>
        <v>0.4</v>
      </c>
      <c r="O157" s="2">
        <f>+HLOOKUP($C157,'parametres articles'!$C$5:$G$25,8,FALSE)</f>
        <v>0</v>
      </c>
      <c r="P157" s="114">
        <f>IF(C157="E",'parametres articles'!$C$8,HLOOKUP($C157,'parametres articles'!$C$5:$F$25,4,FALSE))</f>
        <v>2.27</v>
      </c>
      <c r="Q157" s="114">
        <f t="shared" si="31"/>
        <v>2.27</v>
      </c>
      <c r="R157" s="2">
        <f t="shared" si="38"/>
        <v>13.62</v>
      </c>
      <c r="S157" s="2">
        <f t="shared" si="32"/>
        <v>24.515999999999998</v>
      </c>
      <c r="T157" s="2">
        <f t="shared" si="33"/>
        <v>58.565999999999995</v>
      </c>
      <c r="U157" s="2">
        <f t="shared" si="39"/>
        <v>72.185999999999993</v>
      </c>
      <c r="V157" s="2">
        <f t="shared" si="34"/>
        <v>24.515999999999998</v>
      </c>
      <c r="W157" s="2">
        <f t="shared" si="35"/>
        <v>34.049999999999997</v>
      </c>
      <c r="X157" s="2">
        <f t="shared" si="36"/>
        <v>13.62</v>
      </c>
      <c r="Y157" s="114">
        <f t="shared" si="37"/>
        <v>31.325999999999997</v>
      </c>
      <c r="AA157" s="11">
        <f t="shared" ca="1" si="42"/>
        <v>157</v>
      </c>
      <c r="AB157" s="11">
        <f ca="1">+AA157+'parametres articles'!$C$9-1</f>
        <v>171</v>
      </c>
      <c r="AC157" s="11">
        <f ca="1">+AA157+'parametres articles'!$C$24-1</f>
        <v>176</v>
      </c>
      <c r="AD157" s="11">
        <f ca="1">+IF(AE157&lt;='parametres articles'!$H$8,0,AA157-'parametres articles'!$H$8+1)</f>
        <v>153</v>
      </c>
      <c r="AE157" s="11">
        <v>153</v>
      </c>
      <c r="AF157" s="2" t="str">
        <f t="shared" ca="1" si="40"/>
        <v>F172</v>
      </c>
      <c r="AG157" s="172"/>
      <c r="AI157" s="2"/>
      <c r="AJ157" s="2"/>
      <c r="AK157" s="2"/>
      <c r="AL157" s="2"/>
    </row>
    <row r="158" spans="1:38" x14ac:dyDescent="0.25">
      <c r="A158" s="166">
        <v>42227</v>
      </c>
      <c r="C158" s="160" t="s">
        <v>21</v>
      </c>
      <c r="D158" s="161">
        <f ca="1">+IF(AD158=0,P158,(SUM(INDIRECT(CONCATENATE("B",AD158,":B",AA158)))/'parametres articles'!$H$8))</f>
        <v>0.6</v>
      </c>
      <c r="E158" s="10">
        <f t="shared" si="41"/>
        <v>70</v>
      </c>
      <c r="F158" s="10"/>
      <c r="G158" s="10">
        <f t="shared" si="30"/>
        <v>70</v>
      </c>
      <c r="H158" s="140"/>
      <c r="I158" s="141">
        <f t="shared" si="43"/>
        <v>69.80952380952381</v>
      </c>
      <c r="K158" s="2">
        <f>+HLOOKUP($C158,'parametres articles'!$C$5:$G$25,5,FALSE)</f>
        <v>15</v>
      </c>
      <c r="L158" s="2">
        <f>+HLOOKUP($C158,'parametres articles'!$C$5:$G$25,21,FALSE)</f>
        <v>13</v>
      </c>
      <c r="M158" s="124">
        <f>+HLOOKUP($C158,'parametres articles'!$C$5:$G$25,7,FALSE)</f>
        <v>0.8</v>
      </c>
      <c r="N158" s="124">
        <f>+HLOOKUP($C158,'parametres articles'!$C$5:$G$25,6,FALSE)</f>
        <v>0.4</v>
      </c>
      <c r="O158" s="2">
        <f>+HLOOKUP($C158,'parametres articles'!$C$5:$G$25,8,FALSE)</f>
        <v>0</v>
      </c>
      <c r="P158" s="114">
        <f>IF(C158="E",'parametres articles'!$C$8,HLOOKUP($C158,'parametres articles'!$C$5:$F$25,4,FALSE))</f>
        <v>2.27</v>
      </c>
      <c r="Q158" s="114">
        <f t="shared" si="31"/>
        <v>2.27</v>
      </c>
      <c r="R158" s="2">
        <f t="shared" si="38"/>
        <v>13.62</v>
      </c>
      <c r="S158" s="2">
        <f t="shared" si="32"/>
        <v>24.515999999999998</v>
      </c>
      <c r="T158" s="2">
        <f t="shared" si="33"/>
        <v>58.565999999999995</v>
      </c>
      <c r="U158" s="2">
        <f t="shared" si="39"/>
        <v>72.185999999999993</v>
      </c>
      <c r="V158" s="2">
        <f t="shared" si="34"/>
        <v>24.515999999999998</v>
      </c>
      <c r="W158" s="2">
        <f t="shared" si="35"/>
        <v>34.049999999999997</v>
      </c>
      <c r="X158" s="2">
        <f t="shared" si="36"/>
        <v>13.62</v>
      </c>
      <c r="Y158" s="114">
        <f t="shared" si="37"/>
        <v>31.325999999999997</v>
      </c>
      <c r="AA158" s="11">
        <f t="shared" ca="1" si="42"/>
        <v>158</v>
      </c>
      <c r="AB158" s="11">
        <f ca="1">+AA158+'parametres articles'!$C$9-1</f>
        <v>172</v>
      </c>
      <c r="AC158" s="11">
        <f ca="1">+AA158+'parametres articles'!$C$24-1</f>
        <v>177</v>
      </c>
      <c r="AD158" s="11">
        <f ca="1">+IF(AE158&lt;='parametres articles'!$H$8,0,AA158-'parametres articles'!$H$8+1)</f>
        <v>154</v>
      </c>
      <c r="AE158" s="11">
        <v>154</v>
      </c>
      <c r="AF158" s="2" t="str">
        <f t="shared" ca="1" si="40"/>
        <v>F173</v>
      </c>
      <c r="AG158" s="172"/>
      <c r="AH158" s="168"/>
      <c r="AI158" s="2"/>
      <c r="AJ158" s="2"/>
      <c r="AK158" s="2"/>
      <c r="AL158" s="2"/>
    </row>
    <row r="159" spans="1:38" x14ac:dyDescent="0.25">
      <c r="A159" s="166">
        <v>42228</v>
      </c>
      <c r="C159" s="160" t="s">
        <v>21</v>
      </c>
      <c r="D159" s="161">
        <f ca="1">+IF(AD159=0,P159,(SUM(INDIRECT(CONCATENATE("B",AD159,":B",AA159)))/'parametres articles'!$H$8))</f>
        <v>0.6</v>
      </c>
      <c r="E159" s="10">
        <f t="shared" si="41"/>
        <v>70</v>
      </c>
      <c r="F159" s="10"/>
      <c r="G159" s="10">
        <f t="shared" si="30"/>
        <v>70</v>
      </c>
      <c r="H159" s="140"/>
      <c r="I159" s="141">
        <f t="shared" si="43"/>
        <v>70.38095238095238</v>
      </c>
      <c r="K159" s="2">
        <f>+HLOOKUP($C159,'parametres articles'!$C$5:$G$25,5,FALSE)</f>
        <v>15</v>
      </c>
      <c r="L159" s="2">
        <f>+HLOOKUP($C159,'parametres articles'!$C$5:$G$25,21,FALSE)</f>
        <v>13</v>
      </c>
      <c r="M159" s="124">
        <f>+HLOOKUP($C159,'parametres articles'!$C$5:$G$25,7,FALSE)</f>
        <v>0.8</v>
      </c>
      <c r="N159" s="124">
        <f>+HLOOKUP($C159,'parametres articles'!$C$5:$G$25,6,FALSE)</f>
        <v>0.4</v>
      </c>
      <c r="O159" s="2">
        <f>+HLOOKUP($C159,'parametres articles'!$C$5:$G$25,8,FALSE)</f>
        <v>0</v>
      </c>
      <c r="P159" s="114">
        <f>IF(C159="E",'parametres articles'!$C$8,HLOOKUP($C159,'parametres articles'!$C$5:$F$25,4,FALSE))</f>
        <v>2.27</v>
      </c>
      <c r="Q159" s="114">
        <f t="shared" si="31"/>
        <v>2.27</v>
      </c>
      <c r="R159" s="2">
        <f t="shared" si="38"/>
        <v>13.62</v>
      </c>
      <c r="S159" s="2">
        <f t="shared" si="32"/>
        <v>24.515999999999998</v>
      </c>
      <c r="T159" s="2">
        <f t="shared" si="33"/>
        <v>58.565999999999995</v>
      </c>
      <c r="U159" s="2">
        <f t="shared" si="39"/>
        <v>72.185999999999993</v>
      </c>
      <c r="V159" s="2">
        <f t="shared" si="34"/>
        <v>24.515999999999998</v>
      </c>
      <c r="W159" s="2">
        <f t="shared" si="35"/>
        <v>34.049999999999997</v>
      </c>
      <c r="X159" s="2">
        <f t="shared" si="36"/>
        <v>13.62</v>
      </c>
      <c r="Y159" s="114">
        <f t="shared" si="37"/>
        <v>31.325999999999997</v>
      </c>
      <c r="AA159" s="11">
        <f t="shared" ca="1" si="42"/>
        <v>159</v>
      </c>
      <c r="AB159" s="11">
        <f ca="1">+AA159+'parametres articles'!$C$9-1</f>
        <v>173</v>
      </c>
      <c r="AC159" s="11">
        <f ca="1">+AA159+'parametres articles'!$C$24-1</f>
        <v>178</v>
      </c>
      <c r="AD159" s="11">
        <f ca="1">+IF(AE159&lt;='parametres articles'!$H$8,0,AA159-'parametres articles'!$H$8+1)</f>
        <v>155</v>
      </c>
      <c r="AE159" s="11">
        <v>155</v>
      </c>
      <c r="AF159" s="2" t="str">
        <f t="shared" ca="1" si="40"/>
        <v>F174</v>
      </c>
      <c r="AG159" s="172"/>
      <c r="AI159" s="2"/>
      <c r="AJ159" s="2"/>
      <c r="AK159" s="2"/>
      <c r="AL159" s="2"/>
    </row>
    <row r="160" spans="1:38" x14ac:dyDescent="0.25">
      <c r="A160" s="166">
        <v>42229</v>
      </c>
      <c r="C160" s="160" t="s">
        <v>21</v>
      </c>
      <c r="D160" s="161">
        <f ca="1">+IF(AD160=0,P160,(SUM(INDIRECT(CONCATENATE("B",AD160,":B",AA160)))/'parametres articles'!$H$8))</f>
        <v>0.4</v>
      </c>
      <c r="E160" s="10">
        <f t="shared" si="41"/>
        <v>70</v>
      </c>
      <c r="F160" s="10"/>
      <c r="G160" s="10">
        <f t="shared" si="30"/>
        <v>70</v>
      </c>
      <c r="H160" s="140"/>
      <c r="I160" s="141">
        <f t="shared" si="43"/>
        <v>70.952380952380949</v>
      </c>
      <c r="K160" s="2">
        <f>+HLOOKUP($C160,'parametres articles'!$C$5:$G$25,5,FALSE)</f>
        <v>15</v>
      </c>
      <c r="L160" s="2">
        <f>+HLOOKUP($C160,'parametres articles'!$C$5:$G$25,21,FALSE)</f>
        <v>13</v>
      </c>
      <c r="M160" s="124">
        <f>+HLOOKUP($C160,'parametres articles'!$C$5:$G$25,7,FALSE)</f>
        <v>0.8</v>
      </c>
      <c r="N160" s="124">
        <f>+HLOOKUP($C160,'parametres articles'!$C$5:$G$25,6,FALSE)</f>
        <v>0.4</v>
      </c>
      <c r="O160" s="2">
        <f>+HLOOKUP($C160,'parametres articles'!$C$5:$G$25,8,FALSE)</f>
        <v>0</v>
      </c>
      <c r="P160" s="114">
        <f>IF(C160="E",'parametres articles'!$C$8,HLOOKUP($C160,'parametres articles'!$C$5:$F$25,4,FALSE))</f>
        <v>2.27</v>
      </c>
      <c r="Q160" s="114">
        <f t="shared" si="31"/>
        <v>2.27</v>
      </c>
      <c r="R160" s="2">
        <f t="shared" si="38"/>
        <v>13.62</v>
      </c>
      <c r="S160" s="2">
        <f t="shared" si="32"/>
        <v>24.515999999999998</v>
      </c>
      <c r="T160" s="2">
        <f t="shared" si="33"/>
        <v>58.565999999999995</v>
      </c>
      <c r="U160" s="2">
        <f t="shared" si="39"/>
        <v>72.185999999999993</v>
      </c>
      <c r="V160" s="2">
        <f t="shared" si="34"/>
        <v>24.515999999999998</v>
      </c>
      <c r="W160" s="2">
        <f t="shared" si="35"/>
        <v>34.049999999999997</v>
      </c>
      <c r="X160" s="2">
        <f t="shared" si="36"/>
        <v>13.62</v>
      </c>
      <c r="Y160" s="114">
        <f t="shared" si="37"/>
        <v>31.325999999999997</v>
      </c>
      <c r="AA160" s="11">
        <f t="shared" ca="1" si="42"/>
        <v>160</v>
      </c>
      <c r="AB160" s="11">
        <f ca="1">+AA160+'parametres articles'!$C$9-1</f>
        <v>174</v>
      </c>
      <c r="AC160" s="11">
        <f ca="1">+AA160+'parametres articles'!$C$24-1</f>
        <v>179</v>
      </c>
      <c r="AD160" s="11">
        <f ca="1">+IF(AE160&lt;='parametres articles'!$H$8,0,AA160-'parametres articles'!$H$8+1)</f>
        <v>156</v>
      </c>
      <c r="AE160" s="11">
        <v>156</v>
      </c>
      <c r="AF160" s="2" t="str">
        <f t="shared" ca="1" si="40"/>
        <v>F175</v>
      </c>
      <c r="AG160" s="172"/>
      <c r="AI160" s="2"/>
      <c r="AJ160" s="2"/>
      <c r="AK160" s="2"/>
      <c r="AL160" s="2"/>
    </row>
    <row r="161" spans="1:38" x14ac:dyDescent="0.25">
      <c r="A161" s="166">
        <v>42230</v>
      </c>
      <c r="C161" s="160" t="s">
        <v>21</v>
      </c>
      <c r="D161" s="161">
        <f ca="1">+IF(AD161=0,P161,(SUM(INDIRECT(CONCATENATE("B",AD161,":B",AA161)))/'parametres articles'!$H$8))</f>
        <v>0</v>
      </c>
      <c r="E161" s="10">
        <f t="shared" si="41"/>
        <v>70</v>
      </c>
      <c r="F161" s="10"/>
      <c r="G161" s="10">
        <f t="shared" si="30"/>
        <v>70</v>
      </c>
      <c r="H161" s="140"/>
      <c r="I161" s="141">
        <f t="shared" si="43"/>
        <v>71.571428571428569</v>
      </c>
      <c r="K161" s="2">
        <f>+HLOOKUP($C161,'parametres articles'!$C$5:$G$25,5,FALSE)</f>
        <v>15</v>
      </c>
      <c r="L161" s="2">
        <f>+HLOOKUP($C161,'parametres articles'!$C$5:$G$25,21,FALSE)</f>
        <v>13</v>
      </c>
      <c r="M161" s="124">
        <f>+HLOOKUP($C161,'parametres articles'!$C$5:$G$25,7,FALSE)</f>
        <v>0.8</v>
      </c>
      <c r="N161" s="124">
        <f>+HLOOKUP($C161,'parametres articles'!$C$5:$G$25,6,FALSE)</f>
        <v>0.4</v>
      </c>
      <c r="O161" s="2">
        <f>+HLOOKUP($C161,'parametres articles'!$C$5:$G$25,8,FALSE)</f>
        <v>0</v>
      </c>
      <c r="P161" s="114">
        <f>IF(C161="E",'parametres articles'!$C$8,HLOOKUP($C161,'parametres articles'!$C$5:$F$25,4,FALSE))</f>
        <v>2.27</v>
      </c>
      <c r="Q161" s="114">
        <f t="shared" si="31"/>
        <v>2.27</v>
      </c>
      <c r="R161" s="2">
        <f t="shared" si="38"/>
        <v>13.62</v>
      </c>
      <c r="S161" s="2">
        <f t="shared" si="32"/>
        <v>24.515999999999998</v>
      </c>
      <c r="T161" s="2">
        <f t="shared" si="33"/>
        <v>58.565999999999995</v>
      </c>
      <c r="U161" s="2">
        <f t="shared" si="39"/>
        <v>72.185999999999993</v>
      </c>
      <c r="V161" s="2">
        <f t="shared" si="34"/>
        <v>24.515999999999998</v>
      </c>
      <c r="W161" s="2">
        <f t="shared" si="35"/>
        <v>34.049999999999997</v>
      </c>
      <c r="X161" s="2">
        <f t="shared" si="36"/>
        <v>13.62</v>
      </c>
      <c r="Y161" s="114">
        <f t="shared" si="37"/>
        <v>31.325999999999997</v>
      </c>
      <c r="AA161" s="11">
        <f t="shared" ca="1" si="42"/>
        <v>161</v>
      </c>
      <c r="AB161" s="11">
        <f ca="1">+AA161+'parametres articles'!$C$9-1</f>
        <v>175</v>
      </c>
      <c r="AC161" s="11">
        <f ca="1">+AA161+'parametres articles'!$C$24-1</f>
        <v>180</v>
      </c>
      <c r="AD161" s="11">
        <f ca="1">+IF(AE161&lt;='parametres articles'!$H$8,0,AA161-'parametres articles'!$H$8+1)</f>
        <v>157</v>
      </c>
      <c r="AE161" s="11">
        <v>157</v>
      </c>
      <c r="AF161" s="2" t="str">
        <f t="shared" ca="1" si="40"/>
        <v>F176</v>
      </c>
      <c r="AG161" s="172"/>
      <c r="AI161" s="2"/>
      <c r="AJ161" s="2"/>
      <c r="AK161" s="2"/>
      <c r="AL161" s="2"/>
    </row>
    <row r="162" spans="1:38" x14ac:dyDescent="0.25">
      <c r="A162" s="166">
        <v>42233</v>
      </c>
      <c r="C162" s="160" t="s">
        <v>21</v>
      </c>
      <c r="D162" s="161">
        <f ca="1">+IF(AD162=0,P162,(SUM(INDIRECT(CONCATENATE("B",AD162,":B",AA162)))/'parametres articles'!$H$8))</f>
        <v>0</v>
      </c>
      <c r="E162" s="10">
        <f t="shared" si="41"/>
        <v>70</v>
      </c>
      <c r="F162" s="10"/>
      <c r="G162" s="10">
        <f t="shared" si="30"/>
        <v>70</v>
      </c>
      <c r="H162" s="140"/>
      <c r="I162" s="141">
        <f t="shared" si="43"/>
        <v>71.428571428571431</v>
      </c>
      <c r="K162" s="2">
        <f>+HLOOKUP($C162,'parametres articles'!$C$5:$G$25,5,FALSE)</f>
        <v>15</v>
      </c>
      <c r="L162" s="2">
        <f>+HLOOKUP($C162,'parametres articles'!$C$5:$G$25,21,FALSE)</f>
        <v>13</v>
      </c>
      <c r="M162" s="124">
        <f>+HLOOKUP($C162,'parametres articles'!$C$5:$G$25,7,FALSE)</f>
        <v>0.8</v>
      </c>
      <c r="N162" s="124">
        <f>+HLOOKUP($C162,'parametres articles'!$C$5:$G$25,6,FALSE)</f>
        <v>0.4</v>
      </c>
      <c r="O162" s="2">
        <f>+HLOOKUP($C162,'parametres articles'!$C$5:$G$25,8,FALSE)</f>
        <v>0</v>
      </c>
      <c r="P162" s="114">
        <f>IF(C162="E",'parametres articles'!$C$8,HLOOKUP($C162,'parametres articles'!$C$5:$F$25,4,FALSE))</f>
        <v>2.27</v>
      </c>
      <c r="Q162" s="114">
        <f t="shared" si="31"/>
        <v>2.27</v>
      </c>
      <c r="R162" s="2">
        <f t="shared" si="38"/>
        <v>13.62</v>
      </c>
      <c r="S162" s="2">
        <f t="shared" si="32"/>
        <v>24.515999999999998</v>
      </c>
      <c r="T162" s="2">
        <f t="shared" si="33"/>
        <v>58.565999999999995</v>
      </c>
      <c r="U162" s="2">
        <f t="shared" si="39"/>
        <v>72.185999999999993</v>
      </c>
      <c r="V162" s="2">
        <f t="shared" si="34"/>
        <v>24.515999999999998</v>
      </c>
      <c r="W162" s="2">
        <f t="shared" si="35"/>
        <v>34.049999999999997</v>
      </c>
      <c r="X162" s="2">
        <f t="shared" si="36"/>
        <v>13.62</v>
      </c>
      <c r="Y162" s="114">
        <f t="shared" si="37"/>
        <v>31.325999999999997</v>
      </c>
      <c r="AA162" s="11">
        <f t="shared" ca="1" si="42"/>
        <v>162</v>
      </c>
      <c r="AB162" s="11">
        <f ca="1">+AA162+'parametres articles'!$C$9-1</f>
        <v>176</v>
      </c>
      <c r="AC162" s="11">
        <f ca="1">+AA162+'parametres articles'!$C$24-1</f>
        <v>181</v>
      </c>
      <c r="AD162" s="11">
        <f ca="1">+IF(AE162&lt;='parametres articles'!$H$8,0,AA162-'parametres articles'!$H$8+1)</f>
        <v>158</v>
      </c>
      <c r="AE162" s="11">
        <v>158</v>
      </c>
      <c r="AF162" s="2" t="str">
        <f t="shared" ca="1" si="40"/>
        <v>F177</v>
      </c>
      <c r="AG162" s="172"/>
      <c r="AI162" s="2"/>
      <c r="AJ162" s="2"/>
      <c r="AK162" s="2"/>
      <c r="AL162" s="2"/>
    </row>
    <row r="163" spans="1:38" x14ac:dyDescent="0.25">
      <c r="A163" s="166">
        <v>42234</v>
      </c>
      <c r="C163" s="160" t="s">
        <v>21</v>
      </c>
      <c r="D163" s="161">
        <f ca="1">+IF(AD163=0,P163,(SUM(INDIRECT(CONCATENATE("B",AD163,":B",AA163)))/'parametres articles'!$H$8))</f>
        <v>0</v>
      </c>
      <c r="E163" s="10">
        <f t="shared" si="41"/>
        <v>68</v>
      </c>
      <c r="F163" s="10"/>
      <c r="G163" s="10">
        <f t="shared" si="30"/>
        <v>68</v>
      </c>
      <c r="H163" s="140"/>
      <c r="I163" s="141">
        <f t="shared" si="43"/>
        <v>71.19047619047619</v>
      </c>
      <c r="K163" s="2">
        <f>+HLOOKUP($C163,'parametres articles'!$C$5:$G$25,5,FALSE)</f>
        <v>15</v>
      </c>
      <c r="L163" s="2">
        <f>+HLOOKUP($C163,'parametres articles'!$C$5:$G$25,21,FALSE)</f>
        <v>13</v>
      </c>
      <c r="M163" s="124">
        <f>+HLOOKUP($C163,'parametres articles'!$C$5:$G$25,7,FALSE)</f>
        <v>0.8</v>
      </c>
      <c r="N163" s="124">
        <f>+HLOOKUP($C163,'parametres articles'!$C$5:$G$25,6,FALSE)</f>
        <v>0.4</v>
      </c>
      <c r="O163" s="2">
        <f>+HLOOKUP($C163,'parametres articles'!$C$5:$G$25,8,FALSE)</f>
        <v>0</v>
      </c>
      <c r="P163" s="114">
        <f>IF(C163="E",'parametres articles'!$C$8,HLOOKUP($C163,'parametres articles'!$C$5:$F$25,4,FALSE))</f>
        <v>2.27</v>
      </c>
      <c r="Q163" s="114">
        <f t="shared" si="31"/>
        <v>2.27</v>
      </c>
      <c r="R163" s="2">
        <f t="shared" si="38"/>
        <v>13.62</v>
      </c>
      <c r="S163" s="2">
        <f t="shared" si="32"/>
        <v>24.515999999999998</v>
      </c>
      <c r="T163" s="2">
        <f t="shared" si="33"/>
        <v>58.565999999999995</v>
      </c>
      <c r="U163" s="2">
        <f t="shared" si="39"/>
        <v>72.185999999999993</v>
      </c>
      <c r="V163" s="2">
        <f t="shared" si="34"/>
        <v>24.515999999999998</v>
      </c>
      <c r="W163" s="2">
        <f t="shared" si="35"/>
        <v>34.049999999999997</v>
      </c>
      <c r="X163" s="2">
        <f t="shared" si="36"/>
        <v>13.62</v>
      </c>
      <c r="Y163" s="114">
        <f t="shared" si="37"/>
        <v>31.325999999999997</v>
      </c>
      <c r="AA163" s="11">
        <f t="shared" ca="1" si="42"/>
        <v>163</v>
      </c>
      <c r="AB163" s="11">
        <f ca="1">+AA163+'parametres articles'!$C$9-1</f>
        <v>177</v>
      </c>
      <c r="AC163" s="11">
        <f ca="1">+AA163+'parametres articles'!$C$24-1</f>
        <v>182</v>
      </c>
      <c r="AD163" s="11">
        <f ca="1">+IF(AE163&lt;='parametres articles'!$H$8,0,AA163-'parametres articles'!$H$8+1)</f>
        <v>159</v>
      </c>
      <c r="AE163" s="11">
        <v>159</v>
      </c>
      <c r="AF163" s="2" t="str">
        <f t="shared" ca="1" si="40"/>
        <v>F178</v>
      </c>
      <c r="AG163" s="172">
        <v>-2</v>
      </c>
      <c r="AI163" s="2"/>
      <c r="AJ163" s="2"/>
      <c r="AK163" s="2"/>
      <c r="AL163" s="2"/>
    </row>
    <row r="164" spans="1:38" x14ac:dyDescent="0.25">
      <c r="A164" s="166">
        <v>42235</v>
      </c>
      <c r="C164" s="160" t="s">
        <v>21</v>
      </c>
      <c r="D164" s="161">
        <f ca="1">+IF(AD164=0,P164,(SUM(INDIRECT(CONCATENATE("B",AD164,":B",AA164)))/'parametres articles'!$H$8))</f>
        <v>0</v>
      </c>
      <c r="E164" s="10">
        <f t="shared" si="41"/>
        <v>68</v>
      </c>
      <c r="F164" s="10"/>
      <c r="G164" s="10">
        <f t="shared" si="30"/>
        <v>68</v>
      </c>
      <c r="H164" s="140"/>
      <c r="I164" s="141">
        <f t="shared" si="43"/>
        <v>70.952380952380949</v>
      </c>
      <c r="K164" s="2">
        <f>+HLOOKUP($C164,'parametres articles'!$C$5:$G$25,5,FALSE)</f>
        <v>15</v>
      </c>
      <c r="L164" s="2">
        <f>+HLOOKUP($C164,'parametres articles'!$C$5:$G$25,21,FALSE)</f>
        <v>13</v>
      </c>
      <c r="M164" s="124">
        <f>+HLOOKUP($C164,'parametres articles'!$C$5:$G$25,7,FALSE)</f>
        <v>0.8</v>
      </c>
      <c r="N164" s="124">
        <f>+HLOOKUP($C164,'parametres articles'!$C$5:$G$25,6,FALSE)</f>
        <v>0.4</v>
      </c>
      <c r="O164" s="2">
        <f>+HLOOKUP($C164,'parametres articles'!$C$5:$G$25,8,FALSE)</f>
        <v>0</v>
      </c>
      <c r="P164" s="114">
        <f>IF(C164="E",'parametres articles'!$C$8,HLOOKUP($C164,'parametres articles'!$C$5:$F$25,4,FALSE))</f>
        <v>2.27</v>
      </c>
      <c r="Q164" s="114">
        <f t="shared" si="31"/>
        <v>2.27</v>
      </c>
      <c r="R164" s="2">
        <f t="shared" si="38"/>
        <v>13.62</v>
      </c>
      <c r="S164" s="2">
        <f t="shared" si="32"/>
        <v>24.515999999999998</v>
      </c>
      <c r="T164" s="2">
        <f t="shared" si="33"/>
        <v>58.565999999999995</v>
      </c>
      <c r="U164" s="2">
        <f t="shared" si="39"/>
        <v>72.185999999999993</v>
      </c>
      <c r="V164" s="2">
        <f t="shared" si="34"/>
        <v>24.515999999999998</v>
      </c>
      <c r="W164" s="2">
        <f t="shared" si="35"/>
        <v>34.049999999999997</v>
      </c>
      <c r="X164" s="2">
        <f t="shared" si="36"/>
        <v>13.62</v>
      </c>
      <c r="Y164" s="114">
        <f t="shared" si="37"/>
        <v>31.325999999999997</v>
      </c>
      <c r="AA164" s="11">
        <f t="shared" ca="1" si="42"/>
        <v>164</v>
      </c>
      <c r="AB164" s="11">
        <f ca="1">+AA164+'parametres articles'!$C$9-1</f>
        <v>178</v>
      </c>
      <c r="AC164" s="11">
        <f ca="1">+AA164+'parametres articles'!$C$24-1</f>
        <v>183</v>
      </c>
      <c r="AD164" s="11">
        <f ca="1">+IF(AE164&lt;='parametres articles'!$H$8,0,AA164-'parametres articles'!$H$8+1)</f>
        <v>160</v>
      </c>
      <c r="AE164" s="11">
        <v>160</v>
      </c>
      <c r="AF164" s="2" t="str">
        <f t="shared" ca="1" si="40"/>
        <v>F179</v>
      </c>
      <c r="AG164" s="172"/>
      <c r="AI164" s="2"/>
      <c r="AJ164" s="2"/>
      <c r="AK164" s="2"/>
      <c r="AL164" s="2"/>
    </row>
    <row r="165" spans="1:38" x14ac:dyDescent="0.25">
      <c r="A165" s="166">
        <v>42236</v>
      </c>
      <c r="C165" s="160" t="s">
        <v>21</v>
      </c>
      <c r="D165" s="161">
        <f ca="1">+IF(AD165=0,P165,(SUM(INDIRECT(CONCATENATE("B",AD165,":B",AA165)))/'parametres articles'!$H$8))</f>
        <v>0</v>
      </c>
      <c r="E165" s="10">
        <f t="shared" si="41"/>
        <v>68</v>
      </c>
      <c r="F165" s="10"/>
      <c r="G165" s="10">
        <f t="shared" si="30"/>
        <v>68</v>
      </c>
      <c r="H165" s="140"/>
      <c r="I165" s="141">
        <f t="shared" si="43"/>
        <v>70.714285714285708</v>
      </c>
      <c r="K165" s="2">
        <f>+HLOOKUP($C165,'parametres articles'!$C$5:$G$25,5,FALSE)</f>
        <v>15</v>
      </c>
      <c r="L165" s="2">
        <f>+HLOOKUP($C165,'parametres articles'!$C$5:$G$25,21,FALSE)</f>
        <v>13</v>
      </c>
      <c r="M165" s="124">
        <f>+HLOOKUP($C165,'parametres articles'!$C$5:$G$25,7,FALSE)</f>
        <v>0.8</v>
      </c>
      <c r="N165" s="124">
        <f>+HLOOKUP($C165,'parametres articles'!$C$5:$G$25,6,FALSE)</f>
        <v>0.4</v>
      </c>
      <c r="O165" s="2">
        <f>+HLOOKUP($C165,'parametres articles'!$C$5:$G$25,8,FALSE)</f>
        <v>0</v>
      </c>
      <c r="P165" s="114">
        <f>IF(C165="E",'parametres articles'!$C$8,HLOOKUP($C165,'parametres articles'!$C$5:$F$25,4,FALSE))</f>
        <v>2.27</v>
      </c>
      <c r="Q165" s="114">
        <f t="shared" si="31"/>
        <v>2.27</v>
      </c>
      <c r="R165" s="2">
        <f t="shared" si="38"/>
        <v>13.62</v>
      </c>
      <c r="S165" s="2">
        <f t="shared" si="32"/>
        <v>24.515999999999998</v>
      </c>
      <c r="T165" s="2">
        <f t="shared" si="33"/>
        <v>58.565999999999995</v>
      </c>
      <c r="U165" s="2">
        <f t="shared" si="39"/>
        <v>72.185999999999993</v>
      </c>
      <c r="V165" s="2">
        <f t="shared" si="34"/>
        <v>24.515999999999998</v>
      </c>
      <c r="W165" s="2">
        <f t="shared" si="35"/>
        <v>34.049999999999997</v>
      </c>
      <c r="X165" s="2">
        <f t="shared" si="36"/>
        <v>13.62</v>
      </c>
      <c r="Y165" s="114">
        <f t="shared" si="37"/>
        <v>31.325999999999997</v>
      </c>
      <c r="AA165" s="11">
        <f t="shared" ca="1" si="42"/>
        <v>165</v>
      </c>
      <c r="AB165" s="11">
        <f ca="1">+AA165+'parametres articles'!$C$9-1</f>
        <v>179</v>
      </c>
      <c r="AC165" s="11">
        <f ca="1">+AA165+'parametres articles'!$C$24-1</f>
        <v>184</v>
      </c>
      <c r="AD165" s="11">
        <f ca="1">+IF(AE165&lt;='parametres articles'!$H$8,0,AA165-'parametres articles'!$H$8+1)</f>
        <v>161</v>
      </c>
      <c r="AE165" s="11">
        <v>161</v>
      </c>
      <c r="AF165" s="2" t="str">
        <f t="shared" ca="1" si="40"/>
        <v>F180</v>
      </c>
      <c r="AG165" s="172"/>
      <c r="AH165" s="2"/>
      <c r="AI165" s="2"/>
      <c r="AJ165" s="2"/>
      <c r="AK165" s="2"/>
      <c r="AL165" s="2"/>
    </row>
    <row r="166" spans="1:38" x14ac:dyDescent="0.25">
      <c r="A166" s="166">
        <v>42237</v>
      </c>
      <c r="C166" s="160" t="s">
        <v>21</v>
      </c>
      <c r="D166" s="161">
        <f ca="1">+IF(AD166=0,P166,(SUM(INDIRECT(CONCATENATE("B",AD166,":B",AA166)))/'parametres articles'!$H$8))</f>
        <v>0</v>
      </c>
      <c r="E166" s="10">
        <f t="shared" si="41"/>
        <v>68</v>
      </c>
      <c r="F166" s="10"/>
      <c r="G166" s="10">
        <f t="shared" si="30"/>
        <v>68</v>
      </c>
      <c r="H166" s="140"/>
      <c r="I166" s="141">
        <f t="shared" si="43"/>
        <v>70.571428571428569</v>
      </c>
      <c r="K166" s="2">
        <f>+HLOOKUP($C166,'parametres articles'!$C$5:$G$25,5,FALSE)</f>
        <v>15</v>
      </c>
      <c r="L166" s="2">
        <f>+HLOOKUP($C166,'parametres articles'!$C$5:$G$25,21,FALSE)</f>
        <v>13</v>
      </c>
      <c r="M166" s="124">
        <f>+HLOOKUP($C166,'parametres articles'!$C$5:$G$25,7,FALSE)</f>
        <v>0.8</v>
      </c>
      <c r="N166" s="124">
        <f>+HLOOKUP($C166,'parametres articles'!$C$5:$G$25,6,FALSE)</f>
        <v>0.4</v>
      </c>
      <c r="O166" s="2">
        <f>+HLOOKUP($C166,'parametres articles'!$C$5:$G$25,8,FALSE)</f>
        <v>0</v>
      </c>
      <c r="P166" s="114">
        <f>IF(C166="E",'parametres articles'!$C$8,HLOOKUP($C166,'parametres articles'!$C$5:$F$25,4,FALSE))</f>
        <v>2.27</v>
      </c>
      <c r="Q166" s="114">
        <f t="shared" si="31"/>
        <v>2.27</v>
      </c>
      <c r="R166" s="2">
        <f t="shared" si="38"/>
        <v>13.62</v>
      </c>
      <c r="S166" s="2">
        <f t="shared" si="32"/>
        <v>24.515999999999998</v>
      </c>
      <c r="T166" s="2">
        <f t="shared" si="33"/>
        <v>58.565999999999995</v>
      </c>
      <c r="U166" s="2">
        <f t="shared" si="39"/>
        <v>72.185999999999993</v>
      </c>
      <c r="V166" s="2">
        <f t="shared" si="34"/>
        <v>24.515999999999998</v>
      </c>
      <c r="W166" s="2">
        <f t="shared" si="35"/>
        <v>34.049999999999997</v>
      </c>
      <c r="X166" s="2">
        <f t="shared" si="36"/>
        <v>13.62</v>
      </c>
      <c r="Y166" s="114">
        <f t="shared" si="37"/>
        <v>31.325999999999997</v>
      </c>
      <c r="AA166" s="11">
        <f t="shared" ca="1" si="42"/>
        <v>166</v>
      </c>
      <c r="AB166" s="11">
        <f ca="1">+AA166+'parametres articles'!$C$9-1</f>
        <v>180</v>
      </c>
      <c r="AC166" s="11">
        <f ca="1">+AA166+'parametres articles'!$C$24-1</f>
        <v>185</v>
      </c>
      <c r="AD166" s="11">
        <f ca="1">+IF(AE166&lt;='parametres articles'!$H$8,0,AA166-'parametres articles'!$H$8+1)</f>
        <v>162</v>
      </c>
      <c r="AE166" s="11">
        <v>162</v>
      </c>
      <c r="AF166" s="2" t="str">
        <f t="shared" ca="1" si="40"/>
        <v>F181</v>
      </c>
      <c r="AG166" s="172"/>
      <c r="AH166" s="2"/>
      <c r="AI166" s="2"/>
      <c r="AJ166" s="2"/>
      <c r="AK166" s="2"/>
      <c r="AL166" s="2"/>
    </row>
    <row r="167" spans="1:38" x14ac:dyDescent="0.25">
      <c r="A167" s="166">
        <v>42240</v>
      </c>
      <c r="B167" s="163">
        <v>8</v>
      </c>
      <c r="C167" s="160" t="s">
        <v>21</v>
      </c>
      <c r="D167" s="161">
        <f ca="1">+IF(AD167=0,P167,(SUM(INDIRECT(CONCATENATE("B",AD167,":B",AA167)))/'parametres articles'!$H$8))</f>
        <v>1.6</v>
      </c>
      <c r="E167" s="10">
        <f t="shared" si="41"/>
        <v>68</v>
      </c>
      <c r="F167" s="10"/>
      <c r="G167" s="10">
        <f t="shared" si="30"/>
        <v>60</v>
      </c>
      <c r="H167" s="140"/>
      <c r="I167" s="141">
        <f t="shared" si="43"/>
        <v>70.428571428571431</v>
      </c>
      <c r="K167" s="2">
        <f>+HLOOKUP($C167,'parametres articles'!$C$5:$G$25,5,FALSE)</f>
        <v>15</v>
      </c>
      <c r="L167" s="2">
        <f>+HLOOKUP($C167,'parametres articles'!$C$5:$G$25,21,FALSE)</f>
        <v>13</v>
      </c>
      <c r="M167" s="124">
        <f>+HLOOKUP($C167,'parametres articles'!$C$5:$G$25,7,FALSE)</f>
        <v>0.8</v>
      </c>
      <c r="N167" s="124">
        <f>+HLOOKUP($C167,'parametres articles'!$C$5:$G$25,6,FALSE)</f>
        <v>0.4</v>
      </c>
      <c r="O167" s="2">
        <f>+HLOOKUP($C167,'parametres articles'!$C$5:$G$25,8,FALSE)</f>
        <v>0</v>
      </c>
      <c r="P167" s="114">
        <f>IF(C167="E",'parametres articles'!$C$8,HLOOKUP($C167,'parametres articles'!$C$5:$F$25,4,FALSE))</f>
        <v>2.27</v>
      </c>
      <c r="Q167" s="114">
        <f t="shared" si="31"/>
        <v>2.27</v>
      </c>
      <c r="R167" s="2">
        <f t="shared" si="38"/>
        <v>13.62</v>
      </c>
      <c r="S167" s="2">
        <f t="shared" si="32"/>
        <v>24.515999999999998</v>
      </c>
      <c r="T167" s="2">
        <f t="shared" si="33"/>
        <v>58.565999999999995</v>
      </c>
      <c r="U167" s="2">
        <f t="shared" si="39"/>
        <v>72.185999999999993</v>
      </c>
      <c r="V167" s="2">
        <f t="shared" si="34"/>
        <v>24.515999999999998</v>
      </c>
      <c r="W167" s="2">
        <f t="shared" si="35"/>
        <v>34.049999999999997</v>
      </c>
      <c r="X167" s="2">
        <f t="shared" si="36"/>
        <v>13.62</v>
      </c>
      <c r="Y167" s="114">
        <f t="shared" si="37"/>
        <v>31.325999999999997</v>
      </c>
      <c r="AA167" s="11">
        <f t="shared" ca="1" si="42"/>
        <v>167</v>
      </c>
      <c r="AB167" s="11">
        <f ca="1">+AA167+'parametres articles'!$C$9-1</f>
        <v>181</v>
      </c>
      <c r="AC167" s="11">
        <f ca="1">+AA167+'parametres articles'!$C$24-1</f>
        <v>186</v>
      </c>
      <c r="AD167" s="11">
        <f ca="1">+IF(AE167&lt;='parametres articles'!$H$8,0,AA167-'parametres articles'!$H$8+1)</f>
        <v>163</v>
      </c>
      <c r="AE167" s="11">
        <v>163</v>
      </c>
      <c r="AF167" s="2" t="str">
        <f t="shared" ca="1" si="40"/>
        <v>F182</v>
      </c>
      <c r="AG167" s="172"/>
      <c r="AH167" s="2"/>
      <c r="AI167" s="2"/>
      <c r="AJ167" s="2"/>
      <c r="AK167" s="2"/>
      <c r="AL167" s="2"/>
    </row>
    <row r="168" spans="1:38" x14ac:dyDescent="0.25">
      <c r="A168" s="166">
        <v>42241</v>
      </c>
      <c r="C168" s="160" t="s">
        <v>21</v>
      </c>
      <c r="D168" s="161">
        <f ca="1">+IF(AD168=0,P168,(SUM(INDIRECT(CONCATENATE("B",AD168,":B",AA168)))/'parametres articles'!$H$8))</f>
        <v>1.6</v>
      </c>
      <c r="E168" s="10">
        <f t="shared" si="41"/>
        <v>60</v>
      </c>
      <c r="F168" s="10"/>
      <c r="G168" s="10">
        <f t="shared" si="30"/>
        <v>60</v>
      </c>
      <c r="H168" s="140"/>
      <c r="I168" s="141">
        <f t="shared" si="43"/>
        <v>69.904761904761898</v>
      </c>
      <c r="K168" s="2">
        <f>+HLOOKUP($C168,'parametres articles'!$C$5:$G$25,5,FALSE)</f>
        <v>15</v>
      </c>
      <c r="L168" s="2">
        <f>+HLOOKUP($C168,'parametres articles'!$C$5:$G$25,21,FALSE)</f>
        <v>13</v>
      </c>
      <c r="M168" s="124">
        <f>+HLOOKUP($C168,'parametres articles'!$C$5:$G$25,7,FALSE)</f>
        <v>0.8</v>
      </c>
      <c r="N168" s="124">
        <f>+HLOOKUP($C168,'parametres articles'!$C$5:$G$25,6,FALSE)</f>
        <v>0.4</v>
      </c>
      <c r="O168" s="2">
        <f>+HLOOKUP($C168,'parametres articles'!$C$5:$G$25,8,FALSE)</f>
        <v>0</v>
      </c>
      <c r="P168" s="114">
        <f>IF(C168="E",'parametres articles'!$C$8,HLOOKUP($C168,'parametres articles'!$C$5:$F$25,4,FALSE))</f>
        <v>2.27</v>
      </c>
      <c r="Q168" s="114">
        <f t="shared" si="31"/>
        <v>2.27</v>
      </c>
      <c r="R168" s="2">
        <f t="shared" si="38"/>
        <v>13.62</v>
      </c>
      <c r="S168" s="2">
        <f t="shared" si="32"/>
        <v>24.515999999999998</v>
      </c>
      <c r="T168" s="2">
        <f t="shared" si="33"/>
        <v>58.565999999999995</v>
      </c>
      <c r="U168" s="2">
        <f t="shared" si="39"/>
        <v>72.185999999999993</v>
      </c>
      <c r="V168" s="2">
        <f t="shared" si="34"/>
        <v>24.515999999999998</v>
      </c>
      <c r="W168" s="2">
        <f t="shared" si="35"/>
        <v>34.049999999999997</v>
      </c>
      <c r="X168" s="2">
        <f t="shared" si="36"/>
        <v>13.62</v>
      </c>
      <c r="Y168" s="114">
        <f t="shared" si="37"/>
        <v>31.325999999999997</v>
      </c>
      <c r="AA168" s="11">
        <f t="shared" ca="1" si="42"/>
        <v>168</v>
      </c>
      <c r="AB168" s="11">
        <f ca="1">+AA168+'parametres articles'!$C$9-1</f>
        <v>182</v>
      </c>
      <c r="AC168" s="11">
        <f ca="1">+AA168+'parametres articles'!$C$24-1</f>
        <v>187</v>
      </c>
      <c r="AD168" s="11">
        <f ca="1">+IF(AE168&lt;='parametres articles'!$H$8,0,AA168-'parametres articles'!$H$8+1)</f>
        <v>164</v>
      </c>
      <c r="AE168" s="11">
        <v>164</v>
      </c>
      <c r="AF168" s="2" t="str">
        <f t="shared" ca="1" si="40"/>
        <v>F183</v>
      </c>
      <c r="AG168" s="172"/>
      <c r="AH168" s="2"/>
      <c r="AI168" s="2"/>
      <c r="AJ168" s="2"/>
      <c r="AK168" s="2"/>
      <c r="AL168" s="2"/>
    </row>
    <row r="169" spans="1:38" x14ac:dyDescent="0.25">
      <c r="A169" s="166">
        <v>42242</v>
      </c>
      <c r="B169" s="163">
        <v>5</v>
      </c>
      <c r="C169" s="160" t="s">
        <v>21</v>
      </c>
      <c r="D169" s="161">
        <f ca="1">+IF(AD169=0,P169,(SUM(INDIRECT(CONCATENATE("B",AD169,":B",AA169)))/'parametres articles'!$H$8))</f>
        <v>2.6</v>
      </c>
      <c r="E169" s="10">
        <f t="shared" si="41"/>
        <v>55</v>
      </c>
      <c r="F169" s="10"/>
      <c r="G169" s="10">
        <f t="shared" si="30"/>
        <v>50</v>
      </c>
      <c r="H169" s="140"/>
      <c r="I169" s="141">
        <f t="shared" si="43"/>
        <v>69.333333333333329</v>
      </c>
      <c r="K169" s="2">
        <f>+HLOOKUP($C169,'parametres articles'!$C$5:$G$25,5,FALSE)</f>
        <v>15</v>
      </c>
      <c r="L169" s="2">
        <f>+HLOOKUP($C169,'parametres articles'!$C$5:$G$25,21,FALSE)</f>
        <v>13</v>
      </c>
      <c r="M169" s="124">
        <f>+HLOOKUP($C169,'parametres articles'!$C$5:$G$25,7,FALSE)</f>
        <v>0.8</v>
      </c>
      <c r="N169" s="124">
        <f>+HLOOKUP($C169,'parametres articles'!$C$5:$G$25,6,FALSE)</f>
        <v>0.4</v>
      </c>
      <c r="O169" s="2">
        <f>+HLOOKUP($C169,'parametres articles'!$C$5:$G$25,8,FALSE)</f>
        <v>0</v>
      </c>
      <c r="P169" s="114">
        <f>IF(C169="E",'parametres articles'!$C$8,HLOOKUP($C169,'parametres articles'!$C$5:$F$25,4,FALSE))</f>
        <v>2.27</v>
      </c>
      <c r="Q169" s="114">
        <f t="shared" si="31"/>
        <v>2.27</v>
      </c>
      <c r="R169" s="2">
        <f t="shared" si="38"/>
        <v>13.62</v>
      </c>
      <c r="S169" s="2">
        <f t="shared" si="32"/>
        <v>24.515999999999998</v>
      </c>
      <c r="T169" s="2">
        <f t="shared" si="33"/>
        <v>58.565999999999995</v>
      </c>
      <c r="U169" s="2">
        <f t="shared" si="39"/>
        <v>72.185999999999993</v>
      </c>
      <c r="V169" s="2">
        <f t="shared" si="34"/>
        <v>24.515999999999998</v>
      </c>
      <c r="W169" s="2">
        <f t="shared" si="35"/>
        <v>34.049999999999997</v>
      </c>
      <c r="X169" s="2">
        <f t="shared" si="36"/>
        <v>13.62</v>
      </c>
      <c r="Y169" s="114">
        <f t="shared" si="37"/>
        <v>31.325999999999997</v>
      </c>
      <c r="AA169" s="11">
        <f t="shared" ca="1" si="42"/>
        <v>169</v>
      </c>
      <c r="AB169" s="11">
        <f ca="1">+AA169+'parametres articles'!$C$9-1</f>
        <v>183</v>
      </c>
      <c r="AC169" s="11">
        <f ca="1">+AA169+'parametres articles'!$C$24-1</f>
        <v>188</v>
      </c>
      <c r="AD169" s="11">
        <f ca="1">+IF(AE169&lt;='parametres articles'!$H$8,0,AA169-'parametres articles'!$H$8+1)</f>
        <v>165</v>
      </c>
      <c r="AE169" s="11">
        <v>165</v>
      </c>
      <c r="AF169" s="2" t="str">
        <f t="shared" ca="1" si="40"/>
        <v>F184</v>
      </c>
      <c r="AG169" s="172">
        <v>-5</v>
      </c>
      <c r="AH169" s="2"/>
      <c r="AI169" s="2"/>
      <c r="AJ169" s="2"/>
      <c r="AK169" s="2"/>
      <c r="AL169" s="2"/>
    </row>
    <row r="170" spans="1:38" x14ac:dyDescent="0.25">
      <c r="A170" s="166">
        <v>42243</v>
      </c>
      <c r="C170" s="160" t="s">
        <v>21</v>
      </c>
      <c r="D170" s="161">
        <f ca="1">+IF(AD170=0,P170,(SUM(INDIRECT(CONCATENATE("B",AD170,":B",AA170)))/'parametres articles'!$H$8))</f>
        <v>2.6</v>
      </c>
      <c r="E170" s="10">
        <f t="shared" si="41"/>
        <v>50</v>
      </c>
      <c r="F170" s="10"/>
      <c r="G170" s="10">
        <f t="shared" si="30"/>
        <v>50</v>
      </c>
      <c r="H170" s="140"/>
      <c r="I170" s="141">
        <f t="shared" si="43"/>
        <v>68.285714285714292</v>
      </c>
      <c r="K170" s="2">
        <f>+HLOOKUP($C170,'parametres articles'!$C$5:$G$25,5,FALSE)</f>
        <v>15</v>
      </c>
      <c r="L170" s="2">
        <f>+HLOOKUP($C170,'parametres articles'!$C$5:$G$25,21,FALSE)</f>
        <v>13</v>
      </c>
      <c r="M170" s="124">
        <f>+HLOOKUP($C170,'parametres articles'!$C$5:$G$25,7,FALSE)</f>
        <v>0.8</v>
      </c>
      <c r="N170" s="124">
        <f>+HLOOKUP($C170,'parametres articles'!$C$5:$G$25,6,FALSE)</f>
        <v>0.4</v>
      </c>
      <c r="O170" s="2">
        <f>+HLOOKUP($C170,'parametres articles'!$C$5:$G$25,8,FALSE)</f>
        <v>0</v>
      </c>
      <c r="P170" s="114">
        <f>IF(C170="E",'parametres articles'!$C$8,HLOOKUP($C170,'parametres articles'!$C$5:$F$25,4,FALSE))</f>
        <v>2.27</v>
      </c>
      <c r="Q170" s="114">
        <f t="shared" si="31"/>
        <v>2.27</v>
      </c>
      <c r="R170" s="2">
        <f t="shared" si="38"/>
        <v>13.62</v>
      </c>
      <c r="S170" s="2">
        <f t="shared" si="32"/>
        <v>24.515999999999998</v>
      </c>
      <c r="T170" s="2">
        <f t="shared" si="33"/>
        <v>58.565999999999995</v>
      </c>
      <c r="U170" s="2">
        <f t="shared" si="39"/>
        <v>72.185999999999993</v>
      </c>
      <c r="V170" s="2">
        <f t="shared" si="34"/>
        <v>24.515999999999998</v>
      </c>
      <c r="W170" s="2">
        <f t="shared" si="35"/>
        <v>34.049999999999997</v>
      </c>
      <c r="X170" s="2">
        <f t="shared" si="36"/>
        <v>13.62</v>
      </c>
      <c r="Y170" s="114">
        <f t="shared" si="37"/>
        <v>31.325999999999997</v>
      </c>
      <c r="AA170" s="11">
        <f t="shared" ca="1" si="42"/>
        <v>170</v>
      </c>
      <c r="AB170" s="11">
        <f ca="1">+AA170+'parametres articles'!$C$9-1</f>
        <v>184</v>
      </c>
      <c r="AC170" s="11">
        <f ca="1">+AA170+'parametres articles'!$C$24-1</f>
        <v>189</v>
      </c>
      <c r="AD170" s="11">
        <f ca="1">+IF(AE170&lt;='parametres articles'!$H$8,0,AA170-'parametres articles'!$H$8+1)</f>
        <v>166</v>
      </c>
      <c r="AE170" s="11">
        <v>166</v>
      </c>
      <c r="AF170" s="2" t="str">
        <f t="shared" ca="1" si="40"/>
        <v>F185</v>
      </c>
      <c r="AG170" s="172"/>
      <c r="AH170" s="2"/>
      <c r="AI170" s="2"/>
      <c r="AJ170" s="2"/>
      <c r="AK170" s="2"/>
      <c r="AL170" s="2"/>
    </row>
    <row r="171" spans="1:38" x14ac:dyDescent="0.25">
      <c r="A171" s="166">
        <v>42244</v>
      </c>
      <c r="C171" s="160" t="s">
        <v>21</v>
      </c>
      <c r="D171" s="161">
        <f ca="1">+IF(AD171=0,P171,(SUM(INDIRECT(CONCATENATE("B",AD171,":B",AA171)))/'parametres articles'!$H$8))</f>
        <v>2.6</v>
      </c>
      <c r="E171" s="10">
        <f t="shared" si="41"/>
        <v>50</v>
      </c>
      <c r="F171" s="10"/>
      <c r="G171" s="10">
        <f t="shared" si="30"/>
        <v>50</v>
      </c>
      <c r="H171" s="140"/>
      <c r="I171" s="141">
        <f t="shared" si="43"/>
        <v>67.238095238095241</v>
      </c>
      <c r="K171" s="2">
        <f>+HLOOKUP($C171,'parametres articles'!$C$5:$G$25,5,FALSE)</f>
        <v>15</v>
      </c>
      <c r="L171" s="2">
        <f>+HLOOKUP($C171,'parametres articles'!$C$5:$G$25,21,FALSE)</f>
        <v>13</v>
      </c>
      <c r="M171" s="124">
        <f>+HLOOKUP($C171,'parametres articles'!$C$5:$G$25,7,FALSE)</f>
        <v>0.8</v>
      </c>
      <c r="N171" s="124">
        <f>+HLOOKUP($C171,'parametres articles'!$C$5:$G$25,6,FALSE)</f>
        <v>0.4</v>
      </c>
      <c r="O171" s="2">
        <f>+HLOOKUP($C171,'parametres articles'!$C$5:$G$25,8,FALSE)</f>
        <v>0</v>
      </c>
      <c r="P171" s="114">
        <f>IF(C171="E",'parametres articles'!$C$8,HLOOKUP($C171,'parametres articles'!$C$5:$F$25,4,FALSE))</f>
        <v>2.27</v>
      </c>
      <c r="Q171" s="114">
        <f t="shared" si="31"/>
        <v>2.27</v>
      </c>
      <c r="R171" s="2">
        <f t="shared" si="38"/>
        <v>13.62</v>
      </c>
      <c r="S171" s="2">
        <f t="shared" si="32"/>
        <v>24.515999999999998</v>
      </c>
      <c r="T171" s="2">
        <f t="shared" si="33"/>
        <v>58.565999999999995</v>
      </c>
      <c r="U171" s="2">
        <f t="shared" si="39"/>
        <v>72.185999999999993</v>
      </c>
      <c r="V171" s="2">
        <f t="shared" si="34"/>
        <v>24.515999999999998</v>
      </c>
      <c r="W171" s="2">
        <f t="shared" si="35"/>
        <v>34.049999999999997</v>
      </c>
      <c r="X171" s="2">
        <f t="shared" si="36"/>
        <v>13.62</v>
      </c>
      <c r="Y171" s="114">
        <f t="shared" si="37"/>
        <v>31.325999999999997</v>
      </c>
      <c r="AA171" s="11">
        <f t="shared" ca="1" si="42"/>
        <v>171</v>
      </c>
      <c r="AB171" s="11">
        <f ca="1">+AA171+'parametres articles'!$C$9-1</f>
        <v>185</v>
      </c>
      <c r="AC171" s="11">
        <f ca="1">+AA171+'parametres articles'!$C$24-1</f>
        <v>190</v>
      </c>
      <c r="AD171" s="11">
        <f ca="1">+IF(AE171&lt;='parametres articles'!$H$8,0,AA171-'parametres articles'!$H$8+1)</f>
        <v>167</v>
      </c>
      <c r="AE171" s="11">
        <v>167</v>
      </c>
      <c r="AF171" s="2" t="str">
        <f t="shared" ca="1" si="40"/>
        <v>F186</v>
      </c>
      <c r="AG171" s="172"/>
      <c r="AH171" s="2"/>
      <c r="AI171" s="2"/>
      <c r="AJ171" s="2"/>
      <c r="AK171" s="2"/>
      <c r="AL171" s="2"/>
    </row>
    <row r="172" spans="1:38" x14ac:dyDescent="0.25">
      <c r="A172" s="166">
        <v>42247</v>
      </c>
      <c r="C172" s="160" t="s">
        <v>21</v>
      </c>
      <c r="D172" s="161">
        <f ca="1">+IF(AD172=0,P172,(SUM(INDIRECT(CONCATENATE("B",AD172,":B",AA172)))/'parametres articles'!$H$8))</f>
        <v>1</v>
      </c>
      <c r="E172" s="10">
        <f t="shared" si="41"/>
        <v>50</v>
      </c>
      <c r="F172" s="10">
        <f>+VLOOKUP(A172,Feuil1!$K$3:$L$37,2,FALSE)</f>
        <v>24</v>
      </c>
      <c r="G172" s="10">
        <f t="shared" si="30"/>
        <v>74</v>
      </c>
      <c r="H172" s="140"/>
      <c r="I172" s="141">
        <f t="shared" si="43"/>
        <v>66.142857142857139</v>
      </c>
      <c r="K172" s="2">
        <f>+HLOOKUP($C172,'parametres articles'!$C$5:$G$25,5,FALSE)</f>
        <v>15</v>
      </c>
      <c r="L172" s="2">
        <f>+HLOOKUP($C172,'parametres articles'!$C$5:$G$25,21,FALSE)</f>
        <v>13</v>
      </c>
      <c r="M172" s="124">
        <f>+HLOOKUP($C172,'parametres articles'!$C$5:$G$25,7,FALSE)</f>
        <v>0.8</v>
      </c>
      <c r="N172" s="124">
        <f>+HLOOKUP($C172,'parametres articles'!$C$5:$G$25,6,FALSE)</f>
        <v>0.4</v>
      </c>
      <c r="O172" s="2">
        <f>+HLOOKUP($C172,'parametres articles'!$C$5:$G$25,8,FALSE)</f>
        <v>0</v>
      </c>
      <c r="P172" s="114">
        <f>IF(C172="E",'parametres articles'!$C$8,HLOOKUP($C172,'parametres articles'!$C$5:$F$25,4,FALSE))</f>
        <v>2.27</v>
      </c>
      <c r="Q172" s="114">
        <f t="shared" si="31"/>
        <v>2.27</v>
      </c>
      <c r="R172" s="2">
        <f t="shared" si="38"/>
        <v>13.62</v>
      </c>
      <c r="S172" s="2">
        <f t="shared" si="32"/>
        <v>24.515999999999998</v>
      </c>
      <c r="T172" s="2">
        <f t="shared" si="33"/>
        <v>58.565999999999995</v>
      </c>
      <c r="U172" s="2">
        <f t="shared" si="39"/>
        <v>72.185999999999993</v>
      </c>
      <c r="V172" s="2">
        <f t="shared" si="34"/>
        <v>24.515999999999998</v>
      </c>
      <c r="W172" s="2">
        <f t="shared" si="35"/>
        <v>34.049999999999997</v>
      </c>
      <c r="X172" s="2">
        <f t="shared" si="36"/>
        <v>13.62</v>
      </c>
      <c r="Y172" s="114">
        <f t="shared" si="37"/>
        <v>31.325999999999997</v>
      </c>
      <c r="AA172" s="11">
        <f t="shared" ca="1" si="42"/>
        <v>172</v>
      </c>
      <c r="AB172" s="11">
        <f ca="1">+AA172+'parametres articles'!$C$9-1</f>
        <v>186</v>
      </c>
      <c r="AC172" s="11">
        <f ca="1">+AA172+'parametres articles'!$C$24-1</f>
        <v>191</v>
      </c>
      <c r="AD172" s="11">
        <f ca="1">+IF(AE172&lt;='parametres articles'!$H$8,0,AA172-'parametres articles'!$H$8+1)</f>
        <v>168</v>
      </c>
      <c r="AE172" s="11">
        <v>168</v>
      </c>
      <c r="AF172" s="2" t="str">
        <f t="shared" ca="1" si="40"/>
        <v>F187</v>
      </c>
      <c r="AG172" s="172"/>
      <c r="AH172" s="2"/>
      <c r="AI172" s="2"/>
      <c r="AJ172" s="2"/>
      <c r="AK172" s="2"/>
      <c r="AL172" s="2"/>
    </row>
    <row r="173" spans="1:38" x14ac:dyDescent="0.25">
      <c r="A173" s="166">
        <v>42248</v>
      </c>
      <c r="C173" s="160" t="s">
        <v>21</v>
      </c>
      <c r="D173" s="161">
        <f ca="1">+IF(AD173=0,P173,(SUM(INDIRECT(CONCATENATE("B",AD173,":B",AA173)))/'parametres articles'!$H$8))</f>
        <v>1</v>
      </c>
      <c r="E173" s="10">
        <f t="shared" si="41"/>
        <v>74</v>
      </c>
      <c r="F173" s="10"/>
      <c r="G173" s="10">
        <f t="shared" si="30"/>
        <v>74</v>
      </c>
      <c r="H173" s="140"/>
      <c r="I173" s="141">
        <f t="shared" si="43"/>
        <v>66.19047619047619</v>
      </c>
      <c r="K173" s="2">
        <f>+HLOOKUP($C173,'parametres articles'!$C$5:$G$25,5,FALSE)</f>
        <v>15</v>
      </c>
      <c r="L173" s="2">
        <f>+HLOOKUP($C173,'parametres articles'!$C$5:$G$25,21,FALSE)</f>
        <v>13</v>
      </c>
      <c r="M173" s="124">
        <f>+HLOOKUP($C173,'parametres articles'!$C$5:$G$25,7,FALSE)</f>
        <v>0.8</v>
      </c>
      <c r="N173" s="124">
        <f>+HLOOKUP($C173,'parametres articles'!$C$5:$G$25,6,FALSE)</f>
        <v>0.4</v>
      </c>
      <c r="O173" s="2">
        <f>+HLOOKUP($C173,'parametres articles'!$C$5:$G$25,8,FALSE)</f>
        <v>0</v>
      </c>
      <c r="P173" s="114">
        <f>IF(C173="E",'parametres articles'!$C$8,HLOOKUP($C173,'parametres articles'!$C$5:$F$25,4,FALSE))</f>
        <v>2.27</v>
      </c>
      <c r="Q173" s="114">
        <f t="shared" si="31"/>
        <v>2.27</v>
      </c>
      <c r="R173" s="2">
        <f t="shared" si="38"/>
        <v>13.62</v>
      </c>
      <c r="S173" s="2">
        <f t="shared" si="32"/>
        <v>24.515999999999998</v>
      </c>
      <c r="T173" s="2">
        <f t="shared" si="33"/>
        <v>58.565999999999995</v>
      </c>
      <c r="U173" s="2">
        <f t="shared" si="39"/>
        <v>72.185999999999993</v>
      </c>
      <c r="V173" s="2">
        <f t="shared" si="34"/>
        <v>24.515999999999998</v>
      </c>
      <c r="W173" s="2">
        <f t="shared" si="35"/>
        <v>34.049999999999997</v>
      </c>
      <c r="X173" s="2">
        <f t="shared" si="36"/>
        <v>13.62</v>
      </c>
      <c r="Y173" s="114">
        <f t="shared" si="37"/>
        <v>31.325999999999997</v>
      </c>
      <c r="AA173" s="11">
        <f t="shared" ca="1" si="42"/>
        <v>173</v>
      </c>
      <c r="AB173" s="11">
        <f ca="1">+AA173+'parametres articles'!$C$9-1</f>
        <v>187</v>
      </c>
      <c r="AC173" s="11">
        <f ca="1">+AA173+'parametres articles'!$C$24-1</f>
        <v>192</v>
      </c>
      <c r="AD173" s="11">
        <f ca="1">+IF(AE173&lt;='parametres articles'!$H$8,0,AA173-'parametres articles'!$H$8+1)</f>
        <v>169</v>
      </c>
      <c r="AE173" s="11">
        <v>169</v>
      </c>
      <c r="AF173" s="2" t="str">
        <f t="shared" ca="1" si="40"/>
        <v>F188</v>
      </c>
      <c r="AG173" s="172"/>
      <c r="AH173" s="2"/>
      <c r="AI173" s="2"/>
      <c r="AJ173" s="2"/>
      <c r="AK173" s="2"/>
      <c r="AL173" s="2"/>
    </row>
    <row r="174" spans="1:38" x14ac:dyDescent="0.25">
      <c r="A174" s="166">
        <v>42249</v>
      </c>
      <c r="B174" s="163">
        <v>6</v>
      </c>
      <c r="C174" s="160" t="s">
        <v>21</v>
      </c>
      <c r="D174" s="161">
        <f ca="1">+IF(AD174=0,P174,(SUM(INDIRECT(CONCATENATE("B",AD174,":B",AA174)))/'parametres articles'!$H$8))</f>
        <v>1.2</v>
      </c>
      <c r="E174" s="10">
        <f t="shared" si="41"/>
        <v>74</v>
      </c>
      <c r="F174" s="10"/>
      <c r="G174" s="10">
        <f t="shared" si="30"/>
        <v>68</v>
      </c>
      <c r="H174" s="140"/>
      <c r="I174" s="141">
        <f t="shared" si="43"/>
        <v>66.238095238095241</v>
      </c>
      <c r="K174" s="2">
        <f>+HLOOKUP($C174,'parametres articles'!$C$5:$G$25,5,FALSE)</f>
        <v>15</v>
      </c>
      <c r="L174" s="2">
        <f>+HLOOKUP($C174,'parametres articles'!$C$5:$G$25,21,FALSE)</f>
        <v>13</v>
      </c>
      <c r="M174" s="124">
        <f>+HLOOKUP($C174,'parametres articles'!$C$5:$G$25,7,FALSE)</f>
        <v>0.8</v>
      </c>
      <c r="N174" s="124">
        <f>+HLOOKUP($C174,'parametres articles'!$C$5:$G$25,6,FALSE)</f>
        <v>0.4</v>
      </c>
      <c r="O174" s="2">
        <f>+HLOOKUP($C174,'parametres articles'!$C$5:$G$25,8,FALSE)</f>
        <v>0</v>
      </c>
      <c r="P174" s="114">
        <f>IF(C174="E",'parametres articles'!$C$8,HLOOKUP($C174,'parametres articles'!$C$5:$F$25,4,FALSE))</f>
        <v>2.27</v>
      </c>
      <c r="Q174" s="114">
        <f t="shared" si="31"/>
        <v>2.27</v>
      </c>
      <c r="R174" s="2">
        <f t="shared" si="38"/>
        <v>13.62</v>
      </c>
      <c r="S174" s="2">
        <f t="shared" si="32"/>
        <v>24.515999999999998</v>
      </c>
      <c r="T174" s="2">
        <f t="shared" si="33"/>
        <v>58.565999999999995</v>
      </c>
      <c r="U174" s="2">
        <f t="shared" si="39"/>
        <v>72.185999999999993</v>
      </c>
      <c r="V174" s="2">
        <f t="shared" si="34"/>
        <v>24.515999999999998</v>
      </c>
      <c r="W174" s="2">
        <f t="shared" si="35"/>
        <v>34.049999999999997</v>
      </c>
      <c r="X174" s="2">
        <f t="shared" si="36"/>
        <v>13.62</v>
      </c>
      <c r="Y174" s="114">
        <f t="shared" si="37"/>
        <v>31.325999999999997</v>
      </c>
      <c r="AA174" s="11">
        <f t="shared" ca="1" si="42"/>
        <v>174</v>
      </c>
      <c r="AB174" s="11">
        <f ca="1">+AA174+'parametres articles'!$C$9-1</f>
        <v>188</v>
      </c>
      <c r="AC174" s="11">
        <f ca="1">+AA174+'parametres articles'!$C$24-1</f>
        <v>193</v>
      </c>
      <c r="AD174" s="11">
        <f ca="1">+IF(AE174&lt;='parametres articles'!$H$8,0,AA174-'parametres articles'!$H$8+1)</f>
        <v>170</v>
      </c>
      <c r="AE174" s="11">
        <v>170</v>
      </c>
      <c r="AF174" s="2" t="str">
        <f t="shared" ca="1" si="40"/>
        <v>F189</v>
      </c>
      <c r="AG174" s="172"/>
      <c r="AH174" s="168"/>
      <c r="AI174" s="2"/>
      <c r="AJ174" s="2"/>
      <c r="AK174" s="2"/>
      <c r="AL174" s="2"/>
    </row>
    <row r="175" spans="1:38" x14ac:dyDescent="0.25">
      <c r="A175" s="166">
        <v>42250</v>
      </c>
      <c r="C175" s="160" t="s">
        <v>21</v>
      </c>
      <c r="D175" s="161">
        <f ca="1">+IF(AD175=0,P175,(SUM(INDIRECT(CONCATENATE("B",AD175,":B",AA175)))/'parametres articles'!$H$8))</f>
        <v>1.2</v>
      </c>
      <c r="E175" s="10">
        <f t="shared" si="41"/>
        <v>68</v>
      </c>
      <c r="F175" s="10"/>
      <c r="G175" s="10">
        <f t="shared" si="30"/>
        <v>68</v>
      </c>
      <c r="H175" s="140"/>
      <c r="I175" s="141">
        <f t="shared" si="43"/>
        <v>66</v>
      </c>
      <c r="K175" s="2">
        <f>+HLOOKUP($C175,'parametres articles'!$C$5:$G$25,5,FALSE)</f>
        <v>15</v>
      </c>
      <c r="L175" s="2">
        <f>+HLOOKUP($C175,'parametres articles'!$C$5:$G$25,21,FALSE)</f>
        <v>13</v>
      </c>
      <c r="M175" s="124">
        <f>+HLOOKUP($C175,'parametres articles'!$C$5:$G$25,7,FALSE)</f>
        <v>0.8</v>
      </c>
      <c r="N175" s="124">
        <f>+HLOOKUP($C175,'parametres articles'!$C$5:$G$25,6,FALSE)</f>
        <v>0.4</v>
      </c>
      <c r="O175" s="2">
        <f>+HLOOKUP($C175,'parametres articles'!$C$5:$G$25,8,FALSE)</f>
        <v>0</v>
      </c>
      <c r="P175" s="114">
        <f>IF(C175="E",'parametres articles'!$C$8,HLOOKUP($C175,'parametres articles'!$C$5:$F$25,4,FALSE))</f>
        <v>2.27</v>
      </c>
      <c r="Q175" s="114">
        <f t="shared" si="31"/>
        <v>2.27</v>
      </c>
      <c r="R175" s="2">
        <f t="shared" si="38"/>
        <v>13.62</v>
      </c>
      <c r="S175" s="2">
        <f t="shared" si="32"/>
        <v>24.515999999999998</v>
      </c>
      <c r="T175" s="2">
        <f t="shared" si="33"/>
        <v>58.565999999999995</v>
      </c>
      <c r="U175" s="2">
        <f t="shared" si="39"/>
        <v>72.185999999999993</v>
      </c>
      <c r="V175" s="2">
        <f t="shared" si="34"/>
        <v>24.515999999999998</v>
      </c>
      <c r="W175" s="2">
        <f t="shared" si="35"/>
        <v>34.049999999999997</v>
      </c>
      <c r="X175" s="2">
        <f t="shared" si="36"/>
        <v>13.62</v>
      </c>
      <c r="Y175" s="114">
        <f t="shared" si="37"/>
        <v>31.325999999999997</v>
      </c>
      <c r="AA175" s="11">
        <f t="shared" ca="1" si="42"/>
        <v>175</v>
      </c>
      <c r="AB175" s="11">
        <f ca="1">+AA175+'parametres articles'!$C$9-1</f>
        <v>189</v>
      </c>
      <c r="AC175" s="11">
        <f ca="1">+AA175+'parametres articles'!$C$24-1</f>
        <v>194</v>
      </c>
      <c r="AD175" s="11">
        <f ca="1">+IF(AE175&lt;='parametres articles'!$H$8,0,AA175-'parametres articles'!$H$8+1)</f>
        <v>171</v>
      </c>
      <c r="AE175" s="11">
        <v>171</v>
      </c>
      <c r="AF175" s="2" t="str">
        <f t="shared" ca="1" si="40"/>
        <v>F190</v>
      </c>
      <c r="AG175" s="172"/>
      <c r="AI175" s="2"/>
      <c r="AJ175" s="2"/>
      <c r="AK175" s="2"/>
      <c r="AL175" s="2"/>
    </row>
    <row r="176" spans="1:38" x14ac:dyDescent="0.25">
      <c r="A176" s="166">
        <v>42251</v>
      </c>
      <c r="C176" s="160" t="s">
        <v>21</v>
      </c>
      <c r="D176" s="161">
        <f ca="1">+IF(AD176=0,P176,(SUM(INDIRECT(CONCATENATE("B",AD176,":B",AA176)))/'parametres articles'!$H$8))</f>
        <v>1.2</v>
      </c>
      <c r="E176" s="10">
        <f t="shared" si="41"/>
        <v>68</v>
      </c>
      <c r="F176" s="10"/>
      <c r="G176" s="10">
        <f t="shared" si="30"/>
        <v>68</v>
      </c>
      <c r="H176" s="140"/>
      <c r="I176" s="141">
        <f t="shared" si="43"/>
        <v>65.761904761904759</v>
      </c>
      <c r="K176" s="2">
        <f>+HLOOKUP($C176,'parametres articles'!$C$5:$G$25,5,FALSE)</f>
        <v>15</v>
      </c>
      <c r="L176" s="2">
        <f>+HLOOKUP($C176,'parametres articles'!$C$5:$G$25,21,FALSE)</f>
        <v>13</v>
      </c>
      <c r="M176" s="124">
        <f>+HLOOKUP($C176,'parametres articles'!$C$5:$G$25,7,FALSE)</f>
        <v>0.8</v>
      </c>
      <c r="N176" s="124">
        <f>+HLOOKUP($C176,'parametres articles'!$C$5:$G$25,6,FALSE)</f>
        <v>0.4</v>
      </c>
      <c r="O176" s="2">
        <f>+HLOOKUP($C176,'parametres articles'!$C$5:$G$25,8,FALSE)</f>
        <v>0</v>
      </c>
      <c r="P176" s="114">
        <f>IF(C176="E",'parametres articles'!$C$8,HLOOKUP($C176,'parametres articles'!$C$5:$F$25,4,FALSE))</f>
        <v>2.27</v>
      </c>
      <c r="Q176" s="114">
        <f t="shared" si="31"/>
        <v>2.27</v>
      </c>
      <c r="R176" s="2">
        <f t="shared" si="38"/>
        <v>13.62</v>
      </c>
      <c r="S176" s="2">
        <f t="shared" si="32"/>
        <v>24.515999999999998</v>
      </c>
      <c r="T176" s="2">
        <f t="shared" si="33"/>
        <v>58.565999999999995</v>
      </c>
      <c r="U176" s="2">
        <f t="shared" si="39"/>
        <v>72.185999999999993</v>
      </c>
      <c r="V176" s="2">
        <f t="shared" si="34"/>
        <v>24.515999999999998</v>
      </c>
      <c r="W176" s="2">
        <f t="shared" si="35"/>
        <v>34.049999999999997</v>
      </c>
      <c r="X176" s="2">
        <f t="shared" si="36"/>
        <v>13.62</v>
      </c>
      <c r="Y176" s="114">
        <f t="shared" si="37"/>
        <v>31.325999999999997</v>
      </c>
      <c r="AA176" s="11">
        <f t="shared" ca="1" si="42"/>
        <v>176</v>
      </c>
      <c r="AB176" s="11">
        <f ca="1">+AA176+'parametres articles'!$C$9-1</f>
        <v>190</v>
      </c>
      <c r="AC176" s="11">
        <f ca="1">+AA176+'parametres articles'!$C$24-1</f>
        <v>195</v>
      </c>
      <c r="AD176" s="11">
        <f ca="1">+IF(AE176&lt;='parametres articles'!$H$8,0,AA176-'parametres articles'!$H$8+1)</f>
        <v>172</v>
      </c>
      <c r="AE176" s="11">
        <v>172</v>
      </c>
      <c r="AF176" s="2" t="str">
        <f t="shared" ca="1" si="40"/>
        <v>F191</v>
      </c>
      <c r="AG176" s="172"/>
      <c r="AI176" s="2"/>
      <c r="AJ176" s="2"/>
      <c r="AK176" s="2"/>
      <c r="AL176" s="2"/>
    </row>
    <row r="177" spans="1:38" x14ac:dyDescent="0.25">
      <c r="A177" s="166">
        <v>42254</v>
      </c>
      <c r="C177" s="160" t="s">
        <v>21</v>
      </c>
      <c r="D177" s="161">
        <f ca="1">+IF(AD177=0,P177,(SUM(INDIRECT(CONCATENATE("B",AD177,":B",AA177)))/'parametres articles'!$H$8))</f>
        <v>1.2</v>
      </c>
      <c r="E177" s="10">
        <f t="shared" si="41"/>
        <v>68</v>
      </c>
      <c r="F177" s="10"/>
      <c r="G177" s="10">
        <f t="shared" si="30"/>
        <v>68</v>
      </c>
      <c r="H177" s="140"/>
      <c r="I177" s="141">
        <f t="shared" si="43"/>
        <v>65.571428571428569</v>
      </c>
      <c r="K177" s="2">
        <f>+HLOOKUP($C177,'parametres articles'!$C$5:$G$25,5,FALSE)</f>
        <v>15</v>
      </c>
      <c r="L177" s="2">
        <f>+HLOOKUP($C177,'parametres articles'!$C$5:$G$25,21,FALSE)</f>
        <v>13</v>
      </c>
      <c r="M177" s="124">
        <f>+HLOOKUP($C177,'parametres articles'!$C$5:$G$25,7,FALSE)</f>
        <v>0.8</v>
      </c>
      <c r="N177" s="124">
        <f>+HLOOKUP($C177,'parametres articles'!$C$5:$G$25,6,FALSE)</f>
        <v>0.4</v>
      </c>
      <c r="O177" s="2">
        <f>+HLOOKUP($C177,'parametres articles'!$C$5:$G$25,8,FALSE)</f>
        <v>0</v>
      </c>
      <c r="P177" s="114">
        <f>IF(C177="E",'parametres articles'!$C$8,HLOOKUP($C177,'parametres articles'!$C$5:$F$25,4,FALSE))</f>
        <v>2.27</v>
      </c>
      <c r="Q177" s="114">
        <f t="shared" si="31"/>
        <v>2.27</v>
      </c>
      <c r="R177" s="2">
        <f t="shared" si="38"/>
        <v>13.62</v>
      </c>
      <c r="S177" s="2">
        <f t="shared" si="32"/>
        <v>24.515999999999998</v>
      </c>
      <c r="T177" s="2">
        <f t="shared" si="33"/>
        <v>58.565999999999995</v>
      </c>
      <c r="U177" s="2">
        <f t="shared" si="39"/>
        <v>72.185999999999993</v>
      </c>
      <c r="V177" s="2">
        <f t="shared" si="34"/>
        <v>24.515999999999998</v>
      </c>
      <c r="W177" s="2">
        <f t="shared" si="35"/>
        <v>34.049999999999997</v>
      </c>
      <c r="X177" s="2">
        <f t="shared" si="36"/>
        <v>13.62</v>
      </c>
      <c r="Y177" s="114">
        <f t="shared" si="37"/>
        <v>31.325999999999997</v>
      </c>
      <c r="AA177" s="11">
        <f t="shared" ca="1" si="42"/>
        <v>177</v>
      </c>
      <c r="AB177" s="11">
        <f ca="1">+AA177+'parametres articles'!$C$9-1</f>
        <v>191</v>
      </c>
      <c r="AC177" s="11">
        <f ca="1">+AA177+'parametres articles'!$C$24-1</f>
        <v>196</v>
      </c>
      <c r="AD177" s="11">
        <f ca="1">+IF(AE177&lt;='parametres articles'!$H$8,0,AA177-'parametres articles'!$H$8+1)</f>
        <v>173</v>
      </c>
      <c r="AE177" s="11">
        <v>173</v>
      </c>
      <c r="AF177" s="2" t="str">
        <f t="shared" ca="1" si="40"/>
        <v>F192</v>
      </c>
      <c r="AG177" s="172"/>
      <c r="AI177" s="2"/>
      <c r="AJ177" s="2"/>
      <c r="AK177" s="2"/>
      <c r="AL177" s="2"/>
    </row>
    <row r="178" spans="1:38" x14ac:dyDescent="0.25">
      <c r="A178" s="166">
        <v>42255</v>
      </c>
      <c r="B178" s="163">
        <v>1</v>
      </c>
      <c r="C178" s="160" t="s">
        <v>21</v>
      </c>
      <c r="D178" s="161">
        <f ca="1">+IF(AD178=0,P178,(SUM(INDIRECT(CONCATENATE("B",AD178,":B",AA178)))/'parametres articles'!$H$8))</f>
        <v>1.4</v>
      </c>
      <c r="E178" s="10">
        <f t="shared" si="41"/>
        <v>68</v>
      </c>
      <c r="F178" s="10"/>
      <c r="G178" s="10">
        <f t="shared" si="30"/>
        <v>67</v>
      </c>
      <c r="H178" s="140"/>
      <c r="I178" s="141">
        <f t="shared" si="43"/>
        <v>65.476190476190482</v>
      </c>
      <c r="K178" s="2">
        <f>+HLOOKUP($C178,'parametres articles'!$C$5:$G$25,5,FALSE)</f>
        <v>15</v>
      </c>
      <c r="L178" s="2">
        <f>+HLOOKUP($C178,'parametres articles'!$C$5:$G$25,21,FALSE)</f>
        <v>13</v>
      </c>
      <c r="M178" s="124">
        <f>+HLOOKUP($C178,'parametres articles'!$C$5:$G$25,7,FALSE)</f>
        <v>0.8</v>
      </c>
      <c r="N178" s="124">
        <f>+HLOOKUP($C178,'parametres articles'!$C$5:$G$25,6,FALSE)</f>
        <v>0.4</v>
      </c>
      <c r="O178" s="2">
        <f>+HLOOKUP($C178,'parametres articles'!$C$5:$G$25,8,FALSE)</f>
        <v>0</v>
      </c>
      <c r="P178" s="114">
        <f>IF(C178="E",'parametres articles'!$C$8,HLOOKUP($C178,'parametres articles'!$C$5:$F$25,4,FALSE))</f>
        <v>2.27</v>
      </c>
      <c r="Q178" s="114">
        <f t="shared" si="31"/>
        <v>2.27</v>
      </c>
      <c r="R178" s="2">
        <f t="shared" si="38"/>
        <v>13.62</v>
      </c>
      <c r="S178" s="2">
        <f t="shared" si="32"/>
        <v>24.515999999999998</v>
      </c>
      <c r="T178" s="2">
        <f t="shared" si="33"/>
        <v>58.565999999999995</v>
      </c>
      <c r="U178" s="2">
        <f t="shared" si="39"/>
        <v>72.185999999999993</v>
      </c>
      <c r="V178" s="2">
        <f t="shared" si="34"/>
        <v>24.515999999999998</v>
      </c>
      <c r="W178" s="2">
        <f t="shared" si="35"/>
        <v>34.049999999999997</v>
      </c>
      <c r="X178" s="2">
        <f t="shared" si="36"/>
        <v>13.62</v>
      </c>
      <c r="Y178" s="114">
        <f t="shared" si="37"/>
        <v>31.325999999999997</v>
      </c>
      <c r="AA178" s="11">
        <f t="shared" ca="1" si="42"/>
        <v>178</v>
      </c>
      <c r="AB178" s="11">
        <f ca="1">+AA178+'parametres articles'!$C$9-1</f>
        <v>192</v>
      </c>
      <c r="AC178" s="11">
        <f ca="1">+AA178+'parametres articles'!$C$24-1</f>
        <v>197</v>
      </c>
      <c r="AD178" s="11">
        <f ca="1">+IF(AE178&lt;='parametres articles'!$H$8,0,AA178-'parametres articles'!$H$8+1)</f>
        <v>174</v>
      </c>
      <c r="AE178" s="11">
        <v>174</v>
      </c>
      <c r="AF178" s="2" t="str">
        <f t="shared" ca="1" si="40"/>
        <v>F193</v>
      </c>
      <c r="AG178" s="172"/>
      <c r="AI178" s="2"/>
      <c r="AJ178" s="2"/>
      <c r="AK178" s="2"/>
      <c r="AL178" s="2"/>
    </row>
    <row r="179" spans="1:38" x14ac:dyDescent="0.25">
      <c r="A179" s="166">
        <v>42256</v>
      </c>
      <c r="C179" s="160" t="s">
        <v>21</v>
      </c>
      <c r="D179" s="161">
        <f ca="1">+IF(AD179=0,P179,(SUM(INDIRECT(CONCATENATE("B",AD179,":B",AA179)))/'parametres articles'!$H$8))</f>
        <v>0.2</v>
      </c>
      <c r="E179" s="10">
        <f t="shared" si="41"/>
        <v>57</v>
      </c>
      <c r="F179" s="10"/>
      <c r="G179" s="10">
        <f t="shared" si="30"/>
        <v>57</v>
      </c>
      <c r="H179" s="140"/>
      <c r="I179" s="141">
        <f t="shared" si="43"/>
        <v>64.857142857142861</v>
      </c>
      <c r="K179" s="2">
        <f>+HLOOKUP($C179,'parametres articles'!$C$5:$G$25,5,FALSE)</f>
        <v>15</v>
      </c>
      <c r="L179" s="2">
        <f>+HLOOKUP($C179,'parametres articles'!$C$5:$G$25,21,FALSE)</f>
        <v>13</v>
      </c>
      <c r="M179" s="124">
        <f>+HLOOKUP($C179,'parametres articles'!$C$5:$G$25,7,FALSE)</f>
        <v>0.8</v>
      </c>
      <c r="N179" s="124">
        <f>+HLOOKUP($C179,'parametres articles'!$C$5:$G$25,6,FALSE)</f>
        <v>0.4</v>
      </c>
      <c r="O179" s="2">
        <f>+HLOOKUP($C179,'parametres articles'!$C$5:$G$25,8,FALSE)</f>
        <v>0</v>
      </c>
      <c r="P179" s="114">
        <f>IF(C179="E",'parametres articles'!$C$8,HLOOKUP($C179,'parametres articles'!$C$5:$F$25,4,FALSE))</f>
        <v>2.27</v>
      </c>
      <c r="Q179" s="114">
        <f t="shared" si="31"/>
        <v>2.27</v>
      </c>
      <c r="R179" s="2">
        <f t="shared" si="38"/>
        <v>13.62</v>
      </c>
      <c r="S179" s="2">
        <f t="shared" si="32"/>
        <v>24.515999999999998</v>
      </c>
      <c r="T179" s="2">
        <f t="shared" si="33"/>
        <v>58.565999999999995</v>
      </c>
      <c r="U179" s="2">
        <f t="shared" si="39"/>
        <v>72.185999999999993</v>
      </c>
      <c r="V179" s="2">
        <f t="shared" si="34"/>
        <v>24.515999999999998</v>
      </c>
      <c r="W179" s="2">
        <f t="shared" si="35"/>
        <v>34.049999999999997</v>
      </c>
      <c r="X179" s="2">
        <f t="shared" si="36"/>
        <v>13.62</v>
      </c>
      <c r="Y179" s="114">
        <f t="shared" si="37"/>
        <v>31.325999999999997</v>
      </c>
      <c r="AA179" s="11">
        <f t="shared" ca="1" si="42"/>
        <v>179</v>
      </c>
      <c r="AB179" s="11">
        <f ca="1">+AA179+'parametres articles'!$C$9-1</f>
        <v>193</v>
      </c>
      <c r="AC179" s="11">
        <f ca="1">+AA179+'parametres articles'!$C$24-1</f>
        <v>198</v>
      </c>
      <c r="AD179" s="11">
        <f ca="1">+IF(AE179&lt;='parametres articles'!$H$8,0,AA179-'parametres articles'!$H$8+1)</f>
        <v>175</v>
      </c>
      <c r="AE179" s="11">
        <v>175</v>
      </c>
      <c r="AF179" s="2" t="str">
        <f t="shared" ca="1" si="40"/>
        <v>F194</v>
      </c>
      <c r="AG179" s="172">
        <v>-10</v>
      </c>
      <c r="AI179" s="2"/>
      <c r="AJ179" s="2"/>
      <c r="AK179" s="2"/>
      <c r="AL179" s="2"/>
    </row>
    <row r="180" spans="1:38" x14ac:dyDescent="0.25">
      <c r="A180" s="166">
        <v>42257</v>
      </c>
      <c r="C180" s="160" t="s">
        <v>21</v>
      </c>
      <c r="D180" s="161">
        <f ca="1">+IF(AD180=0,P180,(SUM(INDIRECT(CONCATENATE("B",AD180,":B",AA180)))/'parametres articles'!$H$8))</f>
        <v>0.2</v>
      </c>
      <c r="E180" s="10">
        <f t="shared" si="41"/>
        <v>57</v>
      </c>
      <c r="F180" s="10">
        <f>+VLOOKUP(A180,Feuil1!$K$3:$L$37,2,FALSE)</f>
        <v>5</v>
      </c>
      <c r="G180" s="10">
        <f t="shared" si="30"/>
        <v>62</v>
      </c>
      <c r="H180" s="140"/>
      <c r="I180" s="141">
        <f t="shared" si="43"/>
        <v>64.238095238095241</v>
      </c>
      <c r="K180" s="2">
        <f>+HLOOKUP($C180,'parametres articles'!$C$5:$G$25,5,FALSE)</f>
        <v>15</v>
      </c>
      <c r="L180" s="2">
        <f>+HLOOKUP($C180,'parametres articles'!$C$5:$G$25,21,FALSE)</f>
        <v>13</v>
      </c>
      <c r="M180" s="124">
        <f>+HLOOKUP($C180,'parametres articles'!$C$5:$G$25,7,FALSE)</f>
        <v>0.8</v>
      </c>
      <c r="N180" s="124">
        <f>+HLOOKUP($C180,'parametres articles'!$C$5:$G$25,6,FALSE)</f>
        <v>0.4</v>
      </c>
      <c r="O180" s="2">
        <f>+HLOOKUP($C180,'parametres articles'!$C$5:$G$25,8,FALSE)</f>
        <v>0</v>
      </c>
      <c r="P180" s="114">
        <f>IF(C180="E",'parametres articles'!$C$8,HLOOKUP($C180,'parametres articles'!$C$5:$F$25,4,FALSE))</f>
        <v>2.27</v>
      </c>
      <c r="Q180" s="114">
        <f t="shared" si="31"/>
        <v>2.27</v>
      </c>
      <c r="R180" s="2">
        <f t="shared" si="38"/>
        <v>13.62</v>
      </c>
      <c r="S180" s="2">
        <f t="shared" si="32"/>
        <v>24.515999999999998</v>
      </c>
      <c r="T180" s="2">
        <f t="shared" si="33"/>
        <v>58.565999999999995</v>
      </c>
      <c r="U180" s="2">
        <f t="shared" si="39"/>
        <v>72.185999999999993</v>
      </c>
      <c r="V180" s="2">
        <f t="shared" si="34"/>
        <v>24.515999999999998</v>
      </c>
      <c r="W180" s="2">
        <f t="shared" si="35"/>
        <v>34.049999999999997</v>
      </c>
      <c r="X180" s="2">
        <f t="shared" si="36"/>
        <v>13.62</v>
      </c>
      <c r="Y180" s="114">
        <f t="shared" si="37"/>
        <v>31.325999999999997</v>
      </c>
      <c r="AA180" s="11">
        <f t="shared" ca="1" si="42"/>
        <v>180</v>
      </c>
      <c r="AB180" s="11">
        <f ca="1">+AA180+'parametres articles'!$C$9-1</f>
        <v>194</v>
      </c>
      <c r="AC180" s="11">
        <f ca="1">+AA180+'parametres articles'!$C$24-1</f>
        <v>199</v>
      </c>
      <c r="AD180" s="11">
        <f ca="1">+IF(AE180&lt;='parametres articles'!$H$8,0,AA180-'parametres articles'!$H$8+1)</f>
        <v>176</v>
      </c>
      <c r="AE180" s="11">
        <v>176</v>
      </c>
      <c r="AF180" s="2" t="str">
        <f t="shared" ca="1" si="40"/>
        <v>F195</v>
      </c>
      <c r="AG180" s="172"/>
      <c r="AH180" s="2"/>
      <c r="AI180" s="2"/>
      <c r="AJ180" s="2"/>
      <c r="AK180" s="2"/>
      <c r="AL180" s="2"/>
    </row>
    <row r="181" spans="1:38" x14ac:dyDescent="0.25">
      <c r="A181" s="166">
        <v>42258</v>
      </c>
      <c r="C181" s="160" t="s">
        <v>21</v>
      </c>
      <c r="D181" s="161">
        <f ca="1">+IF(AD181=0,P181,(SUM(INDIRECT(CONCATENATE("B",AD181,":B",AA181)))/'parametres articles'!$H$8))</f>
        <v>0.2</v>
      </c>
      <c r="E181" s="10">
        <f t="shared" si="41"/>
        <v>62</v>
      </c>
      <c r="F181" s="10"/>
      <c r="G181" s="10">
        <f t="shared" si="30"/>
        <v>62</v>
      </c>
      <c r="H181" s="140"/>
      <c r="I181" s="141">
        <f t="shared" si="43"/>
        <v>63.857142857142854</v>
      </c>
      <c r="K181" s="2">
        <f>+HLOOKUP($C181,'parametres articles'!$C$5:$G$25,5,FALSE)</f>
        <v>15</v>
      </c>
      <c r="L181" s="2">
        <f>+HLOOKUP($C181,'parametres articles'!$C$5:$G$25,21,FALSE)</f>
        <v>13</v>
      </c>
      <c r="M181" s="124">
        <f>+HLOOKUP($C181,'parametres articles'!$C$5:$G$25,7,FALSE)</f>
        <v>0.8</v>
      </c>
      <c r="N181" s="124">
        <f>+HLOOKUP($C181,'parametres articles'!$C$5:$G$25,6,FALSE)</f>
        <v>0.4</v>
      </c>
      <c r="O181" s="2">
        <f>+HLOOKUP($C181,'parametres articles'!$C$5:$G$25,8,FALSE)</f>
        <v>0</v>
      </c>
      <c r="P181" s="114">
        <f>IF(C181="E",'parametres articles'!$C$8,HLOOKUP($C181,'parametres articles'!$C$5:$F$25,4,FALSE))</f>
        <v>2.27</v>
      </c>
      <c r="Q181" s="114">
        <f t="shared" si="31"/>
        <v>2.27</v>
      </c>
      <c r="R181" s="2">
        <f t="shared" si="38"/>
        <v>13.62</v>
      </c>
      <c r="S181" s="2">
        <f t="shared" si="32"/>
        <v>24.515999999999998</v>
      </c>
      <c r="T181" s="2">
        <f t="shared" si="33"/>
        <v>58.565999999999995</v>
      </c>
      <c r="U181" s="2">
        <f t="shared" si="39"/>
        <v>72.185999999999993</v>
      </c>
      <c r="V181" s="2">
        <f t="shared" si="34"/>
        <v>24.515999999999998</v>
      </c>
      <c r="W181" s="2">
        <f t="shared" si="35"/>
        <v>34.049999999999997</v>
      </c>
      <c r="X181" s="2">
        <f t="shared" si="36"/>
        <v>13.62</v>
      </c>
      <c r="Y181" s="114">
        <f t="shared" si="37"/>
        <v>31.325999999999997</v>
      </c>
      <c r="AA181" s="11">
        <f t="shared" ca="1" si="42"/>
        <v>181</v>
      </c>
      <c r="AB181" s="11">
        <f ca="1">+AA181+'parametres articles'!$C$9-1</f>
        <v>195</v>
      </c>
      <c r="AC181" s="11">
        <f ca="1">+AA181+'parametres articles'!$C$24-1</f>
        <v>200</v>
      </c>
      <c r="AD181" s="11">
        <f ca="1">+IF(AE181&lt;='parametres articles'!$H$8,0,AA181-'parametres articles'!$H$8+1)</f>
        <v>177</v>
      </c>
      <c r="AE181" s="11">
        <v>177</v>
      </c>
      <c r="AF181" s="2" t="str">
        <f t="shared" ca="1" si="40"/>
        <v>F196</v>
      </c>
      <c r="AG181" s="172"/>
      <c r="AH181" s="2"/>
      <c r="AI181" s="2"/>
      <c r="AJ181" s="2"/>
      <c r="AK181" s="2"/>
      <c r="AL181" s="2"/>
    </row>
    <row r="182" spans="1:38" x14ac:dyDescent="0.25">
      <c r="A182" s="166">
        <v>42261</v>
      </c>
      <c r="C182" s="160" t="s">
        <v>21</v>
      </c>
      <c r="D182" s="161">
        <f ca="1">+IF(AD182=0,P182,(SUM(INDIRECT(CONCATENATE("B",AD182,":B",AA182)))/'parametres articles'!$H$8))</f>
        <v>0.2</v>
      </c>
      <c r="E182" s="10">
        <f t="shared" si="41"/>
        <v>62</v>
      </c>
      <c r="F182" s="10"/>
      <c r="G182" s="10">
        <f t="shared" si="30"/>
        <v>62</v>
      </c>
      <c r="H182" s="140"/>
      <c r="I182" s="141">
        <f t="shared" si="43"/>
        <v>63.476190476190474</v>
      </c>
      <c r="K182" s="2">
        <f>+HLOOKUP($C182,'parametres articles'!$C$5:$G$25,5,FALSE)</f>
        <v>15</v>
      </c>
      <c r="L182" s="2">
        <f>+HLOOKUP($C182,'parametres articles'!$C$5:$G$25,21,FALSE)</f>
        <v>13</v>
      </c>
      <c r="M182" s="124">
        <f>+HLOOKUP($C182,'parametres articles'!$C$5:$G$25,7,FALSE)</f>
        <v>0.8</v>
      </c>
      <c r="N182" s="124">
        <f>+HLOOKUP($C182,'parametres articles'!$C$5:$G$25,6,FALSE)</f>
        <v>0.4</v>
      </c>
      <c r="O182" s="2">
        <f>+HLOOKUP($C182,'parametres articles'!$C$5:$G$25,8,FALSE)</f>
        <v>0</v>
      </c>
      <c r="P182" s="114">
        <f>IF(C182="E",'parametres articles'!$C$8,HLOOKUP($C182,'parametres articles'!$C$5:$F$25,4,FALSE))</f>
        <v>2.27</v>
      </c>
      <c r="Q182" s="114">
        <f t="shared" si="31"/>
        <v>2.27</v>
      </c>
      <c r="R182" s="2">
        <f t="shared" si="38"/>
        <v>13.62</v>
      </c>
      <c r="S182" s="2">
        <f t="shared" si="32"/>
        <v>24.515999999999998</v>
      </c>
      <c r="T182" s="2">
        <f t="shared" si="33"/>
        <v>58.565999999999995</v>
      </c>
      <c r="U182" s="2">
        <f t="shared" si="39"/>
        <v>72.185999999999993</v>
      </c>
      <c r="V182" s="2">
        <f t="shared" si="34"/>
        <v>24.515999999999998</v>
      </c>
      <c r="W182" s="2">
        <f t="shared" si="35"/>
        <v>34.049999999999997</v>
      </c>
      <c r="X182" s="2">
        <f t="shared" si="36"/>
        <v>13.62</v>
      </c>
      <c r="Y182" s="114">
        <f t="shared" si="37"/>
        <v>31.325999999999997</v>
      </c>
      <c r="AA182" s="11">
        <f t="shared" ca="1" si="42"/>
        <v>182</v>
      </c>
      <c r="AB182" s="11">
        <f ca="1">+AA182+'parametres articles'!$C$9-1</f>
        <v>196</v>
      </c>
      <c r="AC182" s="11">
        <f ca="1">+AA182+'parametres articles'!$C$24-1</f>
        <v>201</v>
      </c>
      <c r="AD182" s="11">
        <f ca="1">+IF(AE182&lt;='parametres articles'!$H$8,0,AA182-'parametres articles'!$H$8+1)</f>
        <v>178</v>
      </c>
      <c r="AE182" s="11">
        <v>178</v>
      </c>
      <c r="AF182" s="2" t="str">
        <f t="shared" ca="1" si="40"/>
        <v>F197</v>
      </c>
      <c r="AG182" s="172"/>
      <c r="AH182" s="2"/>
      <c r="AI182" s="2"/>
      <c r="AJ182" s="2"/>
      <c r="AK182" s="2"/>
      <c r="AL182" s="2"/>
    </row>
    <row r="183" spans="1:38" x14ac:dyDescent="0.25">
      <c r="A183" s="166">
        <v>42262</v>
      </c>
      <c r="C183" s="160" t="s">
        <v>21</v>
      </c>
      <c r="D183" s="161">
        <f ca="1">+IF(AD183=0,P183,(SUM(INDIRECT(CONCATENATE("B",AD183,":B",AA183)))/'parametres articles'!$H$8))</f>
        <v>0</v>
      </c>
      <c r="E183" s="10">
        <f t="shared" si="41"/>
        <v>62</v>
      </c>
      <c r="F183" s="10"/>
      <c r="G183" s="10">
        <f t="shared" si="30"/>
        <v>62</v>
      </c>
      <c r="H183" s="140"/>
      <c r="I183" s="141">
        <f t="shared" si="43"/>
        <v>63.095238095238095</v>
      </c>
      <c r="K183" s="2">
        <f>+HLOOKUP($C183,'parametres articles'!$C$5:$G$25,5,FALSE)</f>
        <v>15</v>
      </c>
      <c r="L183" s="2">
        <f>+HLOOKUP($C183,'parametres articles'!$C$5:$G$25,21,FALSE)</f>
        <v>13</v>
      </c>
      <c r="M183" s="124">
        <f>+HLOOKUP($C183,'parametres articles'!$C$5:$G$25,7,FALSE)</f>
        <v>0.8</v>
      </c>
      <c r="N183" s="124">
        <f>+HLOOKUP($C183,'parametres articles'!$C$5:$G$25,6,FALSE)</f>
        <v>0.4</v>
      </c>
      <c r="O183" s="2">
        <f>+HLOOKUP($C183,'parametres articles'!$C$5:$G$25,8,FALSE)</f>
        <v>0</v>
      </c>
      <c r="P183" s="114">
        <f>IF(C183="E",'parametres articles'!$C$8,HLOOKUP($C183,'parametres articles'!$C$5:$F$25,4,FALSE))</f>
        <v>2.27</v>
      </c>
      <c r="Q183" s="114">
        <f t="shared" si="31"/>
        <v>2.27</v>
      </c>
      <c r="R183" s="2">
        <f t="shared" si="38"/>
        <v>13.62</v>
      </c>
      <c r="S183" s="2">
        <f t="shared" si="32"/>
        <v>24.515999999999998</v>
      </c>
      <c r="T183" s="2">
        <f t="shared" si="33"/>
        <v>58.565999999999995</v>
      </c>
      <c r="U183" s="2">
        <f t="shared" si="39"/>
        <v>72.185999999999993</v>
      </c>
      <c r="V183" s="2">
        <f t="shared" si="34"/>
        <v>24.515999999999998</v>
      </c>
      <c r="W183" s="2">
        <f t="shared" si="35"/>
        <v>34.049999999999997</v>
      </c>
      <c r="X183" s="2">
        <f t="shared" si="36"/>
        <v>13.62</v>
      </c>
      <c r="Y183" s="114">
        <f t="shared" si="37"/>
        <v>31.325999999999997</v>
      </c>
      <c r="AA183" s="11">
        <f t="shared" ca="1" si="42"/>
        <v>183</v>
      </c>
      <c r="AB183" s="11">
        <f ca="1">+AA183+'parametres articles'!$C$9-1</f>
        <v>197</v>
      </c>
      <c r="AC183" s="11">
        <f ca="1">+AA183+'parametres articles'!$C$24-1</f>
        <v>202</v>
      </c>
      <c r="AD183" s="11">
        <f ca="1">+IF(AE183&lt;='parametres articles'!$H$8,0,AA183-'parametres articles'!$H$8+1)</f>
        <v>179</v>
      </c>
      <c r="AE183" s="11">
        <v>179</v>
      </c>
      <c r="AF183" s="2" t="str">
        <f t="shared" ca="1" si="40"/>
        <v>F198</v>
      </c>
      <c r="AG183" s="172"/>
      <c r="AH183" s="2"/>
      <c r="AI183" s="2"/>
      <c r="AJ183" s="2"/>
      <c r="AK183" s="2"/>
      <c r="AL183" s="2"/>
    </row>
    <row r="184" spans="1:38" x14ac:dyDescent="0.25">
      <c r="A184" s="166">
        <v>42263</v>
      </c>
      <c r="B184" s="163">
        <v>4</v>
      </c>
      <c r="C184" s="160" t="s">
        <v>21</v>
      </c>
      <c r="D184" s="161">
        <f ca="1">+IF(AD184=0,P184,(SUM(INDIRECT(CONCATENATE("B",AD184,":B",AA184)))/'parametres articles'!$H$8))</f>
        <v>0.8</v>
      </c>
      <c r="E184" s="10">
        <f t="shared" si="41"/>
        <v>62</v>
      </c>
      <c r="F184" s="10"/>
      <c r="G184" s="10">
        <f t="shared" si="30"/>
        <v>58</v>
      </c>
      <c r="H184" s="140"/>
      <c r="I184" s="141">
        <f t="shared" si="43"/>
        <v>62.80952380952381</v>
      </c>
      <c r="K184" s="2">
        <f>+HLOOKUP($C184,'parametres articles'!$C$5:$G$25,5,FALSE)</f>
        <v>15</v>
      </c>
      <c r="L184" s="2">
        <f>+HLOOKUP($C184,'parametres articles'!$C$5:$G$25,21,FALSE)</f>
        <v>13</v>
      </c>
      <c r="M184" s="124">
        <f>+HLOOKUP($C184,'parametres articles'!$C$5:$G$25,7,FALSE)</f>
        <v>0.8</v>
      </c>
      <c r="N184" s="124">
        <f>+HLOOKUP($C184,'parametres articles'!$C$5:$G$25,6,FALSE)</f>
        <v>0.4</v>
      </c>
      <c r="O184" s="2">
        <f>+HLOOKUP($C184,'parametres articles'!$C$5:$G$25,8,FALSE)</f>
        <v>0</v>
      </c>
      <c r="P184" s="114">
        <f>IF(C184="E",'parametres articles'!$C$8,HLOOKUP($C184,'parametres articles'!$C$5:$F$25,4,FALSE))</f>
        <v>2.27</v>
      </c>
      <c r="Q184" s="114">
        <f t="shared" si="31"/>
        <v>2.27</v>
      </c>
      <c r="R184" s="2">
        <f t="shared" si="38"/>
        <v>13.62</v>
      </c>
      <c r="S184" s="2">
        <f t="shared" si="32"/>
        <v>24.515999999999998</v>
      </c>
      <c r="T184" s="2">
        <f t="shared" si="33"/>
        <v>58.565999999999995</v>
      </c>
      <c r="U184" s="2">
        <f t="shared" si="39"/>
        <v>72.185999999999993</v>
      </c>
      <c r="V184" s="2">
        <f t="shared" si="34"/>
        <v>24.515999999999998</v>
      </c>
      <c r="W184" s="2">
        <f t="shared" si="35"/>
        <v>34.049999999999997</v>
      </c>
      <c r="X184" s="2">
        <f t="shared" si="36"/>
        <v>13.62</v>
      </c>
      <c r="Y184" s="114">
        <f t="shared" si="37"/>
        <v>31.325999999999997</v>
      </c>
      <c r="AA184" s="11">
        <f t="shared" ca="1" si="42"/>
        <v>184</v>
      </c>
      <c r="AB184" s="11">
        <f ca="1">+AA184+'parametres articles'!$C$9-1</f>
        <v>198</v>
      </c>
      <c r="AC184" s="11">
        <f ca="1">+AA184+'parametres articles'!$C$24-1</f>
        <v>203</v>
      </c>
      <c r="AD184" s="11">
        <f ca="1">+IF(AE184&lt;='parametres articles'!$H$8,0,AA184-'parametres articles'!$H$8+1)</f>
        <v>180</v>
      </c>
      <c r="AE184" s="11">
        <v>180</v>
      </c>
      <c r="AF184" s="2" t="str">
        <f t="shared" ca="1" si="40"/>
        <v>F199</v>
      </c>
      <c r="AG184" s="172"/>
      <c r="AH184" s="2"/>
      <c r="AI184" s="2"/>
      <c r="AJ184" s="2"/>
      <c r="AK184" s="2"/>
      <c r="AL184" s="2"/>
    </row>
    <row r="185" spans="1:38" x14ac:dyDescent="0.25">
      <c r="A185" s="166">
        <v>42264</v>
      </c>
      <c r="C185" s="160" t="s">
        <v>21</v>
      </c>
      <c r="D185" s="161">
        <f ca="1">+IF(AD185=0,P185,(SUM(INDIRECT(CONCATENATE("B",AD185,":B",AA185)))/'parametres articles'!$H$8))</f>
        <v>0.8</v>
      </c>
      <c r="E185" s="10">
        <f t="shared" si="41"/>
        <v>58</v>
      </c>
      <c r="F185" s="10"/>
      <c r="G185" s="10">
        <f t="shared" si="30"/>
        <v>58</v>
      </c>
      <c r="H185" s="140"/>
      <c r="I185" s="141">
        <f t="shared" ref="I185:I216" si="44">+AVERAGE(E165:E185)</f>
        <v>62.333333333333336</v>
      </c>
      <c r="K185" s="2">
        <f>+HLOOKUP($C185,'parametres articles'!$C$5:$G$25,5,FALSE)</f>
        <v>15</v>
      </c>
      <c r="L185" s="2">
        <f>+HLOOKUP($C185,'parametres articles'!$C$5:$G$25,21,FALSE)</f>
        <v>13</v>
      </c>
      <c r="M185" s="124">
        <f>+HLOOKUP($C185,'parametres articles'!$C$5:$G$25,7,FALSE)</f>
        <v>0.8</v>
      </c>
      <c r="N185" s="124">
        <f>+HLOOKUP($C185,'parametres articles'!$C$5:$G$25,6,FALSE)</f>
        <v>0.4</v>
      </c>
      <c r="O185" s="2">
        <f>+HLOOKUP($C185,'parametres articles'!$C$5:$G$25,8,FALSE)</f>
        <v>0</v>
      </c>
      <c r="P185" s="114">
        <f>IF(C185="E",'parametres articles'!$C$8,HLOOKUP($C185,'parametres articles'!$C$5:$F$25,4,FALSE))</f>
        <v>2.27</v>
      </c>
      <c r="Q185" s="114">
        <f t="shared" si="31"/>
        <v>2.27</v>
      </c>
      <c r="R185" s="2">
        <f t="shared" si="38"/>
        <v>13.62</v>
      </c>
      <c r="S185" s="2">
        <f t="shared" si="32"/>
        <v>24.515999999999998</v>
      </c>
      <c r="T185" s="2">
        <f t="shared" si="33"/>
        <v>58.565999999999995</v>
      </c>
      <c r="U185" s="2">
        <f t="shared" si="39"/>
        <v>72.185999999999993</v>
      </c>
      <c r="V185" s="2">
        <f t="shared" si="34"/>
        <v>24.515999999999998</v>
      </c>
      <c r="W185" s="2">
        <f t="shared" si="35"/>
        <v>34.049999999999997</v>
      </c>
      <c r="X185" s="2">
        <f t="shared" si="36"/>
        <v>13.62</v>
      </c>
      <c r="Y185" s="114">
        <f t="shared" si="37"/>
        <v>31.325999999999997</v>
      </c>
      <c r="AA185" s="11">
        <f t="shared" ca="1" si="42"/>
        <v>185</v>
      </c>
      <c r="AB185" s="11">
        <f ca="1">+AA185+'parametres articles'!$C$9-1</f>
        <v>199</v>
      </c>
      <c r="AC185" s="11">
        <f ca="1">+AA185+'parametres articles'!$C$24-1</f>
        <v>204</v>
      </c>
      <c r="AD185" s="11">
        <f ca="1">+IF(AE185&lt;='parametres articles'!$H$8,0,AA185-'parametres articles'!$H$8+1)</f>
        <v>181</v>
      </c>
      <c r="AE185" s="11">
        <v>181</v>
      </c>
      <c r="AF185" s="2" t="str">
        <f t="shared" ca="1" si="40"/>
        <v>F200</v>
      </c>
      <c r="AG185" s="172"/>
      <c r="AH185" s="2"/>
      <c r="AI185" s="2"/>
      <c r="AJ185" s="2"/>
      <c r="AK185" s="2"/>
      <c r="AL185" s="2"/>
    </row>
    <row r="186" spans="1:38" x14ac:dyDescent="0.25">
      <c r="A186" s="166">
        <v>42265</v>
      </c>
      <c r="B186" s="163">
        <v>10</v>
      </c>
      <c r="C186" s="160" t="s">
        <v>21</v>
      </c>
      <c r="D186" s="161">
        <f ca="1">+IF(AD186=0,P186,(SUM(INDIRECT(CONCATENATE("B",AD186,":B",AA186)))/'parametres articles'!$H$8))</f>
        <v>2.8</v>
      </c>
      <c r="E186" s="10">
        <f t="shared" si="41"/>
        <v>58</v>
      </c>
      <c r="F186" s="10">
        <f>+VLOOKUP(A186,Feuil1!$K$3:$L$37,2,FALSE)</f>
        <v>6</v>
      </c>
      <c r="G186" s="10">
        <f t="shared" si="30"/>
        <v>54</v>
      </c>
      <c r="H186" s="140"/>
      <c r="I186" s="141">
        <f t="shared" si="44"/>
        <v>61.857142857142854</v>
      </c>
      <c r="K186" s="2">
        <f>+HLOOKUP($C186,'parametres articles'!$C$5:$G$25,5,FALSE)</f>
        <v>15</v>
      </c>
      <c r="L186" s="2">
        <f>+HLOOKUP($C186,'parametres articles'!$C$5:$G$25,21,FALSE)</f>
        <v>13</v>
      </c>
      <c r="M186" s="124">
        <f>+HLOOKUP($C186,'parametres articles'!$C$5:$G$25,7,FALSE)</f>
        <v>0.8</v>
      </c>
      <c r="N186" s="124">
        <f>+HLOOKUP($C186,'parametres articles'!$C$5:$G$25,6,FALSE)</f>
        <v>0.4</v>
      </c>
      <c r="O186" s="2">
        <f>+HLOOKUP($C186,'parametres articles'!$C$5:$G$25,8,FALSE)</f>
        <v>0</v>
      </c>
      <c r="P186" s="114">
        <f>IF(C186="E",'parametres articles'!$C$8,HLOOKUP($C186,'parametres articles'!$C$5:$F$25,4,FALSE))</f>
        <v>2.27</v>
      </c>
      <c r="Q186" s="114">
        <f t="shared" si="31"/>
        <v>2.27</v>
      </c>
      <c r="R186" s="2">
        <f t="shared" si="38"/>
        <v>13.62</v>
      </c>
      <c r="S186" s="2">
        <f t="shared" si="32"/>
        <v>24.515999999999998</v>
      </c>
      <c r="T186" s="2">
        <f t="shared" si="33"/>
        <v>58.565999999999995</v>
      </c>
      <c r="U186" s="2">
        <f t="shared" si="39"/>
        <v>72.185999999999993</v>
      </c>
      <c r="V186" s="2">
        <f t="shared" si="34"/>
        <v>24.515999999999998</v>
      </c>
      <c r="W186" s="2">
        <f t="shared" si="35"/>
        <v>34.049999999999997</v>
      </c>
      <c r="X186" s="2">
        <f t="shared" si="36"/>
        <v>13.62</v>
      </c>
      <c r="Y186" s="114">
        <f t="shared" si="37"/>
        <v>31.325999999999997</v>
      </c>
      <c r="AA186" s="11">
        <f t="shared" ca="1" si="42"/>
        <v>186</v>
      </c>
      <c r="AB186" s="11">
        <f ca="1">+AA186+'parametres articles'!$C$9-1</f>
        <v>200</v>
      </c>
      <c r="AC186" s="11">
        <f ca="1">+AA186+'parametres articles'!$C$24-1</f>
        <v>205</v>
      </c>
      <c r="AD186" s="11">
        <f ca="1">+IF(AE186&lt;='parametres articles'!$H$8,0,AA186-'parametres articles'!$H$8+1)</f>
        <v>182</v>
      </c>
      <c r="AE186" s="11">
        <v>182</v>
      </c>
      <c r="AF186" s="2" t="str">
        <f t="shared" ca="1" si="40"/>
        <v>F201</v>
      </c>
      <c r="AG186" s="172"/>
      <c r="AH186" s="2"/>
      <c r="AI186" s="2"/>
      <c r="AJ186" s="2"/>
      <c r="AK186" s="2"/>
      <c r="AL186" s="2"/>
    </row>
    <row r="187" spans="1:38" x14ac:dyDescent="0.25">
      <c r="A187" s="166">
        <v>42268</v>
      </c>
      <c r="C187" s="160" t="s">
        <v>21</v>
      </c>
      <c r="D187" s="161">
        <f ca="1">+IF(AD187=0,P187,(SUM(INDIRECT(CONCATENATE("B",AD187,":B",AA187)))/'parametres articles'!$H$8))</f>
        <v>2.8</v>
      </c>
      <c r="E187" s="10">
        <f t="shared" si="41"/>
        <v>54</v>
      </c>
      <c r="F187" s="10"/>
      <c r="G187" s="10">
        <f t="shared" si="30"/>
        <v>54</v>
      </c>
      <c r="H187" s="140"/>
      <c r="I187" s="141">
        <f t="shared" si="44"/>
        <v>61.19047619047619</v>
      </c>
      <c r="K187" s="2">
        <f>+HLOOKUP($C187,'parametres articles'!$C$5:$G$25,5,FALSE)</f>
        <v>15</v>
      </c>
      <c r="L187" s="2">
        <f>+HLOOKUP($C187,'parametres articles'!$C$5:$G$25,21,FALSE)</f>
        <v>13</v>
      </c>
      <c r="M187" s="124">
        <f>+HLOOKUP($C187,'parametres articles'!$C$5:$G$25,7,FALSE)</f>
        <v>0.8</v>
      </c>
      <c r="N187" s="124">
        <f>+HLOOKUP($C187,'parametres articles'!$C$5:$G$25,6,FALSE)</f>
        <v>0.4</v>
      </c>
      <c r="O187" s="2">
        <f>+HLOOKUP($C187,'parametres articles'!$C$5:$G$25,8,FALSE)</f>
        <v>0</v>
      </c>
      <c r="P187" s="114">
        <f>IF(C187="E",'parametres articles'!$C$8,HLOOKUP($C187,'parametres articles'!$C$5:$F$25,4,FALSE))</f>
        <v>2.27</v>
      </c>
      <c r="Q187" s="114">
        <f t="shared" si="31"/>
        <v>2.27</v>
      </c>
      <c r="R187" s="2">
        <f t="shared" si="38"/>
        <v>13.62</v>
      </c>
      <c r="S187" s="2">
        <f t="shared" si="32"/>
        <v>24.515999999999998</v>
      </c>
      <c r="T187" s="2">
        <f t="shared" si="33"/>
        <v>58.565999999999995</v>
      </c>
      <c r="U187" s="2">
        <f t="shared" si="39"/>
        <v>72.185999999999993</v>
      </c>
      <c r="V187" s="2">
        <f t="shared" si="34"/>
        <v>24.515999999999998</v>
      </c>
      <c r="W187" s="2">
        <f t="shared" si="35"/>
        <v>34.049999999999997</v>
      </c>
      <c r="X187" s="2">
        <f t="shared" si="36"/>
        <v>13.62</v>
      </c>
      <c r="Y187" s="114">
        <f t="shared" si="37"/>
        <v>31.325999999999997</v>
      </c>
      <c r="AA187" s="11">
        <f t="shared" ca="1" si="42"/>
        <v>187</v>
      </c>
      <c r="AB187" s="11">
        <f ca="1">+AA187+'parametres articles'!$C$9-1</f>
        <v>201</v>
      </c>
      <c r="AC187" s="11">
        <f ca="1">+AA187+'parametres articles'!$C$24-1</f>
        <v>206</v>
      </c>
      <c r="AD187" s="11">
        <f ca="1">+IF(AE187&lt;='parametres articles'!$H$8,0,AA187-'parametres articles'!$H$8+1)</f>
        <v>183</v>
      </c>
      <c r="AE187" s="11">
        <v>183</v>
      </c>
      <c r="AF187" s="2" t="str">
        <f t="shared" ca="1" si="40"/>
        <v>F202</v>
      </c>
      <c r="AG187" s="172"/>
      <c r="AH187" s="2"/>
      <c r="AI187" s="2"/>
      <c r="AJ187" s="2"/>
      <c r="AK187" s="2"/>
      <c r="AL187" s="2"/>
    </row>
    <row r="188" spans="1:38" x14ac:dyDescent="0.25">
      <c r="A188" s="166">
        <v>42269</v>
      </c>
      <c r="C188" s="160" t="s">
        <v>21</v>
      </c>
      <c r="D188" s="161">
        <f ca="1">+IF(AD188=0,P188,(SUM(INDIRECT(CONCATENATE("B",AD188,":B",AA188)))/'parametres articles'!$H$8))</f>
        <v>2.8</v>
      </c>
      <c r="E188" s="10">
        <f t="shared" si="41"/>
        <v>54</v>
      </c>
      <c r="F188" s="10"/>
      <c r="G188" s="10">
        <f t="shared" si="30"/>
        <v>54</v>
      </c>
      <c r="H188" s="140"/>
      <c r="I188" s="141">
        <f t="shared" si="44"/>
        <v>60.523809523809526</v>
      </c>
      <c r="K188" s="2">
        <f>+HLOOKUP($C188,'parametres articles'!$C$5:$G$25,5,FALSE)</f>
        <v>15</v>
      </c>
      <c r="L188" s="2">
        <f>+HLOOKUP($C188,'parametres articles'!$C$5:$G$25,21,FALSE)</f>
        <v>13</v>
      </c>
      <c r="M188" s="124">
        <f>+HLOOKUP($C188,'parametres articles'!$C$5:$G$25,7,FALSE)</f>
        <v>0.8</v>
      </c>
      <c r="N188" s="124">
        <f>+HLOOKUP($C188,'parametres articles'!$C$5:$G$25,6,FALSE)</f>
        <v>0.4</v>
      </c>
      <c r="O188" s="2">
        <f>+HLOOKUP($C188,'parametres articles'!$C$5:$G$25,8,FALSE)</f>
        <v>0</v>
      </c>
      <c r="P188" s="114">
        <f>IF(C188="E",'parametres articles'!$C$8,HLOOKUP($C188,'parametres articles'!$C$5:$F$25,4,FALSE))</f>
        <v>2.27</v>
      </c>
      <c r="Q188" s="114">
        <f t="shared" si="31"/>
        <v>2.27</v>
      </c>
      <c r="R188" s="2">
        <f t="shared" si="38"/>
        <v>13.62</v>
      </c>
      <c r="S188" s="2">
        <f t="shared" si="32"/>
        <v>24.515999999999998</v>
      </c>
      <c r="T188" s="2">
        <f t="shared" si="33"/>
        <v>58.565999999999995</v>
      </c>
      <c r="U188" s="2">
        <f t="shared" si="39"/>
        <v>72.185999999999993</v>
      </c>
      <c r="V188" s="2">
        <f t="shared" si="34"/>
        <v>24.515999999999998</v>
      </c>
      <c r="W188" s="2">
        <f t="shared" si="35"/>
        <v>34.049999999999997</v>
      </c>
      <c r="X188" s="2">
        <f t="shared" si="36"/>
        <v>13.62</v>
      </c>
      <c r="Y188" s="114">
        <f t="shared" si="37"/>
        <v>31.325999999999997</v>
      </c>
      <c r="AA188" s="11">
        <f t="shared" ca="1" si="42"/>
        <v>188</v>
      </c>
      <c r="AB188" s="11">
        <f ca="1">+AA188+'parametres articles'!$C$9-1</f>
        <v>202</v>
      </c>
      <c r="AC188" s="11">
        <f ca="1">+AA188+'parametres articles'!$C$24-1</f>
        <v>207</v>
      </c>
      <c r="AD188" s="11">
        <f ca="1">+IF(AE188&lt;='parametres articles'!$H$8,0,AA188-'parametres articles'!$H$8+1)</f>
        <v>184</v>
      </c>
      <c r="AE188" s="11">
        <v>184</v>
      </c>
      <c r="AF188" s="2" t="str">
        <f t="shared" ca="1" si="40"/>
        <v>F203</v>
      </c>
      <c r="AG188" s="172"/>
      <c r="AH188" s="2"/>
      <c r="AI188" s="2"/>
      <c r="AJ188" s="2"/>
      <c r="AK188" s="2"/>
      <c r="AL188" s="2"/>
    </row>
    <row r="189" spans="1:38" x14ac:dyDescent="0.25">
      <c r="A189" s="166">
        <v>42270</v>
      </c>
      <c r="C189" s="160" t="s">
        <v>21</v>
      </c>
      <c r="D189" s="161">
        <f ca="1">+IF(AD189=0,P189,(SUM(INDIRECT(CONCATENATE("B",AD189,":B",AA189)))/'parametres articles'!$H$8))</f>
        <v>2</v>
      </c>
      <c r="E189" s="10">
        <f t="shared" si="41"/>
        <v>54</v>
      </c>
      <c r="F189" s="10"/>
      <c r="G189" s="10">
        <f t="shared" si="30"/>
        <v>54</v>
      </c>
      <c r="H189" s="140"/>
      <c r="I189" s="141">
        <f t="shared" si="44"/>
        <v>60.238095238095241</v>
      </c>
      <c r="K189" s="2">
        <f>+HLOOKUP($C189,'parametres articles'!$C$5:$G$25,5,FALSE)</f>
        <v>15</v>
      </c>
      <c r="L189" s="2">
        <f>+HLOOKUP($C189,'parametres articles'!$C$5:$G$25,21,FALSE)</f>
        <v>13</v>
      </c>
      <c r="M189" s="124">
        <f>+HLOOKUP($C189,'parametres articles'!$C$5:$G$25,7,FALSE)</f>
        <v>0.8</v>
      </c>
      <c r="N189" s="124">
        <f>+HLOOKUP($C189,'parametres articles'!$C$5:$G$25,6,FALSE)</f>
        <v>0.4</v>
      </c>
      <c r="O189" s="2">
        <f>+HLOOKUP($C189,'parametres articles'!$C$5:$G$25,8,FALSE)</f>
        <v>0</v>
      </c>
      <c r="P189" s="114">
        <f>IF(C189="E",'parametres articles'!$C$8,HLOOKUP($C189,'parametres articles'!$C$5:$F$25,4,FALSE))</f>
        <v>2.27</v>
      </c>
      <c r="Q189" s="114">
        <f t="shared" si="31"/>
        <v>2.27</v>
      </c>
      <c r="R189" s="2">
        <f t="shared" si="38"/>
        <v>13.62</v>
      </c>
      <c r="S189" s="2">
        <f t="shared" si="32"/>
        <v>24.515999999999998</v>
      </c>
      <c r="T189" s="2">
        <f t="shared" si="33"/>
        <v>58.565999999999995</v>
      </c>
      <c r="U189" s="2">
        <f t="shared" si="39"/>
        <v>72.185999999999993</v>
      </c>
      <c r="V189" s="2">
        <f t="shared" si="34"/>
        <v>24.515999999999998</v>
      </c>
      <c r="W189" s="2">
        <f t="shared" si="35"/>
        <v>34.049999999999997</v>
      </c>
      <c r="X189" s="2">
        <f t="shared" si="36"/>
        <v>13.62</v>
      </c>
      <c r="Y189" s="114">
        <f t="shared" si="37"/>
        <v>31.325999999999997</v>
      </c>
      <c r="AA189" s="11">
        <f t="shared" ca="1" si="42"/>
        <v>189</v>
      </c>
      <c r="AB189" s="11">
        <f ca="1">+AA189+'parametres articles'!$C$9-1</f>
        <v>203</v>
      </c>
      <c r="AC189" s="11">
        <f ca="1">+AA189+'parametres articles'!$C$24-1</f>
        <v>208</v>
      </c>
      <c r="AD189" s="11">
        <f ca="1">+IF(AE189&lt;='parametres articles'!$H$8,0,AA189-'parametres articles'!$H$8+1)</f>
        <v>185</v>
      </c>
      <c r="AE189" s="11">
        <v>185</v>
      </c>
      <c r="AF189" s="2" t="str">
        <f t="shared" ca="1" si="40"/>
        <v>F204</v>
      </c>
      <c r="AG189" s="172"/>
      <c r="AH189" s="2"/>
      <c r="AI189" s="2"/>
      <c r="AJ189" s="2"/>
      <c r="AK189" s="2"/>
      <c r="AL189" s="2"/>
    </row>
    <row r="190" spans="1:38" x14ac:dyDescent="0.25">
      <c r="A190" s="166">
        <v>42271</v>
      </c>
      <c r="B190" s="163">
        <v>1</v>
      </c>
      <c r="C190" s="160" t="s">
        <v>21</v>
      </c>
      <c r="D190" s="161">
        <f ca="1">+IF(AD190=0,P190,(SUM(INDIRECT(CONCATENATE("B",AD190,":B",AA190)))/'parametres articles'!$H$8))</f>
        <v>2.2000000000000002</v>
      </c>
      <c r="E190" s="10">
        <f t="shared" si="41"/>
        <v>54</v>
      </c>
      <c r="F190" s="10"/>
      <c r="G190" s="10">
        <f t="shared" si="30"/>
        <v>53</v>
      </c>
      <c r="H190" s="140"/>
      <c r="I190" s="141">
        <f t="shared" si="44"/>
        <v>60.19047619047619</v>
      </c>
      <c r="K190" s="2">
        <f>+HLOOKUP($C190,'parametres articles'!$C$5:$G$25,5,FALSE)</f>
        <v>15</v>
      </c>
      <c r="L190" s="2">
        <f>+HLOOKUP($C190,'parametres articles'!$C$5:$G$25,21,FALSE)</f>
        <v>13</v>
      </c>
      <c r="M190" s="124">
        <f>+HLOOKUP($C190,'parametres articles'!$C$5:$G$25,7,FALSE)</f>
        <v>0.8</v>
      </c>
      <c r="N190" s="124">
        <f>+HLOOKUP($C190,'parametres articles'!$C$5:$G$25,6,FALSE)</f>
        <v>0.4</v>
      </c>
      <c r="O190" s="2">
        <f>+HLOOKUP($C190,'parametres articles'!$C$5:$G$25,8,FALSE)</f>
        <v>0</v>
      </c>
      <c r="P190" s="114">
        <f>IF(C190="E",'parametres articles'!$C$8,HLOOKUP($C190,'parametres articles'!$C$5:$F$25,4,FALSE))</f>
        <v>2.27</v>
      </c>
      <c r="Q190" s="114">
        <f t="shared" si="31"/>
        <v>2.27</v>
      </c>
      <c r="R190" s="2">
        <f t="shared" si="38"/>
        <v>13.62</v>
      </c>
      <c r="S190" s="2">
        <f t="shared" si="32"/>
        <v>24.515999999999998</v>
      </c>
      <c r="T190" s="2">
        <f t="shared" si="33"/>
        <v>58.565999999999995</v>
      </c>
      <c r="U190" s="2">
        <f t="shared" si="39"/>
        <v>72.185999999999993</v>
      </c>
      <c r="V190" s="2">
        <f t="shared" si="34"/>
        <v>24.515999999999998</v>
      </c>
      <c r="W190" s="2">
        <f t="shared" si="35"/>
        <v>34.049999999999997</v>
      </c>
      <c r="X190" s="2">
        <f t="shared" si="36"/>
        <v>13.62</v>
      </c>
      <c r="Y190" s="114">
        <f t="shared" si="37"/>
        <v>31.325999999999997</v>
      </c>
      <c r="AA190" s="11">
        <f t="shared" ca="1" si="42"/>
        <v>190</v>
      </c>
      <c r="AB190" s="11">
        <f ca="1">+AA190+'parametres articles'!$C$9-1</f>
        <v>204</v>
      </c>
      <c r="AC190" s="11">
        <f ca="1">+AA190+'parametres articles'!$C$24-1</f>
        <v>209</v>
      </c>
      <c r="AD190" s="11">
        <f ca="1">+IF(AE190&lt;='parametres articles'!$H$8,0,AA190-'parametres articles'!$H$8+1)</f>
        <v>186</v>
      </c>
      <c r="AE190" s="11">
        <v>186</v>
      </c>
      <c r="AF190" s="2" t="str">
        <f t="shared" ca="1" si="40"/>
        <v>F205</v>
      </c>
      <c r="AG190" s="172"/>
      <c r="AH190" s="2"/>
      <c r="AI190" s="2"/>
      <c r="AJ190" s="2"/>
      <c r="AK190" s="2"/>
      <c r="AL190" s="2"/>
    </row>
    <row r="191" spans="1:38" x14ac:dyDescent="0.25">
      <c r="A191" s="166">
        <v>42272</v>
      </c>
      <c r="B191" s="163">
        <v>7</v>
      </c>
      <c r="C191" s="160" t="s">
        <v>21</v>
      </c>
      <c r="D191" s="161">
        <f ca="1">+IF(AD191=0,P191,(SUM(INDIRECT(CONCATENATE("B",AD191,":B",AA191)))/'parametres articles'!$H$8))</f>
        <v>1.6</v>
      </c>
      <c r="E191" s="10">
        <f t="shared" si="41"/>
        <v>53</v>
      </c>
      <c r="F191" s="10"/>
      <c r="G191" s="10">
        <f t="shared" si="30"/>
        <v>46</v>
      </c>
      <c r="H191" s="140"/>
      <c r="I191" s="141">
        <f t="shared" si="44"/>
        <v>60.333333333333336</v>
      </c>
      <c r="K191" s="2">
        <f>+HLOOKUP($C191,'parametres articles'!$C$5:$G$25,5,FALSE)</f>
        <v>15</v>
      </c>
      <c r="L191" s="2">
        <f>+HLOOKUP($C191,'parametres articles'!$C$5:$G$25,21,FALSE)</f>
        <v>13</v>
      </c>
      <c r="M191" s="124">
        <f>+HLOOKUP($C191,'parametres articles'!$C$5:$G$25,7,FALSE)</f>
        <v>0.8</v>
      </c>
      <c r="N191" s="124">
        <f>+HLOOKUP($C191,'parametres articles'!$C$5:$G$25,6,FALSE)</f>
        <v>0.4</v>
      </c>
      <c r="O191" s="2">
        <f>+HLOOKUP($C191,'parametres articles'!$C$5:$G$25,8,FALSE)</f>
        <v>0</v>
      </c>
      <c r="P191" s="114">
        <f>IF(C191="E",'parametres articles'!$C$8,HLOOKUP($C191,'parametres articles'!$C$5:$F$25,4,FALSE))</f>
        <v>2.27</v>
      </c>
      <c r="Q191" s="114">
        <f t="shared" si="31"/>
        <v>2.27</v>
      </c>
      <c r="R191" s="2">
        <f t="shared" si="38"/>
        <v>13.62</v>
      </c>
      <c r="S191" s="2">
        <f t="shared" si="32"/>
        <v>24.515999999999998</v>
      </c>
      <c r="T191" s="2">
        <f t="shared" si="33"/>
        <v>58.565999999999995</v>
      </c>
      <c r="U191" s="2">
        <f t="shared" si="39"/>
        <v>72.185999999999993</v>
      </c>
      <c r="V191" s="2">
        <f t="shared" si="34"/>
        <v>24.515999999999998</v>
      </c>
      <c r="W191" s="2">
        <f t="shared" si="35"/>
        <v>34.049999999999997</v>
      </c>
      <c r="X191" s="2">
        <f t="shared" si="36"/>
        <v>13.62</v>
      </c>
      <c r="Y191" s="114">
        <f t="shared" si="37"/>
        <v>31.325999999999997</v>
      </c>
      <c r="AA191" s="11">
        <f t="shared" ca="1" si="42"/>
        <v>191</v>
      </c>
      <c r="AB191" s="11">
        <f ca="1">+AA191+'parametres articles'!$C$9-1</f>
        <v>205</v>
      </c>
      <c r="AC191" s="11">
        <f ca="1">+AA191+'parametres articles'!$C$24-1</f>
        <v>210</v>
      </c>
      <c r="AD191" s="11">
        <f ca="1">+IF(AE191&lt;='parametres articles'!$H$8,0,AA191-'parametres articles'!$H$8+1)</f>
        <v>187</v>
      </c>
      <c r="AE191" s="11">
        <v>187</v>
      </c>
      <c r="AF191" s="2" t="str">
        <f t="shared" ca="1" si="40"/>
        <v>F206</v>
      </c>
      <c r="AG191" s="172"/>
      <c r="AH191" s="2"/>
      <c r="AI191" s="2"/>
      <c r="AJ191" s="2"/>
      <c r="AK191" s="2"/>
      <c r="AL191" s="2"/>
    </row>
    <row r="192" spans="1:38" x14ac:dyDescent="0.25">
      <c r="A192" s="166">
        <v>42275</v>
      </c>
      <c r="B192" s="163">
        <v>5</v>
      </c>
      <c r="C192" s="160" t="s">
        <v>21</v>
      </c>
      <c r="D192" s="161">
        <f ca="1">+IF(AD192=0,P192,(SUM(INDIRECT(CONCATENATE("B",AD192,":B",AA192)))/'parametres articles'!$H$8))</f>
        <v>2.6</v>
      </c>
      <c r="E192" s="10">
        <f t="shared" si="41"/>
        <v>46</v>
      </c>
      <c r="F192" s="10"/>
      <c r="G192" s="10">
        <f t="shared" si="30"/>
        <v>41</v>
      </c>
      <c r="H192" s="140"/>
      <c r="I192" s="141">
        <f t="shared" si="44"/>
        <v>60.142857142857146</v>
      </c>
      <c r="K192" s="2">
        <f>+HLOOKUP($C192,'parametres articles'!$C$5:$G$25,5,FALSE)</f>
        <v>15</v>
      </c>
      <c r="L192" s="2">
        <f>+HLOOKUP($C192,'parametres articles'!$C$5:$G$25,21,FALSE)</f>
        <v>13</v>
      </c>
      <c r="M192" s="124">
        <f>+HLOOKUP($C192,'parametres articles'!$C$5:$G$25,7,FALSE)</f>
        <v>0.8</v>
      </c>
      <c r="N192" s="124">
        <f>+HLOOKUP($C192,'parametres articles'!$C$5:$G$25,6,FALSE)</f>
        <v>0.4</v>
      </c>
      <c r="O192" s="2">
        <f>+HLOOKUP($C192,'parametres articles'!$C$5:$G$25,8,FALSE)</f>
        <v>0</v>
      </c>
      <c r="P192" s="114">
        <f>IF(C192="E",'parametres articles'!$C$8,HLOOKUP($C192,'parametres articles'!$C$5:$F$25,4,FALSE))</f>
        <v>2.27</v>
      </c>
      <c r="Q192" s="114">
        <f t="shared" si="31"/>
        <v>2.27</v>
      </c>
      <c r="R192" s="2">
        <f t="shared" si="38"/>
        <v>13.62</v>
      </c>
      <c r="S192" s="2">
        <f t="shared" si="32"/>
        <v>24.515999999999998</v>
      </c>
      <c r="T192" s="2">
        <f t="shared" si="33"/>
        <v>58.565999999999995</v>
      </c>
      <c r="U192" s="2">
        <f t="shared" si="39"/>
        <v>72.185999999999993</v>
      </c>
      <c r="V192" s="2">
        <f t="shared" si="34"/>
        <v>24.515999999999998</v>
      </c>
      <c r="W192" s="2">
        <f t="shared" si="35"/>
        <v>34.049999999999997</v>
      </c>
      <c r="X192" s="2">
        <f t="shared" si="36"/>
        <v>13.62</v>
      </c>
      <c r="Y192" s="114">
        <f t="shared" si="37"/>
        <v>31.325999999999997</v>
      </c>
      <c r="AA192" s="11">
        <f t="shared" ca="1" si="42"/>
        <v>192</v>
      </c>
      <c r="AB192" s="11">
        <f ca="1">+AA192+'parametres articles'!$C$9-1</f>
        <v>206</v>
      </c>
      <c r="AC192" s="11">
        <f ca="1">+AA192+'parametres articles'!$C$24-1</f>
        <v>211</v>
      </c>
      <c r="AD192" s="11">
        <f ca="1">+IF(AE192&lt;='parametres articles'!$H$8,0,AA192-'parametres articles'!$H$8+1)</f>
        <v>188</v>
      </c>
      <c r="AE192" s="11">
        <v>188</v>
      </c>
      <c r="AF192" s="2" t="str">
        <f t="shared" ca="1" si="40"/>
        <v>F207</v>
      </c>
      <c r="AG192" s="172"/>
      <c r="AH192" s="2"/>
      <c r="AI192" s="2"/>
      <c r="AJ192" s="2"/>
      <c r="AK192" s="2"/>
      <c r="AL192" s="2"/>
    </row>
    <row r="193" spans="1:38" x14ac:dyDescent="0.25">
      <c r="A193" s="166">
        <v>42276</v>
      </c>
      <c r="C193" s="160" t="s">
        <v>21</v>
      </c>
      <c r="D193" s="161">
        <f ca="1">+IF(AD193=0,P193,(SUM(INDIRECT(CONCATENATE("B",AD193,":B",AA193)))/'parametres articles'!$H$8))</f>
        <v>2.6</v>
      </c>
      <c r="E193" s="10">
        <f t="shared" si="41"/>
        <v>41</v>
      </c>
      <c r="F193" s="10"/>
      <c r="G193" s="10">
        <f t="shared" si="30"/>
        <v>41</v>
      </c>
      <c r="H193" s="140"/>
      <c r="I193" s="141">
        <f t="shared" si="44"/>
        <v>59.714285714285715</v>
      </c>
      <c r="K193" s="2">
        <f>+HLOOKUP($C193,'parametres articles'!$C$5:$G$25,5,FALSE)</f>
        <v>15</v>
      </c>
      <c r="L193" s="2">
        <f>+HLOOKUP($C193,'parametres articles'!$C$5:$G$25,21,FALSE)</f>
        <v>13</v>
      </c>
      <c r="M193" s="124">
        <f>+HLOOKUP($C193,'parametres articles'!$C$5:$G$25,7,FALSE)</f>
        <v>0.8</v>
      </c>
      <c r="N193" s="124">
        <f>+HLOOKUP($C193,'parametres articles'!$C$5:$G$25,6,FALSE)</f>
        <v>0.4</v>
      </c>
      <c r="O193" s="2">
        <f>+HLOOKUP($C193,'parametres articles'!$C$5:$G$25,8,FALSE)</f>
        <v>0</v>
      </c>
      <c r="P193" s="114">
        <f>IF(C193="E",'parametres articles'!$C$8,HLOOKUP($C193,'parametres articles'!$C$5:$F$25,4,FALSE))</f>
        <v>2.27</v>
      </c>
      <c r="Q193" s="114">
        <f t="shared" si="31"/>
        <v>2.27</v>
      </c>
      <c r="R193" s="2">
        <f t="shared" si="38"/>
        <v>13.62</v>
      </c>
      <c r="S193" s="2">
        <f t="shared" si="32"/>
        <v>24.515999999999998</v>
      </c>
      <c r="T193" s="2">
        <f t="shared" si="33"/>
        <v>58.565999999999995</v>
      </c>
      <c r="U193" s="2">
        <f t="shared" si="39"/>
        <v>72.185999999999993</v>
      </c>
      <c r="V193" s="2">
        <f t="shared" si="34"/>
        <v>24.515999999999998</v>
      </c>
      <c r="W193" s="2">
        <f t="shared" si="35"/>
        <v>34.049999999999997</v>
      </c>
      <c r="X193" s="2">
        <f t="shared" si="36"/>
        <v>13.62</v>
      </c>
      <c r="Y193" s="114">
        <f t="shared" si="37"/>
        <v>31.325999999999997</v>
      </c>
      <c r="AA193" s="11">
        <f t="shared" ca="1" si="42"/>
        <v>193</v>
      </c>
      <c r="AB193" s="11">
        <f ca="1">+AA193+'parametres articles'!$C$9-1</f>
        <v>207</v>
      </c>
      <c r="AC193" s="11">
        <f ca="1">+AA193+'parametres articles'!$C$24-1</f>
        <v>212</v>
      </c>
      <c r="AD193" s="11">
        <f ca="1">+IF(AE193&lt;='parametres articles'!$H$8,0,AA193-'parametres articles'!$H$8+1)</f>
        <v>189</v>
      </c>
      <c r="AE193" s="11">
        <v>189</v>
      </c>
      <c r="AF193" s="2" t="str">
        <f t="shared" ca="1" si="40"/>
        <v>F208</v>
      </c>
      <c r="AG193" s="172"/>
      <c r="AH193" s="2"/>
      <c r="AI193" s="2"/>
      <c r="AJ193" s="2"/>
      <c r="AK193" s="2"/>
      <c r="AL193" s="2"/>
    </row>
    <row r="194" spans="1:38" x14ac:dyDescent="0.25">
      <c r="A194" s="166">
        <v>42277</v>
      </c>
      <c r="B194" s="163">
        <v>10</v>
      </c>
      <c r="C194" s="160" t="s">
        <v>21</v>
      </c>
      <c r="D194" s="161">
        <f ca="1">+IF(AD194=0,P194,(SUM(INDIRECT(CONCATENATE("B",AD194,":B",AA194)))/'parametres articles'!$H$8))</f>
        <v>4.5999999999999996</v>
      </c>
      <c r="E194" s="10">
        <f t="shared" si="41"/>
        <v>41</v>
      </c>
      <c r="F194" s="10"/>
      <c r="G194" s="10">
        <f t="shared" si="30"/>
        <v>31</v>
      </c>
      <c r="H194" s="140"/>
      <c r="I194" s="141">
        <f t="shared" si="44"/>
        <v>58.142857142857146</v>
      </c>
      <c r="K194" s="2">
        <f>+HLOOKUP($C194,'parametres articles'!$C$5:$G$25,5,FALSE)</f>
        <v>15</v>
      </c>
      <c r="L194" s="2">
        <f>+HLOOKUP($C194,'parametres articles'!$C$5:$G$25,21,FALSE)</f>
        <v>13</v>
      </c>
      <c r="M194" s="124">
        <f>+HLOOKUP($C194,'parametres articles'!$C$5:$G$25,7,FALSE)</f>
        <v>0.8</v>
      </c>
      <c r="N194" s="124">
        <f>+HLOOKUP($C194,'parametres articles'!$C$5:$G$25,6,FALSE)</f>
        <v>0.4</v>
      </c>
      <c r="O194" s="2">
        <f>+HLOOKUP($C194,'parametres articles'!$C$5:$G$25,8,FALSE)</f>
        <v>0</v>
      </c>
      <c r="P194" s="114">
        <f>IF(C194="E",'parametres articles'!$C$8,HLOOKUP($C194,'parametres articles'!$C$5:$F$25,4,FALSE))</f>
        <v>2.27</v>
      </c>
      <c r="Q194" s="114">
        <f t="shared" si="31"/>
        <v>2.27</v>
      </c>
      <c r="R194" s="2">
        <f t="shared" si="38"/>
        <v>13.62</v>
      </c>
      <c r="S194" s="2">
        <f t="shared" si="32"/>
        <v>24.515999999999998</v>
      </c>
      <c r="T194" s="2">
        <f t="shared" si="33"/>
        <v>58.565999999999995</v>
      </c>
      <c r="U194" s="2">
        <f t="shared" si="39"/>
        <v>72.185999999999993</v>
      </c>
      <c r="V194" s="2">
        <f t="shared" si="34"/>
        <v>24.515999999999998</v>
      </c>
      <c r="W194" s="2">
        <f t="shared" si="35"/>
        <v>34.049999999999997</v>
      </c>
      <c r="X194" s="2">
        <f t="shared" si="36"/>
        <v>13.62</v>
      </c>
      <c r="Y194" s="114">
        <f t="shared" si="37"/>
        <v>31.325999999999997</v>
      </c>
      <c r="AA194" s="11">
        <f t="shared" ca="1" si="42"/>
        <v>194</v>
      </c>
      <c r="AB194" s="11">
        <f ca="1">+AA194+'parametres articles'!$C$9-1</f>
        <v>208</v>
      </c>
      <c r="AC194" s="11">
        <f ca="1">+AA194+'parametres articles'!$C$24-1</f>
        <v>213</v>
      </c>
      <c r="AD194" s="11">
        <f ca="1">+IF(AE194&lt;='parametres articles'!$H$8,0,AA194-'parametres articles'!$H$8+1)</f>
        <v>190</v>
      </c>
      <c r="AE194" s="11">
        <v>190</v>
      </c>
      <c r="AF194" s="2" t="str">
        <f t="shared" ca="1" si="40"/>
        <v>F209</v>
      </c>
      <c r="AG194" s="172"/>
      <c r="AH194" s="2"/>
      <c r="AI194" s="2"/>
      <c r="AJ194" s="2"/>
      <c r="AK194" s="2"/>
      <c r="AL194" s="2"/>
    </row>
    <row r="195" spans="1:38" x14ac:dyDescent="0.25">
      <c r="A195" s="166">
        <v>42278</v>
      </c>
      <c r="C195" s="160" t="s">
        <v>21</v>
      </c>
      <c r="D195" s="161">
        <f ca="1">+IF(AD195=0,P195,(SUM(INDIRECT(CONCATENATE("B",AD195,":B",AA195)))/'parametres articles'!$H$8))</f>
        <v>4.4000000000000004</v>
      </c>
      <c r="E195" s="10">
        <f t="shared" si="41"/>
        <v>31</v>
      </c>
      <c r="F195" s="10"/>
      <c r="G195" s="10">
        <f t="shared" si="30"/>
        <v>31</v>
      </c>
      <c r="H195" s="140"/>
      <c r="I195" s="141">
        <f t="shared" si="44"/>
        <v>56.095238095238095</v>
      </c>
      <c r="K195" s="2">
        <f>+HLOOKUP($C195,'parametres articles'!$C$5:$G$25,5,FALSE)</f>
        <v>15</v>
      </c>
      <c r="L195" s="2">
        <f>+HLOOKUP($C195,'parametres articles'!$C$5:$G$25,21,FALSE)</f>
        <v>13</v>
      </c>
      <c r="M195" s="124">
        <f>+HLOOKUP($C195,'parametres articles'!$C$5:$G$25,7,FALSE)</f>
        <v>0.8</v>
      </c>
      <c r="N195" s="124">
        <f>+HLOOKUP($C195,'parametres articles'!$C$5:$G$25,6,FALSE)</f>
        <v>0.4</v>
      </c>
      <c r="O195" s="2">
        <f>+HLOOKUP($C195,'parametres articles'!$C$5:$G$25,8,FALSE)</f>
        <v>0</v>
      </c>
      <c r="P195" s="114">
        <f>IF(C195="E",'parametres articles'!$C$8,HLOOKUP($C195,'parametres articles'!$C$5:$F$25,4,FALSE))</f>
        <v>2.27</v>
      </c>
      <c r="Q195" s="114">
        <f t="shared" si="31"/>
        <v>2.27</v>
      </c>
      <c r="R195" s="2">
        <f t="shared" si="38"/>
        <v>13.62</v>
      </c>
      <c r="S195" s="2">
        <f t="shared" si="32"/>
        <v>24.515999999999998</v>
      </c>
      <c r="T195" s="2">
        <f t="shared" si="33"/>
        <v>58.565999999999995</v>
      </c>
      <c r="U195" s="2">
        <f t="shared" si="39"/>
        <v>72.185999999999993</v>
      </c>
      <c r="V195" s="2">
        <f t="shared" si="34"/>
        <v>24.515999999999998</v>
      </c>
      <c r="W195" s="2">
        <f t="shared" si="35"/>
        <v>34.049999999999997</v>
      </c>
      <c r="X195" s="2">
        <f t="shared" si="36"/>
        <v>13.62</v>
      </c>
      <c r="Y195" s="114">
        <f t="shared" si="37"/>
        <v>31.325999999999997</v>
      </c>
      <c r="AA195" s="11">
        <f t="shared" ca="1" si="42"/>
        <v>195</v>
      </c>
      <c r="AB195" s="11">
        <f ca="1">+AA195+'parametres articles'!$C$9-1</f>
        <v>209</v>
      </c>
      <c r="AC195" s="11">
        <f ca="1">+AA195+'parametres articles'!$C$24-1</f>
        <v>214</v>
      </c>
      <c r="AD195" s="11">
        <f ca="1">+IF(AE195&lt;='parametres articles'!$H$8,0,AA195-'parametres articles'!$H$8+1)</f>
        <v>191</v>
      </c>
      <c r="AE195" s="11">
        <v>191</v>
      </c>
      <c r="AF195" s="2" t="str">
        <f t="shared" ca="1" si="40"/>
        <v>F210</v>
      </c>
      <c r="AG195" s="172"/>
      <c r="AH195" s="2"/>
      <c r="AI195" s="2"/>
      <c r="AJ195" s="2"/>
      <c r="AK195" s="2"/>
      <c r="AL195" s="2"/>
    </row>
    <row r="196" spans="1:38" x14ac:dyDescent="0.25">
      <c r="A196" s="166">
        <v>42279</v>
      </c>
      <c r="C196" s="160" t="s">
        <v>21</v>
      </c>
      <c r="D196" s="161">
        <f ca="1">+IF(AD196=0,P196,(SUM(INDIRECT(CONCATENATE("B",AD196,":B",AA196)))/'parametres articles'!$H$8))</f>
        <v>3</v>
      </c>
      <c r="E196" s="10">
        <f t="shared" si="41"/>
        <v>31</v>
      </c>
      <c r="F196" s="10"/>
      <c r="G196" s="10">
        <f t="shared" si="30"/>
        <v>31</v>
      </c>
      <c r="H196" s="140"/>
      <c r="I196" s="141">
        <f t="shared" si="44"/>
        <v>54.333333333333336</v>
      </c>
      <c r="K196" s="2">
        <f>+HLOOKUP($C196,'parametres articles'!$C$5:$G$25,5,FALSE)</f>
        <v>15</v>
      </c>
      <c r="L196" s="2">
        <f>+HLOOKUP($C196,'parametres articles'!$C$5:$G$25,21,FALSE)</f>
        <v>13</v>
      </c>
      <c r="M196" s="124">
        <f>+HLOOKUP($C196,'parametres articles'!$C$5:$G$25,7,FALSE)</f>
        <v>0.8</v>
      </c>
      <c r="N196" s="124">
        <f>+HLOOKUP($C196,'parametres articles'!$C$5:$G$25,6,FALSE)</f>
        <v>0.4</v>
      </c>
      <c r="O196" s="2">
        <f>+HLOOKUP($C196,'parametres articles'!$C$5:$G$25,8,FALSE)</f>
        <v>0</v>
      </c>
      <c r="P196" s="114">
        <f>IF(C196="E",'parametres articles'!$C$8,HLOOKUP($C196,'parametres articles'!$C$5:$F$25,4,FALSE))</f>
        <v>2.27</v>
      </c>
      <c r="Q196" s="114">
        <f t="shared" si="31"/>
        <v>2.27</v>
      </c>
      <c r="R196" s="2">
        <f t="shared" si="38"/>
        <v>13.62</v>
      </c>
      <c r="S196" s="2">
        <f t="shared" si="32"/>
        <v>24.515999999999998</v>
      </c>
      <c r="T196" s="2">
        <f t="shared" si="33"/>
        <v>58.565999999999995</v>
      </c>
      <c r="U196" s="2">
        <f t="shared" si="39"/>
        <v>72.185999999999993</v>
      </c>
      <c r="V196" s="2">
        <f t="shared" si="34"/>
        <v>24.515999999999998</v>
      </c>
      <c r="W196" s="2">
        <f t="shared" si="35"/>
        <v>34.049999999999997</v>
      </c>
      <c r="X196" s="2">
        <f t="shared" si="36"/>
        <v>13.62</v>
      </c>
      <c r="Y196" s="114">
        <f t="shared" si="37"/>
        <v>31.325999999999997</v>
      </c>
      <c r="AA196" s="11">
        <f t="shared" ca="1" si="42"/>
        <v>196</v>
      </c>
      <c r="AB196" s="11">
        <f ca="1">+AA196+'parametres articles'!$C$9-1</f>
        <v>210</v>
      </c>
      <c r="AC196" s="11">
        <f ca="1">+AA196+'parametres articles'!$C$24-1</f>
        <v>215</v>
      </c>
      <c r="AD196" s="11">
        <f ca="1">+IF(AE196&lt;='parametres articles'!$H$8,0,AA196-'parametres articles'!$H$8+1)</f>
        <v>192</v>
      </c>
      <c r="AE196" s="11">
        <v>192</v>
      </c>
      <c r="AF196" s="2" t="str">
        <f t="shared" ca="1" si="40"/>
        <v>F211</v>
      </c>
      <c r="AG196" s="172"/>
      <c r="AH196" s="2"/>
      <c r="AI196" s="2"/>
      <c r="AJ196" s="2"/>
      <c r="AK196" s="2"/>
      <c r="AL196" s="2"/>
    </row>
    <row r="197" spans="1:38" x14ac:dyDescent="0.25">
      <c r="A197" s="166">
        <v>42282</v>
      </c>
      <c r="C197" s="160" t="s">
        <v>21</v>
      </c>
      <c r="D197" s="161">
        <f ca="1">+IF(AD197=0,P197,(SUM(INDIRECT(CONCATENATE("B",AD197,":B",AA197)))/'parametres articles'!$H$8))</f>
        <v>2</v>
      </c>
      <c r="E197" s="10">
        <f t="shared" si="41"/>
        <v>31</v>
      </c>
      <c r="F197" s="10">
        <f>+VLOOKUP(A197,Feuil1!$K$3:$L$37,2,FALSE)</f>
        <v>5</v>
      </c>
      <c r="G197" s="10">
        <f t="shared" ref="G197:G259" si="45">+E197-B197+F197</f>
        <v>36</v>
      </c>
      <c r="H197" s="140"/>
      <c r="I197" s="141">
        <f t="shared" si="44"/>
        <v>52.571428571428569</v>
      </c>
      <c r="K197" s="2">
        <f>+HLOOKUP($C197,'parametres articles'!$C$5:$G$25,5,FALSE)</f>
        <v>15</v>
      </c>
      <c r="L197" s="2">
        <f>+HLOOKUP($C197,'parametres articles'!$C$5:$G$25,21,FALSE)</f>
        <v>13</v>
      </c>
      <c r="M197" s="124">
        <f>+HLOOKUP($C197,'parametres articles'!$C$5:$G$25,7,FALSE)</f>
        <v>0.8</v>
      </c>
      <c r="N197" s="124">
        <f>+HLOOKUP($C197,'parametres articles'!$C$5:$G$25,6,FALSE)</f>
        <v>0.4</v>
      </c>
      <c r="O197" s="2">
        <f>+HLOOKUP($C197,'parametres articles'!$C$5:$G$25,8,FALSE)</f>
        <v>0</v>
      </c>
      <c r="P197" s="114">
        <f>IF(C197="E",'parametres articles'!$C$8,HLOOKUP($C197,'parametres articles'!$C$5:$F$25,4,FALSE))</f>
        <v>2.27</v>
      </c>
      <c r="Q197" s="114">
        <f t="shared" ref="Q197:Q260" si="46">+IF(C197="E",D197,P197)</f>
        <v>2.27</v>
      </c>
      <c r="R197" s="2">
        <f t="shared" si="38"/>
        <v>13.62</v>
      </c>
      <c r="S197" s="2">
        <f t="shared" ref="S197:S224" si="47">(Q197*K197*N197)*(1+M197)</f>
        <v>24.515999999999998</v>
      </c>
      <c r="T197" s="2">
        <f t="shared" ref="T197:T224" si="48">+S197+Q197*K197</f>
        <v>58.565999999999995</v>
      </c>
      <c r="U197" s="2">
        <f t="shared" si="39"/>
        <v>72.185999999999993</v>
      </c>
      <c r="V197" s="2">
        <f t="shared" ref="V197:V224" si="49">+(Q197*K197*N197)*(1+M197)</f>
        <v>24.515999999999998</v>
      </c>
      <c r="W197" s="2">
        <f t="shared" ref="W197:W224" si="50">+Q197*K197</f>
        <v>34.049999999999997</v>
      </c>
      <c r="X197" s="2">
        <f t="shared" ref="X197:X224" si="51">+IF(O197&gt;K197*Q197*N197,O197,K197*Q197*N197)</f>
        <v>13.62</v>
      </c>
      <c r="Y197" s="114">
        <f t="shared" ref="Y197:Y224" si="52">+V197+X197/2</f>
        <v>31.325999999999997</v>
      </c>
      <c r="AA197" s="11">
        <f t="shared" ca="1" si="42"/>
        <v>197</v>
      </c>
      <c r="AB197" s="11">
        <f ca="1">+AA197+'parametres articles'!$C$9-1</f>
        <v>211</v>
      </c>
      <c r="AC197" s="11">
        <f ca="1">+AA197+'parametres articles'!$C$24-1</f>
        <v>216</v>
      </c>
      <c r="AD197" s="11">
        <f ca="1">+IF(AE197&lt;='parametres articles'!$H$8,0,AA197-'parametres articles'!$H$8+1)</f>
        <v>193</v>
      </c>
      <c r="AE197" s="11">
        <v>193</v>
      </c>
      <c r="AF197" s="2" t="str">
        <f t="shared" ca="1" si="40"/>
        <v>F212</v>
      </c>
      <c r="AG197" s="172"/>
      <c r="AH197" s="2"/>
      <c r="AI197" s="2"/>
      <c r="AJ197" s="2"/>
      <c r="AK197" s="2"/>
      <c r="AL197" s="2"/>
    </row>
    <row r="198" spans="1:38" x14ac:dyDescent="0.25">
      <c r="A198" s="166">
        <v>42283</v>
      </c>
      <c r="C198" s="160" t="s">
        <v>21</v>
      </c>
      <c r="D198" s="161">
        <f ca="1">+IF(AD198=0,P198,(SUM(INDIRECT(CONCATENATE("B",AD198,":B",AA198)))/'parametres articles'!$H$8))</f>
        <v>2</v>
      </c>
      <c r="E198" s="10">
        <f t="shared" si="41"/>
        <v>36</v>
      </c>
      <c r="F198" s="10"/>
      <c r="G198" s="10">
        <f t="shared" si="45"/>
        <v>36</v>
      </c>
      <c r="H198" s="140"/>
      <c r="I198" s="141">
        <f t="shared" si="44"/>
        <v>51.047619047619051</v>
      </c>
      <c r="K198" s="2">
        <f>+HLOOKUP($C198,'parametres articles'!$C$5:$G$25,5,FALSE)</f>
        <v>15</v>
      </c>
      <c r="L198" s="2">
        <f>+HLOOKUP($C198,'parametres articles'!$C$5:$G$25,21,FALSE)</f>
        <v>13</v>
      </c>
      <c r="M198" s="124">
        <f>+HLOOKUP($C198,'parametres articles'!$C$5:$G$25,7,FALSE)</f>
        <v>0.8</v>
      </c>
      <c r="N198" s="124">
        <f>+HLOOKUP($C198,'parametres articles'!$C$5:$G$25,6,FALSE)</f>
        <v>0.4</v>
      </c>
      <c r="O198" s="2">
        <f>+HLOOKUP($C198,'parametres articles'!$C$5:$G$25,8,FALSE)</f>
        <v>0</v>
      </c>
      <c r="P198" s="114">
        <f>IF(C198="E",'parametres articles'!$C$8,HLOOKUP($C198,'parametres articles'!$C$5:$F$25,4,FALSE))</f>
        <v>2.27</v>
      </c>
      <c r="Q198" s="114">
        <f t="shared" si="46"/>
        <v>2.27</v>
      </c>
      <c r="R198" s="2">
        <f t="shared" ref="R198:R224" si="53">+Q198*K198*N198</f>
        <v>13.62</v>
      </c>
      <c r="S198" s="2">
        <f t="shared" si="47"/>
        <v>24.515999999999998</v>
      </c>
      <c r="T198" s="2">
        <f t="shared" si="48"/>
        <v>58.565999999999995</v>
      </c>
      <c r="U198" s="2">
        <f t="shared" ref="U198:U224" si="54">+T198+X198</f>
        <v>72.185999999999993</v>
      </c>
      <c r="V198" s="2">
        <f t="shared" si="49"/>
        <v>24.515999999999998</v>
      </c>
      <c r="W198" s="2">
        <f t="shared" si="50"/>
        <v>34.049999999999997</v>
      </c>
      <c r="X198" s="2">
        <f t="shared" si="51"/>
        <v>13.62</v>
      </c>
      <c r="Y198" s="114">
        <f t="shared" si="52"/>
        <v>31.325999999999997</v>
      </c>
      <c r="AA198" s="11">
        <f t="shared" ca="1" si="42"/>
        <v>198</v>
      </c>
      <c r="AB198" s="11">
        <f ca="1">+AA198+'parametres articles'!$C$9-1</f>
        <v>212</v>
      </c>
      <c r="AC198" s="11">
        <f ca="1">+AA198+'parametres articles'!$C$24-1</f>
        <v>217</v>
      </c>
      <c r="AD198" s="11">
        <f ca="1">+IF(AE198&lt;='parametres articles'!$H$8,0,AA198-'parametres articles'!$H$8+1)</f>
        <v>194</v>
      </c>
      <c r="AE198" s="11">
        <v>194</v>
      </c>
      <c r="AF198" s="2" t="str">
        <f t="shared" ref="AF198:AF224" ca="1" si="55">CONCATENATE("F",AA198+K197)</f>
        <v>F213</v>
      </c>
      <c r="AG198" s="172"/>
      <c r="AH198" s="2"/>
      <c r="AI198" s="2"/>
      <c r="AJ198" s="2"/>
      <c r="AK198" s="2"/>
      <c r="AL198" s="2"/>
    </row>
    <row r="199" spans="1:38" x14ac:dyDescent="0.25">
      <c r="A199" s="166">
        <v>42284</v>
      </c>
      <c r="C199" s="160" t="s">
        <v>21</v>
      </c>
      <c r="D199" s="161">
        <f ca="1">+IF(AD199=0,P199,(SUM(INDIRECT(CONCATENATE("B",AD199,":B",AA199)))/'parametres articles'!$H$8))</f>
        <v>0</v>
      </c>
      <c r="E199" s="10">
        <f t="shared" ref="E199:E260" si="56">+G198+AG199</f>
        <v>36</v>
      </c>
      <c r="F199" s="10"/>
      <c r="G199" s="10">
        <f t="shared" si="45"/>
        <v>36</v>
      </c>
      <c r="H199" s="140"/>
      <c r="I199" s="141">
        <f t="shared" si="44"/>
        <v>49.523809523809526</v>
      </c>
      <c r="K199" s="2">
        <f>+HLOOKUP($C199,'parametres articles'!$C$5:$G$25,5,FALSE)</f>
        <v>15</v>
      </c>
      <c r="L199" s="2">
        <f>+HLOOKUP($C199,'parametres articles'!$C$5:$G$25,21,FALSE)</f>
        <v>13</v>
      </c>
      <c r="M199" s="124">
        <f>+HLOOKUP($C199,'parametres articles'!$C$5:$G$25,7,FALSE)</f>
        <v>0.8</v>
      </c>
      <c r="N199" s="124">
        <f>+HLOOKUP($C199,'parametres articles'!$C$5:$G$25,6,FALSE)</f>
        <v>0.4</v>
      </c>
      <c r="O199" s="2">
        <f>+HLOOKUP($C199,'parametres articles'!$C$5:$G$25,8,FALSE)</f>
        <v>0</v>
      </c>
      <c r="P199" s="114">
        <f>IF(C199="E",'parametres articles'!$C$8,HLOOKUP($C199,'parametres articles'!$C$5:$F$25,4,FALSE))</f>
        <v>2.27</v>
      </c>
      <c r="Q199" s="114">
        <f t="shared" si="46"/>
        <v>2.27</v>
      </c>
      <c r="R199" s="2">
        <f t="shared" si="53"/>
        <v>13.62</v>
      </c>
      <c r="S199" s="2">
        <f t="shared" si="47"/>
        <v>24.515999999999998</v>
      </c>
      <c r="T199" s="2">
        <f t="shared" si="48"/>
        <v>58.565999999999995</v>
      </c>
      <c r="U199" s="2">
        <f t="shared" si="54"/>
        <v>72.185999999999993</v>
      </c>
      <c r="V199" s="2">
        <f t="shared" si="49"/>
        <v>24.515999999999998</v>
      </c>
      <c r="W199" s="2">
        <f t="shared" si="50"/>
        <v>34.049999999999997</v>
      </c>
      <c r="X199" s="2">
        <f t="shared" si="51"/>
        <v>13.62</v>
      </c>
      <c r="Y199" s="114">
        <f t="shared" si="52"/>
        <v>31.325999999999997</v>
      </c>
      <c r="AA199" s="11">
        <f t="shared" ref="AA199:AA260" ca="1" si="57">+AA198+1</f>
        <v>199</v>
      </c>
      <c r="AB199" s="11">
        <f ca="1">+AA199+'parametres articles'!$C$9-1</f>
        <v>213</v>
      </c>
      <c r="AC199" s="11">
        <f ca="1">+AA199+'parametres articles'!$C$24-1</f>
        <v>218</v>
      </c>
      <c r="AD199" s="11">
        <f ca="1">+IF(AE199&lt;='parametres articles'!$H$8,0,AA199-'parametres articles'!$H$8+1)</f>
        <v>195</v>
      </c>
      <c r="AE199" s="11">
        <v>195</v>
      </c>
      <c r="AF199" s="2" t="str">
        <f t="shared" ca="1" si="55"/>
        <v>F214</v>
      </c>
      <c r="AG199" s="172"/>
      <c r="AH199" s="2"/>
      <c r="AI199" s="2"/>
      <c r="AJ199" s="2"/>
      <c r="AK199" s="2"/>
      <c r="AL199" s="2"/>
    </row>
    <row r="200" spans="1:38" x14ac:dyDescent="0.25">
      <c r="A200" s="166">
        <v>42285</v>
      </c>
      <c r="C200" s="160" t="s">
        <v>21</v>
      </c>
      <c r="D200" s="161">
        <f ca="1">+IF(AD200=0,P200,(SUM(INDIRECT(CONCATENATE("B",AD200,":B",AA200)))/'parametres articles'!$H$8))</f>
        <v>0</v>
      </c>
      <c r="E200" s="10">
        <f t="shared" si="56"/>
        <v>36</v>
      </c>
      <c r="F200" s="10"/>
      <c r="G200" s="10">
        <f t="shared" si="45"/>
        <v>36</v>
      </c>
      <c r="H200" s="140"/>
      <c r="I200" s="141">
        <f t="shared" si="44"/>
        <v>48.523809523809526</v>
      </c>
      <c r="K200" s="2">
        <f>+HLOOKUP($C200,'parametres articles'!$C$5:$G$25,5,FALSE)</f>
        <v>15</v>
      </c>
      <c r="L200" s="2">
        <f>+HLOOKUP($C200,'parametres articles'!$C$5:$G$25,21,FALSE)</f>
        <v>13</v>
      </c>
      <c r="M200" s="124">
        <f>+HLOOKUP($C200,'parametres articles'!$C$5:$G$25,7,FALSE)</f>
        <v>0.8</v>
      </c>
      <c r="N200" s="124">
        <f>+HLOOKUP($C200,'parametres articles'!$C$5:$G$25,6,FALSE)</f>
        <v>0.4</v>
      </c>
      <c r="O200" s="2">
        <f>+HLOOKUP($C200,'parametres articles'!$C$5:$G$25,8,FALSE)</f>
        <v>0</v>
      </c>
      <c r="P200" s="114">
        <f>IF(C200="E",'parametres articles'!$C$8,HLOOKUP($C200,'parametres articles'!$C$5:$F$25,4,FALSE))</f>
        <v>2.27</v>
      </c>
      <c r="Q200" s="114">
        <f t="shared" si="46"/>
        <v>2.27</v>
      </c>
      <c r="R200" s="2">
        <f t="shared" si="53"/>
        <v>13.62</v>
      </c>
      <c r="S200" s="2">
        <f t="shared" si="47"/>
        <v>24.515999999999998</v>
      </c>
      <c r="T200" s="2">
        <f t="shared" si="48"/>
        <v>58.565999999999995</v>
      </c>
      <c r="U200" s="2">
        <f t="shared" si="54"/>
        <v>72.185999999999993</v>
      </c>
      <c r="V200" s="2">
        <f t="shared" si="49"/>
        <v>24.515999999999998</v>
      </c>
      <c r="W200" s="2">
        <f t="shared" si="50"/>
        <v>34.049999999999997</v>
      </c>
      <c r="X200" s="2">
        <f t="shared" si="51"/>
        <v>13.62</v>
      </c>
      <c r="Y200" s="114">
        <f t="shared" si="52"/>
        <v>31.325999999999997</v>
      </c>
      <c r="AA200" s="11">
        <f t="shared" ca="1" si="57"/>
        <v>200</v>
      </c>
      <c r="AB200" s="11">
        <f ca="1">+AA200+'parametres articles'!$C$9-1</f>
        <v>214</v>
      </c>
      <c r="AC200" s="11">
        <f ca="1">+AA200+'parametres articles'!$C$24-1</f>
        <v>219</v>
      </c>
      <c r="AD200" s="11">
        <f ca="1">+IF(AE200&lt;='parametres articles'!$H$8,0,AA200-'parametres articles'!$H$8+1)</f>
        <v>196</v>
      </c>
      <c r="AE200" s="11">
        <v>196</v>
      </c>
      <c r="AF200" s="2" t="str">
        <f t="shared" ca="1" si="55"/>
        <v>F215</v>
      </c>
      <c r="AG200" s="172"/>
      <c r="AH200" s="2"/>
      <c r="AI200" s="2"/>
      <c r="AJ200" s="2"/>
      <c r="AK200" s="2"/>
      <c r="AL200" s="2"/>
    </row>
    <row r="201" spans="1:38" x14ac:dyDescent="0.25">
      <c r="A201" s="166">
        <v>42286</v>
      </c>
      <c r="C201" s="160" t="s">
        <v>21</v>
      </c>
      <c r="D201" s="161">
        <f ca="1">+IF(AD201=0,P201,(SUM(INDIRECT(CONCATENATE("B",AD201,":B",AA201)))/'parametres articles'!$H$8))</f>
        <v>0</v>
      </c>
      <c r="E201" s="10">
        <f t="shared" si="56"/>
        <v>36</v>
      </c>
      <c r="F201" s="10">
        <f>+VLOOKUP(A201,Feuil1!$K$3:$L$37,2,FALSE)</f>
        <v>37</v>
      </c>
      <c r="G201" s="10">
        <f t="shared" si="45"/>
        <v>73</v>
      </c>
      <c r="H201" s="140"/>
      <c r="I201" s="141">
        <f t="shared" si="44"/>
        <v>47.523809523809526</v>
      </c>
      <c r="K201" s="2">
        <f>+HLOOKUP($C201,'parametres articles'!$C$5:$G$25,5,FALSE)</f>
        <v>15</v>
      </c>
      <c r="L201" s="2">
        <f>+HLOOKUP($C201,'parametres articles'!$C$5:$G$25,21,FALSE)</f>
        <v>13</v>
      </c>
      <c r="M201" s="124">
        <f>+HLOOKUP($C201,'parametres articles'!$C$5:$G$25,7,FALSE)</f>
        <v>0.8</v>
      </c>
      <c r="N201" s="124">
        <f>+HLOOKUP($C201,'parametres articles'!$C$5:$G$25,6,FALSE)</f>
        <v>0.4</v>
      </c>
      <c r="O201" s="2">
        <f>+HLOOKUP($C201,'parametres articles'!$C$5:$G$25,8,FALSE)</f>
        <v>0</v>
      </c>
      <c r="P201" s="114">
        <f>IF(C201="E",'parametres articles'!$C$8,HLOOKUP($C201,'parametres articles'!$C$5:$F$25,4,FALSE))</f>
        <v>2.27</v>
      </c>
      <c r="Q201" s="114">
        <f t="shared" si="46"/>
        <v>2.27</v>
      </c>
      <c r="R201" s="2">
        <f t="shared" si="53"/>
        <v>13.62</v>
      </c>
      <c r="S201" s="2">
        <f t="shared" si="47"/>
        <v>24.515999999999998</v>
      </c>
      <c r="T201" s="2">
        <f t="shared" si="48"/>
        <v>58.565999999999995</v>
      </c>
      <c r="U201" s="2">
        <f t="shared" si="54"/>
        <v>72.185999999999993</v>
      </c>
      <c r="V201" s="2">
        <f t="shared" si="49"/>
        <v>24.515999999999998</v>
      </c>
      <c r="W201" s="2">
        <f t="shared" si="50"/>
        <v>34.049999999999997</v>
      </c>
      <c r="X201" s="2">
        <f t="shared" si="51"/>
        <v>13.62</v>
      </c>
      <c r="Y201" s="114">
        <f t="shared" si="52"/>
        <v>31.325999999999997</v>
      </c>
      <c r="AA201" s="11">
        <f t="shared" ca="1" si="57"/>
        <v>201</v>
      </c>
      <c r="AB201" s="11">
        <f ca="1">+AA201+'parametres articles'!$C$9-1</f>
        <v>215</v>
      </c>
      <c r="AC201" s="11">
        <f ca="1">+AA201+'parametres articles'!$C$24-1</f>
        <v>220</v>
      </c>
      <c r="AD201" s="11">
        <f ca="1">+IF(AE201&lt;='parametres articles'!$H$8,0,AA201-'parametres articles'!$H$8+1)</f>
        <v>197</v>
      </c>
      <c r="AE201" s="11">
        <v>197</v>
      </c>
      <c r="AF201" s="2" t="str">
        <f t="shared" ca="1" si="55"/>
        <v>F216</v>
      </c>
      <c r="AG201" s="172"/>
      <c r="AH201" s="2"/>
      <c r="AI201" s="2"/>
      <c r="AJ201" s="2"/>
      <c r="AK201" s="2"/>
      <c r="AL201" s="2"/>
    </row>
    <row r="202" spans="1:38" x14ac:dyDescent="0.25">
      <c r="A202" s="166">
        <v>42289</v>
      </c>
      <c r="C202" s="160" t="s">
        <v>21</v>
      </c>
      <c r="D202" s="161">
        <f ca="1">+IF(AD202=0,P202,(SUM(INDIRECT(CONCATENATE("B",AD202,":B",AA202)))/'parametres articles'!$H$8))</f>
        <v>0</v>
      </c>
      <c r="E202" s="10">
        <f t="shared" si="56"/>
        <v>73</v>
      </c>
      <c r="F202" s="10"/>
      <c r="G202" s="10">
        <f t="shared" si="45"/>
        <v>73</v>
      </c>
      <c r="H202" s="140"/>
      <c r="I202" s="141">
        <f t="shared" si="44"/>
        <v>48.047619047619051</v>
      </c>
      <c r="K202" s="2">
        <f>+HLOOKUP($C202,'parametres articles'!$C$5:$G$25,5,FALSE)</f>
        <v>15</v>
      </c>
      <c r="L202" s="2">
        <f>+HLOOKUP($C202,'parametres articles'!$C$5:$G$25,21,FALSE)</f>
        <v>13</v>
      </c>
      <c r="M202" s="124">
        <f>+HLOOKUP($C202,'parametres articles'!$C$5:$G$25,7,FALSE)</f>
        <v>0.8</v>
      </c>
      <c r="N202" s="124">
        <f>+HLOOKUP($C202,'parametres articles'!$C$5:$G$25,6,FALSE)</f>
        <v>0.4</v>
      </c>
      <c r="O202" s="2">
        <f>+HLOOKUP($C202,'parametres articles'!$C$5:$G$25,8,FALSE)</f>
        <v>0</v>
      </c>
      <c r="P202" s="114">
        <f>IF(C202="E",'parametres articles'!$C$8,HLOOKUP($C202,'parametres articles'!$C$5:$F$25,4,FALSE))</f>
        <v>2.27</v>
      </c>
      <c r="Q202" s="114">
        <f t="shared" si="46"/>
        <v>2.27</v>
      </c>
      <c r="R202" s="2">
        <f t="shared" si="53"/>
        <v>13.62</v>
      </c>
      <c r="S202" s="2">
        <f t="shared" si="47"/>
        <v>24.515999999999998</v>
      </c>
      <c r="T202" s="2">
        <f t="shared" si="48"/>
        <v>58.565999999999995</v>
      </c>
      <c r="U202" s="2">
        <f t="shared" si="54"/>
        <v>72.185999999999993</v>
      </c>
      <c r="V202" s="2">
        <f t="shared" si="49"/>
        <v>24.515999999999998</v>
      </c>
      <c r="W202" s="2">
        <f t="shared" si="50"/>
        <v>34.049999999999997</v>
      </c>
      <c r="X202" s="2">
        <f t="shared" si="51"/>
        <v>13.62</v>
      </c>
      <c r="Y202" s="114">
        <f t="shared" si="52"/>
        <v>31.325999999999997</v>
      </c>
      <c r="AA202" s="11">
        <f t="shared" ca="1" si="57"/>
        <v>202</v>
      </c>
      <c r="AB202" s="11">
        <f ca="1">+AA202+'parametres articles'!$C$9-1</f>
        <v>216</v>
      </c>
      <c r="AC202" s="11">
        <f ca="1">+AA202+'parametres articles'!$C$24-1</f>
        <v>221</v>
      </c>
      <c r="AD202" s="11">
        <f ca="1">+IF(AE202&lt;='parametres articles'!$H$8,0,AA202-'parametres articles'!$H$8+1)</f>
        <v>198</v>
      </c>
      <c r="AE202" s="11">
        <v>198</v>
      </c>
      <c r="AF202" s="2" t="str">
        <f t="shared" ca="1" si="55"/>
        <v>F217</v>
      </c>
      <c r="AG202" s="172"/>
      <c r="AH202" s="2"/>
      <c r="AI202" s="2"/>
      <c r="AJ202" s="2"/>
      <c r="AK202" s="2"/>
      <c r="AL202" s="2"/>
    </row>
    <row r="203" spans="1:38" x14ac:dyDescent="0.25">
      <c r="A203" s="166">
        <v>42290</v>
      </c>
      <c r="C203" s="160" t="s">
        <v>21</v>
      </c>
      <c r="D203" s="161">
        <f ca="1">+IF(AD203=0,P203,(SUM(INDIRECT(CONCATENATE("B",AD203,":B",AA203)))/'parametres articles'!$H$8))</f>
        <v>0</v>
      </c>
      <c r="E203" s="10">
        <f t="shared" si="56"/>
        <v>73</v>
      </c>
      <c r="F203" s="10"/>
      <c r="G203" s="10">
        <f t="shared" si="45"/>
        <v>73</v>
      </c>
      <c r="H203" s="140"/>
      <c r="I203" s="141">
        <f t="shared" si="44"/>
        <v>48.571428571428569</v>
      </c>
      <c r="K203" s="2">
        <f>+HLOOKUP($C203,'parametres articles'!$C$5:$G$25,5,FALSE)</f>
        <v>15</v>
      </c>
      <c r="L203" s="2">
        <f>+HLOOKUP($C203,'parametres articles'!$C$5:$G$25,21,FALSE)</f>
        <v>13</v>
      </c>
      <c r="M203" s="124">
        <f>+HLOOKUP($C203,'parametres articles'!$C$5:$G$25,7,FALSE)</f>
        <v>0.8</v>
      </c>
      <c r="N203" s="124">
        <f>+HLOOKUP($C203,'parametres articles'!$C$5:$G$25,6,FALSE)</f>
        <v>0.4</v>
      </c>
      <c r="O203" s="2">
        <f>+HLOOKUP($C203,'parametres articles'!$C$5:$G$25,8,FALSE)</f>
        <v>0</v>
      </c>
      <c r="P203" s="114">
        <f>IF(C203="E",'parametres articles'!$C$8,HLOOKUP($C203,'parametres articles'!$C$5:$F$25,4,FALSE))</f>
        <v>2.27</v>
      </c>
      <c r="Q203" s="114">
        <f t="shared" si="46"/>
        <v>2.27</v>
      </c>
      <c r="R203" s="2">
        <f t="shared" si="53"/>
        <v>13.62</v>
      </c>
      <c r="S203" s="2">
        <f t="shared" si="47"/>
        <v>24.515999999999998</v>
      </c>
      <c r="T203" s="2">
        <f t="shared" si="48"/>
        <v>58.565999999999995</v>
      </c>
      <c r="U203" s="2">
        <f t="shared" si="54"/>
        <v>72.185999999999993</v>
      </c>
      <c r="V203" s="2">
        <f t="shared" si="49"/>
        <v>24.515999999999998</v>
      </c>
      <c r="W203" s="2">
        <f t="shared" si="50"/>
        <v>34.049999999999997</v>
      </c>
      <c r="X203" s="2">
        <f t="shared" si="51"/>
        <v>13.62</v>
      </c>
      <c r="Y203" s="114">
        <f t="shared" si="52"/>
        <v>31.325999999999997</v>
      </c>
      <c r="AA203" s="11">
        <f t="shared" ca="1" si="57"/>
        <v>203</v>
      </c>
      <c r="AB203" s="11">
        <f ca="1">+AA203+'parametres articles'!$C$9-1</f>
        <v>217</v>
      </c>
      <c r="AC203" s="11">
        <f ca="1">+AA203+'parametres articles'!$C$24-1</f>
        <v>222</v>
      </c>
      <c r="AD203" s="11">
        <f ca="1">+IF(AE203&lt;='parametres articles'!$H$8,0,AA203-'parametres articles'!$H$8+1)</f>
        <v>199</v>
      </c>
      <c r="AE203" s="11">
        <v>199</v>
      </c>
      <c r="AF203" s="2" t="str">
        <f t="shared" ca="1" si="55"/>
        <v>F218</v>
      </c>
      <c r="AG203" s="172"/>
      <c r="AH203" s="168"/>
      <c r="AI203" s="2"/>
      <c r="AJ203" s="2"/>
      <c r="AK203" s="2"/>
      <c r="AL203" s="2"/>
    </row>
    <row r="204" spans="1:38" x14ac:dyDescent="0.25">
      <c r="A204" s="166">
        <v>42291</v>
      </c>
      <c r="B204" s="163">
        <v>1</v>
      </c>
      <c r="C204" s="160" t="s">
        <v>21</v>
      </c>
      <c r="D204" s="161">
        <f ca="1">+IF(AD204=0,P204,(SUM(INDIRECT(CONCATENATE("B",AD204,":B",AA204)))/'parametres articles'!$H$8))</f>
        <v>0.2</v>
      </c>
      <c r="E204" s="10">
        <f t="shared" si="56"/>
        <v>73</v>
      </c>
      <c r="F204" s="10"/>
      <c r="G204" s="10">
        <f t="shared" si="45"/>
        <v>72</v>
      </c>
      <c r="H204" s="140"/>
      <c r="I204" s="141">
        <f t="shared" si="44"/>
        <v>49.095238095238095</v>
      </c>
      <c r="K204" s="2">
        <f>+HLOOKUP($C204,'parametres articles'!$C$5:$G$25,5,FALSE)</f>
        <v>15</v>
      </c>
      <c r="L204" s="2">
        <f>+HLOOKUP($C204,'parametres articles'!$C$5:$G$25,21,FALSE)</f>
        <v>13</v>
      </c>
      <c r="M204" s="124">
        <f>+HLOOKUP($C204,'parametres articles'!$C$5:$G$25,7,FALSE)</f>
        <v>0.8</v>
      </c>
      <c r="N204" s="124">
        <f>+HLOOKUP($C204,'parametres articles'!$C$5:$G$25,6,FALSE)</f>
        <v>0.4</v>
      </c>
      <c r="O204" s="2">
        <f>+HLOOKUP($C204,'parametres articles'!$C$5:$G$25,8,FALSE)</f>
        <v>0</v>
      </c>
      <c r="P204" s="114">
        <f>IF(C204="E",'parametres articles'!$C$8,HLOOKUP($C204,'parametres articles'!$C$5:$F$25,4,FALSE))</f>
        <v>2.27</v>
      </c>
      <c r="Q204" s="114">
        <f t="shared" si="46"/>
        <v>2.27</v>
      </c>
      <c r="R204" s="2">
        <f t="shared" si="53"/>
        <v>13.62</v>
      </c>
      <c r="S204" s="2">
        <f t="shared" si="47"/>
        <v>24.515999999999998</v>
      </c>
      <c r="T204" s="2">
        <f t="shared" si="48"/>
        <v>58.565999999999995</v>
      </c>
      <c r="U204" s="2">
        <f t="shared" si="54"/>
        <v>72.185999999999993</v>
      </c>
      <c r="V204" s="2">
        <f t="shared" si="49"/>
        <v>24.515999999999998</v>
      </c>
      <c r="W204" s="2">
        <f t="shared" si="50"/>
        <v>34.049999999999997</v>
      </c>
      <c r="X204" s="2">
        <f t="shared" si="51"/>
        <v>13.62</v>
      </c>
      <c r="Y204" s="114">
        <f t="shared" si="52"/>
        <v>31.325999999999997</v>
      </c>
      <c r="AA204" s="11">
        <f t="shared" ca="1" si="57"/>
        <v>204</v>
      </c>
      <c r="AB204" s="11">
        <f ca="1">+AA204+'parametres articles'!$C$9-1</f>
        <v>218</v>
      </c>
      <c r="AC204" s="11">
        <f ca="1">+AA204+'parametres articles'!$C$24-1</f>
        <v>223</v>
      </c>
      <c r="AD204" s="11">
        <f ca="1">+IF(AE204&lt;='parametres articles'!$H$8,0,AA204-'parametres articles'!$H$8+1)</f>
        <v>200</v>
      </c>
      <c r="AE204" s="11">
        <v>200</v>
      </c>
      <c r="AF204" s="2" t="str">
        <f t="shared" ca="1" si="55"/>
        <v>F219</v>
      </c>
      <c r="AG204" s="172"/>
      <c r="AI204" s="2"/>
      <c r="AJ204" s="2"/>
      <c r="AK204" s="2"/>
      <c r="AL204" s="2"/>
    </row>
    <row r="205" spans="1:38" x14ac:dyDescent="0.25">
      <c r="A205" s="166">
        <v>42292</v>
      </c>
      <c r="C205" s="160" t="s">
        <v>21</v>
      </c>
      <c r="D205" s="161">
        <f ca="1">+IF(AD205=0,P205,(SUM(INDIRECT(CONCATENATE("B",AD205,":B",AA205)))/'parametres articles'!$H$8))</f>
        <v>0.2</v>
      </c>
      <c r="E205" s="10">
        <f t="shared" si="56"/>
        <v>68</v>
      </c>
      <c r="F205" s="10"/>
      <c r="G205" s="10">
        <f t="shared" si="45"/>
        <v>68</v>
      </c>
      <c r="H205" s="140"/>
      <c r="I205" s="141">
        <f t="shared" si="44"/>
        <v>49.38095238095238</v>
      </c>
      <c r="K205" s="2">
        <f>+HLOOKUP($C205,'parametres articles'!$C$5:$G$25,5,FALSE)</f>
        <v>15</v>
      </c>
      <c r="L205" s="2">
        <f>+HLOOKUP($C205,'parametres articles'!$C$5:$G$25,21,FALSE)</f>
        <v>13</v>
      </c>
      <c r="M205" s="124">
        <f>+HLOOKUP($C205,'parametres articles'!$C$5:$G$25,7,FALSE)</f>
        <v>0.8</v>
      </c>
      <c r="N205" s="124">
        <f>+HLOOKUP($C205,'parametres articles'!$C$5:$G$25,6,FALSE)</f>
        <v>0.4</v>
      </c>
      <c r="O205" s="2">
        <f>+HLOOKUP($C205,'parametres articles'!$C$5:$G$25,8,FALSE)</f>
        <v>0</v>
      </c>
      <c r="P205" s="114">
        <f>IF(C205="E",'parametres articles'!$C$8,HLOOKUP($C205,'parametres articles'!$C$5:$F$25,4,FALSE))</f>
        <v>2.27</v>
      </c>
      <c r="Q205" s="114">
        <f t="shared" si="46"/>
        <v>2.27</v>
      </c>
      <c r="R205" s="2">
        <f t="shared" si="53"/>
        <v>13.62</v>
      </c>
      <c r="S205" s="2">
        <f t="shared" si="47"/>
        <v>24.515999999999998</v>
      </c>
      <c r="T205" s="2">
        <f t="shared" si="48"/>
        <v>58.565999999999995</v>
      </c>
      <c r="U205" s="2">
        <f t="shared" si="54"/>
        <v>72.185999999999993</v>
      </c>
      <c r="V205" s="2">
        <f t="shared" si="49"/>
        <v>24.515999999999998</v>
      </c>
      <c r="W205" s="2">
        <f t="shared" si="50"/>
        <v>34.049999999999997</v>
      </c>
      <c r="X205" s="2">
        <f t="shared" si="51"/>
        <v>13.62</v>
      </c>
      <c r="Y205" s="114">
        <f t="shared" si="52"/>
        <v>31.325999999999997</v>
      </c>
      <c r="AA205" s="11">
        <f t="shared" ca="1" si="57"/>
        <v>205</v>
      </c>
      <c r="AB205" s="11">
        <f ca="1">+AA205+'parametres articles'!$C$9-1</f>
        <v>219</v>
      </c>
      <c r="AC205" s="11">
        <f ca="1">+AA205+'parametres articles'!$C$24-1</f>
        <v>224</v>
      </c>
      <c r="AD205" s="11">
        <f ca="1">+IF(AE205&lt;='parametres articles'!$H$8,0,AA205-'parametres articles'!$H$8+1)</f>
        <v>201</v>
      </c>
      <c r="AE205" s="11">
        <v>201</v>
      </c>
      <c r="AF205" s="2" t="str">
        <f t="shared" ca="1" si="55"/>
        <v>F220</v>
      </c>
      <c r="AG205" s="172">
        <v>-4</v>
      </c>
      <c r="AI205" s="2"/>
      <c r="AJ205" s="2"/>
      <c r="AK205" s="2"/>
      <c r="AL205" s="2"/>
    </row>
    <row r="206" spans="1:38" x14ac:dyDescent="0.25">
      <c r="A206" s="166">
        <v>42293</v>
      </c>
      <c r="C206" s="160" t="s">
        <v>21</v>
      </c>
      <c r="D206" s="161">
        <f ca="1">+IF(AD206=0,P206,(SUM(INDIRECT(CONCATENATE("B",AD206,":B",AA206)))/'parametres articles'!$H$8))</f>
        <v>0.2</v>
      </c>
      <c r="E206" s="10">
        <f t="shared" si="56"/>
        <v>68</v>
      </c>
      <c r="F206" s="10">
        <f>+VLOOKUP(A206,Feuil1!$K$3:$L$37,2,FALSE)</f>
        <v>14</v>
      </c>
      <c r="G206" s="10">
        <f t="shared" si="45"/>
        <v>82</v>
      </c>
      <c r="H206" s="140"/>
      <c r="I206" s="141">
        <f t="shared" si="44"/>
        <v>49.857142857142854</v>
      </c>
      <c r="K206" s="2">
        <f>+HLOOKUP($C206,'parametres articles'!$C$5:$G$25,5,FALSE)</f>
        <v>15</v>
      </c>
      <c r="L206" s="2">
        <f>+HLOOKUP($C206,'parametres articles'!$C$5:$G$25,21,FALSE)</f>
        <v>13</v>
      </c>
      <c r="M206" s="124">
        <f>+HLOOKUP($C206,'parametres articles'!$C$5:$G$25,7,FALSE)</f>
        <v>0.8</v>
      </c>
      <c r="N206" s="124">
        <f>+HLOOKUP($C206,'parametres articles'!$C$5:$G$25,6,FALSE)</f>
        <v>0.4</v>
      </c>
      <c r="O206" s="2">
        <f>+HLOOKUP($C206,'parametres articles'!$C$5:$G$25,8,FALSE)</f>
        <v>0</v>
      </c>
      <c r="P206" s="114">
        <f>IF(C206="E",'parametres articles'!$C$8,HLOOKUP($C206,'parametres articles'!$C$5:$F$25,4,FALSE))</f>
        <v>2.27</v>
      </c>
      <c r="Q206" s="114">
        <f t="shared" si="46"/>
        <v>2.27</v>
      </c>
      <c r="R206" s="2">
        <f t="shared" si="53"/>
        <v>13.62</v>
      </c>
      <c r="S206" s="2">
        <f t="shared" si="47"/>
        <v>24.515999999999998</v>
      </c>
      <c r="T206" s="2">
        <f t="shared" si="48"/>
        <v>58.565999999999995</v>
      </c>
      <c r="U206" s="2">
        <f t="shared" si="54"/>
        <v>72.185999999999993</v>
      </c>
      <c r="V206" s="2">
        <f t="shared" si="49"/>
        <v>24.515999999999998</v>
      </c>
      <c r="W206" s="2">
        <f t="shared" si="50"/>
        <v>34.049999999999997</v>
      </c>
      <c r="X206" s="2">
        <f t="shared" si="51"/>
        <v>13.62</v>
      </c>
      <c r="Y206" s="114">
        <f t="shared" si="52"/>
        <v>31.325999999999997</v>
      </c>
      <c r="AA206" s="11">
        <f t="shared" ca="1" si="57"/>
        <v>206</v>
      </c>
      <c r="AB206" s="11">
        <f ca="1">+AA206+'parametres articles'!$C$9-1</f>
        <v>220</v>
      </c>
      <c r="AC206" s="11">
        <f ca="1">+AA206+'parametres articles'!$C$24-1</f>
        <v>225</v>
      </c>
      <c r="AD206" s="11">
        <f ca="1">+IF(AE206&lt;='parametres articles'!$H$8,0,AA206-'parametres articles'!$H$8+1)</f>
        <v>202</v>
      </c>
      <c r="AE206" s="11">
        <v>202</v>
      </c>
      <c r="AF206" s="2" t="str">
        <f t="shared" ca="1" si="55"/>
        <v>F221</v>
      </c>
      <c r="AG206" s="172"/>
      <c r="AI206" s="2"/>
      <c r="AJ206" s="2"/>
      <c r="AK206" s="2"/>
      <c r="AL206" s="2"/>
    </row>
    <row r="207" spans="1:38" x14ac:dyDescent="0.25">
      <c r="A207" s="166">
        <v>42296</v>
      </c>
      <c r="C207" s="160" t="s">
        <v>21</v>
      </c>
      <c r="D207" s="161">
        <f ca="1">+IF(AD207=0,P207,(SUM(INDIRECT(CONCATENATE("B",AD207,":B",AA207)))/'parametres articles'!$H$8))</f>
        <v>0.2</v>
      </c>
      <c r="E207" s="10">
        <f t="shared" si="56"/>
        <v>82</v>
      </c>
      <c r="F207" s="10"/>
      <c r="G207" s="10">
        <f t="shared" si="45"/>
        <v>82</v>
      </c>
      <c r="H207" s="140"/>
      <c r="I207" s="141">
        <f t="shared" si="44"/>
        <v>51</v>
      </c>
      <c r="K207" s="2">
        <f>+HLOOKUP($C207,'parametres articles'!$C$5:$G$25,5,FALSE)</f>
        <v>15</v>
      </c>
      <c r="L207" s="2">
        <f>+HLOOKUP($C207,'parametres articles'!$C$5:$G$25,21,FALSE)</f>
        <v>13</v>
      </c>
      <c r="M207" s="124">
        <f>+HLOOKUP($C207,'parametres articles'!$C$5:$G$25,7,FALSE)</f>
        <v>0.8</v>
      </c>
      <c r="N207" s="124">
        <f>+HLOOKUP($C207,'parametres articles'!$C$5:$G$25,6,FALSE)</f>
        <v>0.4</v>
      </c>
      <c r="O207" s="2">
        <f>+HLOOKUP($C207,'parametres articles'!$C$5:$G$25,8,FALSE)</f>
        <v>0</v>
      </c>
      <c r="P207" s="114">
        <f>IF(C207="E",'parametres articles'!$C$8,HLOOKUP($C207,'parametres articles'!$C$5:$F$25,4,FALSE))</f>
        <v>2.27</v>
      </c>
      <c r="Q207" s="114">
        <f t="shared" si="46"/>
        <v>2.27</v>
      </c>
      <c r="R207" s="2">
        <f t="shared" si="53"/>
        <v>13.62</v>
      </c>
      <c r="S207" s="2">
        <f t="shared" si="47"/>
        <v>24.515999999999998</v>
      </c>
      <c r="T207" s="2">
        <f t="shared" si="48"/>
        <v>58.565999999999995</v>
      </c>
      <c r="U207" s="2">
        <f t="shared" si="54"/>
        <v>72.185999999999993</v>
      </c>
      <c r="V207" s="2">
        <f t="shared" si="49"/>
        <v>24.515999999999998</v>
      </c>
      <c r="W207" s="2">
        <f t="shared" si="50"/>
        <v>34.049999999999997</v>
      </c>
      <c r="X207" s="2">
        <f t="shared" si="51"/>
        <v>13.62</v>
      </c>
      <c r="Y207" s="114">
        <f t="shared" si="52"/>
        <v>31.325999999999997</v>
      </c>
      <c r="AA207" s="11">
        <f t="shared" ca="1" si="57"/>
        <v>207</v>
      </c>
      <c r="AB207" s="11">
        <f ca="1">+AA207+'parametres articles'!$C$9-1</f>
        <v>221</v>
      </c>
      <c r="AC207" s="11">
        <f ca="1">+AA207+'parametres articles'!$C$24-1</f>
        <v>226</v>
      </c>
      <c r="AD207" s="11">
        <f ca="1">+IF(AE207&lt;='parametres articles'!$H$8,0,AA207-'parametres articles'!$H$8+1)</f>
        <v>203</v>
      </c>
      <c r="AE207" s="11">
        <v>203</v>
      </c>
      <c r="AF207" s="2" t="str">
        <f t="shared" ca="1" si="55"/>
        <v>F222</v>
      </c>
      <c r="AG207" s="172"/>
      <c r="AI207" s="2"/>
      <c r="AJ207" s="2"/>
      <c r="AK207" s="2"/>
      <c r="AL207" s="2"/>
    </row>
    <row r="208" spans="1:38" x14ac:dyDescent="0.25">
      <c r="A208" s="166">
        <v>42297</v>
      </c>
      <c r="B208" s="163">
        <v>2</v>
      </c>
      <c r="C208" s="160" t="s">
        <v>21</v>
      </c>
      <c r="D208" s="161">
        <f ca="1">+IF(AD208=0,P208,(SUM(INDIRECT(CONCATENATE("B",AD208,":B",AA208)))/'parametres articles'!$H$8))</f>
        <v>0.6</v>
      </c>
      <c r="E208" s="10">
        <f t="shared" si="56"/>
        <v>82</v>
      </c>
      <c r="F208" s="10"/>
      <c r="G208" s="10">
        <f t="shared" si="45"/>
        <v>80</v>
      </c>
      <c r="H208" s="140"/>
      <c r="I208" s="141">
        <f t="shared" si="44"/>
        <v>52.333333333333336</v>
      </c>
      <c r="K208" s="2">
        <f>+HLOOKUP($C208,'parametres articles'!$C$5:$G$25,5,FALSE)</f>
        <v>15</v>
      </c>
      <c r="L208" s="2">
        <f>+HLOOKUP($C208,'parametres articles'!$C$5:$G$25,21,FALSE)</f>
        <v>13</v>
      </c>
      <c r="M208" s="124">
        <f>+HLOOKUP($C208,'parametres articles'!$C$5:$G$25,7,FALSE)</f>
        <v>0.8</v>
      </c>
      <c r="N208" s="124">
        <f>+HLOOKUP($C208,'parametres articles'!$C$5:$G$25,6,FALSE)</f>
        <v>0.4</v>
      </c>
      <c r="O208" s="2">
        <f>+HLOOKUP($C208,'parametres articles'!$C$5:$G$25,8,FALSE)</f>
        <v>0</v>
      </c>
      <c r="P208" s="114">
        <f>IF(C208="E",'parametres articles'!$C$8,HLOOKUP($C208,'parametres articles'!$C$5:$F$25,4,FALSE))</f>
        <v>2.27</v>
      </c>
      <c r="Q208" s="114">
        <f t="shared" si="46"/>
        <v>2.27</v>
      </c>
      <c r="R208" s="2">
        <f t="shared" si="53"/>
        <v>13.62</v>
      </c>
      <c r="S208" s="2">
        <f t="shared" si="47"/>
        <v>24.515999999999998</v>
      </c>
      <c r="T208" s="2">
        <f t="shared" si="48"/>
        <v>58.565999999999995</v>
      </c>
      <c r="U208" s="2">
        <f t="shared" si="54"/>
        <v>72.185999999999993</v>
      </c>
      <c r="V208" s="2">
        <f t="shared" si="49"/>
        <v>24.515999999999998</v>
      </c>
      <c r="W208" s="2">
        <f t="shared" si="50"/>
        <v>34.049999999999997</v>
      </c>
      <c r="X208" s="2">
        <f t="shared" si="51"/>
        <v>13.62</v>
      </c>
      <c r="Y208" s="114">
        <f t="shared" si="52"/>
        <v>31.325999999999997</v>
      </c>
      <c r="AA208" s="11">
        <f t="shared" ca="1" si="57"/>
        <v>208</v>
      </c>
      <c r="AB208" s="11">
        <f ca="1">+AA208+'parametres articles'!$C$9-1</f>
        <v>222</v>
      </c>
      <c r="AC208" s="11">
        <f ca="1">+AA208+'parametres articles'!$C$24-1</f>
        <v>227</v>
      </c>
      <c r="AD208" s="11">
        <f ca="1">+IF(AE208&lt;='parametres articles'!$H$8,0,AA208-'parametres articles'!$H$8+1)</f>
        <v>204</v>
      </c>
      <c r="AE208" s="11">
        <v>204</v>
      </c>
      <c r="AF208" s="2" t="str">
        <f t="shared" ca="1" si="55"/>
        <v>F223</v>
      </c>
      <c r="AG208" s="172"/>
      <c r="AH208" s="2"/>
      <c r="AI208" s="2"/>
      <c r="AJ208" s="2"/>
      <c r="AK208" s="2"/>
      <c r="AL208" s="2"/>
    </row>
    <row r="209" spans="1:38" x14ac:dyDescent="0.25">
      <c r="A209" s="166">
        <v>42298</v>
      </c>
      <c r="B209" s="163">
        <v>30</v>
      </c>
      <c r="C209" s="160" t="s">
        <v>21</v>
      </c>
      <c r="D209" s="161">
        <f ca="1">+IF(AD209=0,P209,(SUM(INDIRECT(CONCATENATE("B",AD209,":B",AA209)))/'parametres articles'!$H$8))</f>
        <v>6.4</v>
      </c>
      <c r="E209" s="10">
        <f t="shared" si="56"/>
        <v>80</v>
      </c>
      <c r="F209" s="10"/>
      <c r="G209" s="10">
        <f t="shared" si="45"/>
        <v>50</v>
      </c>
      <c r="H209" s="140"/>
      <c r="I209" s="141">
        <f t="shared" si="44"/>
        <v>53.571428571428569</v>
      </c>
      <c r="K209" s="2">
        <f>+HLOOKUP($C209,'parametres articles'!$C$5:$G$25,5,FALSE)</f>
        <v>15</v>
      </c>
      <c r="L209" s="2">
        <f>+HLOOKUP($C209,'parametres articles'!$C$5:$G$25,21,FALSE)</f>
        <v>13</v>
      </c>
      <c r="M209" s="124">
        <f>+HLOOKUP($C209,'parametres articles'!$C$5:$G$25,7,FALSE)</f>
        <v>0.8</v>
      </c>
      <c r="N209" s="124">
        <f>+HLOOKUP($C209,'parametres articles'!$C$5:$G$25,6,FALSE)</f>
        <v>0.4</v>
      </c>
      <c r="O209" s="2">
        <f>+HLOOKUP($C209,'parametres articles'!$C$5:$G$25,8,FALSE)</f>
        <v>0</v>
      </c>
      <c r="P209" s="114">
        <f>IF(C209="E",'parametres articles'!$C$8,HLOOKUP($C209,'parametres articles'!$C$5:$F$25,4,FALSE))</f>
        <v>2.27</v>
      </c>
      <c r="Q209" s="114">
        <f t="shared" si="46"/>
        <v>2.27</v>
      </c>
      <c r="R209" s="2">
        <f t="shared" si="53"/>
        <v>13.62</v>
      </c>
      <c r="S209" s="2">
        <f t="shared" si="47"/>
        <v>24.515999999999998</v>
      </c>
      <c r="T209" s="2">
        <f t="shared" si="48"/>
        <v>58.565999999999995</v>
      </c>
      <c r="U209" s="2">
        <f t="shared" si="54"/>
        <v>72.185999999999993</v>
      </c>
      <c r="V209" s="2">
        <f t="shared" si="49"/>
        <v>24.515999999999998</v>
      </c>
      <c r="W209" s="2">
        <f t="shared" si="50"/>
        <v>34.049999999999997</v>
      </c>
      <c r="X209" s="2">
        <f t="shared" si="51"/>
        <v>13.62</v>
      </c>
      <c r="Y209" s="114">
        <f t="shared" si="52"/>
        <v>31.325999999999997</v>
      </c>
      <c r="AA209" s="11">
        <f t="shared" ca="1" si="57"/>
        <v>209</v>
      </c>
      <c r="AB209" s="11">
        <f ca="1">+AA209+'parametres articles'!$C$9-1</f>
        <v>223</v>
      </c>
      <c r="AC209" s="11">
        <f ca="1">+AA209+'parametres articles'!$C$24-1</f>
        <v>228</v>
      </c>
      <c r="AD209" s="11">
        <f ca="1">+IF(AE209&lt;='parametres articles'!$H$8,0,AA209-'parametres articles'!$H$8+1)</f>
        <v>205</v>
      </c>
      <c r="AE209" s="11">
        <v>205</v>
      </c>
      <c r="AF209" s="2" t="str">
        <f t="shared" ca="1" si="55"/>
        <v>F224</v>
      </c>
      <c r="AG209" s="172"/>
      <c r="AH209" s="2"/>
      <c r="AI209" s="2"/>
      <c r="AJ209" s="2"/>
      <c r="AK209" s="2"/>
      <c r="AL209" s="2"/>
    </row>
    <row r="210" spans="1:38" x14ac:dyDescent="0.25">
      <c r="A210" s="166">
        <v>42299</v>
      </c>
      <c r="C210" s="160" t="s">
        <v>21</v>
      </c>
      <c r="D210" s="161">
        <f ca="1">+IF(AD210=0,P210,(SUM(INDIRECT(CONCATENATE("B",AD210,":B",AA210)))/'parametres articles'!$H$8))</f>
        <v>6.4</v>
      </c>
      <c r="E210" s="10">
        <f t="shared" si="56"/>
        <v>50</v>
      </c>
      <c r="F210" s="10"/>
      <c r="G210" s="10">
        <f t="shared" si="45"/>
        <v>50</v>
      </c>
      <c r="H210" s="140"/>
      <c r="I210" s="141">
        <f t="shared" si="44"/>
        <v>53.38095238095238</v>
      </c>
      <c r="K210" s="2">
        <f>+HLOOKUP($C210,'parametres articles'!$C$5:$G$25,5,FALSE)</f>
        <v>15</v>
      </c>
      <c r="L210" s="2">
        <f>+HLOOKUP($C210,'parametres articles'!$C$5:$G$25,21,FALSE)</f>
        <v>13</v>
      </c>
      <c r="M210" s="124">
        <f>+HLOOKUP($C210,'parametres articles'!$C$5:$G$25,7,FALSE)</f>
        <v>0.8</v>
      </c>
      <c r="N210" s="124">
        <f>+HLOOKUP($C210,'parametres articles'!$C$5:$G$25,6,FALSE)</f>
        <v>0.4</v>
      </c>
      <c r="O210" s="2">
        <f>+HLOOKUP($C210,'parametres articles'!$C$5:$G$25,8,FALSE)</f>
        <v>0</v>
      </c>
      <c r="P210" s="114">
        <f>IF(C210="E",'parametres articles'!$C$8,HLOOKUP($C210,'parametres articles'!$C$5:$F$25,4,FALSE))</f>
        <v>2.27</v>
      </c>
      <c r="Q210" s="114">
        <f t="shared" si="46"/>
        <v>2.27</v>
      </c>
      <c r="R210" s="2">
        <f t="shared" si="53"/>
        <v>13.62</v>
      </c>
      <c r="S210" s="2">
        <f t="shared" si="47"/>
        <v>24.515999999999998</v>
      </c>
      <c r="T210" s="2">
        <f t="shared" si="48"/>
        <v>58.565999999999995</v>
      </c>
      <c r="U210" s="2">
        <f t="shared" si="54"/>
        <v>72.185999999999993</v>
      </c>
      <c r="V210" s="2">
        <f t="shared" si="49"/>
        <v>24.515999999999998</v>
      </c>
      <c r="W210" s="2">
        <f t="shared" si="50"/>
        <v>34.049999999999997</v>
      </c>
      <c r="X210" s="2">
        <f t="shared" si="51"/>
        <v>13.62</v>
      </c>
      <c r="Y210" s="114">
        <f t="shared" si="52"/>
        <v>31.325999999999997</v>
      </c>
      <c r="AA210" s="11">
        <f t="shared" ca="1" si="57"/>
        <v>210</v>
      </c>
      <c r="AB210" s="11">
        <f ca="1">+AA210+'parametres articles'!$C$9-1</f>
        <v>224</v>
      </c>
      <c r="AC210" s="11">
        <f ca="1">+AA210+'parametres articles'!$C$24-1</f>
        <v>229</v>
      </c>
      <c r="AD210" s="11">
        <f ca="1">+IF(AE210&lt;='parametres articles'!$H$8,0,AA210-'parametres articles'!$H$8+1)</f>
        <v>206</v>
      </c>
      <c r="AE210" s="11">
        <v>206</v>
      </c>
      <c r="AF210" s="2" t="str">
        <f t="shared" ca="1" si="55"/>
        <v>F225</v>
      </c>
      <c r="AG210" s="172"/>
      <c r="AH210" s="2"/>
      <c r="AI210" s="2"/>
      <c r="AJ210" s="2"/>
      <c r="AK210" s="2"/>
      <c r="AL210" s="2"/>
    </row>
    <row r="211" spans="1:38" x14ac:dyDescent="0.25">
      <c r="A211" s="166">
        <v>42300</v>
      </c>
      <c r="B211" s="163">
        <v>7</v>
      </c>
      <c r="C211" s="160" t="s">
        <v>21</v>
      </c>
      <c r="D211" s="161">
        <f ca="1">+IF(AD211=0,P211,(SUM(INDIRECT(CONCATENATE("B",AD211,":B",AA211)))/'parametres articles'!$H$8))</f>
        <v>7.8</v>
      </c>
      <c r="E211" s="10">
        <f t="shared" si="56"/>
        <v>50</v>
      </c>
      <c r="F211" s="10"/>
      <c r="G211" s="10">
        <f t="shared" si="45"/>
        <v>43</v>
      </c>
      <c r="H211" s="140"/>
      <c r="I211" s="141">
        <f t="shared" si="44"/>
        <v>53.19047619047619</v>
      </c>
      <c r="K211" s="2">
        <f>+HLOOKUP($C211,'parametres articles'!$C$5:$G$25,5,FALSE)</f>
        <v>15</v>
      </c>
      <c r="L211" s="2">
        <f>+HLOOKUP($C211,'parametres articles'!$C$5:$G$25,21,FALSE)</f>
        <v>13</v>
      </c>
      <c r="M211" s="124">
        <f>+HLOOKUP($C211,'parametres articles'!$C$5:$G$25,7,FALSE)</f>
        <v>0.8</v>
      </c>
      <c r="N211" s="124">
        <f>+HLOOKUP($C211,'parametres articles'!$C$5:$G$25,6,FALSE)</f>
        <v>0.4</v>
      </c>
      <c r="O211" s="2">
        <f>+HLOOKUP($C211,'parametres articles'!$C$5:$G$25,8,FALSE)</f>
        <v>0</v>
      </c>
      <c r="P211" s="114">
        <f>IF(C211="E",'parametres articles'!$C$8,HLOOKUP($C211,'parametres articles'!$C$5:$F$25,4,FALSE))</f>
        <v>2.27</v>
      </c>
      <c r="Q211" s="114">
        <f t="shared" si="46"/>
        <v>2.27</v>
      </c>
      <c r="R211" s="2">
        <f t="shared" si="53"/>
        <v>13.62</v>
      </c>
      <c r="S211" s="2">
        <f t="shared" si="47"/>
        <v>24.515999999999998</v>
      </c>
      <c r="T211" s="2">
        <f t="shared" si="48"/>
        <v>58.565999999999995</v>
      </c>
      <c r="U211" s="2">
        <f t="shared" si="54"/>
        <v>72.185999999999993</v>
      </c>
      <c r="V211" s="2">
        <f t="shared" si="49"/>
        <v>24.515999999999998</v>
      </c>
      <c r="W211" s="2">
        <f t="shared" si="50"/>
        <v>34.049999999999997</v>
      </c>
      <c r="X211" s="2">
        <f t="shared" si="51"/>
        <v>13.62</v>
      </c>
      <c r="Y211" s="114">
        <f t="shared" si="52"/>
        <v>31.325999999999997</v>
      </c>
      <c r="AA211" s="11">
        <f t="shared" ca="1" si="57"/>
        <v>211</v>
      </c>
      <c r="AB211" s="11">
        <f ca="1">+AA211+'parametres articles'!$C$9-1</f>
        <v>225</v>
      </c>
      <c r="AC211" s="11">
        <f ca="1">+AA211+'parametres articles'!$C$24-1</f>
        <v>230</v>
      </c>
      <c r="AD211" s="11">
        <f ca="1">+IF(AE211&lt;='parametres articles'!$H$8,0,AA211-'parametres articles'!$H$8+1)</f>
        <v>207</v>
      </c>
      <c r="AE211" s="11">
        <v>207</v>
      </c>
      <c r="AF211" s="2" t="str">
        <f t="shared" ca="1" si="55"/>
        <v>F226</v>
      </c>
      <c r="AG211" s="172"/>
      <c r="AH211" s="2"/>
      <c r="AI211" s="2"/>
      <c r="AJ211" s="2"/>
      <c r="AK211" s="2"/>
      <c r="AL211" s="2"/>
    </row>
    <row r="212" spans="1:38" x14ac:dyDescent="0.25">
      <c r="A212" s="166">
        <v>42303</v>
      </c>
      <c r="B212" s="163">
        <v>5</v>
      </c>
      <c r="C212" s="160" t="s">
        <v>21</v>
      </c>
      <c r="D212" s="161">
        <f ca="1">+IF(AD212=0,P212,(SUM(INDIRECT(CONCATENATE("B",AD212,":B",AA212)))/'parametres articles'!$H$8))</f>
        <v>8.8000000000000007</v>
      </c>
      <c r="E212" s="10">
        <f t="shared" si="56"/>
        <v>43</v>
      </c>
      <c r="F212" s="10">
        <f>+VLOOKUP(A212,Feuil1!$K$3:$L$37,2,FALSE)</f>
        <v>14</v>
      </c>
      <c r="G212" s="10">
        <f t="shared" si="45"/>
        <v>52</v>
      </c>
      <c r="H212" s="140"/>
      <c r="I212" s="141">
        <f t="shared" si="44"/>
        <v>52.714285714285715</v>
      </c>
      <c r="K212" s="2">
        <f>+HLOOKUP($C212,'parametres articles'!$C$5:$G$25,5,FALSE)</f>
        <v>15</v>
      </c>
      <c r="L212" s="2">
        <f>+HLOOKUP($C212,'parametres articles'!$C$5:$G$25,21,FALSE)</f>
        <v>13</v>
      </c>
      <c r="M212" s="124">
        <f>+HLOOKUP($C212,'parametres articles'!$C$5:$G$25,7,FALSE)</f>
        <v>0.8</v>
      </c>
      <c r="N212" s="124">
        <f>+HLOOKUP($C212,'parametres articles'!$C$5:$G$25,6,FALSE)</f>
        <v>0.4</v>
      </c>
      <c r="O212" s="2">
        <f>+HLOOKUP($C212,'parametres articles'!$C$5:$G$25,8,FALSE)</f>
        <v>0</v>
      </c>
      <c r="P212" s="114">
        <f>IF(C212="E",'parametres articles'!$C$8,HLOOKUP($C212,'parametres articles'!$C$5:$F$25,4,FALSE))</f>
        <v>2.27</v>
      </c>
      <c r="Q212" s="114">
        <f t="shared" si="46"/>
        <v>2.27</v>
      </c>
      <c r="R212" s="2">
        <f t="shared" si="53"/>
        <v>13.62</v>
      </c>
      <c r="S212" s="2">
        <f t="shared" si="47"/>
        <v>24.515999999999998</v>
      </c>
      <c r="T212" s="2">
        <f t="shared" si="48"/>
        <v>58.565999999999995</v>
      </c>
      <c r="U212" s="2">
        <f t="shared" si="54"/>
        <v>72.185999999999993</v>
      </c>
      <c r="V212" s="2">
        <f t="shared" si="49"/>
        <v>24.515999999999998</v>
      </c>
      <c r="W212" s="2">
        <f t="shared" si="50"/>
        <v>34.049999999999997</v>
      </c>
      <c r="X212" s="2">
        <f t="shared" si="51"/>
        <v>13.62</v>
      </c>
      <c r="Y212" s="114">
        <f t="shared" si="52"/>
        <v>31.325999999999997</v>
      </c>
      <c r="AA212" s="11">
        <f t="shared" ca="1" si="57"/>
        <v>212</v>
      </c>
      <c r="AB212" s="11">
        <f ca="1">+AA212+'parametres articles'!$C$9-1</f>
        <v>226</v>
      </c>
      <c r="AC212" s="11">
        <f ca="1">+AA212+'parametres articles'!$C$24-1</f>
        <v>231</v>
      </c>
      <c r="AD212" s="11">
        <f ca="1">+IF(AE212&lt;='parametres articles'!$H$8,0,AA212-'parametres articles'!$H$8+1)</f>
        <v>208</v>
      </c>
      <c r="AE212" s="11">
        <v>208</v>
      </c>
      <c r="AF212" s="2" t="str">
        <f t="shared" ca="1" si="55"/>
        <v>F227</v>
      </c>
      <c r="AG212" s="172"/>
      <c r="AH212" s="2"/>
      <c r="AI212" s="2"/>
      <c r="AJ212" s="2"/>
      <c r="AK212" s="2"/>
      <c r="AL212" s="2"/>
    </row>
    <row r="213" spans="1:38" x14ac:dyDescent="0.25">
      <c r="A213" s="166">
        <v>42304</v>
      </c>
      <c r="C213" s="160" t="s">
        <v>21</v>
      </c>
      <c r="D213" s="161">
        <f ca="1">+IF(AD213=0,P213,(SUM(INDIRECT(CONCATENATE("B",AD213,":B",AA213)))/'parametres articles'!$H$8))</f>
        <v>8.4</v>
      </c>
      <c r="E213" s="10">
        <f t="shared" si="56"/>
        <v>52</v>
      </c>
      <c r="F213" s="10"/>
      <c r="G213" s="10">
        <f t="shared" si="45"/>
        <v>52</v>
      </c>
      <c r="H213" s="140"/>
      <c r="I213" s="141">
        <f t="shared" si="44"/>
        <v>53</v>
      </c>
      <c r="K213" s="2">
        <f>+HLOOKUP($C213,'parametres articles'!$C$5:$G$25,5,FALSE)</f>
        <v>15</v>
      </c>
      <c r="L213" s="2">
        <f>+HLOOKUP($C213,'parametres articles'!$C$5:$G$25,21,FALSE)</f>
        <v>13</v>
      </c>
      <c r="M213" s="124">
        <f>+HLOOKUP($C213,'parametres articles'!$C$5:$G$25,7,FALSE)</f>
        <v>0.8</v>
      </c>
      <c r="N213" s="124">
        <f>+HLOOKUP($C213,'parametres articles'!$C$5:$G$25,6,FALSE)</f>
        <v>0.4</v>
      </c>
      <c r="O213" s="2">
        <f>+HLOOKUP($C213,'parametres articles'!$C$5:$G$25,8,FALSE)</f>
        <v>0</v>
      </c>
      <c r="P213" s="114">
        <f>IF(C213="E",'parametres articles'!$C$8,HLOOKUP($C213,'parametres articles'!$C$5:$F$25,4,FALSE))</f>
        <v>2.27</v>
      </c>
      <c r="Q213" s="114">
        <f t="shared" si="46"/>
        <v>2.27</v>
      </c>
      <c r="R213" s="2">
        <f t="shared" si="53"/>
        <v>13.62</v>
      </c>
      <c r="S213" s="2">
        <f t="shared" si="47"/>
        <v>24.515999999999998</v>
      </c>
      <c r="T213" s="2">
        <f t="shared" si="48"/>
        <v>58.565999999999995</v>
      </c>
      <c r="U213" s="2">
        <f t="shared" si="54"/>
        <v>72.185999999999993</v>
      </c>
      <c r="V213" s="2">
        <f t="shared" si="49"/>
        <v>24.515999999999998</v>
      </c>
      <c r="W213" s="2">
        <f t="shared" si="50"/>
        <v>34.049999999999997</v>
      </c>
      <c r="X213" s="2">
        <f t="shared" si="51"/>
        <v>13.62</v>
      </c>
      <c r="Y213" s="114">
        <f t="shared" si="52"/>
        <v>31.325999999999997</v>
      </c>
      <c r="AA213" s="11">
        <f t="shared" ca="1" si="57"/>
        <v>213</v>
      </c>
      <c r="AB213" s="11">
        <f ca="1">+AA213+'parametres articles'!$C$9-1</f>
        <v>227</v>
      </c>
      <c r="AC213" s="11">
        <f ca="1">+AA213+'parametres articles'!$C$24-1</f>
        <v>232</v>
      </c>
      <c r="AD213" s="11">
        <f ca="1">+IF(AE213&lt;='parametres articles'!$H$8,0,AA213-'parametres articles'!$H$8+1)</f>
        <v>209</v>
      </c>
      <c r="AE213" s="11">
        <v>209</v>
      </c>
      <c r="AF213" s="2" t="str">
        <f t="shared" ca="1" si="55"/>
        <v>F228</v>
      </c>
      <c r="AG213" s="172"/>
      <c r="AH213" s="2"/>
      <c r="AI213" s="2"/>
      <c r="AJ213" s="2"/>
      <c r="AK213" s="2"/>
      <c r="AL213" s="2"/>
    </row>
    <row r="214" spans="1:38" x14ac:dyDescent="0.25">
      <c r="A214" s="166">
        <v>42305</v>
      </c>
      <c r="C214" s="160" t="s">
        <v>21</v>
      </c>
      <c r="D214" s="161">
        <f ca="1">+IF(AD214=0,P214,(SUM(INDIRECT(CONCATENATE("B",AD214,":B",AA214)))/'parametres articles'!$H$8))</f>
        <v>2.4</v>
      </c>
      <c r="E214" s="10">
        <f t="shared" si="56"/>
        <v>52</v>
      </c>
      <c r="F214" s="10"/>
      <c r="G214" s="10">
        <f t="shared" si="45"/>
        <v>52</v>
      </c>
      <c r="H214" s="140"/>
      <c r="I214" s="141">
        <f t="shared" si="44"/>
        <v>53.523809523809526</v>
      </c>
      <c r="K214" s="2">
        <f>+HLOOKUP($C214,'parametres articles'!$C$5:$G$25,5,FALSE)</f>
        <v>15</v>
      </c>
      <c r="L214" s="2">
        <f>+HLOOKUP($C214,'parametres articles'!$C$5:$G$25,21,FALSE)</f>
        <v>13</v>
      </c>
      <c r="M214" s="124">
        <f>+HLOOKUP($C214,'parametres articles'!$C$5:$G$25,7,FALSE)</f>
        <v>0.8</v>
      </c>
      <c r="N214" s="124">
        <f>+HLOOKUP($C214,'parametres articles'!$C$5:$G$25,6,FALSE)</f>
        <v>0.4</v>
      </c>
      <c r="O214" s="2">
        <f>+HLOOKUP($C214,'parametres articles'!$C$5:$G$25,8,FALSE)</f>
        <v>0</v>
      </c>
      <c r="P214" s="114">
        <f>IF(C214="E",'parametres articles'!$C$8,HLOOKUP($C214,'parametres articles'!$C$5:$F$25,4,FALSE))</f>
        <v>2.27</v>
      </c>
      <c r="Q214" s="114">
        <f t="shared" si="46"/>
        <v>2.27</v>
      </c>
      <c r="R214" s="2">
        <f t="shared" si="53"/>
        <v>13.62</v>
      </c>
      <c r="S214" s="2">
        <f t="shared" si="47"/>
        <v>24.515999999999998</v>
      </c>
      <c r="T214" s="2">
        <f t="shared" si="48"/>
        <v>58.565999999999995</v>
      </c>
      <c r="U214" s="2">
        <f t="shared" si="54"/>
        <v>72.185999999999993</v>
      </c>
      <c r="V214" s="2">
        <f t="shared" si="49"/>
        <v>24.515999999999998</v>
      </c>
      <c r="W214" s="2">
        <f t="shared" si="50"/>
        <v>34.049999999999997</v>
      </c>
      <c r="X214" s="2">
        <f t="shared" si="51"/>
        <v>13.62</v>
      </c>
      <c r="Y214" s="114">
        <f t="shared" si="52"/>
        <v>31.325999999999997</v>
      </c>
      <c r="AA214" s="11">
        <f t="shared" ca="1" si="57"/>
        <v>214</v>
      </c>
      <c r="AB214" s="11">
        <f ca="1">+AA214+'parametres articles'!$C$9-1</f>
        <v>228</v>
      </c>
      <c r="AC214" s="11">
        <f ca="1">+AA214+'parametres articles'!$C$24-1</f>
        <v>233</v>
      </c>
      <c r="AD214" s="11">
        <f ca="1">+IF(AE214&lt;='parametres articles'!$H$8,0,AA214-'parametres articles'!$H$8+1)</f>
        <v>210</v>
      </c>
      <c r="AE214" s="11">
        <v>210</v>
      </c>
      <c r="AF214" s="2" t="str">
        <f t="shared" ca="1" si="55"/>
        <v>F229</v>
      </c>
      <c r="AG214" s="172"/>
      <c r="AH214" s="2"/>
      <c r="AI214" s="2"/>
      <c r="AJ214" s="2"/>
      <c r="AK214" s="2"/>
      <c r="AL214" s="2"/>
    </row>
    <row r="215" spans="1:38" x14ac:dyDescent="0.25">
      <c r="A215" s="166">
        <v>42306</v>
      </c>
      <c r="B215" s="163">
        <v>5</v>
      </c>
      <c r="C215" s="160" t="s">
        <v>21</v>
      </c>
      <c r="D215" s="161">
        <f ca="1">+IF(AD215=0,P215,(SUM(INDIRECT(CONCATENATE("B",AD215,":B",AA215)))/'parametres articles'!$H$8))</f>
        <v>3.4</v>
      </c>
      <c r="E215" s="10">
        <f t="shared" si="56"/>
        <v>52</v>
      </c>
      <c r="F215" s="10"/>
      <c r="G215" s="10">
        <f t="shared" si="45"/>
        <v>47</v>
      </c>
      <c r="H215" s="140"/>
      <c r="I215" s="141">
        <f t="shared" si="44"/>
        <v>54.047619047619051</v>
      </c>
      <c r="K215" s="2">
        <f>+HLOOKUP($C215,'parametres articles'!$C$5:$G$25,5,FALSE)</f>
        <v>15</v>
      </c>
      <c r="L215" s="2">
        <f>+HLOOKUP($C215,'parametres articles'!$C$5:$G$25,21,FALSE)</f>
        <v>13</v>
      </c>
      <c r="M215" s="124">
        <f>+HLOOKUP($C215,'parametres articles'!$C$5:$G$25,7,FALSE)</f>
        <v>0.8</v>
      </c>
      <c r="N215" s="124">
        <f>+HLOOKUP($C215,'parametres articles'!$C$5:$G$25,6,FALSE)</f>
        <v>0.4</v>
      </c>
      <c r="O215" s="2">
        <f>+HLOOKUP($C215,'parametres articles'!$C$5:$G$25,8,FALSE)</f>
        <v>0</v>
      </c>
      <c r="P215" s="114">
        <f>IF(C215="E",'parametres articles'!$C$8,HLOOKUP($C215,'parametres articles'!$C$5:$F$25,4,FALSE))</f>
        <v>2.27</v>
      </c>
      <c r="Q215" s="114">
        <f t="shared" si="46"/>
        <v>2.27</v>
      </c>
      <c r="R215" s="2">
        <f t="shared" si="53"/>
        <v>13.62</v>
      </c>
      <c r="S215" s="2">
        <f t="shared" si="47"/>
        <v>24.515999999999998</v>
      </c>
      <c r="T215" s="2">
        <f t="shared" si="48"/>
        <v>58.565999999999995</v>
      </c>
      <c r="U215" s="2">
        <f t="shared" si="54"/>
        <v>72.185999999999993</v>
      </c>
      <c r="V215" s="2">
        <f t="shared" si="49"/>
        <v>24.515999999999998</v>
      </c>
      <c r="W215" s="2">
        <f t="shared" si="50"/>
        <v>34.049999999999997</v>
      </c>
      <c r="X215" s="2">
        <f t="shared" si="51"/>
        <v>13.62</v>
      </c>
      <c r="Y215" s="114">
        <f t="shared" si="52"/>
        <v>31.325999999999997</v>
      </c>
      <c r="AA215" s="11">
        <f t="shared" ca="1" si="57"/>
        <v>215</v>
      </c>
      <c r="AB215" s="11">
        <f ca="1">+AA215+'parametres articles'!$C$9-1</f>
        <v>229</v>
      </c>
      <c r="AC215" s="11">
        <f ca="1">+AA215+'parametres articles'!$C$24-1</f>
        <v>234</v>
      </c>
      <c r="AD215" s="11">
        <f ca="1">+IF(AE215&lt;='parametres articles'!$H$8,0,AA215-'parametres articles'!$H$8+1)</f>
        <v>211</v>
      </c>
      <c r="AE215" s="11">
        <v>211</v>
      </c>
      <c r="AF215" s="2" t="str">
        <f t="shared" ca="1" si="55"/>
        <v>F230</v>
      </c>
      <c r="AG215" s="172"/>
      <c r="AH215" s="2"/>
      <c r="AI215" s="2"/>
      <c r="AJ215" s="2"/>
      <c r="AK215" s="2"/>
      <c r="AL215" s="2"/>
    </row>
    <row r="216" spans="1:38" x14ac:dyDescent="0.25">
      <c r="A216" s="166">
        <v>42307</v>
      </c>
      <c r="C216" s="160" t="s">
        <v>21</v>
      </c>
      <c r="D216" s="161">
        <f ca="1">+IF(AD216=0,P216,(SUM(INDIRECT(CONCATENATE("B",AD216,":B",AA216)))/'parametres articles'!$H$8))</f>
        <v>2</v>
      </c>
      <c r="E216" s="10">
        <f t="shared" si="56"/>
        <v>47</v>
      </c>
      <c r="F216" s="10">
        <f>+VLOOKUP(A216,Feuil1!$K$3:$L$37,2,FALSE)</f>
        <v>5</v>
      </c>
      <c r="G216" s="10">
        <f t="shared" si="45"/>
        <v>52</v>
      </c>
      <c r="H216" s="140"/>
      <c r="I216" s="141">
        <f t="shared" si="44"/>
        <v>54.80952380952381</v>
      </c>
      <c r="K216" s="2">
        <f>+HLOOKUP($C216,'parametres articles'!$C$5:$G$25,5,FALSE)</f>
        <v>15</v>
      </c>
      <c r="L216" s="2">
        <f>+HLOOKUP($C216,'parametres articles'!$C$5:$G$25,21,FALSE)</f>
        <v>13</v>
      </c>
      <c r="M216" s="124">
        <f>+HLOOKUP($C216,'parametres articles'!$C$5:$G$25,7,FALSE)</f>
        <v>0.8</v>
      </c>
      <c r="N216" s="124">
        <f>+HLOOKUP($C216,'parametres articles'!$C$5:$G$25,6,FALSE)</f>
        <v>0.4</v>
      </c>
      <c r="O216" s="2">
        <f>+HLOOKUP($C216,'parametres articles'!$C$5:$G$25,8,FALSE)</f>
        <v>0</v>
      </c>
      <c r="P216" s="114">
        <f>IF(C216="E",'parametres articles'!$C$8,HLOOKUP($C216,'parametres articles'!$C$5:$F$25,4,FALSE))</f>
        <v>2.27</v>
      </c>
      <c r="Q216" s="114">
        <f t="shared" si="46"/>
        <v>2.27</v>
      </c>
      <c r="R216" s="2">
        <f t="shared" si="53"/>
        <v>13.62</v>
      </c>
      <c r="S216" s="2">
        <f t="shared" si="47"/>
        <v>24.515999999999998</v>
      </c>
      <c r="T216" s="2">
        <f t="shared" si="48"/>
        <v>58.565999999999995</v>
      </c>
      <c r="U216" s="2">
        <f t="shared" si="54"/>
        <v>72.185999999999993</v>
      </c>
      <c r="V216" s="2">
        <f t="shared" si="49"/>
        <v>24.515999999999998</v>
      </c>
      <c r="W216" s="2">
        <f t="shared" si="50"/>
        <v>34.049999999999997</v>
      </c>
      <c r="X216" s="2">
        <f t="shared" si="51"/>
        <v>13.62</v>
      </c>
      <c r="Y216" s="114">
        <f t="shared" si="52"/>
        <v>31.325999999999997</v>
      </c>
      <c r="AA216" s="11">
        <f t="shared" ca="1" si="57"/>
        <v>216</v>
      </c>
      <c r="AB216" s="11">
        <f ca="1">+AA216+'parametres articles'!$C$9-1</f>
        <v>230</v>
      </c>
      <c r="AC216" s="11">
        <f ca="1">+AA216+'parametres articles'!$C$24-1</f>
        <v>235</v>
      </c>
      <c r="AD216" s="11">
        <f ca="1">+IF(AE216&lt;='parametres articles'!$H$8,0,AA216-'parametres articles'!$H$8+1)</f>
        <v>212</v>
      </c>
      <c r="AE216" s="11">
        <v>212</v>
      </c>
      <c r="AF216" s="2" t="str">
        <f t="shared" ca="1" si="55"/>
        <v>F231</v>
      </c>
      <c r="AG216" s="172"/>
      <c r="AI216" s="2"/>
      <c r="AJ216" s="2"/>
      <c r="AK216" s="2"/>
      <c r="AL216" s="2"/>
    </row>
    <row r="217" spans="1:38" x14ac:dyDescent="0.25">
      <c r="A217" s="166">
        <v>42310</v>
      </c>
      <c r="C217" s="160" t="s">
        <v>21</v>
      </c>
      <c r="D217" s="161">
        <f ca="1">+IF(AD217=0,P217,(SUM(INDIRECT(CONCATENATE("B",AD217,":B",AA217)))/'parametres articles'!$H$8))</f>
        <v>1</v>
      </c>
      <c r="E217" s="10">
        <f t="shared" si="56"/>
        <v>52</v>
      </c>
      <c r="F217" s="10"/>
      <c r="G217" s="10">
        <f t="shared" si="45"/>
        <v>52</v>
      </c>
      <c r="H217" s="140"/>
      <c r="I217" s="141">
        <f t="shared" ref="I217" si="58">+AVERAGE(E197:E217)</f>
        <v>55.80952380952381</v>
      </c>
      <c r="K217" s="2">
        <f>+HLOOKUP($C217,'parametres articles'!$C$5:$G$25,5,FALSE)</f>
        <v>15</v>
      </c>
      <c r="L217" s="2">
        <f>+HLOOKUP($C217,'parametres articles'!$C$5:$G$25,21,FALSE)</f>
        <v>13</v>
      </c>
      <c r="M217" s="124">
        <f>+HLOOKUP($C217,'parametres articles'!$C$5:$G$25,7,FALSE)</f>
        <v>0.8</v>
      </c>
      <c r="N217" s="124">
        <f>+HLOOKUP($C217,'parametres articles'!$C$5:$G$25,6,FALSE)</f>
        <v>0.4</v>
      </c>
      <c r="O217" s="2">
        <f>+HLOOKUP($C217,'parametres articles'!$C$5:$G$25,8,FALSE)</f>
        <v>0</v>
      </c>
      <c r="P217" s="114">
        <f>IF(C217="E",'parametres articles'!$C$8,HLOOKUP($C217,'parametres articles'!$C$5:$F$25,4,FALSE))</f>
        <v>2.27</v>
      </c>
      <c r="Q217" s="114">
        <f t="shared" si="46"/>
        <v>2.27</v>
      </c>
      <c r="R217" s="2">
        <f t="shared" si="53"/>
        <v>13.62</v>
      </c>
      <c r="S217" s="2">
        <f t="shared" si="47"/>
        <v>24.515999999999998</v>
      </c>
      <c r="T217" s="2">
        <f t="shared" si="48"/>
        <v>58.565999999999995</v>
      </c>
      <c r="U217" s="2">
        <f t="shared" si="54"/>
        <v>72.185999999999993</v>
      </c>
      <c r="V217" s="2">
        <f t="shared" si="49"/>
        <v>24.515999999999998</v>
      </c>
      <c r="W217" s="2">
        <f t="shared" si="50"/>
        <v>34.049999999999997</v>
      </c>
      <c r="X217" s="2">
        <f t="shared" si="51"/>
        <v>13.62</v>
      </c>
      <c r="Y217" s="114">
        <f t="shared" si="52"/>
        <v>31.325999999999997</v>
      </c>
      <c r="AA217" s="11">
        <f t="shared" ca="1" si="57"/>
        <v>217</v>
      </c>
      <c r="AB217" s="11">
        <f ca="1">+AA217+'parametres articles'!$C$9-1</f>
        <v>231</v>
      </c>
      <c r="AC217" s="11">
        <f ca="1">+AA217+'parametres articles'!$C$24-1</f>
        <v>236</v>
      </c>
      <c r="AD217" s="11">
        <f ca="1">+IF(AE217&lt;='parametres articles'!$H$8,0,AA217-'parametres articles'!$H$8+1)</f>
        <v>213</v>
      </c>
      <c r="AE217" s="11">
        <v>213</v>
      </c>
      <c r="AF217" s="2" t="str">
        <f t="shared" ca="1" si="55"/>
        <v>F232</v>
      </c>
      <c r="AG217" s="172"/>
      <c r="AI217" s="2"/>
      <c r="AJ217" s="2"/>
      <c r="AK217" s="2"/>
      <c r="AL217" s="2"/>
    </row>
    <row r="218" spans="1:38" x14ac:dyDescent="0.25">
      <c r="A218" s="166">
        <v>42311</v>
      </c>
      <c r="B218" s="163">
        <v>9</v>
      </c>
      <c r="C218" s="160" t="s">
        <v>21</v>
      </c>
      <c r="D218" s="161">
        <f ca="1">+IF(AD218=0,P218,(SUM(INDIRECT(CONCATENATE("B",AD218,":B",AA218)))/'parametres articles'!$H$8))</f>
        <v>2.8</v>
      </c>
      <c r="E218" s="10">
        <f t="shared" si="56"/>
        <v>52</v>
      </c>
      <c r="F218" s="10"/>
      <c r="G218" s="10">
        <f t="shared" si="45"/>
        <v>43</v>
      </c>
      <c r="H218" s="140"/>
      <c r="I218" s="141">
        <f t="shared" ref="I218:I224" si="59">+AVERAGE(E198:E218)</f>
        <v>56.80952380952381</v>
      </c>
      <c r="K218" s="2">
        <f>+HLOOKUP($C218,'parametres articles'!$C$5:$G$25,5,FALSE)</f>
        <v>15</v>
      </c>
      <c r="L218" s="2">
        <f>+HLOOKUP($C218,'parametres articles'!$C$5:$G$25,21,FALSE)</f>
        <v>13</v>
      </c>
      <c r="M218" s="124">
        <f>+HLOOKUP($C218,'parametres articles'!$C$5:$G$25,7,FALSE)</f>
        <v>0.8</v>
      </c>
      <c r="N218" s="124">
        <f>+HLOOKUP($C218,'parametres articles'!$C$5:$G$25,6,FALSE)</f>
        <v>0.4</v>
      </c>
      <c r="O218" s="2">
        <f>+HLOOKUP($C218,'parametres articles'!$C$5:$G$25,8,FALSE)</f>
        <v>0</v>
      </c>
      <c r="P218" s="114">
        <f>IF(C218="E",'parametres articles'!$C$8,HLOOKUP($C218,'parametres articles'!$C$5:$F$25,4,FALSE))</f>
        <v>2.27</v>
      </c>
      <c r="Q218" s="114">
        <f t="shared" si="46"/>
        <v>2.27</v>
      </c>
      <c r="R218" s="2">
        <f t="shared" si="53"/>
        <v>13.62</v>
      </c>
      <c r="S218" s="2">
        <f t="shared" si="47"/>
        <v>24.515999999999998</v>
      </c>
      <c r="T218" s="2">
        <f t="shared" si="48"/>
        <v>58.565999999999995</v>
      </c>
      <c r="U218" s="2">
        <f t="shared" si="54"/>
        <v>72.185999999999993</v>
      </c>
      <c r="V218" s="2">
        <f t="shared" si="49"/>
        <v>24.515999999999998</v>
      </c>
      <c r="W218" s="2">
        <f t="shared" si="50"/>
        <v>34.049999999999997</v>
      </c>
      <c r="X218" s="2">
        <f t="shared" si="51"/>
        <v>13.62</v>
      </c>
      <c r="Y218" s="114">
        <f t="shared" si="52"/>
        <v>31.325999999999997</v>
      </c>
      <c r="AA218" s="11">
        <f t="shared" ca="1" si="57"/>
        <v>218</v>
      </c>
      <c r="AB218" s="11">
        <f ca="1">+AA218+'parametres articles'!$C$9-1</f>
        <v>232</v>
      </c>
      <c r="AC218" s="11">
        <f ca="1">+AA218+'parametres articles'!$C$24-1</f>
        <v>237</v>
      </c>
      <c r="AD218" s="11">
        <f ca="1">+IF(AE218&lt;='parametres articles'!$H$8,0,AA218-'parametres articles'!$H$8+1)</f>
        <v>214</v>
      </c>
      <c r="AE218" s="11">
        <v>214</v>
      </c>
      <c r="AF218" s="2" t="str">
        <f t="shared" ca="1" si="55"/>
        <v>F233</v>
      </c>
      <c r="AG218" s="172"/>
      <c r="AI218" s="2"/>
      <c r="AJ218" s="2"/>
      <c r="AK218" s="2"/>
      <c r="AL218" s="2"/>
    </row>
    <row r="219" spans="1:38" x14ac:dyDescent="0.25">
      <c r="A219" s="166">
        <v>42312</v>
      </c>
      <c r="B219" s="163">
        <v>2</v>
      </c>
      <c r="C219" s="160" t="s">
        <v>21</v>
      </c>
      <c r="D219" s="161">
        <f ca="1">+IF(AD219=0,P219,(SUM(INDIRECT(CONCATENATE("B",AD219,":B",AA219)))/'parametres articles'!$H$8))</f>
        <v>3.2</v>
      </c>
      <c r="E219" s="10">
        <f t="shared" si="56"/>
        <v>43</v>
      </c>
      <c r="F219" s="10"/>
      <c r="G219" s="10">
        <f t="shared" si="45"/>
        <v>41</v>
      </c>
      <c r="H219" s="140"/>
      <c r="I219" s="141">
        <f t="shared" si="59"/>
        <v>57.142857142857146</v>
      </c>
      <c r="K219" s="2">
        <f>+HLOOKUP($C219,'parametres articles'!$C$5:$G$25,5,FALSE)</f>
        <v>15</v>
      </c>
      <c r="L219" s="2">
        <f>+HLOOKUP($C219,'parametres articles'!$C$5:$G$25,21,FALSE)</f>
        <v>13</v>
      </c>
      <c r="M219" s="124">
        <f>+HLOOKUP($C219,'parametres articles'!$C$5:$G$25,7,FALSE)</f>
        <v>0.8</v>
      </c>
      <c r="N219" s="124">
        <f>+HLOOKUP($C219,'parametres articles'!$C$5:$G$25,6,FALSE)</f>
        <v>0.4</v>
      </c>
      <c r="O219" s="2">
        <f>+HLOOKUP($C219,'parametres articles'!$C$5:$G$25,8,FALSE)</f>
        <v>0</v>
      </c>
      <c r="P219" s="114">
        <f>IF(C219="E",'parametres articles'!$C$8,HLOOKUP($C219,'parametres articles'!$C$5:$F$25,4,FALSE))</f>
        <v>2.27</v>
      </c>
      <c r="Q219" s="114">
        <f t="shared" si="46"/>
        <v>2.27</v>
      </c>
      <c r="R219" s="2">
        <f t="shared" si="53"/>
        <v>13.62</v>
      </c>
      <c r="S219" s="2">
        <f t="shared" si="47"/>
        <v>24.515999999999998</v>
      </c>
      <c r="T219" s="2">
        <f t="shared" si="48"/>
        <v>58.565999999999995</v>
      </c>
      <c r="U219" s="2">
        <f t="shared" si="54"/>
        <v>72.185999999999993</v>
      </c>
      <c r="V219" s="2">
        <f t="shared" si="49"/>
        <v>24.515999999999998</v>
      </c>
      <c r="W219" s="2">
        <f t="shared" si="50"/>
        <v>34.049999999999997</v>
      </c>
      <c r="X219" s="2">
        <f t="shared" si="51"/>
        <v>13.62</v>
      </c>
      <c r="Y219" s="114">
        <f t="shared" si="52"/>
        <v>31.325999999999997</v>
      </c>
      <c r="AA219" s="11">
        <f t="shared" ca="1" si="57"/>
        <v>219</v>
      </c>
      <c r="AB219" s="11">
        <f ca="1">+AA219+'parametres articles'!$C$9-1</f>
        <v>233</v>
      </c>
      <c r="AC219" s="11">
        <f ca="1">+AA219+'parametres articles'!$C$24-1</f>
        <v>238</v>
      </c>
      <c r="AD219" s="11">
        <f ca="1">+IF(AE219&lt;='parametres articles'!$H$8,0,AA219-'parametres articles'!$H$8+1)</f>
        <v>215</v>
      </c>
      <c r="AE219" s="11">
        <v>215</v>
      </c>
      <c r="AF219" s="2" t="str">
        <f t="shared" ca="1" si="55"/>
        <v>F234</v>
      </c>
      <c r="AG219" s="172"/>
      <c r="AI219" s="2"/>
      <c r="AJ219" s="2"/>
      <c r="AK219" s="2"/>
      <c r="AL219" s="2"/>
    </row>
    <row r="220" spans="1:38" x14ac:dyDescent="0.25">
      <c r="A220" s="166">
        <v>42313</v>
      </c>
      <c r="C220" s="160" t="s">
        <v>21</v>
      </c>
      <c r="D220" s="161">
        <f ca="1">+IF(AD220=0,P220,(SUM(INDIRECT(CONCATENATE("B",AD220,":B",AA220)))/'parametres articles'!$H$8))</f>
        <v>2.2000000000000002</v>
      </c>
      <c r="E220" s="10">
        <f t="shared" si="56"/>
        <v>41</v>
      </c>
      <c r="F220" s="10"/>
      <c r="G220" s="10">
        <f t="shared" si="45"/>
        <v>41</v>
      </c>
      <c r="H220" s="140"/>
      <c r="I220" s="141">
        <f t="shared" si="59"/>
        <v>57.38095238095238</v>
      </c>
      <c r="K220" s="2">
        <f>+HLOOKUP($C220,'parametres articles'!$C$5:$G$25,5,FALSE)</f>
        <v>15</v>
      </c>
      <c r="L220" s="2">
        <f>+HLOOKUP($C220,'parametres articles'!$C$5:$G$25,21,FALSE)</f>
        <v>13</v>
      </c>
      <c r="M220" s="124">
        <f>+HLOOKUP($C220,'parametres articles'!$C$5:$G$25,7,FALSE)</f>
        <v>0.8</v>
      </c>
      <c r="N220" s="124">
        <f>+HLOOKUP($C220,'parametres articles'!$C$5:$G$25,6,FALSE)</f>
        <v>0.4</v>
      </c>
      <c r="O220" s="2">
        <f>+HLOOKUP($C220,'parametres articles'!$C$5:$G$25,8,FALSE)</f>
        <v>0</v>
      </c>
      <c r="P220" s="114">
        <f>IF(C220="E",'parametres articles'!$C$8,HLOOKUP($C220,'parametres articles'!$C$5:$F$25,4,FALSE))</f>
        <v>2.27</v>
      </c>
      <c r="Q220" s="114">
        <f t="shared" si="46"/>
        <v>2.27</v>
      </c>
      <c r="R220" s="2">
        <f t="shared" si="53"/>
        <v>13.62</v>
      </c>
      <c r="S220" s="2">
        <f t="shared" si="47"/>
        <v>24.515999999999998</v>
      </c>
      <c r="T220" s="2">
        <f t="shared" si="48"/>
        <v>58.565999999999995</v>
      </c>
      <c r="U220" s="2">
        <f t="shared" si="54"/>
        <v>72.185999999999993</v>
      </c>
      <c r="V220" s="2">
        <f t="shared" si="49"/>
        <v>24.515999999999998</v>
      </c>
      <c r="W220" s="2">
        <f t="shared" si="50"/>
        <v>34.049999999999997</v>
      </c>
      <c r="X220" s="2">
        <f t="shared" si="51"/>
        <v>13.62</v>
      </c>
      <c r="Y220" s="114">
        <f t="shared" si="52"/>
        <v>31.325999999999997</v>
      </c>
      <c r="AA220" s="11">
        <f t="shared" ca="1" si="57"/>
        <v>220</v>
      </c>
      <c r="AB220" s="11">
        <f ca="1">+AA220+'parametres articles'!$C$9-1</f>
        <v>234</v>
      </c>
      <c r="AC220" s="11">
        <f ca="1">+AA220+'parametres articles'!$C$24-1</f>
        <v>239</v>
      </c>
      <c r="AD220" s="11">
        <f ca="1">+IF(AE220&lt;='parametres articles'!$H$8,0,AA220-'parametres articles'!$H$8+1)</f>
        <v>216</v>
      </c>
      <c r="AE220" s="11">
        <v>216</v>
      </c>
      <c r="AF220" s="2" t="str">
        <f t="shared" ca="1" si="55"/>
        <v>F235</v>
      </c>
      <c r="AG220" s="172"/>
      <c r="AH220" s="2"/>
      <c r="AI220" s="2"/>
      <c r="AJ220" s="2"/>
      <c r="AK220" s="2"/>
      <c r="AL220" s="2"/>
    </row>
    <row r="221" spans="1:38" x14ac:dyDescent="0.25">
      <c r="A221" s="166">
        <v>42314</v>
      </c>
      <c r="C221" s="160" t="s">
        <v>21</v>
      </c>
      <c r="D221" s="161">
        <f ca="1">+IF(AD221=0,P221,(SUM(INDIRECT(CONCATENATE("B",AD221,":B",AA221)))/'parametres articles'!$H$8))</f>
        <v>2.2000000000000002</v>
      </c>
      <c r="E221" s="10">
        <f t="shared" si="56"/>
        <v>41</v>
      </c>
      <c r="F221" s="10"/>
      <c r="G221" s="10">
        <f t="shared" si="45"/>
        <v>41</v>
      </c>
      <c r="H221" s="140"/>
      <c r="I221" s="141">
        <f t="shared" si="59"/>
        <v>57.61904761904762</v>
      </c>
      <c r="K221" s="2">
        <f>+HLOOKUP($C221,'parametres articles'!$C$5:$G$25,5,FALSE)</f>
        <v>15</v>
      </c>
      <c r="L221" s="2">
        <f>+HLOOKUP($C221,'parametres articles'!$C$5:$G$25,21,FALSE)</f>
        <v>13</v>
      </c>
      <c r="M221" s="124">
        <f>+HLOOKUP($C221,'parametres articles'!$C$5:$G$25,7,FALSE)</f>
        <v>0.8</v>
      </c>
      <c r="N221" s="124">
        <f>+HLOOKUP($C221,'parametres articles'!$C$5:$G$25,6,FALSE)</f>
        <v>0.4</v>
      </c>
      <c r="O221" s="2">
        <f>+HLOOKUP($C221,'parametres articles'!$C$5:$G$25,8,FALSE)</f>
        <v>0</v>
      </c>
      <c r="P221" s="114">
        <f>IF(C221="E",'parametres articles'!$C$8,HLOOKUP($C221,'parametres articles'!$C$5:$F$25,4,FALSE))</f>
        <v>2.27</v>
      </c>
      <c r="Q221" s="114">
        <f t="shared" si="46"/>
        <v>2.27</v>
      </c>
      <c r="R221" s="2">
        <f t="shared" si="53"/>
        <v>13.62</v>
      </c>
      <c r="S221" s="2">
        <f t="shared" si="47"/>
        <v>24.515999999999998</v>
      </c>
      <c r="T221" s="2">
        <f t="shared" si="48"/>
        <v>58.565999999999995</v>
      </c>
      <c r="U221" s="2">
        <f t="shared" si="54"/>
        <v>72.185999999999993</v>
      </c>
      <c r="V221" s="2">
        <f t="shared" si="49"/>
        <v>24.515999999999998</v>
      </c>
      <c r="W221" s="2">
        <f t="shared" si="50"/>
        <v>34.049999999999997</v>
      </c>
      <c r="X221" s="2">
        <f t="shared" si="51"/>
        <v>13.62</v>
      </c>
      <c r="Y221" s="114">
        <f t="shared" si="52"/>
        <v>31.325999999999997</v>
      </c>
      <c r="AA221" s="11">
        <f t="shared" ca="1" si="57"/>
        <v>221</v>
      </c>
      <c r="AB221" s="11">
        <f ca="1">+AA221+'parametres articles'!$C$9-1</f>
        <v>235</v>
      </c>
      <c r="AC221" s="11">
        <f ca="1">+AA221+'parametres articles'!$C$24-1</f>
        <v>240</v>
      </c>
      <c r="AD221" s="11">
        <f ca="1">+IF(AE221&lt;='parametres articles'!$H$8,0,AA221-'parametres articles'!$H$8+1)</f>
        <v>217</v>
      </c>
      <c r="AE221" s="11">
        <v>217</v>
      </c>
      <c r="AF221" s="2" t="str">
        <f t="shared" ca="1" si="55"/>
        <v>F236</v>
      </c>
      <c r="AG221" s="172"/>
      <c r="AH221" s="2"/>
      <c r="AI221" s="2"/>
      <c r="AJ221" s="2"/>
      <c r="AK221" s="2"/>
      <c r="AL221" s="2"/>
    </row>
    <row r="222" spans="1:38" x14ac:dyDescent="0.25">
      <c r="A222" s="166">
        <v>42317</v>
      </c>
      <c r="C222" s="160" t="s">
        <v>21</v>
      </c>
      <c r="D222" s="161">
        <f ca="1">+IF(AD222=0,P222,(SUM(INDIRECT(CONCATENATE("B",AD222,":B",AA222)))/'parametres articles'!$H$8))</f>
        <v>2.2000000000000002</v>
      </c>
      <c r="E222" s="10">
        <f t="shared" si="56"/>
        <v>41</v>
      </c>
      <c r="F222" s="10"/>
      <c r="G222" s="10">
        <f t="shared" si="45"/>
        <v>41</v>
      </c>
      <c r="H222" s="140"/>
      <c r="I222" s="141">
        <f t="shared" si="59"/>
        <v>57.857142857142854</v>
      </c>
      <c r="K222" s="2">
        <f>+HLOOKUP($C222,'parametres articles'!$C$5:$G$25,5,FALSE)</f>
        <v>15</v>
      </c>
      <c r="L222" s="2">
        <f>+HLOOKUP($C222,'parametres articles'!$C$5:$G$25,21,FALSE)</f>
        <v>13</v>
      </c>
      <c r="M222" s="124">
        <f>+HLOOKUP($C222,'parametres articles'!$C$5:$G$25,7,FALSE)</f>
        <v>0.8</v>
      </c>
      <c r="N222" s="124">
        <f>+HLOOKUP($C222,'parametres articles'!$C$5:$G$25,6,FALSE)</f>
        <v>0.4</v>
      </c>
      <c r="O222" s="2">
        <f>+HLOOKUP($C222,'parametres articles'!$C$5:$G$25,8,FALSE)</f>
        <v>0</v>
      </c>
      <c r="P222" s="114">
        <f>IF(C222="E",'parametres articles'!$C$8,HLOOKUP($C222,'parametres articles'!$C$5:$F$25,4,FALSE))</f>
        <v>2.27</v>
      </c>
      <c r="Q222" s="114">
        <f t="shared" si="46"/>
        <v>2.27</v>
      </c>
      <c r="R222" s="2">
        <f t="shared" si="53"/>
        <v>13.62</v>
      </c>
      <c r="S222" s="2">
        <f t="shared" si="47"/>
        <v>24.515999999999998</v>
      </c>
      <c r="T222" s="2">
        <f t="shared" si="48"/>
        <v>58.565999999999995</v>
      </c>
      <c r="U222" s="2">
        <f t="shared" si="54"/>
        <v>72.185999999999993</v>
      </c>
      <c r="V222" s="2">
        <f t="shared" si="49"/>
        <v>24.515999999999998</v>
      </c>
      <c r="W222" s="2">
        <f t="shared" si="50"/>
        <v>34.049999999999997</v>
      </c>
      <c r="X222" s="2">
        <f t="shared" si="51"/>
        <v>13.62</v>
      </c>
      <c r="Y222" s="114">
        <f t="shared" si="52"/>
        <v>31.325999999999997</v>
      </c>
      <c r="AA222" s="11">
        <f t="shared" ca="1" si="57"/>
        <v>222</v>
      </c>
      <c r="AB222" s="11">
        <f ca="1">+AA222+'parametres articles'!$C$9-1</f>
        <v>236</v>
      </c>
      <c r="AC222" s="11">
        <f ca="1">+AA222+'parametres articles'!$C$24-1</f>
        <v>241</v>
      </c>
      <c r="AD222" s="11">
        <f ca="1">+IF(AE222&lt;='parametres articles'!$H$8,0,AA222-'parametres articles'!$H$8+1)</f>
        <v>218</v>
      </c>
      <c r="AE222" s="11">
        <v>218</v>
      </c>
      <c r="AF222" s="2" t="str">
        <f t="shared" ca="1" si="55"/>
        <v>F237</v>
      </c>
      <c r="AG222" s="172"/>
      <c r="AH222" s="2"/>
      <c r="AI222" s="2"/>
      <c r="AJ222" s="2"/>
      <c r="AK222" s="2"/>
      <c r="AL222" s="2"/>
    </row>
    <row r="223" spans="1:38" x14ac:dyDescent="0.25">
      <c r="A223" s="166">
        <v>42318</v>
      </c>
      <c r="B223" s="163">
        <v>7</v>
      </c>
      <c r="C223" s="160" t="s">
        <v>21</v>
      </c>
      <c r="D223" s="161">
        <f ca="1">+IF(AD223=0,P223,(SUM(INDIRECT(CONCATENATE("B",AD223,":B",AA223)))/'parametres articles'!$H$8))</f>
        <v>1.8</v>
      </c>
      <c r="E223" s="10">
        <f t="shared" si="56"/>
        <v>41</v>
      </c>
      <c r="F223" s="10"/>
      <c r="G223" s="10">
        <f t="shared" si="45"/>
        <v>34</v>
      </c>
      <c r="H223" s="140"/>
      <c r="I223" s="141">
        <f t="shared" si="59"/>
        <v>56.333333333333336</v>
      </c>
      <c r="K223" s="2">
        <f>+HLOOKUP($C223,'parametres articles'!$C$5:$G$25,5,FALSE)</f>
        <v>15</v>
      </c>
      <c r="L223" s="2">
        <f>+HLOOKUP($C223,'parametres articles'!$C$5:$G$25,21,FALSE)</f>
        <v>13</v>
      </c>
      <c r="M223" s="124">
        <f>+HLOOKUP($C223,'parametres articles'!$C$5:$G$25,7,FALSE)</f>
        <v>0.8</v>
      </c>
      <c r="N223" s="124">
        <f>+HLOOKUP($C223,'parametres articles'!$C$5:$G$25,6,FALSE)</f>
        <v>0.4</v>
      </c>
      <c r="O223" s="2">
        <f>+HLOOKUP($C223,'parametres articles'!$C$5:$G$25,8,FALSE)</f>
        <v>0</v>
      </c>
      <c r="P223" s="114">
        <f>IF(C223="E",'parametres articles'!$C$8,HLOOKUP($C223,'parametres articles'!$C$5:$F$25,4,FALSE))</f>
        <v>2.27</v>
      </c>
      <c r="Q223" s="114">
        <f t="shared" si="46"/>
        <v>2.27</v>
      </c>
      <c r="R223" s="2">
        <f t="shared" si="53"/>
        <v>13.62</v>
      </c>
      <c r="S223" s="2">
        <f t="shared" si="47"/>
        <v>24.515999999999998</v>
      </c>
      <c r="T223" s="2">
        <f t="shared" si="48"/>
        <v>58.565999999999995</v>
      </c>
      <c r="U223" s="2">
        <f t="shared" si="54"/>
        <v>72.185999999999993</v>
      </c>
      <c r="V223" s="2">
        <f t="shared" si="49"/>
        <v>24.515999999999998</v>
      </c>
      <c r="W223" s="2">
        <f t="shared" si="50"/>
        <v>34.049999999999997</v>
      </c>
      <c r="X223" s="2">
        <f t="shared" si="51"/>
        <v>13.62</v>
      </c>
      <c r="Y223" s="114">
        <f t="shared" si="52"/>
        <v>31.325999999999997</v>
      </c>
      <c r="AA223" s="11">
        <f t="shared" ca="1" si="57"/>
        <v>223</v>
      </c>
      <c r="AB223" s="11">
        <f ca="1">+AA223+'parametres articles'!$C$9-1</f>
        <v>237</v>
      </c>
      <c r="AC223" s="11">
        <f ca="1">+AA223+'parametres articles'!$C$24-1</f>
        <v>242</v>
      </c>
      <c r="AD223" s="11">
        <f ca="1">+IF(AE223&lt;='parametres articles'!$H$8,0,AA223-'parametres articles'!$H$8+1)</f>
        <v>219</v>
      </c>
      <c r="AE223" s="11">
        <v>219</v>
      </c>
      <c r="AF223" s="2" t="str">
        <f t="shared" ca="1" si="55"/>
        <v>F238</v>
      </c>
      <c r="AG223" s="172"/>
      <c r="AH223" s="2"/>
      <c r="AI223" s="2"/>
      <c r="AJ223" s="2"/>
      <c r="AK223" s="2"/>
      <c r="AL223" s="2"/>
    </row>
    <row r="224" spans="1:38" ht="15.75" thickBot="1" x14ac:dyDescent="0.3">
      <c r="A224" s="166">
        <v>42319</v>
      </c>
      <c r="C224" s="160" t="s">
        <v>21</v>
      </c>
      <c r="D224" s="162">
        <f ca="1">+IF(AD224=0,P224,(SUM(INDIRECT(CONCATENATE("B",AD224,":B",AA224)))/'parametres articles'!$H$8))</f>
        <v>1.4</v>
      </c>
      <c r="E224" s="10">
        <f t="shared" si="56"/>
        <v>34</v>
      </c>
      <c r="F224" s="10"/>
      <c r="G224" s="10">
        <f t="shared" si="45"/>
        <v>34</v>
      </c>
      <c r="H224" s="142"/>
      <c r="I224" s="143">
        <f t="shared" si="59"/>
        <v>54.476190476190474</v>
      </c>
      <c r="K224" s="2">
        <f>+HLOOKUP($C224,'parametres articles'!$C$5:$G$25,5,FALSE)</f>
        <v>15</v>
      </c>
      <c r="L224" s="2">
        <f>+HLOOKUP($C224,'parametres articles'!$C$5:$G$25,21,FALSE)</f>
        <v>13</v>
      </c>
      <c r="M224" s="124">
        <f>+HLOOKUP($C224,'parametres articles'!$C$5:$G$25,7,FALSE)</f>
        <v>0.8</v>
      </c>
      <c r="N224" s="124">
        <f>+HLOOKUP($C224,'parametres articles'!$C$5:$G$25,6,FALSE)</f>
        <v>0.4</v>
      </c>
      <c r="O224" s="2">
        <f>+HLOOKUP($C224,'parametres articles'!$C$5:$G$25,8,FALSE)</f>
        <v>0</v>
      </c>
      <c r="P224" s="114">
        <f>IF(C224="E",'parametres articles'!$C$8,HLOOKUP($C224,'parametres articles'!$C$5:$F$25,4,FALSE))</f>
        <v>2.27</v>
      </c>
      <c r="Q224" s="114">
        <f t="shared" si="46"/>
        <v>2.27</v>
      </c>
      <c r="R224" s="2">
        <f t="shared" si="53"/>
        <v>13.62</v>
      </c>
      <c r="S224" s="2">
        <f t="shared" si="47"/>
        <v>24.515999999999998</v>
      </c>
      <c r="T224" s="2">
        <f t="shared" si="48"/>
        <v>58.565999999999995</v>
      </c>
      <c r="U224" s="2">
        <f t="shared" si="54"/>
        <v>72.185999999999993</v>
      </c>
      <c r="V224" s="2">
        <f t="shared" si="49"/>
        <v>24.515999999999998</v>
      </c>
      <c r="W224" s="2">
        <f t="shared" si="50"/>
        <v>34.049999999999997</v>
      </c>
      <c r="X224" s="2">
        <f t="shared" si="51"/>
        <v>13.62</v>
      </c>
      <c r="Y224" s="114">
        <f t="shared" si="52"/>
        <v>31.325999999999997</v>
      </c>
      <c r="AA224" s="11">
        <f t="shared" ca="1" si="57"/>
        <v>224</v>
      </c>
      <c r="AB224" s="11">
        <f ca="1">+AA224+'parametres articles'!$C$9-1</f>
        <v>238</v>
      </c>
      <c r="AC224" s="11">
        <f ca="1">+AA224+'parametres articles'!$C$24-1</f>
        <v>243</v>
      </c>
      <c r="AD224" s="11">
        <f ca="1">+IF(AE224&lt;='parametres articles'!$H$8,0,AA224-'parametres articles'!$H$8+1)</f>
        <v>220</v>
      </c>
      <c r="AE224" s="11">
        <v>220</v>
      </c>
      <c r="AF224" s="2" t="str">
        <f t="shared" ca="1" si="55"/>
        <v>F239</v>
      </c>
      <c r="AG224" s="172"/>
      <c r="AH224" s="2"/>
      <c r="AI224" s="2"/>
      <c r="AJ224" s="2"/>
      <c r="AK224" s="2"/>
      <c r="AL224" s="2"/>
    </row>
    <row r="225" spans="1:38" ht="15.75" thickBot="1" x14ac:dyDescent="0.3">
      <c r="A225" s="166">
        <v>42320</v>
      </c>
      <c r="B225" s="163">
        <v>2</v>
      </c>
      <c r="C225" s="160" t="s">
        <v>21</v>
      </c>
      <c r="D225" s="162">
        <f ca="1">+IF(AD225=0,P225,(SUM(INDIRECT(CONCATENATE("B",AD225,":B",AA225)))/'parametres articles'!$H$8))</f>
        <v>1.8</v>
      </c>
      <c r="E225" s="10">
        <f t="shared" si="56"/>
        <v>34</v>
      </c>
      <c r="F225" s="10"/>
      <c r="G225" s="10">
        <f t="shared" si="45"/>
        <v>32</v>
      </c>
      <c r="H225" s="142"/>
      <c r="I225" s="143">
        <f t="shared" ref="I225:I260" si="60">+AVERAGE(E205:E225)</f>
        <v>52.61904761904762</v>
      </c>
      <c r="K225" s="2">
        <f>+HLOOKUP($C225,'parametres articles'!$C$5:$G$25,5,FALSE)</f>
        <v>15</v>
      </c>
      <c r="L225" s="2">
        <f>+HLOOKUP($C225,'parametres articles'!$C$5:$G$25,21,FALSE)</f>
        <v>13</v>
      </c>
      <c r="M225" s="124">
        <f>+HLOOKUP($C225,'parametres articles'!$C$5:$G$25,7,FALSE)</f>
        <v>0.8</v>
      </c>
      <c r="N225" s="124">
        <f>+HLOOKUP($C225,'parametres articles'!$C$5:$G$25,6,FALSE)</f>
        <v>0.4</v>
      </c>
      <c r="O225" s="2">
        <f>+HLOOKUP($C225,'parametres articles'!$C$5:$G$25,8,FALSE)</f>
        <v>0</v>
      </c>
      <c r="P225" s="114">
        <f>IF(C225="E",'parametres articles'!$C$8,HLOOKUP($C225,'parametres articles'!$C$5:$F$25,4,FALSE))</f>
        <v>2.27</v>
      </c>
      <c r="Q225" s="114">
        <f t="shared" si="46"/>
        <v>2.27</v>
      </c>
      <c r="R225" s="2">
        <f t="shared" ref="R225:R260" si="61">+Q225*K225*N225</f>
        <v>13.62</v>
      </c>
      <c r="S225" s="2">
        <f t="shared" ref="S225:S260" si="62">(Q225*K225*N225)*(1+M225)</f>
        <v>24.515999999999998</v>
      </c>
      <c r="T225" s="2">
        <f t="shared" ref="T225:T260" si="63">+S225+Q225*K225</f>
        <v>58.565999999999995</v>
      </c>
      <c r="U225" s="2">
        <f t="shared" ref="U225:U260" si="64">+T225+X225</f>
        <v>72.185999999999993</v>
      </c>
      <c r="V225" s="2">
        <f t="shared" ref="V225:V260" si="65">+(Q225*K225*N225)*(1+M225)</f>
        <v>24.515999999999998</v>
      </c>
      <c r="W225" s="2">
        <f t="shared" ref="W225:W260" si="66">+Q225*K225</f>
        <v>34.049999999999997</v>
      </c>
      <c r="X225" s="2">
        <f t="shared" ref="X225:X260" si="67">+IF(O225&gt;K225*Q225*N225,O225,K225*Q225*N225)</f>
        <v>13.62</v>
      </c>
      <c r="Y225" s="114">
        <f t="shared" ref="Y225:Y260" si="68">+V225+X225/2</f>
        <v>31.325999999999997</v>
      </c>
      <c r="AA225" s="11">
        <f t="shared" ca="1" si="57"/>
        <v>225</v>
      </c>
      <c r="AB225" s="11">
        <f ca="1">+AA225+'parametres articles'!$C$9-1</f>
        <v>239</v>
      </c>
      <c r="AC225" s="11">
        <f ca="1">+AA225+'parametres articles'!$C$24-1</f>
        <v>244</v>
      </c>
      <c r="AD225" s="11">
        <f ca="1">+IF(AE225&lt;='parametres articles'!$H$8,0,AA225-'parametres articles'!$H$8+1)</f>
        <v>221</v>
      </c>
      <c r="AE225" s="11">
        <v>221</v>
      </c>
      <c r="AF225" s="2" t="str">
        <f t="shared" ref="AF225:AF260" ca="1" si="69">CONCATENATE("F",AA225+K224)</f>
        <v>F240</v>
      </c>
      <c r="AG225" s="172"/>
      <c r="AH225" s="2"/>
      <c r="AI225" s="2"/>
      <c r="AJ225" s="2"/>
      <c r="AK225" s="2"/>
      <c r="AL225" s="2"/>
    </row>
    <row r="226" spans="1:38" ht="15.75" thickBot="1" x14ac:dyDescent="0.3">
      <c r="A226" s="166">
        <v>42321</v>
      </c>
      <c r="C226" s="160" t="s">
        <v>21</v>
      </c>
      <c r="D226" s="162">
        <f ca="1">+IF(AD226=0,P226,(SUM(INDIRECT(CONCATENATE("B",AD226,":B",AA226)))/'parametres articles'!$H$8))</f>
        <v>1.8</v>
      </c>
      <c r="E226" s="10">
        <f t="shared" si="56"/>
        <v>32</v>
      </c>
      <c r="F226" s="10">
        <f>+VLOOKUP(A226,Feuil1!$K$3:$L$37,2,FALSE)</f>
        <v>15</v>
      </c>
      <c r="G226" s="10">
        <f t="shared" si="45"/>
        <v>47</v>
      </c>
      <c r="H226" s="142"/>
      <c r="I226" s="143">
        <f t="shared" si="60"/>
        <v>50.904761904761905</v>
      </c>
      <c r="K226" s="2">
        <f>+HLOOKUP($C226,'parametres articles'!$C$5:$G$25,5,FALSE)</f>
        <v>15</v>
      </c>
      <c r="L226" s="2">
        <f>+HLOOKUP($C226,'parametres articles'!$C$5:$G$25,21,FALSE)</f>
        <v>13</v>
      </c>
      <c r="M226" s="124">
        <f>+HLOOKUP($C226,'parametres articles'!$C$5:$G$25,7,FALSE)</f>
        <v>0.8</v>
      </c>
      <c r="N226" s="124">
        <f>+HLOOKUP($C226,'parametres articles'!$C$5:$G$25,6,FALSE)</f>
        <v>0.4</v>
      </c>
      <c r="O226" s="2">
        <f>+HLOOKUP($C226,'parametres articles'!$C$5:$G$25,8,FALSE)</f>
        <v>0</v>
      </c>
      <c r="P226" s="114">
        <f>IF(C226="E",'parametres articles'!$C$8,HLOOKUP($C226,'parametres articles'!$C$5:$F$25,4,FALSE))</f>
        <v>2.27</v>
      </c>
      <c r="Q226" s="114">
        <f t="shared" si="46"/>
        <v>2.27</v>
      </c>
      <c r="R226" s="2">
        <f t="shared" si="61"/>
        <v>13.62</v>
      </c>
      <c r="S226" s="2">
        <f t="shared" si="62"/>
        <v>24.515999999999998</v>
      </c>
      <c r="T226" s="2">
        <f t="shared" si="63"/>
        <v>58.565999999999995</v>
      </c>
      <c r="U226" s="2">
        <f t="shared" si="64"/>
        <v>72.185999999999993</v>
      </c>
      <c r="V226" s="2">
        <f t="shared" si="65"/>
        <v>24.515999999999998</v>
      </c>
      <c r="W226" s="2">
        <f t="shared" si="66"/>
        <v>34.049999999999997</v>
      </c>
      <c r="X226" s="2">
        <f t="shared" si="67"/>
        <v>13.62</v>
      </c>
      <c r="Y226" s="114">
        <f t="shared" si="68"/>
        <v>31.325999999999997</v>
      </c>
      <c r="AA226" s="11">
        <f t="shared" ca="1" si="57"/>
        <v>226</v>
      </c>
      <c r="AB226" s="11">
        <f ca="1">+AA226+'parametres articles'!$C$9-1</f>
        <v>240</v>
      </c>
      <c r="AC226" s="11">
        <f ca="1">+AA226+'parametres articles'!$C$24-1</f>
        <v>245</v>
      </c>
      <c r="AD226" s="11">
        <f ca="1">+IF(AE226&lt;='parametres articles'!$H$8,0,AA226-'parametres articles'!$H$8+1)</f>
        <v>222</v>
      </c>
      <c r="AE226" s="11">
        <v>222</v>
      </c>
      <c r="AF226" s="2" t="str">
        <f t="shared" ca="1" si="69"/>
        <v>F241</v>
      </c>
      <c r="AG226" s="172"/>
      <c r="AH226" s="2"/>
      <c r="AI226" s="2"/>
      <c r="AJ226" s="2"/>
      <c r="AK226" s="2"/>
      <c r="AL226" s="2"/>
    </row>
    <row r="227" spans="1:38" ht="15.75" thickBot="1" x14ac:dyDescent="0.3">
      <c r="A227" s="166">
        <v>42324</v>
      </c>
      <c r="B227" s="163">
        <v>9</v>
      </c>
      <c r="C227" s="160" t="s">
        <v>21</v>
      </c>
      <c r="D227" s="162">
        <f ca="1">+IF(AD227=0,P227,(SUM(INDIRECT(CONCATENATE("B",AD227,":B",AA227)))/'parametres articles'!$H$8))</f>
        <v>3.6</v>
      </c>
      <c r="E227" s="10">
        <f t="shared" si="56"/>
        <v>47</v>
      </c>
      <c r="F227" s="10"/>
      <c r="G227" s="10">
        <f t="shared" si="45"/>
        <v>38</v>
      </c>
      <c r="H227" s="142"/>
      <c r="I227" s="143">
        <f t="shared" si="60"/>
        <v>49.904761904761905</v>
      </c>
      <c r="K227" s="2">
        <f>+HLOOKUP($C227,'parametres articles'!$C$5:$G$25,5,FALSE)</f>
        <v>15</v>
      </c>
      <c r="L227" s="2">
        <f>+HLOOKUP($C227,'parametres articles'!$C$5:$G$25,21,FALSE)</f>
        <v>13</v>
      </c>
      <c r="M227" s="124">
        <f>+HLOOKUP($C227,'parametres articles'!$C$5:$G$25,7,FALSE)</f>
        <v>0.8</v>
      </c>
      <c r="N227" s="124">
        <f>+HLOOKUP($C227,'parametres articles'!$C$5:$G$25,6,FALSE)</f>
        <v>0.4</v>
      </c>
      <c r="O227" s="2">
        <f>+HLOOKUP($C227,'parametres articles'!$C$5:$G$25,8,FALSE)</f>
        <v>0</v>
      </c>
      <c r="P227" s="114">
        <f>IF(C227="E",'parametres articles'!$C$8,HLOOKUP($C227,'parametres articles'!$C$5:$F$25,4,FALSE))</f>
        <v>2.27</v>
      </c>
      <c r="Q227" s="114">
        <f t="shared" si="46"/>
        <v>2.27</v>
      </c>
      <c r="R227" s="2">
        <f t="shared" si="61"/>
        <v>13.62</v>
      </c>
      <c r="S227" s="2">
        <f t="shared" si="62"/>
        <v>24.515999999999998</v>
      </c>
      <c r="T227" s="2">
        <f t="shared" si="63"/>
        <v>58.565999999999995</v>
      </c>
      <c r="U227" s="2">
        <f t="shared" si="64"/>
        <v>72.185999999999993</v>
      </c>
      <c r="V227" s="2">
        <f t="shared" si="65"/>
        <v>24.515999999999998</v>
      </c>
      <c r="W227" s="2">
        <f t="shared" si="66"/>
        <v>34.049999999999997</v>
      </c>
      <c r="X227" s="2">
        <f t="shared" si="67"/>
        <v>13.62</v>
      </c>
      <c r="Y227" s="114">
        <f t="shared" si="68"/>
        <v>31.325999999999997</v>
      </c>
      <c r="AA227" s="11">
        <f t="shared" ca="1" si="57"/>
        <v>227</v>
      </c>
      <c r="AB227" s="11">
        <f ca="1">+AA227+'parametres articles'!$C$9-1</f>
        <v>241</v>
      </c>
      <c r="AC227" s="11">
        <f ca="1">+AA227+'parametres articles'!$C$24-1</f>
        <v>246</v>
      </c>
      <c r="AD227" s="11">
        <f ca="1">+IF(AE227&lt;='parametres articles'!$H$8,0,AA227-'parametres articles'!$H$8+1)</f>
        <v>223</v>
      </c>
      <c r="AE227" s="11">
        <v>223</v>
      </c>
      <c r="AF227" s="2" t="str">
        <f t="shared" ca="1" si="69"/>
        <v>F242</v>
      </c>
      <c r="AG227" s="172"/>
      <c r="AH227" s="168"/>
      <c r="AI227" s="2"/>
      <c r="AJ227" s="2"/>
      <c r="AK227" s="2"/>
      <c r="AL227" s="2"/>
    </row>
    <row r="228" spans="1:38" ht="15.75" thickBot="1" x14ac:dyDescent="0.3">
      <c r="A228" s="166">
        <v>42325</v>
      </c>
      <c r="B228" s="163">
        <v>6</v>
      </c>
      <c r="C228" s="160" t="s">
        <v>21</v>
      </c>
      <c r="D228" s="162">
        <f ca="1">+IF(AD228=0,P228,(SUM(INDIRECT(CONCATENATE("B",AD228,":B",AA228)))/'parametres articles'!$H$8))</f>
        <v>3.4</v>
      </c>
      <c r="E228" s="10">
        <f t="shared" si="56"/>
        <v>38</v>
      </c>
      <c r="F228" s="10"/>
      <c r="G228" s="10">
        <f t="shared" si="45"/>
        <v>32</v>
      </c>
      <c r="H228" s="142"/>
      <c r="I228" s="143">
        <f t="shared" si="60"/>
        <v>47.80952380952381</v>
      </c>
      <c r="K228" s="2">
        <f>+HLOOKUP($C228,'parametres articles'!$C$5:$G$25,5,FALSE)</f>
        <v>15</v>
      </c>
      <c r="L228" s="2">
        <f>+HLOOKUP($C228,'parametres articles'!$C$5:$G$25,21,FALSE)</f>
        <v>13</v>
      </c>
      <c r="M228" s="124">
        <f>+HLOOKUP($C228,'parametres articles'!$C$5:$G$25,7,FALSE)</f>
        <v>0.8</v>
      </c>
      <c r="N228" s="124">
        <f>+HLOOKUP($C228,'parametres articles'!$C$5:$G$25,6,FALSE)</f>
        <v>0.4</v>
      </c>
      <c r="O228" s="2">
        <f>+HLOOKUP($C228,'parametres articles'!$C$5:$G$25,8,FALSE)</f>
        <v>0</v>
      </c>
      <c r="P228" s="114">
        <f>IF(C228="E",'parametres articles'!$C$8,HLOOKUP($C228,'parametres articles'!$C$5:$F$25,4,FALSE))</f>
        <v>2.27</v>
      </c>
      <c r="Q228" s="114">
        <f t="shared" si="46"/>
        <v>2.27</v>
      </c>
      <c r="R228" s="2">
        <f t="shared" si="61"/>
        <v>13.62</v>
      </c>
      <c r="S228" s="2">
        <f t="shared" si="62"/>
        <v>24.515999999999998</v>
      </c>
      <c r="T228" s="2">
        <f t="shared" si="63"/>
        <v>58.565999999999995</v>
      </c>
      <c r="U228" s="2">
        <f t="shared" si="64"/>
        <v>72.185999999999993</v>
      </c>
      <c r="V228" s="2">
        <f t="shared" si="65"/>
        <v>24.515999999999998</v>
      </c>
      <c r="W228" s="2">
        <f t="shared" si="66"/>
        <v>34.049999999999997</v>
      </c>
      <c r="X228" s="2">
        <f t="shared" si="67"/>
        <v>13.62</v>
      </c>
      <c r="Y228" s="114">
        <f t="shared" si="68"/>
        <v>31.325999999999997</v>
      </c>
      <c r="AA228" s="11">
        <f t="shared" ca="1" si="57"/>
        <v>228</v>
      </c>
      <c r="AB228" s="11">
        <f ca="1">+AA228+'parametres articles'!$C$9-1</f>
        <v>242</v>
      </c>
      <c r="AC228" s="11">
        <f ca="1">+AA228+'parametres articles'!$C$24-1</f>
        <v>247</v>
      </c>
      <c r="AD228" s="11">
        <f ca="1">+IF(AE228&lt;='parametres articles'!$H$8,0,AA228-'parametres articles'!$H$8+1)</f>
        <v>224</v>
      </c>
      <c r="AE228" s="11">
        <v>224</v>
      </c>
      <c r="AF228" s="2" t="str">
        <f t="shared" ca="1" si="69"/>
        <v>F243</v>
      </c>
      <c r="AG228" s="172"/>
      <c r="AH228" s="168"/>
      <c r="AI228" s="2"/>
      <c r="AJ228" s="2"/>
      <c r="AK228" s="2"/>
      <c r="AL228" s="2"/>
    </row>
    <row r="229" spans="1:38" ht="15.75" thickBot="1" x14ac:dyDescent="0.3">
      <c r="A229" s="166">
        <v>42326</v>
      </c>
      <c r="C229" s="160" t="s">
        <v>21</v>
      </c>
      <c r="D229" s="162">
        <f ca="1">+IF(AD229=0,P229,(SUM(INDIRECT(CONCATENATE("B",AD229,":B",AA229)))/'parametres articles'!$H$8))</f>
        <v>3.4</v>
      </c>
      <c r="E229" s="10">
        <f t="shared" si="56"/>
        <v>32</v>
      </c>
      <c r="F229" s="10"/>
      <c r="G229" s="10">
        <f t="shared" si="45"/>
        <v>32</v>
      </c>
      <c r="H229" s="142"/>
      <c r="I229" s="143">
        <f t="shared" si="60"/>
        <v>45.428571428571431</v>
      </c>
      <c r="K229" s="2">
        <f>+HLOOKUP($C229,'parametres articles'!$C$5:$G$25,5,FALSE)</f>
        <v>15</v>
      </c>
      <c r="L229" s="2">
        <f>+HLOOKUP($C229,'parametres articles'!$C$5:$G$25,21,FALSE)</f>
        <v>13</v>
      </c>
      <c r="M229" s="124">
        <f>+HLOOKUP($C229,'parametres articles'!$C$5:$G$25,7,FALSE)</f>
        <v>0.8</v>
      </c>
      <c r="N229" s="124">
        <f>+HLOOKUP($C229,'parametres articles'!$C$5:$G$25,6,FALSE)</f>
        <v>0.4</v>
      </c>
      <c r="O229" s="2">
        <f>+HLOOKUP($C229,'parametres articles'!$C$5:$G$25,8,FALSE)</f>
        <v>0</v>
      </c>
      <c r="P229" s="114">
        <f>IF(C229="E",'parametres articles'!$C$8,HLOOKUP($C229,'parametres articles'!$C$5:$F$25,4,FALSE))</f>
        <v>2.27</v>
      </c>
      <c r="Q229" s="114">
        <f t="shared" si="46"/>
        <v>2.27</v>
      </c>
      <c r="R229" s="2">
        <f t="shared" si="61"/>
        <v>13.62</v>
      </c>
      <c r="S229" s="2">
        <f t="shared" si="62"/>
        <v>24.515999999999998</v>
      </c>
      <c r="T229" s="2">
        <f t="shared" si="63"/>
        <v>58.565999999999995</v>
      </c>
      <c r="U229" s="2">
        <f t="shared" si="64"/>
        <v>72.185999999999993</v>
      </c>
      <c r="V229" s="2">
        <f t="shared" si="65"/>
        <v>24.515999999999998</v>
      </c>
      <c r="W229" s="2">
        <f t="shared" si="66"/>
        <v>34.049999999999997</v>
      </c>
      <c r="X229" s="2">
        <f t="shared" si="67"/>
        <v>13.62</v>
      </c>
      <c r="Y229" s="114">
        <f t="shared" si="68"/>
        <v>31.325999999999997</v>
      </c>
      <c r="AA229" s="11">
        <f t="shared" ca="1" si="57"/>
        <v>229</v>
      </c>
      <c r="AB229" s="11">
        <f ca="1">+AA229+'parametres articles'!$C$9-1</f>
        <v>243</v>
      </c>
      <c r="AC229" s="11">
        <f ca="1">+AA229+'parametres articles'!$C$24-1</f>
        <v>248</v>
      </c>
      <c r="AD229" s="11">
        <f ca="1">+IF(AE229&lt;='parametres articles'!$H$8,0,AA229-'parametres articles'!$H$8+1)</f>
        <v>225</v>
      </c>
      <c r="AE229" s="11">
        <v>225</v>
      </c>
      <c r="AF229" s="2" t="str">
        <f t="shared" ca="1" si="69"/>
        <v>F244</v>
      </c>
      <c r="AG229" s="172"/>
      <c r="AH229" s="168"/>
      <c r="AI229" s="2"/>
      <c r="AJ229" s="2"/>
      <c r="AK229" s="2"/>
      <c r="AL229" s="2"/>
    </row>
    <row r="230" spans="1:38" ht="15.75" thickBot="1" x14ac:dyDescent="0.3">
      <c r="A230" s="166">
        <v>42327</v>
      </c>
      <c r="B230" s="163">
        <v>1</v>
      </c>
      <c r="C230" s="160" t="s">
        <v>21</v>
      </c>
      <c r="D230" s="162">
        <f ca="1">+IF(AD230=0,P230,(SUM(INDIRECT(CONCATENATE("B",AD230,":B",AA230)))/'parametres articles'!$H$8))</f>
        <v>3.2</v>
      </c>
      <c r="E230" s="10">
        <f t="shared" si="56"/>
        <v>32</v>
      </c>
      <c r="F230" s="10"/>
      <c r="G230" s="10">
        <f t="shared" si="45"/>
        <v>31</v>
      </c>
      <c r="H230" s="142"/>
      <c r="I230" s="143">
        <f t="shared" si="60"/>
        <v>43.142857142857146</v>
      </c>
      <c r="K230" s="2">
        <f>+HLOOKUP($C230,'parametres articles'!$C$5:$G$25,5,FALSE)</f>
        <v>15</v>
      </c>
      <c r="L230" s="2">
        <f>+HLOOKUP($C230,'parametres articles'!$C$5:$G$25,21,FALSE)</f>
        <v>13</v>
      </c>
      <c r="M230" s="124">
        <f>+HLOOKUP($C230,'parametres articles'!$C$5:$G$25,7,FALSE)</f>
        <v>0.8</v>
      </c>
      <c r="N230" s="124">
        <f>+HLOOKUP($C230,'parametres articles'!$C$5:$G$25,6,FALSE)</f>
        <v>0.4</v>
      </c>
      <c r="O230" s="2">
        <f>+HLOOKUP($C230,'parametres articles'!$C$5:$G$25,8,FALSE)</f>
        <v>0</v>
      </c>
      <c r="P230" s="114">
        <f>IF(C230="E",'parametres articles'!$C$8,HLOOKUP($C230,'parametres articles'!$C$5:$F$25,4,FALSE))</f>
        <v>2.27</v>
      </c>
      <c r="Q230" s="114">
        <f t="shared" si="46"/>
        <v>2.27</v>
      </c>
      <c r="R230" s="2">
        <f t="shared" si="61"/>
        <v>13.62</v>
      </c>
      <c r="S230" s="2">
        <f t="shared" si="62"/>
        <v>24.515999999999998</v>
      </c>
      <c r="T230" s="2">
        <f t="shared" si="63"/>
        <v>58.565999999999995</v>
      </c>
      <c r="U230" s="2">
        <f t="shared" si="64"/>
        <v>72.185999999999993</v>
      </c>
      <c r="V230" s="2">
        <f t="shared" si="65"/>
        <v>24.515999999999998</v>
      </c>
      <c r="W230" s="2">
        <f t="shared" si="66"/>
        <v>34.049999999999997</v>
      </c>
      <c r="X230" s="2">
        <f t="shared" si="67"/>
        <v>13.62</v>
      </c>
      <c r="Y230" s="114">
        <f t="shared" si="68"/>
        <v>31.325999999999997</v>
      </c>
      <c r="AA230" s="11">
        <f t="shared" ca="1" si="57"/>
        <v>230</v>
      </c>
      <c r="AB230" s="11">
        <f ca="1">+AA230+'parametres articles'!$C$9-1</f>
        <v>244</v>
      </c>
      <c r="AC230" s="11">
        <f ca="1">+AA230+'parametres articles'!$C$24-1</f>
        <v>249</v>
      </c>
      <c r="AD230" s="11">
        <f ca="1">+IF(AE230&lt;='parametres articles'!$H$8,0,AA230-'parametres articles'!$H$8+1)</f>
        <v>226</v>
      </c>
      <c r="AE230" s="11">
        <v>226</v>
      </c>
      <c r="AF230" s="2" t="str">
        <f t="shared" ca="1" si="69"/>
        <v>F245</v>
      </c>
      <c r="AG230" s="172"/>
      <c r="AH230" s="168"/>
      <c r="AI230" s="2"/>
      <c r="AJ230" s="2"/>
      <c r="AK230" s="2"/>
      <c r="AL230" s="2"/>
    </row>
    <row r="231" spans="1:38" ht="15.75" thickBot="1" x14ac:dyDescent="0.3">
      <c r="A231" s="166">
        <v>42328</v>
      </c>
      <c r="B231" s="163">
        <v>6</v>
      </c>
      <c r="C231" s="160" t="s">
        <v>21</v>
      </c>
      <c r="D231" s="162">
        <f ca="1">+IF(AD231=0,P231,(SUM(INDIRECT(CONCATENATE("B",AD231,":B",AA231)))/'parametres articles'!$H$8))</f>
        <v>4.4000000000000004</v>
      </c>
      <c r="E231" s="10">
        <f t="shared" si="56"/>
        <v>31</v>
      </c>
      <c r="F231" s="10">
        <f>+VLOOKUP(A231,Feuil1!$K$3:$L$37,2,FALSE)</f>
        <v>19</v>
      </c>
      <c r="G231" s="10">
        <f t="shared" si="45"/>
        <v>44</v>
      </c>
      <c r="H231" s="142"/>
      <c r="I231" s="143">
        <f t="shared" si="60"/>
        <v>42.238095238095241</v>
      </c>
      <c r="K231" s="2">
        <f>+HLOOKUP($C231,'parametres articles'!$C$5:$G$25,5,FALSE)</f>
        <v>15</v>
      </c>
      <c r="L231" s="2">
        <f>+HLOOKUP($C231,'parametres articles'!$C$5:$G$25,21,FALSE)</f>
        <v>13</v>
      </c>
      <c r="M231" s="124">
        <f>+HLOOKUP($C231,'parametres articles'!$C$5:$G$25,7,FALSE)</f>
        <v>0.8</v>
      </c>
      <c r="N231" s="124">
        <f>+HLOOKUP($C231,'parametres articles'!$C$5:$G$25,6,FALSE)</f>
        <v>0.4</v>
      </c>
      <c r="O231" s="2">
        <f>+HLOOKUP($C231,'parametres articles'!$C$5:$G$25,8,FALSE)</f>
        <v>0</v>
      </c>
      <c r="P231" s="114">
        <f>IF(C231="E",'parametres articles'!$C$8,HLOOKUP($C231,'parametres articles'!$C$5:$F$25,4,FALSE))</f>
        <v>2.27</v>
      </c>
      <c r="Q231" s="114">
        <f t="shared" si="46"/>
        <v>2.27</v>
      </c>
      <c r="R231" s="2">
        <f t="shared" si="61"/>
        <v>13.62</v>
      </c>
      <c r="S231" s="2">
        <f t="shared" si="62"/>
        <v>24.515999999999998</v>
      </c>
      <c r="T231" s="2">
        <f t="shared" si="63"/>
        <v>58.565999999999995</v>
      </c>
      <c r="U231" s="2">
        <f t="shared" si="64"/>
        <v>72.185999999999993</v>
      </c>
      <c r="V231" s="2">
        <f t="shared" si="65"/>
        <v>24.515999999999998</v>
      </c>
      <c r="W231" s="2">
        <f t="shared" si="66"/>
        <v>34.049999999999997</v>
      </c>
      <c r="X231" s="2">
        <f t="shared" si="67"/>
        <v>13.62</v>
      </c>
      <c r="Y231" s="114">
        <f t="shared" si="68"/>
        <v>31.325999999999997</v>
      </c>
      <c r="AA231" s="11">
        <f t="shared" ca="1" si="57"/>
        <v>231</v>
      </c>
      <c r="AB231" s="11">
        <f ca="1">+AA231+'parametres articles'!$C$9-1</f>
        <v>245</v>
      </c>
      <c r="AC231" s="11">
        <f ca="1">+AA231+'parametres articles'!$C$24-1</f>
        <v>250</v>
      </c>
      <c r="AD231" s="11">
        <f ca="1">+IF(AE231&lt;='parametres articles'!$H$8,0,AA231-'parametres articles'!$H$8+1)</f>
        <v>227</v>
      </c>
      <c r="AE231" s="11">
        <v>227</v>
      </c>
      <c r="AF231" s="2" t="str">
        <f t="shared" ca="1" si="69"/>
        <v>F246</v>
      </c>
      <c r="AG231" s="172"/>
      <c r="AH231" s="2"/>
      <c r="AI231" s="2"/>
      <c r="AJ231" s="2"/>
      <c r="AK231" s="2"/>
      <c r="AL231" s="2"/>
    </row>
    <row r="232" spans="1:38" ht="15.75" thickBot="1" x14ac:dyDescent="0.3">
      <c r="A232" s="166">
        <v>42331</v>
      </c>
      <c r="C232" s="160" t="s">
        <v>21</v>
      </c>
      <c r="D232" s="162">
        <f ca="1">+IF(AD232=0,P232,(SUM(INDIRECT(CONCATENATE("B",AD232,":B",AA232)))/'parametres articles'!$H$8))</f>
        <v>2.6</v>
      </c>
      <c r="E232" s="10">
        <f t="shared" si="56"/>
        <v>44</v>
      </c>
      <c r="F232" s="10"/>
      <c r="G232" s="10">
        <f t="shared" si="45"/>
        <v>44</v>
      </c>
      <c r="H232" s="142"/>
      <c r="I232" s="143">
        <f t="shared" si="60"/>
        <v>41.952380952380949</v>
      </c>
      <c r="K232" s="2">
        <f>+HLOOKUP($C232,'parametres articles'!$C$5:$G$25,5,FALSE)</f>
        <v>15</v>
      </c>
      <c r="L232" s="2">
        <f>+HLOOKUP($C232,'parametres articles'!$C$5:$G$25,21,FALSE)</f>
        <v>13</v>
      </c>
      <c r="M232" s="124">
        <f>+HLOOKUP($C232,'parametres articles'!$C$5:$G$25,7,FALSE)</f>
        <v>0.8</v>
      </c>
      <c r="N232" s="124">
        <f>+HLOOKUP($C232,'parametres articles'!$C$5:$G$25,6,FALSE)</f>
        <v>0.4</v>
      </c>
      <c r="O232" s="2">
        <f>+HLOOKUP($C232,'parametres articles'!$C$5:$G$25,8,FALSE)</f>
        <v>0</v>
      </c>
      <c r="P232" s="114">
        <f>IF(C232="E",'parametres articles'!$C$8,HLOOKUP($C232,'parametres articles'!$C$5:$F$25,4,FALSE))</f>
        <v>2.27</v>
      </c>
      <c r="Q232" s="114">
        <f t="shared" si="46"/>
        <v>2.27</v>
      </c>
      <c r="R232" s="2">
        <f t="shared" si="61"/>
        <v>13.62</v>
      </c>
      <c r="S232" s="2">
        <f t="shared" si="62"/>
        <v>24.515999999999998</v>
      </c>
      <c r="T232" s="2">
        <f t="shared" si="63"/>
        <v>58.565999999999995</v>
      </c>
      <c r="U232" s="2">
        <f t="shared" si="64"/>
        <v>72.185999999999993</v>
      </c>
      <c r="V232" s="2">
        <f t="shared" si="65"/>
        <v>24.515999999999998</v>
      </c>
      <c r="W232" s="2">
        <f t="shared" si="66"/>
        <v>34.049999999999997</v>
      </c>
      <c r="X232" s="2">
        <f t="shared" si="67"/>
        <v>13.62</v>
      </c>
      <c r="Y232" s="114">
        <f t="shared" si="68"/>
        <v>31.325999999999997</v>
      </c>
      <c r="AA232" s="11">
        <f t="shared" ca="1" si="57"/>
        <v>232</v>
      </c>
      <c r="AB232" s="11">
        <f ca="1">+AA232+'parametres articles'!$C$9-1</f>
        <v>246</v>
      </c>
      <c r="AC232" s="11">
        <f ca="1">+AA232+'parametres articles'!$C$24-1</f>
        <v>251</v>
      </c>
      <c r="AD232" s="11">
        <f ca="1">+IF(AE232&lt;='parametres articles'!$H$8,0,AA232-'parametres articles'!$H$8+1)</f>
        <v>228</v>
      </c>
      <c r="AE232" s="11">
        <v>228</v>
      </c>
      <c r="AF232" s="2" t="str">
        <f t="shared" ca="1" si="69"/>
        <v>F247</v>
      </c>
      <c r="AG232" s="172"/>
      <c r="AH232" s="2"/>
      <c r="AI232" s="2"/>
      <c r="AJ232" s="2"/>
      <c r="AK232" s="2"/>
      <c r="AL232" s="2"/>
    </row>
    <row r="233" spans="1:38" ht="15.75" thickBot="1" x14ac:dyDescent="0.3">
      <c r="A233" s="166">
        <v>42332</v>
      </c>
      <c r="B233" s="163">
        <v>2</v>
      </c>
      <c r="C233" s="160" t="s">
        <v>21</v>
      </c>
      <c r="D233" s="162">
        <f ca="1">+IF(AD233=0,P233,(SUM(INDIRECT(CONCATENATE("B",AD233,":B",AA233)))/'parametres articles'!$H$8))</f>
        <v>1.8</v>
      </c>
      <c r="E233" s="10">
        <f t="shared" si="56"/>
        <v>44</v>
      </c>
      <c r="F233" s="10"/>
      <c r="G233" s="10">
        <f t="shared" si="45"/>
        <v>42</v>
      </c>
      <c r="H233" s="142"/>
      <c r="I233" s="143">
        <f t="shared" si="60"/>
        <v>42</v>
      </c>
      <c r="K233" s="2">
        <f>+HLOOKUP($C233,'parametres articles'!$C$5:$G$25,5,FALSE)</f>
        <v>15</v>
      </c>
      <c r="L233" s="2">
        <f>+HLOOKUP($C233,'parametres articles'!$C$5:$G$25,21,FALSE)</f>
        <v>13</v>
      </c>
      <c r="M233" s="124">
        <f>+HLOOKUP($C233,'parametres articles'!$C$5:$G$25,7,FALSE)</f>
        <v>0.8</v>
      </c>
      <c r="N233" s="124">
        <f>+HLOOKUP($C233,'parametres articles'!$C$5:$G$25,6,FALSE)</f>
        <v>0.4</v>
      </c>
      <c r="O233" s="2">
        <f>+HLOOKUP($C233,'parametres articles'!$C$5:$G$25,8,FALSE)</f>
        <v>0</v>
      </c>
      <c r="P233" s="114">
        <f>IF(C233="E",'parametres articles'!$C$8,HLOOKUP($C233,'parametres articles'!$C$5:$F$25,4,FALSE))</f>
        <v>2.27</v>
      </c>
      <c r="Q233" s="114">
        <f t="shared" si="46"/>
        <v>2.27</v>
      </c>
      <c r="R233" s="2">
        <f t="shared" si="61"/>
        <v>13.62</v>
      </c>
      <c r="S233" s="2">
        <f t="shared" si="62"/>
        <v>24.515999999999998</v>
      </c>
      <c r="T233" s="2">
        <f t="shared" si="63"/>
        <v>58.565999999999995</v>
      </c>
      <c r="U233" s="2">
        <f t="shared" si="64"/>
        <v>72.185999999999993</v>
      </c>
      <c r="V233" s="2">
        <f t="shared" si="65"/>
        <v>24.515999999999998</v>
      </c>
      <c r="W233" s="2">
        <f t="shared" si="66"/>
        <v>34.049999999999997</v>
      </c>
      <c r="X233" s="2">
        <f t="shared" si="67"/>
        <v>13.62</v>
      </c>
      <c r="Y233" s="114">
        <f t="shared" si="68"/>
        <v>31.325999999999997</v>
      </c>
      <c r="AA233" s="11">
        <f t="shared" ca="1" si="57"/>
        <v>233</v>
      </c>
      <c r="AB233" s="11">
        <f ca="1">+AA233+'parametres articles'!$C$9-1</f>
        <v>247</v>
      </c>
      <c r="AC233" s="11">
        <f ca="1">+AA233+'parametres articles'!$C$24-1</f>
        <v>252</v>
      </c>
      <c r="AD233" s="11">
        <f ca="1">+IF(AE233&lt;='parametres articles'!$H$8,0,AA233-'parametres articles'!$H$8+1)</f>
        <v>229</v>
      </c>
      <c r="AE233" s="11">
        <v>229</v>
      </c>
      <c r="AF233" s="2" t="str">
        <f t="shared" ca="1" si="69"/>
        <v>F248</v>
      </c>
      <c r="AG233" s="172"/>
      <c r="AH233" s="2"/>
      <c r="AI233" s="2"/>
      <c r="AJ233" s="2"/>
      <c r="AK233" s="2"/>
      <c r="AL233" s="2"/>
    </row>
    <row r="234" spans="1:38" ht="15.75" thickBot="1" x14ac:dyDescent="0.3">
      <c r="A234" s="166">
        <v>42333</v>
      </c>
      <c r="C234" s="160" t="s">
        <v>21</v>
      </c>
      <c r="D234" s="162">
        <f ca="1">+IF(AD234=0,P234,(SUM(INDIRECT(CONCATENATE("B",AD234,":B",AA234)))/'parametres articles'!$H$8))</f>
        <v>1.8</v>
      </c>
      <c r="E234" s="10">
        <f t="shared" si="56"/>
        <v>28</v>
      </c>
      <c r="F234" s="10"/>
      <c r="G234" s="10">
        <f t="shared" si="45"/>
        <v>28</v>
      </c>
      <c r="H234" s="142"/>
      <c r="I234" s="143">
        <f t="shared" si="60"/>
        <v>40.857142857142854</v>
      </c>
      <c r="K234" s="2">
        <f>+HLOOKUP($C234,'parametres articles'!$C$5:$G$25,5,FALSE)</f>
        <v>15</v>
      </c>
      <c r="L234" s="2">
        <f>+HLOOKUP($C234,'parametres articles'!$C$5:$G$25,21,FALSE)</f>
        <v>13</v>
      </c>
      <c r="M234" s="124">
        <f>+HLOOKUP($C234,'parametres articles'!$C$5:$G$25,7,FALSE)</f>
        <v>0.8</v>
      </c>
      <c r="N234" s="124">
        <f>+HLOOKUP($C234,'parametres articles'!$C$5:$G$25,6,FALSE)</f>
        <v>0.4</v>
      </c>
      <c r="O234" s="2">
        <f>+HLOOKUP($C234,'parametres articles'!$C$5:$G$25,8,FALSE)</f>
        <v>0</v>
      </c>
      <c r="P234" s="114">
        <f>IF(C234="E",'parametres articles'!$C$8,HLOOKUP($C234,'parametres articles'!$C$5:$F$25,4,FALSE))</f>
        <v>2.27</v>
      </c>
      <c r="Q234" s="114">
        <f t="shared" si="46"/>
        <v>2.27</v>
      </c>
      <c r="R234" s="2">
        <f t="shared" si="61"/>
        <v>13.62</v>
      </c>
      <c r="S234" s="2">
        <f t="shared" si="62"/>
        <v>24.515999999999998</v>
      </c>
      <c r="T234" s="2">
        <f t="shared" si="63"/>
        <v>58.565999999999995</v>
      </c>
      <c r="U234" s="2">
        <f t="shared" si="64"/>
        <v>72.185999999999993</v>
      </c>
      <c r="V234" s="2">
        <f t="shared" si="65"/>
        <v>24.515999999999998</v>
      </c>
      <c r="W234" s="2">
        <f t="shared" si="66"/>
        <v>34.049999999999997</v>
      </c>
      <c r="X234" s="2">
        <f t="shared" si="67"/>
        <v>13.62</v>
      </c>
      <c r="Y234" s="114">
        <f t="shared" si="68"/>
        <v>31.325999999999997</v>
      </c>
      <c r="AA234" s="11">
        <f t="shared" ca="1" si="57"/>
        <v>234</v>
      </c>
      <c r="AB234" s="11">
        <f ca="1">+AA234+'parametres articles'!$C$9-1</f>
        <v>248</v>
      </c>
      <c r="AC234" s="11">
        <f ca="1">+AA234+'parametres articles'!$C$24-1</f>
        <v>253</v>
      </c>
      <c r="AD234" s="11">
        <f ca="1">+IF(AE234&lt;='parametres articles'!$H$8,0,AA234-'parametres articles'!$H$8+1)</f>
        <v>230</v>
      </c>
      <c r="AE234" s="11">
        <v>230</v>
      </c>
      <c r="AF234" s="2" t="str">
        <f t="shared" ca="1" si="69"/>
        <v>F249</v>
      </c>
      <c r="AG234" s="172">
        <v>-14</v>
      </c>
      <c r="AH234" s="2"/>
      <c r="AI234" s="2"/>
      <c r="AJ234" s="2"/>
      <c r="AK234" s="2"/>
      <c r="AL234" s="2"/>
    </row>
    <row r="235" spans="1:38" ht="15.75" thickBot="1" x14ac:dyDescent="0.3">
      <c r="A235" s="166">
        <v>42334</v>
      </c>
      <c r="C235" s="160" t="s">
        <v>21</v>
      </c>
      <c r="D235" s="162">
        <f ca="1">+IF(AD235=0,P235,(SUM(INDIRECT(CONCATENATE("B",AD235,":B",AA235)))/'parametres articles'!$H$8))</f>
        <v>1.6</v>
      </c>
      <c r="E235" s="10">
        <f t="shared" si="56"/>
        <v>28</v>
      </c>
      <c r="F235" s="10"/>
      <c r="G235" s="10">
        <f t="shared" si="45"/>
        <v>28</v>
      </c>
      <c r="H235" s="142"/>
      <c r="I235" s="143">
        <f t="shared" si="60"/>
        <v>39.714285714285715</v>
      </c>
      <c r="K235" s="2">
        <f>+HLOOKUP($C235,'parametres articles'!$C$5:$G$25,5,FALSE)</f>
        <v>15</v>
      </c>
      <c r="L235" s="2">
        <f>+HLOOKUP($C235,'parametres articles'!$C$5:$G$25,21,FALSE)</f>
        <v>13</v>
      </c>
      <c r="M235" s="124">
        <f>+HLOOKUP($C235,'parametres articles'!$C$5:$G$25,7,FALSE)</f>
        <v>0.8</v>
      </c>
      <c r="N235" s="124">
        <f>+HLOOKUP($C235,'parametres articles'!$C$5:$G$25,6,FALSE)</f>
        <v>0.4</v>
      </c>
      <c r="O235" s="2">
        <f>+HLOOKUP($C235,'parametres articles'!$C$5:$G$25,8,FALSE)</f>
        <v>0</v>
      </c>
      <c r="P235" s="114">
        <f>IF(C235="E",'parametres articles'!$C$8,HLOOKUP($C235,'parametres articles'!$C$5:$F$25,4,FALSE))</f>
        <v>2.27</v>
      </c>
      <c r="Q235" s="114">
        <f t="shared" si="46"/>
        <v>2.27</v>
      </c>
      <c r="R235" s="2">
        <f t="shared" si="61"/>
        <v>13.62</v>
      </c>
      <c r="S235" s="2">
        <f t="shared" si="62"/>
        <v>24.515999999999998</v>
      </c>
      <c r="T235" s="2">
        <f t="shared" si="63"/>
        <v>58.565999999999995</v>
      </c>
      <c r="U235" s="2">
        <f t="shared" si="64"/>
        <v>72.185999999999993</v>
      </c>
      <c r="V235" s="2">
        <f t="shared" si="65"/>
        <v>24.515999999999998</v>
      </c>
      <c r="W235" s="2">
        <f t="shared" si="66"/>
        <v>34.049999999999997</v>
      </c>
      <c r="X235" s="2">
        <f t="shared" si="67"/>
        <v>13.62</v>
      </c>
      <c r="Y235" s="114">
        <f t="shared" si="68"/>
        <v>31.325999999999997</v>
      </c>
      <c r="AA235" s="11">
        <f t="shared" ca="1" si="57"/>
        <v>235</v>
      </c>
      <c r="AB235" s="11">
        <f ca="1">+AA235+'parametres articles'!$C$9-1</f>
        <v>249</v>
      </c>
      <c r="AC235" s="11">
        <f ca="1">+AA235+'parametres articles'!$C$24-1</f>
        <v>254</v>
      </c>
      <c r="AD235" s="11">
        <f ca="1">+IF(AE235&lt;='parametres articles'!$H$8,0,AA235-'parametres articles'!$H$8+1)</f>
        <v>231</v>
      </c>
      <c r="AE235" s="11">
        <v>231</v>
      </c>
      <c r="AF235" s="2" t="str">
        <f t="shared" ca="1" si="69"/>
        <v>F250</v>
      </c>
      <c r="AG235" s="172"/>
      <c r="AH235" s="2"/>
      <c r="AI235" s="2"/>
      <c r="AJ235" s="2"/>
      <c r="AK235" s="2"/>
      <c r="AL235" s="2"/>
    </row>
    <row r="236" spans="1:38" ht="15.75" thickBot="1" x14ac:dyDescent="0.3">
      <c r="A236" s="166">
        <v>42335</v>
      </c>
      <c r="B236" s="163">
        <v>2</v>
      </c>
      <c r="C236" s="160" t="s">
        <v>21</v>
      </c>
      <c r="D236" s="162">
        <f ca="1">+IF(AD236=0,P236,(SUM(INDIRECT(CONCATENATE("B",AD236,":B",AA236)))/'parametres articles'!$H$8))</f>
        <v>0.8</v>
      </c>
      <c r="E236" s="10">
        <f t="shared" si="56"/>
        <v>25</v>
      </c>
      <c r="F236" s="10">
        <f>+VLOOKUP(A236,Feuil1!$K$3:$L$37,2,FALSE)</f>
        <v>20</v>
      </c>
      <c r="G236" s="10">
        <f t="shared" si="45"/>
        <v>43</v>
      </c>
      <c r="H236" s="142"/>
      <c r="I236" s="143">
        <f t="shared" si="60"/>
        <v>38.428571428571431</v>
      </c>
      <c r="K236" s="2">
        <f>+HLOOKUP($C236,'parametres articles'!$C$5:$G$25,5,FALSE)</f>
        <v>15</v>
      </c>
      <c r="L236" s="2">
        <f>+HLOOKUP($C236,'parametres articles'!$C$5:$G$25,21,FALSE)</f>
        <v>13</v>
      </c>
      <c r="M236" s="124">
        <f>+HLOOKUP($C236,'parametres articles'!$C$5:$G$25,7,FALSE)</f>
        <v>0.8</v>
      </c>
      <c r="N236" s="124">
        <f>+HLOOKUP($C236,'parametres articles'!$C$5:$G$25,6,FALSE)</f>
        <v>0.4</v>
      </c>
      <c r="O236" s="2">
        <f>+HLOOKUP($C236,'parametres articles'!$C$5:$G$25,8,FALSE)</f>
        <v>0</v>
      </c>
      <c r="P236" s="114">
        <f>IF(C236="E",'parametres articles'!$C$8,HLOOKUP($C236,'parametres articles'!$C$5:$F$25,4,FALSE))</f>
        <v>2.27</v>
      </c>
      <c r="Q236" s="114">
        <f t="shared" si="46"/>
        <v>2.27</v>
      </c>
      <c r="R236" s="2">
        <f t="shared" si="61"/>
        <v>13.62</v>
      </c>
      <c r="S236" s="2">
        <f t="shared" si="62"/>
        <v>24.515999999999998</v>
      </c>
      <c r="T236" s="2">
        <f t="shared" si="63"/>
        <v>58.565999999999995</v>
      </c>
      <c r="U236" s="2">
        <f t="shared" si="64"/>
        <v>72.185999999999993</v>
      </c>
      <c r="V236" s="2">
        <f t="shared" si="65"/>
        <v>24.515999999999998</v>
      </c>
      <c r="W236" s="2">
        <f t="shared" si="66"/>
        <v>34.049999999999997</v>
      </c>
      <c r="X236" s="2">
        <f t="shared" si="67"/>
        <v>13.62</v>
      </c>
      <c r="Y236" s="114">
        <f t="shared" si="68"/>
        <v>31.325999999999997</v>
      </c>
      <c r="AA236" s="11">
        <f t="shared" ca="1" si="57"/>
        <v>236</v>
      </c>
      <c r="AB236" s="11">
        <f ca="1">+AA236+'parametres articles'!$C$9-1</f>
        <v>250</v>
      </c>
      <c r="AC236" s="11">
        <f ca="1">+AA236+'parametres articles'!$C$24-1</f>
        <v>255</v>
      </c>
      <c r="AD236" s="11">
        <f ca="1">+IF(AE236&lt;='parametres articles'!$H$8,0,AA236-'parametres articles'!$H$8+1)</f>
        <v>232</v>
      </c>
      <c r="AE236" s="11">
        <v>232</v>
      </c>
      <c r="AF236" s="2" t="str">
        <f t="shared" ca="1" si="69"/>
        <v>F251</v>
      </c>
      <c r="AG236" s="172">
        <v>-3</v>
      </c>
      <c r="AH236" s="2"/>
      <c r="AI236" s="2"/>
      <c r="AJ236" s="2"/>
      <c r="AK236" s="2"/>
      <c r="AL236" s="2"/>
    </row>
    <row r="237" spans="1:38" ht="15.75" thickBot="1" x14ac:dyDescent="0.3">
      <c r="A237" s="166">
        <v>42338</v>
      </c>
      <c r="B237" s="163">
        <v>12</v>
      </c>
      <c r="C237" s="160" t="s">
        <v>21</v>
      </c>
      <c r="D237" s="162">
        <f ca="1">+IF(AD237=0,P237,(SUM(INDIRECT(CONCATENATE("B",AD237,":B",AA237)))/'parametres articles'!$H$8))</f>
        <v>3.2</v>
      </c>
      <c r="E237" s="10">
        <f t="shared" si="56"/>
        <v>43</v>
      </c>
      <c r="F237" s="10"/>
      <c r="G237" s="10">
        <f t="shared" si="45"/>
        <v>31</v>
      </c>
      <c r="H237" s="142"/>
      <c r="I237" s="143">
        <f t="shared" si="60"/>
        <v>38.238095238095241</v>
      </c>
      <c r="K237" s="2">
        <f>+HLOOKUP($C237,'parametres articles'!$C$5:$G$25,5,FALSE)</f>
        <v>15</v>
      </c>
      <c r="L237" s="2">
        <f>+HLOOKUP($C237,'parametres articles'!$C$5:$G$25,21,FALSE)</f>
        <v>13</v>
      </c>
      <c r="M237" s="124">
        <f>+HLOOKUP($C237,'parametres articles'!$C$5:$G$25,7,FALSE)</f>
        <v>0.8</v>
      </c>
      <c r="N237" s="124">
        <f>+HLOOKUP($C237,'parametres articles'!$C$5:$G$25,6,FALSE)</f>
        <v>0.4</v>
      </c>
      <c r="O237" s="2">
        <f>+HLOOKUP($C237,'parametres articles'!$C$5:$G$25,8,FALSE)</f>
        <v>0</v>
      </c>
      <c r="P237" s="114">
        <f>IF(C237="E",'parametres articles'!$C$8,HLOOKUP($C237,'parametres articles'!$C$5:$F$25,4,FALSE))</f>
        <v>2.27</v>
      </c>
      <c r="Q237" s="114">
        <f t="shared" si="46"/>
        <v>2.27</v>
      </c>
      <c r="R237" s="2">
        <f t="shared" si="61"/>
        <v>13.62</v>
      </c>
      <c r="S237" s="2">
        <f t="shared" si="62"/>
        <v>24.515999999999998</v>
      </c>
      <c r="T237" s="2">
        <f t="shared" si="63"/>
        <v>58.565999999999995</v>
      </c>
      <c r="U237" s="2">
        <f t="shared" si="64"/>
        <v>72.185999999999993</v>
      </c>
      <c r="V237" s="2">
        <f t="shared" si="65"/>
        <v>24.515999999999998</v>
      </c>
      <c r="W237" s="2">
        <f t="shared" si="66"/>
        <v>34.049999999999997</v>
      </c>
      <c r="X237" s="2">
        <f t="shared" si="67"/>
        <v>13.62</v>
      </c>
      <c r="Y237" s="114">
        <f t="shared" si="68"/>
        <v>31.325999999999997</v>
      </c>
      <c r="AA237" s="11">
        <f t="shared" ca="1" si="57"/>
        <v>237</v>
      </c>
      <c r="AB237" s="11">
        <f ca="1">+AA237+'parametres articles'!$C$9-1</f>
        <v>251</v>
      </c>
      <c r="AC237" s="11">
        <f ca="1">+AA237+'parametres articles'!$C$24-1</f>
        <v>256</v>
      </c>
      <c r="AD237" s="11">
        <f ca="1">+IF(AE237&lt;='parametres articles'!$H$8,0,AA237-'parametres articles'!$H$8+1)</f>
        <v>233</v>
      </c>
      <c r="AE237" s="11">
        <v>233</v>
      </c>
      <c r="AF237" s="2" t="str">
        <f t="shared" ca="1" si="69"/>
        <v>F252</v>
      </c>
      <c r="AG237" s="172"/>
      <c r="AH237" s="2"/>
      <c r="AI237" s="2"/>
      <c r="AJ237" s="2"/>
      <c r="AK237" s="2"/>
      <c r="AL237" s="2"/>
    </row>
    <row r="238" spans="1:38" ht="15.75" thickBot="1" x14ac:dyDescent="0.3">
      <c r="A238" s="166">
        <v>42339</v>
      </c>
      <c r="C238" s="160" t="s">
        <v>21</v>
      </c>
      <c r="D238" s="162">
        <f ca="1">+IF(AD238=0,P238,(SUM(INDIRECT(CONCATENATE("B",AD238,":B",AA238)))/'parametres articles'!$H$8))</f>
        <v>2.8</v>
      </c>
      <c r="E238" s="10">
        <f t="shared" si="56"/>
        <v>31</v>
      </c>
      <c r="F238" s="10"/>
      <c r="G238" s="10">
        <f t="shared" si="45"/>
        <v>31</v>
      </c>
      <c r="H238" s="142"/>
      <c r="I238" s="143">
        <f t="shared" si="60"/>
        <v>37.238095238095241</v>
      </c>
      <c r="K238" s="2">
        <f>+HLOOKUP($C238,'parametres articles'!$C$5:$G$25,5,FALSE)</f>
        <v>15</v>
      </c>
      <c r="L238" s="2">
        <f>+HLOOKUP($C238,'parametres articles'!$C$5:$G$25,21,FALSE)</f>
        <v>13</v>
      </c>
      <c r="M238" s="124">
        <f>+HLOOKUP($C238,'parametres articles'!$C$5:$G$25,7,FALSE)</f>
        <v>0.8</v>
      </c>
      <c r="N238" s="124">
        <f>+HLOOKUP($C238,'parametres articles'!$C$5:$G$25,6,FALSE)</f>
        <v>0.4</v>
      </c>
      <c r="O238" s="2">
        <f>+HLOOKUP($C238,'parametres articles'!$C$5:$G$25,8,FALSE)</f>
        <v>0</v>
      </c>
      <c r="P238" s="114">
        <f>IF(C238="E",'parametres articles'!$C$8,HLOOKUP($C238,'parametres articles'!$C$5:$F$25,4,FALSE))</f>
        <v>2.27</v>
      </c>
      <c r="Q238" s="114">
        <f t="shared" si="46"/>
        <v>2.27</v>
      </c>
      <c r="R238" s="2">
        <f t="shared" si="61"/>
        <v>13.62</v>
      </c>
      <c r="S238" s="2">
        <f t="shared" si="62"/>
        <v>24.515999999999998</v>
      </c>
      <c r="T238" s="2">
        <f t="shared" si="63"/>
        <v>58.565999999999995</v>
      </c>
      <c r="U238" s="2">
        <f t="shared" si="64"/>
        <v>72.185999999999993</v>
      </c>
      <c r="V238" s="2">
        <f t="shared" si="65"/>
        <v>24.515999999999998</v>
      </c>
      <c r="W238" s="2">
        <f t="shared" si="66"/>
        <v>34.049999999999997</v>
      </c>
      <c r="X238" s="2">
        <f t="shared" si="67"/>
        <v>13.62</v>
      </c>
      <c r="Y238" s="114">
        <f t="shared" si="68"/>
        <v>31.325999999999997</v>
      </c>
      <c r="AA238" s="11">
        <f t="shared" ca="1" si="57"/>
        <v>238</v>
      </c>
      <c r="AB238" s="11">
        <f ca="1">+AA238+'parametres articles'!$C$9-1</f>
        <v>252</v>
      </c>
      <c r="AC238" s="11">
        <f ca="1">+AA238+'parametres articles'!$C$24-1</f>
        <v>257</v>
      </c>
      <c r="AD238" s="11">
        <f ca="1">+IF(AE238&lt;='parametres articles'!$H$8,0,AA238-'parametres articles'!$H$8+1)</f>
        <v>234</v>
      </c>
      <c r="AE238" s="11">
        <v>234</v>
      </c>
      <c r="AF238" s="2" t="str">
        <f t="shared" ca="1" si="69"/>
        <v>F253</v>
      </c>
      <c r="AG238" s="172"/>
      <c r="AH238" s="2"/>
      <c r="AI238" s="2"/>
      <c r="AJ238" s="2"/>
      <c r="AK238" s="2"/>
      <c r="AL238" s="2"/>
    </row>
    <row r="239" spans="1:38" ht="15.75" thickBot="1" x14ac:dyDescent="0.3">
      <c r="A239" s="166">
        <v>42340</v>
      </c>
      <c r="C239" s="160" t="s">
        <v>21</v>
      </c>
      <c r="D239" s="162">
        <f ca="1">+IF(AD239=0,P239,(SUM(INDIRECT(CONCATENATE("B",AD239,":B",AA239)))/'parametres articles'!$H$8))</f>
        <v>2.8</v>
      </c>
      <c r="E239" s="10">
        <f t="shared" si="56"/>
        <v>31</v>
      </c>
      <c r="F239" s="10"/>
      <c r="G239" s="10">
        <f t="shared" si="45"/>
        <v>31</v>
      </c>
      <c r="H239" s="142"/>
      <c r="I239" s="143">
        <f t="shared" si="60"/>
        <v>36.238095238095241</v>
      </c>
      <c r="K239" s="2">
        <f>+HLOOKUP($C239,'parametres articles'!$C$5:$G$25,5,FALSE)</f>
        <v>15</v>
      </c>
      <c r="L239" s="2">
        <f>+HLOOKUP($C239,'parametres articles'!$C$5:$G$25,21,FALSE)</f>
        <v>13</v>
      </c>
      <c r="M239" s="124">
        <f>+HLOOKUP($C239,'parametres articles'!$C$5:$G$25,7,FALSE)</f>
        <v>0.8</v>
      </c>
      <c r="N239" s="124">
        <f>+HLOOKUP($C239,'parametres articles'!$C$5:$G$25,6,FALSE)</f>
        <v>0.4</v>
      </c>
      <c r="O239" s="2">
        <f>+HLOOKUP($C239,'parametres articles'!$C$5:$G$25,8,FALSE)</f>
        <v>0</v>
      </c>
      <c r="P239" s="114">
        <f>IF(C239="E",'parametres articles'!$C$8,HLOOKUP($C239,'parametres articles'!$C$5:$F$25,4,FALSE))</f>
        <v>2.27</v>
      </c>
      <c r="Q239" s="114">
        <f t="shared" si="46"/>
        <v>2.27</v>
      </c>
      <c r="R239" s="2">
        <f t="shared" si="61"/>
        <v>13.62</v>
      </c>
      <c r="S239" s="2">
        <f t="shared" si="62"/>
        <v>24.515999999999998</v>
      </c>
      <c r="T239" s="2">
        <f t="shared" si="63"/>
        <v>58.565999999999995</v>
      </c>
      <c r="U239" s="2">
        <f t="shared" si="64"/>
        <v>72.185999999999993</v>
      </c>
      <c r="V239" s="2">
        <f t="shared" si="65"/>
        <v>24.515999999999998</v>
      </c>
      <c r="W239" s="2">
        <f t="shared" si="66"/>
        <v>34.049999999999997</v>
      </c>
      <c r="X239" s="2">
        <f t="shared" si="67"/>
        <v>13.62</v>
      </c>
      <c r="Y239" s="114">
        <f t="shared" si="68"/>
        <v>31.325999999999997</v>
      </c>
      <c r="AA239" s="11">
        <f t="shared" ca="1" si="57"/>
        <v>239</v>
      </c>
      <c r="AB239" s="11">
        <f ca="1">+AA239+'parametres articles'!$C$9-1</f>
        <v>253</v>
      </c>
      <c r="AC239" s="11">
        <f ca="1">+AA239+'parametres articles'!$C$24-1</f>
        <v>258</v>
      </c>
      <c r="AD239" s="11">
        <f ca="1">+IF(AE239&lt;='parametres articles'!$H$8,0,AA239-'parametres articles'!$H$8+1)</f>
        <v>235</v>
      </c>
      <c r="AE239" s="11">
        <v>235</v>
      </c>
      <c r="AF239" s="2" t="str">
        <f t="shared" ca="1" si="69"/>
        <v>F254</v>
      </c>
      <c r="AG239" s="172"/>
      <c r="AH239" s="2"/>
      <c r="AI239" s="2"/>
      <c r="AJ239" s="2"/>
      <c r="AK239" s="2"/>
      <c r="AL239" s="2"/>
    </row>
    <row r="240" spans="1:38" ht="15.75" thickBot="1" x14ac:dyDescent="0.3">
      <c r="A240" s="166">
        <v>42341</v>
      </c>
      <c r="B240" s="163">
        <v>6</v>
      </c>
      <c r="C240" s="160" t="s">
        <v>21</v>
      </c>
      <c r="D240" s="162">
        <f ca="1">+IF(AD240=0,P240,(SUM(INDIRECT(CONCATENATE("B",AD240,":B",AA240)))/'parametres articles'!$H$8))</f>
        <v>4</v>
      </c>
      <c r="E240" s="10">
        <f t="shared" si="56"/>
        <v>31</v>
      </c>
      <c r="F240" s="10"/>
      <c r="G240" s="10">
        <f t="shared" si="45"/>
        <v>25</v>
      </c>
      <c r="H240" s="142"/>
      <c r="I240" s="143">
        <f t="shared" si="60"/>
        <v>35.666666666666664</v>
      </c>
      <c r="K240" s="2">
        <f>+HLOOKUP($C240,'parametres articles'!$C$5:$G$25,5,FALSE)</f>
        <v>15</v>
      </c>
      <c r="L240" s="2">
        <f>+HLOOKUP($C240,'parametres articles'!$C$5:$G$25,21,FALSE)</f>
        <v>13</v>
      </c>
      <c r="M240" s="124">
        <f>+HLOOKUP($C240,'parametres articles'!$C$5:$G$25,7,FALSE)</f>
        <v>0.8</v>
      </c>
      <c r="N240" s="124">
        <f>+HLOOKUP($C240,'parametres articles'!$C$5:$G$25,6,FALSE)</f>
        <v>0.4</v>
      </c>
      <c r="O240" s="2">
        <f>+HLOOKUP($C240,'parametres articles'!$C$5:$G$25,8,FALSE)</f>
        <v>0</v>
      </c>
      <c r="P240" s="114">
        <f>IF(C240="E",'parametres articles'!$C$8,HLOOKUP($C240,'parametres articles'!$C$5:$F$25,4,FALSE))</f>
        <v>2.27</v>
      </c>
      <c r="Q240" s="114">
        <f t="shared" si="46"/>
        <v>2.27</v>
      </c>
      <c r="R240" s="2">
        <f t="shared" si="61"/>
        <v>13.62</v>
      </c>
      <c r="S240" s="2">
        <f t="shared" si="62"/>
        <v>24.515999999999998</v>
      </c>
      <c r="T240" s="2">
        <f t="shared" si="63"/>
        <v>58.565999999999995</v>
      </c>
      <c r="U240" s="2">
        <f t="shared" si="64"/>
        <v>72.185999999999993</v>
      </c>
      <c r="V240" s="2">
        <f t="shared" si="65"/>
        <v>24.515999999999998</v>
      </c>
      <c r="W240" s="2">
        <f t="shared" si="66"/>
        <v>34.049999999999997</v>
      </c>
      <c r="X240" s="2">
        <f t="shared" si="67"/>
        <v>13.62</v>
      </c>
      <c r="Y240" s="114">
        <f t="shared" si="68"/>
        <v>31.325999999999997</v>
      </c>
      <c r="AA240" s="11">
        <f t="shared" ca="1" si="57"/>
        <v>240</v>
      </c>
      <c r="AB240" s="11">
        <f ca="1">+AA240+'parametres articles'!$C$9-1</f>
        <v>254</v>
      </c>
      <c r="AC240" s="11">
        <f ca="1">+AA240+'parametres articles'!$C$24-1</f>
        <v>259</v>
      </c>
      <c r="AD240" s="11">
        <f ca="1">+IF(AE240&lt;='parametres articles'!$H$8,0,AA240-'parametres articles'!$H$8+1)</f>
        <v>236</v>
      </c>
      <c r="AE240" s="11">
        <v>236</v>
      </c>
      <c r="AF240" s="2" t="str">
        <f t="shared" ca="1" si="69"/>
        <v>F255</v>
      </c>
      <c r="AG240" s="172"/>
      <c r="AH240" s="2"/>
      <c r="AI240" s="2"/>
      <c r="AJ240" s="2"/>
      <c r="AK240" s="2"/>
      <c r="AL240" s="2"/>
    </row>
    <row r="241" spans="1:38" ht="15.75" thickBot="1" x14ac:dyDescent="0.3">
      <c r="A241" s="166">
        <v>42342</v>
      </c>
      <c r="C241" s="160" t="s">
        <v>21</v>
      </c>
      <c r="D241" s="162">
        <f ca="1">+IF(AD241=0,P241,(SUM(INDIRECT(CONCATENATE("B",AD241,":B",AA241)))/'parametres articles'!$H$8))</f>
        <v>3.6</v>
      </c>
      <c r="E241" s="10">
        <f t="shared" si="56"/>
        <v>25</v>
      </c>
      <c r="F241" s="10">
        <f>+VLOOKUP(A241,Feuil1!$K$3:$L$37,2,FALSE)</f>
        <v>12</v>
      </c>
      <c r="G241" s="10">
        <f t="shared" si="45"/>
        <v>37</v>
      </c>
      <c r="H241" s="142"/>
      <c r="I241" s="143">
        <f t="shared" si="60"/>
        <v>34.904761904761905</v>
      </c>
      <c r="K241" s="2">
        <f>+HLOOKUP($C241,'parametres articles'!$C$5:$G$25,5,FALSE)</f>
        <v>15</v>
      </c>
      <c r="L241" s="2">
        <f>+HLOOKUP($C241,'parametres articles'!$C$5:$G$25,21,FALSE)</f>
        <v>13</v>
      </c>
      <c r="M241" s="124">
        <f>+HLOOKUP($C241,'parametres articles'!$C$5:$G$25,7,FALSE)</f>
        <v>0.8</v>
      </c>
      <c r="N241" s="124">
        <f>+HLOOKUP($C241,'parametres articles'!$C$5:$G$25,6,FALSE)</f>
        <v>0.4</v>
      </c>
      <c r="O241" s="2">
        <f>+HLOOKUP($C241,'parametres articles'!$C$5:$G$25,8,FALSE)</f>
        <v>0</v>
      </c>
      <c r="P241" s="114">
        <f>IF(C241="E",'parametres articles'!$C$8,HLOOKUP($C241,'parametres articles'!$C$5:$F$25,4,FALSE))</f>
        <v>2.27</v>
      </c>
      <c r="Q241" s="114">
        <f t="shared" si="46"/>
        <v>2.27</v>
      </c>
      <c r="R241" s="2">
        <f t="shared" si="61"/>
        <v>13.62</v>
      </c>
      <c r="S241" s="2">
        <f t="shared" si="62"/>
        <v>24.515999999999998</v>
      </c>
      <c r="T241" s="2">
        <f t="shared" si="63"/>
        <v>58.565999999999995</v>
      </c>
      <c r="U241" s="2">
        <f t="shared" si="64"/>
        <v>72.185999999999993</v>
      </c>
      <c r="V241" s="2">
        <f t="shared" si="65"/>
        <v>24.515999999999998</v>
      </c>
      <c r="W241" s="2">
        <f t="shared" si="66"/>
        <v>34.049999999999997</v>
      </c>
      <c r="X241" s="2">
        <f t="shared" si="67"/>
        <v>13.62</v>
      </c>
      <c r="Y241" s="114">
        <f t="shared" si="68"/>
        <v>31.325999999999997</v>
      </c>
      <c r="AA241" s="11">
        <f t="shared" ca="1" si="57"/>
        <v>241</v>
      </c>
      <c r="AB241" s="11">
        <f ca="1">+AA241+'parametres articles'!$C$9-1</f>
        <v>255</v>
      </c>
      <c r="AC241" s="11">
        <f ca="1">+AA241+'parametres articles'!$C$24-1</f>
        <v>260</v>
      </c>
      <c r="AD241" s="11">
        <f ca="1">+IF(AE241&lt;='parametres articles'!$H$8,0,AA241-'parametres articles'!$H$8+1)</f>
        <v>237</v>
      </c>
      <c r="AE241" s="11">
        <v>237</v>
      </c>
      <c r="AF241" s="2" t="str">
        <f t="shared" ca="1" si="69"/>
        <v>F256</v>
      </c>
      <c r="AG241" s="172"/>
      <c r="AH241" s="2"/>
      <c r="AI241" s="2"/>
      <c r="AJ241" s="2"/>
      <c r="AK241" s="2"/>
      <c r="AL241" s="2"/>
    </row>
    <row r="242" spans="1:38" ht="15.75" thickBot="1" x14ac:dyDescent="0.3">
      <c r="A242" s="166">
        <v>42345</v>
      </c>
      <c r="C242" s="160" t="s">
        <v>21</v>
      </c>
      <c r="D242" s="162">
        <f ca="1">+IF(AD242=0,P242,(SUM(INDIRECT(CONCATENATE("B",AD242,":B",AA242)))/'parametres articles'!$H$8))</f>
        <v>1.2</v>
      </c>
      <c r="E242" s="10">
        <f t="shared" si="56"/>
        <v>36</v>
      </c>
      <c r="F242" s="10"/>
      <c r="G242" s="10">
        <f t="shared" si="45"/>
        <v>36</v>
      </c>
      <c r="H242" s="142"/>
      <c r="I242" s="143">
        <f t="shared" si="60"/>
        <v>34.666666666666664</v>
      </c>
      <c r="K242" s="2">
        <f>+HLOOKUP($C242,'parametres articles'!$C$5:$G$25,5,FALSE)</f>
        <v>15</v>
      </c>
      <c r="L242" s="2">
        <f>+HLOOKUP($C242,'parametres articles'!$C$5:$G$25,21,FALSE)</f>
        <v>13</v>
      </c>
      <c r="M242" s="124">
        <f>+HLOOKUP($C242,'parametres articles'!$C$5:$G$25,7,FALSE)</f>
        <v>0.8</v>
      </c>
      <c r="N242" s="124">
        <f>+HLOOKUP($C242,'parametres articles'!$C$5:$G$25,6,FALSE)</f>
        <v>0.4</v>
      </c>
      <c r="O242" s="2">
        <f>+HLOOKUP($C242,'parametres articles'!$C$5:$G$25,8,FALSE)</f>
        <v>0</v>
      </c>
      <c r="P242" s="114">
        <f>IF(C242="E",'parametres articles'!$C$8,HLOOKUP($C242,'parametres articles'!$C$5:$F$25,4,FALSE))</f>
        <v>2.27</v>
      </c>
      <c r="Q242" s="114">
        <f t="shared" si="46"/>
        <v>2.27</v>
      </c>
      <c r="R242" s="2">
        <f t="shared" si="61"/>
        <v>13.62</v>
      </c>
      <c r="S242" s="2">
        <f t="shared" si="62"/>
        <v>24.515999999999998</v>
      </c>
      <c r="T242" s="2">
        <f t="shared" si="63"/>
        <v>58.565999999999995</v>
      </c>
      <c r="U242" s="2">
        <f t="shared" si="64"/>
        <v>72.185999999999993</v>
      </c>
      <c r="V242" s="2">
        <f t="shared" si="65"/>
        <v>24.515999999999998</v>
      </c>
      <c r="W242" s="2">
        <f t="shared" si="66"/>
        <v>34.049999999999997</v>
      </c>
      <c r="X242" s="2">
        <f t="shared" si="67"/>
        <v>13.62</v>
      </c>
      <c r="Y242" s="114">
        <f t="shared" si="68"/>
        <v>31.325999999999997</v>
      </c>
      <c r="AA242" s="11">
        <f t="shared" ca="1" si="57"/>
        <v>242</v>
      </c>
      <c r="AB242" s="11">
        <f ca="1">+AA242+'parametres articles'!$C$9-1</f>
        <v>256</v>
      </c>
      <c r="AC242" s="11">
        <f ca="1">+AA242+'parametres articles'!$C$24-1</f>
        <v>261</v>
      </c>
      <c r="AD242" s="11">
        <f ca="1">+IF(AE242&lt;='parametres articles'!$H$8,0,AA242-'parametres articles'!$H$8+1)</f>
        <v>238</v>
      </c>
      <c r="AE242" s="11">
        <v>238</v>
      </c>
      <c r="AF242" s="2" t="str">
        <f t="shared" ca="1" si="69"/>
        <v>F257</v>
      </c>
      <c r="AG242" s="172">
        <v>-1</v>
      </c>
      <c r="AH242" s="2"/>
      <c r="AI242" s="2"/>
      <c r="AJ242" s="2"/>
      <c r="AK242" s="2"/>
      <c r="AL242" s="2"/>
    </row>
    <row r="243" spans="1:38" ht="15.75" thickBot="1" x14ac:dyDescent="0.3">
      <c r="A243" s="166">
        <v>42346</v>
      </c>
      <c r="B243" s="163">
        <v>5</v>
      </c>
      <c r="C243" s="160" t="s">
        <v>21</v>
      </c>
      <c r="D243" s="162">
        <f ca="1">+IF(AD243=0,P243,(SUM(INDIRECT(CONCATENATE("B",AD243,":B",AA243)))/'parametres articles'!$H$8))</f>
        <v>2.2000000000000002</v>
      </c>
      <c r="E243" s="10">
        <f t="shared" si="56"/>
        <v>36</v>
      </c>
      <c r="F243" s="10"/>
      <c r="G243" s="10">
        <f t="shared" si="45"/>
        <v>31</v>
      </c>
      <c r="H243" s="142"/>
      <c r="I243" s="143">
        <f t="shared" si="60"/>
        <v>34.428571428571431</v>
      </c>
      <c r="K243" s="2">
        <f>+HLOOKUP($C243,'parametres articles'!$C$5:$G$25,5,FALSE)</f>
        <v>15</v>
      </c>
      <c r="L243" s="2">
        <f>+HLOOKUP($C243,'parametres articles'!$C$5:$G$25,21,FALSE)</f>
        <v>13</v>
      </c>
      <c r="M243" s="124">
        <f>+HLOOKUP($C243,'parametres articles'!$C$5:$G$25,7,FALSE)</f>
        <v>0.8</v>
      </c>
      <c r="N243" s="124">
        <f>+HLOOKUP($C243,'parametres articles'!$C$5:$G$25,6,FALSE)</f>
        <v>0.4</v>
      </c>
      <c r="O243" s="2">
        <f>+HLOOKUP($C243,'parametres articles'!$C$5:$G$25,8,FALSE)</f>
        <v>0</v>
      </c>
      <c r="P243" s="114">
        <f>IF(C243="E",'parametres articles'!$C$8,HLOOKUP($C243,'parametres articles'!$C$5:$F$25,4,FALSE))</f>
        <v>2.27</v>
      </c>
      <c r="Q243" s="114">
        <f t="shared" si="46"/>
        <v>2.27</v>
      </c>
      <c r="R243" s="2">
        <f t="shared" si="61"/>
        <v>13.62</v>
      </c>
      <c r="S243" s="2">
        <f t="shared" si="62"/>
        <v>24.515999999999998</v>
      </c>
      <c r="T243" s="2">
        <f t="shared" si="63"/>
        <v>58.565999999999995</v>
      </c>
      <c r="U243" s="2">
        <f t="shared" si="64"/>
        <v>72.185999999999993</v>
      </c>
      <c r="V243" s="2">
        <f t="shared" si="65"/>
        <v>24.515999999999998</v>
      </c>
      <c r="W243" s="2">
        <f t="shared" si="66"/>
        <v>34.049999999999997</v>
      </c>
      <c r="X243" s="2">
        <f t="shared" si="67"/>
        <v>13.62</v>
      </c>
      <c r="Y243" s="114">
        <f t="shared" si="68"/>
        <v>31.325999999999997</v>
      </c>
      <c r="AA243" s="11">
        <f t="shared" ca="1" si="57"/>
        <v>243</v>
      </c>
      <c r="AB243" s="11">
        <f ca="1">+AA243+'parametres articles'!$C$9-1</f>
        <v>257</v>
      </c>
      <c r="AC243" s="11">
        <f ca="1">+AA243+'parametres articles'!$C$24-1</f>
        <v>262</v>
      </c>
      <c r="AD243" s="11">
        <f ca="1">+IF(AE243&lt;='parametres articles'!$H$8,0,AA243-'parametres articles'!$H$8+1)</f>
        <v>239</v>
      </c>
      <c r="AE243" s="11">
        <v>239</v>
      </c>
      <c r="AF243" s="2" t="str">
        <f t="shared" ca="1" si="69"/>
        <v>F258</v>
      </c>
      <c r="AG243" s="172"/>
      <c r="AH243" s="2"/>
      <c r="AI243" s="2"/>
      <c r="AJ243" s="2"/>
      <c r="AK243" s="2"/>
      <c r="AL243" s="2"/>
    </row>
    <row r="244" spans="1:38" ht="15.75" thickBot="1" x14ac:dyDescent="0.3">
      <c r="A244" s="166">
        <v>42347</v>
      </c>
      <c r="B244" s="163">
        <v>8</v>
      </c>
      <c r="C244" s="160" t="s">
        <v>21</v>
      </c>
      <c r="D244" s="162">
        <f ca="1">+IF(AD244=0,P244,(SUM(INDIRECT(CONCATENATE("B",AD244,":B",AA244)))/'parametres articles'!$H$8))</f>
        <v>3.8</v>
      </c>
      <c r="E244" s="10">
        <f t="shared" si="56"/>
        <v>31</v>
      </c>
      <c r="F244" s="10"/>
      <c r="G244" s="10">
        <f t="shared" si="45"/>
        <v>23</v>
      </c>
      <c r="H244" s="142"/>
      <c r="I244" s="143">
        <f t="shared" si="60"/>
        <v>33.952380952380949</v>
      </c>
      <c r="K244" s="2">
        <f>+HLOOKUP($C244,'parametres articles'!$C$5:$G$25,5,FALSE)</f>
        <v>15</v>
      </c>
      <c r="L244" s="2">
        <f>+HLOOKUP($C244,'parametres articles'!$C$5:$G$25,21,FALSE)</f>
        <v>13</v>
      </c>
      <c r="M244" s="124">
        <f>+HLOOKUP($C244,'parametres articles'!$C$5:$G$25,7,FALSE)</f>
        <v>0.8</v>
      </c>
      <c r="N244" s="124">
        <f>+HLOOKUP($C244,'parametres articles'!$C$5:$G$25,6,FALSE)</f>
        <v>0.4</v>
      </c>
      <c r="O244" s="2">
        <f>+HLOOKUP($C244,'parametres articles'!$C$5:$G$25,8,FALSE)</f>
        <v>0</v>
      </c>
      <c r="P244" s="114">
        <f>IF(C244="E",'parametres articles'!$C$8,HLOOKUP($C244,'parametres articles'!$C$5:$F$25,4,FALSE))</f>
        <v>2.27</v>
      </c>
      <c r="Q244" s="114">
        <f t="shared" si="46"/>
        <v>2.27</v>
      </c>
      <c r="R244" s="2">
        <f t="shared" si="61"/>
        <v>13.62</v>
      </c>
      <c r="S244" s="2">
        <f t="shared" si="62"/>
        <v>24.515999999999998</v>
      </c>
      <c r="T244" s="2">
        <f t="shared" si="63"/>
        <v>58.565999999999995</v>
      </c>
      <c r="U244" s="2">
        <f t="shared" si="64"/>
        <v>72.185999999999993</v>
      </c>
      <c r="V244" s="2">
        <f t="shared" si="65"/>
        <v>24.515999999999998</v>
      </c>
      <c r="W244" s="2">
        <f t="shared" si="66"/>
        <v>34.049999999999997</v>
      </c>
      <c r="X244" s="2">
        <f t="shared" si="67"/>
        <v>13.62</v>
      </c>
      <c r="Y244" s="114">
        <f t="shared" si="68"/>
        <v>31.325999999999997</v>
      </c>
      <c r="AA244" s="11">
        <f t="shared" ca="1" si="57"/>
        <v>244</v>
      </c>
      <c r="AB244" s="11">
        <f ca="1">+AA244+'parametres articles'!$C$9-1</f>
        <v>258</v>
      </c>
      <c r="AC244" s="11">
        <f ca="1">+AA244+'parametres articles'!$C$24-1</f>
        <v>263</v>
      </c>
      <c r="AD244" s="11">
        <f ca="1">+IF(AE244&lt;='parametres articles'!$H$8,0,AA244-'parametres articles'!$H$8+1)</f>
        <v>240</v>
      </c>
      <c r="AE244" s="11">
        <v>240</v>
      </c>
      <c r="AF244" s="2" t="str">
        <f t="shared" ca="1" si="69"/>
        <v>F259</v>
      </c>
      <c r="AG244" s="172"/>
      <c r="AH244" s="2"/>
      <c r="AI244" s="2"/>
      <c r="AJ244" s="2"/>
      <c r="AK244" s="2"/>
      <c r="AL244" s="2"/>
    </row>
    <row r="245" spans="1:38" ht="15.75" thickBot="1" x14ac:dyDescent="0.3">
      <c r="A245" s="166">
        <v>42348</v>
      </c>
      <c r="C245" s="160" t="s">
        <v>21</v>
      </c>
      <c r="D245" s="162">
        <f ca="1">+IF(AD245=0,P245,(SUM(INDIRECT(CONCATENATE("B",AD245,":B",AA245)))/'parametres articles'!$H$8))</f>
        <v>2.6</v>
      </c>
      <c r="E245" s="10">
        <f t="shared" si="56"/>
        <v>23</v>
      </c>
      <c r="F245" s="10"/>
      <c r="G245" s="10">
        <f t="shared" si="45"/>
        <v>23</v>
      </c>
      <c r="H245" s="142"/>
      <c r="I245" s="143">
        <f t="shared" si="60"/>
        <v>33.428571428571431</v>
      </c>
      <c r="K245" s="2">
        <f>+HLOOKUP($C245,'parametres articles'!$C$5:$G$25,5,FALSE)</f>
        <v>15</v>
      </c>
      <c r="L245" s="2">
        <f>+HLOOKUP($C245,'parametres articles'!$C$5:$G$25,21,FALSE)</f>
        <v>13</v>
      </c>
      <c r="M245" s="124">
        <f>+HLOOKUP($C245,'parametres articles'!$C$5:$G$25,7,FALSE)</f>
        <v>0.8</v>
      </c>
      <c r="N245" s="124">
        <f>+HLOOKUP($C245,'parametres articles'!$C$5:$G$25,6,FALSE)</f>
        <v>0.4</v>
      </c>
      <c r="O245" s="2">
        <f>+HLOOKUP($C245,'parametres articles'!$C$5:$G$25,8,FALSE)</f>
        <v>0</v>
      </c>
      <c r="P245" s="114">
        <f>IF(C245="E",'parametres articles'!$C$8,HLOOKUP($C245,'parametres articles'!$C$5:$F$25,4,FALSE))</f>
        <v>2.27</v>
      </c>
      <c r="Q245" s="114">
        <f t="shared" si="46"/>
        <v>2.27</v>
      </c>
      <c r="R245" s="2">
        <f t="shared" si="61"/>
        <v>13.62</v>
      </c>
      <c r="S245" s="2">
        <f t="shared" si="62"/>
        <v>24.515999999999998</v>
      </c>
      <c r="T245" s="2">
        <f t="shared" si="63"/>
        <v>58.565999999999995</v>
      </c>
      <c r="U245" s="2">
        <f t="shared" si="64"/>
        <v>72.185999999999993</v>
      </c>
      <c r="V245" s="2">
        <f t="shared" si="65"/>
        <v>24.515999999999998</v>
      </c>
      <c r="W245" s="2">
        <f t="shared" si="66"/>
        <v>34.049999999999997</v>
      </c>
      <c r="X245" s="2">
        <f t="shared" si="67"/>
        <v>13.62</v>
      </c>
      <c r="Y245" s="114">
        <f t="shared" si="68"/>
        <v>31.325999999999997</v>
      </c>
      <c r="AA245" s="11">
        <f t="shared" ca="1" si="57"/>
        <v>245</v>
      </c>
      <c r="AB245" s="11">
        <f ca="1">+AA245+'parametres articles'!$C$9-1</f>
        <v>259</v>
      </c>
      <c r="AC245" s="11">
        <f ca="1">+AA245+'parametres articles'!$C$24-1</f>
        <v>264</v>
      </c>
      <c r="AD245" s="11">
        <f ca="1">+IF(AE245&lt;='parametres articles'!$H$8,0,AA245-'parametres articles'!$H$8+1)</f>
        <v>241</v>
      </c>
      <c r="AE245" s="11">
        <v>241</v>
      </c>
      <c r="AF245" s="2" t="str">
        <f t="shared" ca="1" si="69"/>
        <v>F260</v>
      </c>
      <c r="AG245" s="172"/>
      <c r="AH245" s="2"/>
      <c r="AI245" s="2"/>
      <c r="AJ245" s="2"/>
      <c r="AK245" s="2"/>
      <c r="AL245" s="2"/>
    </row>
    <row r="246" spans="1:38" ht="15.75" thickBot="1" x14ac:dyDescent="0.3">
      <c r="A246" s="166">
        <v>42349</v>
      </c>
      <c r="C246" s="160" t="s">
        <v>21</v>
      </c>
      <c r="D246" s="162">
        <f ca="1">+IF(AD246=0,P246,(SUM(INDIRECT(CONCATENATE("B",AD246,":B",AA246)))/'parametres articles'!$H$8))</f>
        <v>2.6</v>
      </c>
      <c r="E246" s="10">
        <f t="shared" si="56"/>
        <v>23</v>
      </c>
      <c r="F246" s="10">
        <f>+VLOOKUP(A246,Feuil1!$K$3:$L$37,2,FALSE)</f>
        <v>20</v>
      </c>
      <c r="G246" s="10">
        <f t="shared" si="45"/>
        <v>43</v>
      </c>
      <c r="H246" s="142"/>
      <c r="I246" s="143">
        <f t="shared" si="60"/>
        <v>32.904761904761905</v>
      </c>
      <c r="K246" s="2">
        <f>+HLOOKUP($C246,'parametres articles'!$C$5:$G$25,5,FALSE)</f>
        <v>15</v>
      </c>
      <c r="L246" s="2">
        <f>+HLOOKUP($C246,'parametres articles'!$C$5:$G$25,21,FALSE)</f>
        <v>13</v>
      </c>
      <c r="M246" s="124">
        <f>+HLOOKUP($C246,'parametres articles'!$C$5:$G$25,7,FALSE)</f>
        <v>0.8</v>
      </c>
      <c r="N246" s="124">
        <f>+HLOOKUP($C246,'parametres articles'!$C$5:$G$25,6,FALSE)</f>
        <v>0.4</v>
      </c>
      <c r="O246" s="2">
        <f>+HLOOKUP($C246,'parametres articles'!$C$5:$G$25,8,FALSE)</f>
        <v>0</v>
      </c>
      <c r="P246" s="114">
        <f>IF(C246="E",'parametres articles'!$C$8,HLOOKUP($C246,'parametres articles'!$C$5:$F$25,4,FALSE))</f>
        <v>2.27</v>
      </c>
      <c r="Q246" s="114">
        <f t="shared" si="46"/>
        <v>2.27</v>
      </c>
      <c r="R246" s="2">
        <f t="shared" si="61"/>
        <v>13.62</v>
      </c>
      <c r="S246" s="2">
        <f t="shared" si="62"/>
        <v>24.515999999999998</v>
      </c>
      <c r="T246" s="2">
        <f t="shared" si="63"/>
        <v>58.565999999999995</v>
      </c>
      <c r="U246" s="2">
        <f t="shared" si="64"/>
        <v>72.185999999999993</v>
      </c>
      <c r="V246" s="2">
        <f t="shared" si="65"/>
        <v>24.515999999999998</v>
      </c>
      <c r="W246" s="2">
        <f t="shared" si="66"/>
        <v>34.049999999999997</v>
      </c>
      <c r="X246" s="2">
        <f t="shared" si="67"/>
        <v>13.62</v>
      </c>
      <c r="Y246" s="114">
        <f t="shared" si="68"/>
        <v>31.325999999999997</v>
      </c>
      <c r="AA246" s="11">
        <f t="shared" ca="1" si="57"/>
        <v>246</v>
      </c>
      <c r="AB246" s="11">
        <f ca="1">+AA246+'parametres articles'!$C$9-1</f>
        <v>260</v>
      </c>
      <c r="AC246" s="11">
        <f ca="1">+AA246+'parametres articles'!$C$24-1</f>
        <v>265</v>
      </c>
      <c r="AD246" s="11">
        <f ca="1">+IF(AE246&lt;='parametres articles'!$H$8,0,AA246-'parametres articles'!$H$8+1)</f>
        <v>242</v>
      </c>
      <c r="AE246" s="11">
        <v>242</v>
      </c>
      <c r="AF246" s="2" t="str">
        <f t="shared" ca="1" si="69"/>
        <v>F261</v>
      </c>
      <c r="AG246" s="172"/>
      <c r="AH246" s="2"/>
      <c r="AI246" s="2"/>
      <c r="AJ246" s="2"/>
      <c r="AK246" s="2"/>
      <c r="AL246" s="2"/>
    </row>
    <row r="247" spans="1:38" ht="15.75" thickBot="1" x14ac:dyDescent="0.3">
      <c r="A247" s="166">
        <v>42352</v>
      </c>
      <c r="C247" s="160" t="s">
        <v>21</v>
      </c>
      <c r="D247" s="162">
        <f ca="1">+IF(AD247=0,P247,(SUM(INDIRECT(CONCATENATE("B",AD247,":B",AA247)))/'parametres articles'!$H$8))</f>
        <v>2.6</v>
      </c>
      <c r="E247" s="10">
        <f t="shared" si="56"/>
        <v>43</v>
      </c>
      <c r="F247" s="10"/>
      <c r="G247" s="10">
        <f t="shared" si="45"/>
        <v>43</v>
      </c>
      <c r="H247" s="142"/>
      <c r="I247" s="143">
        <f t="shared" si="60"/>
        <v>33.428571428571431</v>
      </c>
      <c r="K247" s="2">
        <f>+HLOOKUP($C247,'parametres articles'!$C$5:$G$25,5,FALSE)</f>
        <v>15</v>
      </c>
      <c r="L247" s="2">
        <f>+HLOOKUP($C247,'parametres articles'!$C$5:$G$25,21,FALSE)</f>
        <v>13</v>
      </c>
      <c r="M247" s="124">
        <f>+HLOOKUP($C247,'parametres articles'!$C$5:$G$25,7,FALSE)</f>
        <v>0.8</v>
      </c>
      <c r="N247" s="124">
        <f>+HLOOKUP($C247,'parametres articles'!$C$5:$G$25,6,FALSE)</f>
        <v>0.4</v>
      </c>
      <c r="O247" s="2">
        <f>+HLOOKUP($C247,'parametres articles'!$C$5:$G$25,8,FALSE)</f>
        <v>0</v>
      </c>
      <c r="P247" s="114">
        <f>IF(C247="E",'parametres articles'!$C$8,HLOOKUP($C247,'parametres articles'!$C$5:$F$25,4,FALSE))</f>
        <v>2.27</v>
      </c>
      <c r="Q247" s="114">
        <f t="shared" si="46"/>
        <v>2.27</v>
      </c>
      <c r="R247" s="2">
        <f t="shared" si="61"/>
        <v>13.62</v>
      </c>
      <c r="S247" s="2">
        <f t="shared" si="62"/>
        <v>24.515999999999998</v>
      </c>
      <c r="T247" s="2">
        <f t="shared" si="63"/>
        <v>58.565999999999995</v>
      </c>
      <c r="U247" s="2">
        <f t="shared" si="64"/>
        <v>72.185999999999993</v>
      </c>
      <c r="V247" s="2">
        <f t="shared" si="65"/>
        <v>24.515999999999998</v>
      </c>
      <c r="W247" s="2">
        <f t="shared" si="66"/>
        <v>34.049999999999997</v>
      </c>
      <c r="X247" s="2">
        <f t="shared" si="67"/>
        <v>13.62</v>
      </c>
      <c r="Y247" s="114">
        <f t="shared" si="68"/>
        <v>31.325999999999997</v>
      </c>
      <c r="AA247" s="11">
        <f t="shared" ca="1" si="57"/>
        <v>247</v>
      </c>
      <c r="AB247" s="11">
        <f ca="1">+AA247+'parametres articles'!$C$9-1</f>
        <v>261</v>
      </c>
      <c r="AC247" s="11">
        <f ca="1">+AA247+'parametres articles'!$C$24-1</f>
        <v>266</v>
      </c>
      <c r="AD247" s="11">
        <f ca="1">+IF(AE247&lt;='parametres articles'!$H$8,0,AA247-'parametres articles'!$H$8+1)</f>
        <v>243</v>
      </c>
      <c r="AE247" s="11">
        <v>243</v>
      </c>
      <c r="AF247" s="2" t="str">
        <f t="shared" ca="1" si="69"/>
        <v>F262</v>
      </c>
      <c r="AG247" s="172"/>
      <c r="AH247" s="2"/>
      <c r="AI247" s="2"/>
      <c r="AJ247" s="2"/>
      <c r="AK247" s="2"/>
      <c r="AL247" s="2"/>
    </row>
    <row r="248" spans="1:38" ht="15.75" thickBot="1" x14ac:dyDescent="0.3">
      <c r="A248" s="166">
        <v>42353</v>
      </c>
      <c r="B248" s="163">
        <v>1</v>
      </c>
      <c r="C248" s="160" t="s">
        <v>21</v>
      </c>
      <c r="D248" s="162">
        <f ca="1">+IF(AD248=0,P248,(SUM(INDIRECT(CONCATENATE("B",AD248,":B",AA248)))/'parametres articles'!$H$8))</f>
        <v>1.8</v>
      </c>
      <c r="E248" s="10">
        <f t="shared" si="56"/>
        <v>43</v>
      </c>
      <c r="F248" s="10"/>
      <c r="G248" s="10">
        <f t="shared" si="45"/>
        <v>42</v>
      </c>
      <c r="H248" s="142"/>
      <c r="I248" s="143">
        <f t="shared" si="60"/>
        <v>33.238095238095241</v>
      </c>
      <c r="K248" s="2">
        <f>+HLOOKUP($C248,'parametres articles'!$C$5:$G$25,5,FALSE)</f>
        <v>15</v>
      </c>
      <c r="L248" s="2">
        <f>+HLOOKUP($C248,'parametres articles'!$C$5:$G$25,21,FALSE)</f>
        <v>13</v>
      </c>
      <c r="M248" s="124">
        <f>+HLOOKUP($C248,'parametres articles'!$C$5:$G$25,7,FALSE)</f>
        <v>0.8</v>
      </c>
      <c r="N248" s="124">
        <f>+HLOOKUP($C248,'parametres articles'!$C$5:$G$25,6,FALSE)</f>
        <v>0.4</v>
      </c>
      <c r="O248" s="2">
        <f>+HLOOKUP($C248,'parametres articles'!$C$5:$G$25,8,FALSE)</f>
        <v>0</v>
      </c>
      <c r="P248" s="114">
        <f>IF(C248="E",'parametres articles'!$C$8,HLOOKUP($C248,'parametres articles'!$C$5:$F$25,4,FALSE))</f>
        <v>2.27</v>
      </c>
      <c r="Q248" s="114">
        <f t="shared" si="46"/>
        <v>2.27</v>
      </c>
      <c r="R248" s="2">
        <f t="shared" si="61"/>
        <v>13.62</v>
      </c>
      <c r="S248" s="2">
        <f t="shared" si="62"/>
        <v>24.515999999999998</v>
      </c>
      <c r="T248" s="2">
        <f t="shared" si="63"/>
        <v>58.565999999999995</v>
      </c>
      <c r="U248" s="2">
        <f t="shared" si="64"/>
        <v>72.185999999999993</v>
      </c>
      <c r="V248" s="2">
        <f t="shared" si="65"/>
        <v>24.515999999999998</v>
      </c>
      <c r="W248" s="2">
        <f t="shared" si="66"/>
        <v>34.049999999999997</v>
      </c>
      <c r="X248" s="2">
        <f t="shared" si="67"/>
        <v>13.62</v>
      </c>
      <c r="Y248" s="114">
        <f t="shared" si="68"/>
        <v>31.325999999999997</v>
      </c>
      <c r="AA248" s="11">
        <f t="shared" ca="1" si="57"/>
        <v>248</v>
      </c>
      <c r="AB248" s="11">
        <f ca="1">+AA248+'parametres articles'!$C$9-1</f>
        <v>262</v>
      </c>
      <c r="AC248" s="11">
        <f ca="1">+AA248+'parametres articles'!$C$24-1</f>
        <v>267</v>
      </c>
      <c r="AD248" s="11">
        <f ca="1">+IF(AE248&lt;='parametres articles'!$H$8,0,AA248-'parametres articles'!$H$8+1)</f>
        <v>244</v>
      </c>
      <c r="AE248" s="11">
        <v>244</v>
      </c>
      <c r="AF248" s="2" t="str">
        <f t="shared" ca="1" si="69"/>
        <v>F263</v>
      </c>
      <c r="AG248" s="172"/>
      <c r="AH248" s="2"/>
      <c r="AI248" s="2"/>
      <c r="AJ248" s="2"/>
      <c r="AK248" s="2"/>
      <c r="AL248" s="2"/>
    </row>
    <row r="249" spans="1:38" ht="15.75" thickBot="1" x14ac:dyDescent="0.3">
      <c r="A249" s="166">
        <v>42354</v>
      </c>
      <c r="C249" s="160" t="s">
        <v>21</v>
      </c>
      <c r="D249" s="162">
        <f ca="1">+IF(AD249=0,P249,(SUM(INDIRECT(CONCATENATE("B",AD249,":B",AA249)))/'parametres articles'!$H$8))</f>
        <v>0.2</v>
      </c>
      <c r="E249" s="10">
        <f t="shared" si="56"/>
        <v>42</v>
      </c>
      <c r="F249" s="10"/>
      <c r="G249" s="10">
        <f t="shared" si="45"/>
        <v>42</v>
      </c>
      <c r="H249" s="142"/>
      <c r="I249" s="143">
        <f t="shared" si="60"/>
        <v>33.428571428571431</v>
      </c>
      <c r="K249" s="2">
        <f>+HLOOKUP($C249,'parametres articles'!$C$5:$G$25,5,FALSE)</f>
        <v>15</v>
      </c>
      <c r="L249" s="2">
        <f>+HLOOKUP($C249,'parametres articles'!$C$5:$G$25,21,FALSE)</f>
        <v>13</v>
      </c>
      <c r="M249" s="124">
        <f>+HLOOKUP($C249,'parametres articles'!$C$5:$G$25,7,FALSE)</f>
        <v>0.8</v>
      </c>
      <c r="N249" s="124">
        <f>+HLOOKUP($C249,'parametres articles'!$C$5:$G$25,6,FALSE)</f>
        <v>0.4</v>
      </c>
      <c r="O249" s="2">
        <f>+HLOOKUP($C249,'parametres articles'!$C$5:$G$25,8,FALSE)</f>
        <v>0</v>
      </c>
      <c r="P249" s="114">
        <f>IF(C249="E",'parametres articles'!$C$8,HLOOKUP($C249,'parametres articles'!$C$5:$F$25,4,FALSE))</f>
        <v>2.27</v>
      </c>
      <c r="Q249" s="114">
        <f t="shared" si="46"/>
        <v>2.27</v>
      </c>
      <c r="R249" s="2">
        <f t="shared" si="61"/>
        <v>13.62</v>
      </c>
      <c r="S249" s="2">
        <f t="shared" si="62"/>
        <v>24.515999999999998</v>
      </c>
      <c r="T249" s="2">
        <f t="shared" si="63"/>
        <v>58.565999999999995</v>
      </c>
      <c r="U249" s="2">
        <f t="shared" si="64"/>
        <v>72.185999999999993</v>
      </c>
      <c r="V249" s="2">
        <f t="shared" si="65"/>
        <v>24.515999999999998</v>
      </c>
      <c r="W249" s="2">
        <f t="shared" si="66"/>
        <v>34.049999999999997</v>
      </c>
      <c r="X249" s="2">
        <f t="shared" si="67"/>
        <v>13.62</v>
      </c>
      <c r="Y249" s="114">
        <f t="shared" si="68"/>
        <v>31.325999999999997</v>
      </c>
      <c r="AA249" s="11">
        <f t="shared" ca="1" si="57"/>
        <v>249</v>
      </c>
      <c r="AB249" s="11">
        <f ca="1">+AA249+'parametres articles'!$C$9-1</f>
        <v>263</v>
      </c>
      <c r="AC249" s="11">
        <f ca="1">+AA249+'parametres articles'!$C$24-1</f>
        <v>268</v>
      </c>
      <c r="AD249" s="11">
        <f ca="1">+IF(AE249&lt;='parametres articles'!$H$8,0,AA249-'parametres articles'!$H$8+1)</f>
        <v>245</v>
      </c>
      <c r="AE249" s="11">
        <v>245</v>
      </c>
      <c r="AF249" s="2" t="str">
        <f t="shared" ca="1" si="69"/>
        <v>F264</v>
      </c>
      <c r="AG249" s="172"/>
      <c r="AH249" s="2"/>
      <c r="AI249" s="2"/>
      <c r="AJ249" s="2"/>
      <c r="AK249" s="2"/>
      <c r="AL249" s="2"/>
    </row>
    <row r="250" spans="1:38" ht="15.75" thickBot="1" x14ac:dyDescent="0.3">
      <c r="A250" s="166">
        <v>42355</v>
      </c>
      <c r="B250" s="163">
        <v>10</v>
      </c>
      <c r="C250" s="160" t="s">
        <v>21</v>
      </c>
      <c r="D250" s="162">
        <f ca="1">+IF(AD250=0,P250,(SUM(INDIRECT(CONCATENATE("B",AD250,":B",AA250)))/'parametres articles'!$H$8))</f>
        <v>2.2000000000000002</v>
      </c>
      <c r="E250" s="10">
        <f t="shared" si="56"/>
        <v>42</v>
      </c>
      <c r="F250" s="10"/>
      <c r="G250" s="10">
        <f t="shared" si="45"/>
        <v>32</v>
      </c>
      <c r="H250" s="142"/>
      <c r="I250" s="143">
        <f t="shared" si="60"/>
        <v>33.904761904761905</v>
      </c>
      <c r="K250" s="2">
        <f>+HLOOKUP($C250,'parametres articles'!$C$5:$G$25,5,FALSE)</f>
        <v>15</v>
      </c>
      <c r="L250" s="2">
        <f>+HLOOKUP($C250,'parametres articles'!$C$5:$G$25,21,FALSE)</f>
        <v>13</v>
      </c>
      <c r="M250" s="124">
        <f>+HLOOKUP($C250,'parametres articles'!$C$5:$G$25,7,FALSE)</f>
        <v>0.8</v>
      </c>
      <c r="N250" s="124">
        <f>+HLOOKUP($C250,'parametres articles'!$C$5:$G$25,6,FALSE)</f>
        <v>0.4</v>
      </c>
      <c r="O250" s="2">
        <f>+HLOOKUP($C250,'parametres articles'!$C$5:$G$25,8,FALSE)</f>
        <v>0</v>
      </c>
      <c r="P250" s="114">
        <f>IF(C250="E",'parametres articles'!$C$8,HLOOKUP($C250,'parametres articles'!$C$5:$F$25,4,FALSE))</f>
        <v>2.27</v>
      </c>
      <c r="Q250" s="114">
        <f t="shared" si="46"/>
        <v>2.27</v>
      </c>
      <c r="R250" s="2">
        <f t="shared" si="61"/>
        <v>13.62</v>
      </c>
      <c r="S250" s="2">
        <f t="shared" si="62"/>
        <v>24.515999999999998</v>
      </c>
      <c r="T250" s="2">
        <f t="shared" si="63"/>
        <v>58.565999999999995</v>
      </c>
      <c r="U250" s="2">
        <f t="shared" si="64"/>
        <v>72.185999999999993</v>
      </c>
      <c r="V250" s="2">
        <f t="shared" si="65"/>
        <v>24.515999999999998</v>
      </c>
      <c r="W250" s="2">
        <f t="shared" si="66"/>
        <v>34.049999999999997</v>
      </c>
      <c r="X250" s="2">
        <f t="shared" si="67"/>
        <v>13.62</v>
      </c>
      <c r="Y250" s="114">
        <f t="shared" si="68"/>
        <v>31.325999999999997</v>
      </c>
      <c r="AA250" s="11">
        <f t="shared" ca="1" si="57"/>
        <v>250</v>
      </c>
      <c r="AB250" s="11">
        <f ca="1">+AA250+'parametres articles'!$C$9-1</f>
        <v>264</v>
      </c>
      <c r="AC250" s="11">
        <f ca="1">+AA250+'parametres articles'!$C$24-1</f>
        <v>269</v>
      </c>
      <c r="AD250" s="11">
        <f ca="1">+IF(AE250&lt;='parametres articles'!$H$8,0,AA250-'parametres articles'!$H$8+1)</f>
        <v>246</v>
      </c>
      <c r="AE250" s="11">
        <v>246</v>
      </c>
      <c r="AF250" s="2" t="str">
        <f t="shared" ca="1" si="69"/>
        <v>F265</v>
      </c>
      <c r="AG250" s="172"/>
      <c r="AH250" s="2"/>
      <c r="AI250" s="2"/>
      <c r="AJ250" s="2"/>
      <c r="AK250" s="2"/>
      <c r="AL250" s="2"/>
    </row>
    <row r="251" spans="1:38" ht="15.75" thickBot="1" x14ac:dyDescent="0.3">
      <c r="A251" s="166">
        <v>42356</v>
      </c>
      <c r="C251" s="160" t="s">
        <v>21</v>
      </c>
      <c r="D251" s="162">
        <f ca="1">+IF(AD251=0,P251,(SUM(INDIRECT(CONCATENATE("B",AD251,":B",AA251)))/'parametres articles'!$H$8))</f>
        <v>2.2000000000000002</v>
      </c>
      <c r="E251" s="10">
        <f t="shared" si="56"/>
        <v>32</v>
      </c>
      <c r="F251" s="10">
        <f>+VLOOKUP(A251,Feuil1!$K$3:$L$37,2,FALSE)</f>
        <v>20</v>
      </c>
      <c r="G251" s="10">
        <f t="shared" si="45"/>
        <v>52</v>
      </c>
      <c r="H251" s="142"/>
      <c r="I251" s="143">
        <f t="shared" si="60"/>
        <v>33.904761904761905</v>
      </c>
      <c r="K251" s="2">
        <f>+HLOOKUP($C251,'parametres articles'!$C$5:$G$25,5,FALSE)</f>
        <v>15</v>
      </c>
      <c r="L251" s="2">
        <f>+HLOOKUP($C251,'parametres articles'!$C$5:$G$25,21,FALSE)</f>
        <v>13</v>
      </c>
      <c r="M251" s="124">
        <f>+HLOOKUP($C251,'parametres articles'!$C$5:$G$25,7,FALSE)</f>
        <v>0.8</v>
      </c>
      <c r="N251" s="124">
        <f>+HLOOKUP($C251,'parametres articles'!$C$5:$G$25,6,FALSE)</f>
        <v>0.4</v>
      </c>
      <c r="O251" s="2">
        <f>+HLOOKUP($C251,'parametres articles'!$C$5:$G$25,8,FALSE)</f>
        <v>0</v>
      </c>
      <c r="P251" s="114">
        <f>IF(C251="E",'parametres articles'!$C$8,HLOOKUP($C251,'parametres articles'!$C$5:$F$25,4,FALSE))</f>
        <v>2.27</v>
      </c>
      <c r="Q251" s="114">
        <f t="shared" si="46"/>
        <v>2.27</v>
      </c>
      <c r="R251" s="2">
        <f t="shared" si="61"/>
        <v>13.62</v>
      </c>
      <c r="S251" s="2">
        <f t="shared" si="62"/>
        <v>24.515999999999998</v>
      </c>
      <c r="T251" s="2">
        <f t="shared" si="63"/>
        <v>58.565999999999995</v>
      </c>
      <c r="U251" s="2">
        <f t="shared" si="64"/>
        <v>72.185999999999993</v>
      </c>
      <c r="V251" s="2">
        <f t="shared" si="65"/>
        <v>24.515999999999998</v>
      </c>
      <c r="W251" s="2">
        <f t="shared" si="66"/>
        <v>34.049999999999997</v>
      </c>
      <c r="X251" s="2">
        <f t="shared" si="67"/>
        <v>13.62</v>
      </c>
      <c r="Y251" s="114">
        <f t="shared" si="68"/>
        <v>31.325999999999997</v>
      </c>
      <c r="AA251" s="11">
        <f t="shared" ca="1" si="57"/>
        <v>251</v>
      </c>
      <c r="AB251" s="11">
        <f ca="1">+AA251+'parametres articles'!$C$9-1</f>
        <v>265</v>
      </c>
      <c r="AC251" s="11">
        <f ca="1">+AA251+'parametres articles'!$C$24-1</f>
        <v>270</v>
      </c>
      <c r="AD251" s="11">
        <f ca="1">+IF(AE251&lt;='parametres articles'!$H$8,0,AA251-'parametres articles'!$H$8+1)</f>
        <v>247</v>
      </c>
      <c r="AE251" s="11">
        <v>247</v>
      </c>
      <c r="AF251" s="2" t="str">
        <f t="shared" ca="1" si="69"/>
        <v>F266</v>
      </c>
      <c r="AG251" s="172"/>
      <c r="AH251" s="2"/>
      <c r="AI251" s="2"/>
      <c r="AJ251" s="2"/>
      <c r="AK251" s="2"/>
      <c r="AL251" s="2"/>
    </row>
    <row r="252" spans="1:38" ht="15.75" thickBot="1" x14ac:dyDescent="0.3">
      <c r="A252" s="166">
        <v>42359</v>
      </c>
      <c r="C252" s="160" t="s">
        <v>21</v>
      </c>
      <c r="D252" s="162">
        <f ca="1">+IF(AD252=0,P252,(SUM(INDIRECT(CONCATENATE("B",AD252,":B",AA252)))/'parametres articles'!$H$8))</f>
        <v>2.2000000000000002</v>
      </c>
      <c r="E252" s="10">
        <f t="shared" si="56"/>
        <v>52</v>
      </c>
      <c r="F252" s="10"/>
      <c r="G252" s="10">
        <f t="shared" si="45"/>
        <v>52</v>
      </c>
      <c r="H252" s="142"/>
      <c r="I252" s="143">
        <f t="shared" si="60"/>
        <v>34.904761904761905</v>
      </c>
      <c r="K252" s="2">
        <f>+HLOOKUP($C252,'parametres articles'!$C$5:$G$25,5,FALSE)</f>
        <v>15</v>
      </c>
      <c r="L252" s="2">
        <f>+HLOOKUP($C252,'parametres articles'!$C$5:$G$25,21,FALSE)</f>
        <v>13</v>
      </c>
      <c r="M252" s="124">
        <f>+HLOOKUP($C252,'parametres articles'!$C$5:$G$25,7,FALSE)</f>
        <v>0.8</v>
      </c>
      <c r="N252" s="124">
        <f>+HLOOKUP($C252,'parametres articles'!$C$5:$G$25,6,FALSE)</f>
        <v>0.4</v>
      </c>
      <c r="O252" s="2">
        <f>+HLOOKUP($C252,'parametres articles'!$C$5:$G$25,8,FALSE)</f>
        <v>0</v>
      </c>
      <c r="P252" s="114">
        <f>IF(C252="E",'parametres articles'!$C$8,HLOOKUP($C252,'parametres articles'!$C$5:$F$25,4,FALSE))</f>
        <v>2.27</v>
      </c>
      <c r="Q252" s="114">
        <f t="shared" si="46"/>
        <v>2.27</v>
      </c>
      <c r="R252" s="2">
        <f t="shared" si="61"/>
        <v>13.62</v>
      </c>
      <c r="S252" s="2">
        <f t="shared" si="62"/>
        <v>24.515999999999998</v>
      </c>
      <c r="T252" s="2">
        <f t="shared" si="63"/>
        <v>58.565999999999995</v>
      </c>
      <c r="U252" s="2">
        <f t="shared" si="64"/>
        <v>72.185999999999993</v>
      </c>
      <c r="V252" s="2">
        <f t="shared" si="65"/>
        <v>24.515999999999998</v>
      </c>
      <c r="W252" s="2">
        <f t="shared" si="66"/>
        <v>34.049999999999997</v>
      </c>
      <c r="X252" s="2">
        <f t="shared" si="67"/>
        <v>13.62</v>
      </c>
      <c r="Y252" s="114">
        <f t="shared" si="68"/>
        <v>31.325999999999997</v>
      </c>
      <c r="AA252" s="11">
        <f t="shared" ca="1" si="57"/>
        <v>252</v>
      </c>
      <c r="AB252" s="11">
        <f ca="1">+AA252+'parametres articles'!$C$9-1</f>
        <v>266</v>
      </c>
      <c r="AC252" s="11">
        <f ca="1">+AA252+'parametres articles'!$C$24-1</f>
        <v>271</v>
      </c>
      <c r="AD252" s="11">
        <f ca="1">+IF(AE252&lt;='parametres articles'!$H$8,0,AA252-'parametres articles'!$H$8+1)</f>
        <v>248</v>
      </c>
      <c r="AE252" s="11">
        <v>248</v>
      </c>
      <c r="AF252" s="2" t="str">
        <f t="shared" ca="1" si="69"/>
        <v>F267</v>
      </c>
      <c r="AG252" s="172"/>
      <c r="AH252" s="2"/>
      <c r="AI252" s="2"/>
      <c r="AJ252" s="2"/>
      <c r="AK252" s="2"/>
      <c r="AL252" s="2"/>
    </row>
    <row r="253" spans="1:38" ht="15.75" thickBot="1" x14ac:dyDescent="0.3">
      <c r="A253" s="166">
        <v>42360</v>
      </c>
      <c r="B253" s="163">
        <v>8</v>
      </c>
      <c r="C253" s="160" t="s">
        <v>21</v>
      </c>
      <c r="D253" s="162">
        <f ca="1">+IF(AD253=0,P253,(SUM(INDIRECT(CONCATENATE("B",AD253,":B",AA253)))/'parametres articles'!$H$8))</f>
        <v>3.6</v>
      </c>
      <c r="E253" s="10">
        <f t="shared" si="56"/>
        <v>52</v>
      </c>
      <c r="F253" s="10"/>
      <c r="G253" s="10">
        <f t="shared" si="45"/>
        <v>44</v>
      </c>
      <c r="H253" s="142"/>
      <c r="I253" s="143">
        <f t="shared" si="60"/>
        <v>35.285714285714285</v>
      </c>
      <c r="K253" s="2">
        <f>+HLOOKUP($C253,'parametres articles'!$C$5:$G$25,5,FALSE)</f>
        <v>15</v>
      </c>
      <c r="L253" s="2">
        <f>+HLOOKUP($C253,'parametres articles'!$C$5:$G$25,21,FALSE)</f>
        <v>13</v>
      </c>
      <c r="M253" s="124">
        <f>+HLOOKUP($C253,'parametres articles'!$C$5:$G$25,7,FALSE)</f>
        <v>0.8</v>
      </c>
      <c r="N253" s="124">
        <f>+HLOOKUP($C253,'parametres articles'!$C$5:$G$25,6,FALSE)</f>
        <v>0.4</v>
      </c>
      <c r="O253" s="2">
        <f>+HLOOKUP($C253,'parametres articles'!$C$5:$G$25,8,FALSE)</f>
        <v>0</v>
      </c>
      <c r="P253" s="114">
        <f>IF(C253="E",'parametres articles'!$C$8,HLOOKUP($C253,'parametres articles'!$C$5:$F$25,4,FALSE))</f>
        <v>2.27</v>
      </c>
      <c r="Q253" s="114">
        <f t="shared" si="46"/>
        <v>2.27</v>
      </c>
      <c r="R253" s="2">
        <f t="shared" si="61"/>
        <v>13.62</v>
      </c>
      <c r="S253" s="2">
        <f t="shared" si="62"/>
        <v>24.515999999999998</v>
      </c>
      <c r="T253" s="2">
        <f t="shared" si="63"/>
        <v>58.565999999999995</v>
      </c>
      <c r="U253" s="2">
        <f t="shared" si="64"/>
        <v>72.185999999999993</v>
      </c>
      <c r="V253" s="2">
        <f t="shared" si="65"/>
        <v>24.515999999999998</v>
      </c>
      <c r="W253" s="2">
        <f t="shared" si="66"/>
        <v>34.049999999999997</v>
      </c>
      <c r="X253" s="2">
        <f t="shared" si="67"/>
        <v>13.62</v>
      </c>
      <c r="Y253" s="114">
        <f t="shared" si="68"/>
        <v>31.325999999999997</v>
      </c>
      <c r="AA253" s="11">
        <f t="shared" ca="1" si="57"/>
        <v>253</v>
      </c>
      <c r="AB253" s="11">
        <f ca="1">+AA253+'parametres articles'!$C$9-1</f>
        <v>267</v>
      </c>
      <c r="AC253" s="11">
        <f ca="1">+AA253+'parametres articles'!$C$24-1</f>
        <v>272</v>
      </c>
      <c r="AD253" s="11">
        <f ca="1">+IF(AE253&lt;='parametres articles'!$H$8,0,AA253-'parametres articles'!$H$8+1)</f>
        <v>249</v>
      </c>
      <c r="AE253" s="11">
        <v>249</v>
      </c>
      <c r="AF253" s="2" t="str">
        <f t="shared" ca="1" si="69"/>
        <v>F268</v>
      </c>
      <c r="AG253" s="172"/>
      <c r="AH253" s="2"/>
      <c r="AI253" s="2"/>
      <c r="AJ253" s="2"/>
      <c r="AK253" s="2"/>
      <c r="AL253" s="2"/>
    </row>
    <row r="254" spans="1:38" ht="15.75" thickBot="1" x14ac:dyDescent="0.3">
      <c r="A254" s="166">
        <v>42361</v>
      </c>
      <c r="C254" s="160" t="s">
        <v>21</v>
      </c>
      <c r="D254" s="162">
        <f ca="1">+IF(AD254=0,P254,(SUM(INDIRECT(CONCATENATE("B",AD254,":B",AA254)))/'parametres articles'!$H$8))</f>
        <v>3.6</v>
      </c>
      <c r="E254" s="10">
        <f t="shared" si="56"/>
        <v>44</v>
      </c>
      <c r="F254" s="10"/>
      <c r="G254" s="10">
        <f t="shared" si="45"/>
        <v>44</v>
      </c>
      <c r="H254" s="142"/>
      <c r="I254" s="143">
        <f t="shared" si="60"/>
        <v>35.285714285714285</v>
      </c>
      <c r="K254" s="2">
        <f>+HLOOKUP($C254,'parametres articles'!$C$5:$G$25,5,FALSE)</f>
        <v>15</v>
      </c>
      <c r="L254" s="2">
        <f>+HLOOKUP($C254,'parametres articles'!$C$5:$G$25,21,FALSE)</f>
        <v>13</v>
      </c>
      <c r="M254" s="124">
        <f>+HLOOKUP($C254,'parametres articles'!$C$5:$G$25,7,FALSE)</f>
        <v>0.8</v>
      </c>
      <c r="N254" s="124">
        <f>+HLOOKUP($C254,'parametres articles'!$C$5:$G$25,6,FALSE)</f>
        <v>0.4</v>
      </c>
      <c r="O254" s="2">
        <f>+HLOOKUP($C254,'parametres articles'!$C$5:$G$25,8,FALSE)</f>
        <v>0</v>
      </c>
      <c r="P254" s="114">
        <f>IF(C254="E",'parametres articles'!$C$8,HLOOKUP($C254,'parametres articles'!$C$5:$F$25,4,FALSE))</f>
        <v>2.27</v>
      </c>
      <c r="Q254" s="114">
        <f t="shared" si="46"/>
        <v>2.27</v>
      </c>
      <c r="R254" s="2">
        <f t="shared" si="61"/>
        <v>13.62</v>
      </c>
      <c r="S254" s="2">
        <f t="shared" si="62"/>
        <v>24.515999999999998</v>
      </c>
      <c r="T254" s="2">
        <f t="shared" si="63"/>
        <v>58.565999999999995</v>
      </c>
      <c r="U254" s="2">
        <f t="shared" si="64"/>
        <v>72.185999999999993</v>
      </c>
      <c r="V254" s="2">
        <f t="shared" si="65"/>
        <v>24.515999999999998</v>
      </c>
      <c r="W254" s="2">
        <f t="shared" si="66"/>
        <v>34.049999999999997</v>
      </c>
      <c r="X254" s="2">
        <f t="shared" si="67"/>
        <v>13.62</v>
      </c>
      <c r="Y254" s="114">
        <f t="shared" si="68"/>
        <v>31.325999999999997</v>
      </c>
      <c r="AA254" s="11">
        <f t="shared" ca="1" si="57"/>
        <v>254</v>
      </c>
      <c r="AB254" s="11">
        <f ca="1">+AA254+'parametres articles'!$C$9-1</f>
        <v>268</v>
      </c>
      <c r="AC254" s="11">
        <f ca="1">+AA254+'parametres articles'!$C$24-1</f>
        <v>273</v>
      </c>
      <c r="AD254" s="11">
        <f ca="1">+IF(AE254&lt;='parametres articles'!$H$8,0,AA254-'parametres articles'!$H$8+1)</f>
        <v>250</v>
      </c>
      <c r="AE254" s="11">
        <v>250</v>
      </c>
      <c r="AF254" s="2" t="str">
        <f t="shared" ca="1" si="69"/>
        <v>F269</v>
      </c>
      <c r="AG254" s="172"/>
      <c r="AH254" s="2"/>
      <c r="AI254" s="2"/>
      <c r="AJ254" s="2"/>
      <c r="AK254" s="2"/>
      <c r="AL254" s="2"/>
    </row>
    <row r="255" spans="1:38" ht="15.75" thickBot="1" x14ac:dyDescent="0.3">
      <c r="A255" s="166">
        <v>42362</v>
      </c>
      <c r="C255" s="160" t="s">
        <v>21</v>
      </c>
      <c r="D255" s="162">
        <f ca="1">+IF(AD255=0,P255,(SUM(INDIRECT(CONCATENATE("B",AD255,":B",AA255)))/'parametres articles'!$H$8))</f>
        <v>1.6</v>
      </c>
      <c r="E255" s="10">
        <f t="shared" si="56"/>
        <v>49</v>
      </c>
      <c r="F255" s="10"/>
      <c r="G255" s="10">
        <f t="shared" si="45"/>
        <v>49</v>
      </c>
      <c r="H255" s="142"/>
      <c r="I255" s="143">
        <f t="shared" si="60"/>
        <v>36.285714285714285</v>
      </c>
      <c r="K255" s="2">
        <f>+HLOOKUP($C255,'parametres articles'!$C$5:$G$25,5,FALSE)</f>
        <v>15</v>
      </c>
      <c r="L255" s="2">
        <f>+HLOOKUP($C255,'parametres articles'!$C$5:$G$25,21,FALSE)</f>
        <v>13</v>
      </c>
      <c r="M255" s="124">
        <f>+HLOOKUP($C255,'parametres articles'!$C$5:$G$25,7,FALSE)</f>
        <v>0.8</v>
      </c>
      <c r="N255" s="124">
        <f>+HLOOKUP($C255,'parametres articles'!$C$5:$G$25,6,FALSE)</f>
        <v>0.4</v>
      </c>
      <c r="O255" s="2">
        <f>+HLOOKUP($C255,'parametres articles'!$C$5:$G$25,8,FALSE)</f>
        <v>0</v>
      </c>
      <c r="P255" s="114">
        <f>IF(C255="E",'parametres articles'!$C$8,HLOOKUP($C255,'parametres articles'!$C$5:$F$25,4,FALSE))</f>
        <v>2.27</v>
      </c>
      <c r="Q255" s="114">
        <f t="shared" si="46"/>
        <v>2.27</v>
      </c>
      <c r="R255" s="2">
        <f t="shared" si="61"/>
        <v>13.62</v>
      </c>
      <c r="S255" s="2">
        <f t="shared" si="62"/>
        <v>24.515999999999998</v>
      </c>
      <c r="T255" s="2">
        <f t="shared" si="63"/>
        <v>58.565999999999995</v>
      </c>
      <c r="U255" s="2">
        <f t="shared" si="64"/>
        <v>72.185999999999993</v>
      </c>
      <c r="V255" s="2">
        <f t="shared" si="65"/>
        <v>24.515999999999998</v>
      </c>
      <c r="W255" s="2">
        <f t="shared" si="66"/>
        <v>34.049999999999997</v>
      </c>
      <c r="X255" s="2">
        <f t="shared" si="67"/>
        <v>13.62</v>
      </c>
      <c r="Y255" s="114">
        <f t="shared" si="68"/>
        <v>31.325999999999997</v>
      </c>
      <c r="AA255" s="11">
        <f t="shared" ca="1" si="57"/>
        <v>255</v>
      </c>
      <c r="AB255" s="11">
        <f ca="1">+AA255+'parametres articles'!$C$9-1</f>
        <v>269</v>
      </c>
      <c r="AC255" s="11">
        <f ca="1">+AA255+'parametres articles'!$C$24-1</f>
        <v>274</v>
      </c>
      <c r="AD255" s="11">
        <f ca="1">+IF(AE255&lt;='parametres articles'!$H$8,0,AA255-'parametres articles'!$H$8+1)</f>
        <v>251</v>
      </c>
      <c r="AE255" s="11">
        <v>251</v>
      </c>
      <c r="AF255" s="2" t="str">
        <f t="shared" ca="1" si="69"/>
        <v>F270</v>
      </c>
      <c r="AG255" s="172">
        <v>5</v>
      </c>
      <c r="AH255" s="2"/>
      <c r="AI255" s="2"/>
      <c r="AJ255" s="2"/>
      <c r="AK255" s="2"/>
      <c r="AL255" s="2"/>
    </row>
    <row r="256" spans="1:38" ht="15.75" thickBot="1" x14ac:dyDescent="0.3">
      <c r="A256" s="166">
        <v>42363</v>
      </c>
      <c r="C256" s="160" t="s">
        <v>21</v>
      </c>
      <c r="D256" s="162">
        <f ca="1">+IF(AD256=0,P256,(SUM(INDIRECT(CONCATENATE("B",AD256,":B",AA256)))/'parametres articles'!$H$8))</f>
        <v>1.6</v>
      </c>
      <c r="E256" s="10">
        <f t="shared" si="56"/>
        <v>49</v>
      </c>
      <c r="F256" s="10"/>
      <c r="G256" s="10">
        <f t="shared" si="45"/>
        <v>49</v>
      </c>
      <c r="H256" s="142"/>
      <c r="I256" s="143">
        <f t="shared" si="60"/>
        <v>37.285714285714285</v>
      </c>
      <c r="K256" s="2">
        <f>+HLOOKUP($C256,'parametres articles'!$C$5:$G$25,5,FALSE)</f>
        <v>15</v>
      </c>
      <c r="L256" s="2">
        <f>+HLOOKUP($C256,'parametres articles'!$C$5:$G$25,21,FALSE)</f>
        <v>13</v>
      </c>
      <c r="M256" s="124">
        <f>+HLOOKUP($C256,'parametres articles'!$C$5:$G$25,7,FALSE)</f>
        <v>0.8</v>
      </c>
      <c r="N256" s="124">
        <f>+HLOOKUP($C256,'parametres articles'!$C$5:$G$25,6,FALSE)</f>
        <v>0.4</v>
      </c>
      <c r="O256" s="2">
        <f>+HLOOKUP($C256,'parametres articles'!$C$5:$G$25,8,FALSE)</f>
        <v>0</v>
      </c>
      <c r="P256" s="114">
        <f>IF(C256="E",'parametres articles'!$C$8,HLOOKUP($C256,'parametres articles'!$C$5:$F$25,4,FALSE))</f>
        <v>2.27</v>
      </c>
      <c r="Q256" s="114">
        <f t="shared" si="46"/>
        <v>2.27</v>
      </c>
      <c r="R256" s="2">
        <f t="shared" si="61"/>
        <v>13.62</v>
      </c>
      <c r="S256" s="2">
        <f t="shared" si="62"/>
        <v>24.515999999999998</v>
      </c>
      <c r="T256" s="2">
        <f t="shared" si="63"/>
        <v>58.565999999999995</v>
      </c>
      <c r="U256" s="2">
        <f t="shared" si="64"/>
        <v>72.185999999999993</v>
      </c>
      <c r="V256" s="2">
        <f t="shared" si="65"/>
        <v>24.515999999999998</v>
      </c>
      <c r="W256" s="2">
        <f t="shared" si="66"/>
        <v>34.049999999999997</v>
      </c>
      <c r="X256" s="2">
        <f t="shared" si="67"/>
        <v>13.62</v>
      </c>
      <c r="Y256" s="114">
        <f t="shared" si="68"/>
        <v>31.325999999999997</v>
      </c>
      <c r="AA256" s="11">
        <f t="shared" ca="1" si="57"/>
        <v>256</v>
      </c>
      <c r="AB256" s="11">
        <f ca="1">+AA256+'parametres articles'!$C$9-1</f>
        <v>270</v>
      </c>
      <c r="AC256" s="11">
        <f ca="1">+AA256+'parametres articles'!$C$24-1</f>
        <v>275</v>
      </c>
      <c r="AD256" s="11">
        <f ca="1">+IF(AE256&lt;='parametres articles'!$H$8,0,AA256-'parametres articles'!$H$8+1)</f>
        <v>252</v>
      </c>
      <c r="AE256" s="11">
        <v>252</v>
      </c>
      <c r="AF256" s="2" t="str">
        <f t="shared" ca="1" si="69"/>
        <v>F271</v>
      </c>
      <c r="AG256" s="172"/>
      <c r="AH256" s="2"/>
      <c r="AI256" s="2"/>
      <c r="AJ256" s="2"/>
      <c r="AK256" s="2"/>
      <c r="AL256" s="2"/>
    </row>
    <row r="257" spans="1:38" ht="15.75" thickBot="1" x14ac:dyDescent="0.3">
      <c r="A257" s="166">
        <v>42366</v>
      </c>
      <c r="C257" s="160" t="s">
        <v>21</v>
      </c>
      <c r="D257" s="162">
        <f ca="1">+IF(AD257=0,P257,(SUM(INDIRECT(CONCATENATE("B",AD257,":B",AA257)))/'parametres articles'!$H$8))</f>
        <v>1.6</v>
      </c>
      <c r="E257" s="10">
        <f t="shared" si="56"/>
        <v>49</v>
      </c>
      <c r="F257" s="10"/>
      <c r="G257" s="10">
        <f t="shared" si="45"/>
        <v>49</v>
      </c>
      <c r="H257" s="142"/>
      <c r="I257" s="143">
        <f t="shared" si="60"/>
        <v>38.428571428571431</v>
      </c>
      <c r="K257" s="2">
        <f>+HLOOKUP($C257,'parametres articles'!$C$5:$G$25,5,FALSE)</f>
        <v>15</v>
      </c>
      <c r="L257" s="2">
        <f>+HLOOKUP($C257,'parametres articles'!$C$5:$G$25,21,FALSE)</f>
        <v>13</v>
      </c>
      <c r="M257" s="124">
        <f>+HLOOKUP($C257,'parametres articles'!$C$5:$G$25,7,FALSE)</f>
        <v>0.8</v>
      </c>
      <c r="N257" s="124">
        <f>+HLOOKUP($C257,'parametres articles'!$C$5:$G$25,6,FALSE)</f>
        <v>0.4</v>
      </c>
      <c r="O257" s="2">
        <f>+HLOOKUP($C257,'parametres articles'!$C$5:$G$25,8,FALSE)</f>
        <v>0</v>
      </c>
      <c r="P257" s="114">
        <f>IF(C257="E",'parametres articles'!$C$8,HLOOKUP($C257,'parametres articles'!$C$5:$F$25,4,FALSE))</f>
        <v>2.27</v>
      </c>
      <c r="Q257" s="114">
        <f t="shared" si="46"/>
        <v>2.27</v>
      </c>
      <c r="R257" s="2">
        <f t="shared" si="61"/>
        <v>13.62</v>
      </c>
      <c r="S257" s="2">
        <f t="shared" si="62"/>
        <v>24.515999999999998</v>
      </c>
      <c r="T257" s="2">
        <f t="shared" si="63"/>
        <v>58.565999999999995</v>
      </c>
      <c r="U257" s="2">
        <f t="shared" si="64"/>
        <v>72.185999999999993</v>
      </c>
      <c r="V257" s="2">
        <f t="shared" si="65"/>
        <v>24.515999999999998</v>
      </c>
      <c r="W257" s="2">
        <f t="shared" si="66"/>
        <v>34.049999999999997</v>
      </c>
      <c r="X257" s="2">
        <f t="shared" si="67"/>
        <v>13.62</v>
      </c>
      <c r="Y257" s="114">
        <f t="shared" si="68"/>
        <v>31.325999999999997</v>
      </c>
      <c r="AA257" s="11">
        <f t="shared" ca="1" si="57"/>
        <v>257</v>
      </c>
      <c r="AB257" s="11">
        <f ca="1">+AA257+'parametres articles'!$C$9-1</f>
        <v>271</v>
      </c>
      <c r="AC257" s="11">
        <f ca="1">+AA257+'parametres articles'!$C$24-1</f>
        <v>276</v>
      </c>
      <c r="AD257" s="11">
        <f ca="1">+IF(AE257&lt;='parametres articles'!$H$8,0,AA257-'parametres articles'!$H$8+1)</f>
        <v>253</v>
      </c>
      <c r="AE257" s="11">
        <v>253</v>
      </c>
      <c r="AF257" s="2" t="str">
        <f t="shared" ca="1" si="69"/>
        <v>F272</v>
      </c>
      <c r="AG257" s="172"/>
      <c r="AH257" s="2"/>
      <c r="AI257" s="2"/>
      <c r="AJ257" s="2"/>
      <c r="AK257" s="2"/>
      <c r="AL257" s="2"/>
    </row>
    <row r="258" spans="1:38" ht="15.75" thickBot="1" x14ac:dyDescent="0.3">
      <c r="A258" s="166">
        <v>42367</v>
      </c>
      <c r="C258" s="160" t="s">
        <v>21</v>
      </c>
      <c r="D258" s="162">
        <f ca="1">+IF(AD258=0,P258,(SUM(INDIRECT(CONCATENATE("B",AD258,":B",AA258)))/'parametres articles'!$H$8))</f>
        <v>0</v>
      </c>
      <c r="E258" s="10">
        <f t="shared" si="56"/>
        <v>49</v>
      </c>
      <c r="F258" s="10"/>
      <c r="G258" s="10">
        <f t="shared" si="45"/>
        <v>49</v>
      </c>
      <c r="H258" s="142"/>
      <c r="I258" s="143">
        <f t="shared" si="60"/>
        <v>38.714285714285715</v>
      </c>
      <c r="K258" s="2">
        <f>+HLOOKUP($C258,'parametres articles'!$C$5:$G$25,5,FALSE)</f>
        <v>15</v>
      </c>
      <c r="L258" s="2">
        <f>+HLOOKUP($C258,'parametres articles'!$C$5:$G$25,21,FALSE)</f>
        <v>13</v>
      </c>
      <c r="M258" s="124">
        <f>+HLOOKUP($C258,'parametres articles'!$C$5:$G$25,7,FALSE)</f>
        <v>0.8</v>
      </c>
      <c r="N258" s="124">
        <f>+HLOOKUP($C258,'parametres articles'!$C$5:$G$25,6,FALSE)</f>
        <v>0.4</v>
      </c>
      <c r="O258" s="2">
        <f>+HLOOKUP($C258,'parametres articles'!$C$5:$G$25,8,FALSE)</f>
        <v>0</v>
      </c>
      <c r="P258" s="114">
        <f>IF(C258="E",'parametres articles'!$C$8,HLOOKUP($C258,'parametres articles'!$C$5:$F$25,4,FALSE))</f>
        <v>2.27</v>
      </c>
      <c r="Q258" s="114">
        <f t="shared" si="46"/>
        <v>2.27</v>
      </c>
      <c r="R258" s="2">
        <f t="shared" si="61"/>
        <v>13.62</v>
      </c>
      <c r="S258" s="2">
        <f t="shared" si="62"/>
        <v>24.515999999999998</v>
      </c>
      <c r="T258" s="2">
        <f t="shared" si="63"/>
        <v>58.565999999999995</v>
      </c>
      <c r="U258" s="2">
        <f t="shared" si="64"/>
        <v>72.185999999999993</v>
      </c>
      <c r="V258" s="2">
        <f t="shared" si="65"/>
        <v>24.515999999999998</v>
      </c>
      <c r="W258" s="2">
        <f t="shared" si="66"/>
        <v>34.049999999999997</v>
      </c>
      <c r="X258" s="2">
        <f t="shared" si="67"/>
        <v>13.62</v>
      </c>
      <c r="Y258" s="114">
        <f t="shared" si="68"/>
        <v>31.325999999999997</v>
      </c>
      <c r="AA258" s="11">
        <f t="shared" ca="1" si="57"/>
        <v>258</v>
      </c>
      <c r="AB258" s="11">
        <f ca="1">+AA258+'parametres articles'!$C$9-1</f>
        <v>272</v>
      </c>
      <c r="AC258" s="11">
        <f ca="1">+AA258+'parametres articles'!$C$24-1</f>
        <v>277</v>
      </c>
      <c r="AD258" s="11">
        <f ca="1">+IF(AE258&lt;='parametres articles'!$H$8,0,AA258-'parametres articles'!$H$8+1)</f>
        <v>254</v>
      </c>
      <c r="AE258" s="11">
        <v>254</v>
      </c>
      <c r="AF258" s="2" t="str">
        <f t="shared" ca="1" si="69"/>
        <v>F273</v>
      </c>
      <c r="AG258" s="172"/>
      <c r="AH258" s="2"/>
      <c r="AI258" s="2"/>
      <c r="AJ258" s="2"/>
      <c r="AK258" s="2"/>
      <c r="AL258" s="2"/>
    </row>
    <row r="259" spans="1:38" ht="15.75" thickBot="1" x14ac:dyDescent="0.3">
      <c r="A259" s="166">
        <v>42368</v>
      </c>
      <c r="C259" s="160" t="s">
        <v>21</v>
      </c>
      <c r="D259" s="162">
        <f ca="1">+IF(AD259=0,P259,(SUM(INDIRECT(CONCATENATE("B",AD259,":B",AA259)))/'parametres articles'!$H$8))</f>
        <v>0</v>
      </c>
      <c r="E259" s="10">
        <f t="shared" si="56"/>
        <v>49</v>
      </c>
      <c r="F259" s="10"/>
      <c r="G259" s="10">
        <f t="shared" si="45"/>
        <v>49</v>
      </c>
      <c r="H259" s="142"/>
      <c r="I259" s="143">
        <f t="shared" si="60"/>
        <v>39.571428571428569</v>
      </c>
      <c r="K259" s="2">
        <f>+HLOOKUP($C259,'parametres articles'!$C$5:$G$25,5,FALSE)</f>
        <v>15</v>
      </c>
      <c r="L259" s="2">
        <f>+HLOOKUP($C259,'parametres articles'!$C$5:$G$25,21,FALSE)</f>
        <v>13</v>
      </c>
      <c r="M259" s="124">
        <f>+HLOOKUP($C259,'parametres articles'!$C$5:$G$25,7,FALSE)</f>
        <v>0.8</v>
      </c>
      <c r="N259" s="124">
        <f>+HLOOKUP($C259,'parametres articles'!$C$5:$G$25,6,FALSE)</f>
        <v>0.4</v>
      </c>
      <c r="O259" s="2">
        <f>+HLOOKUP($C259,'parametres articles'!$C$5:$G$25,8,FALSE)</f>
        <v>0</v>
      </c>
      <c r="P259" s="114">
        <f>IF(C259="E",'parametres articles'!$C$8,HLOOKUP($C259,'parametres articles'!$C$5:$F$25,4,FALSE))</f>
        <v>2.27</v>
      </c>
      <c r="Q259" s="114">
        <f t="shared" si="46"/>
        <v>2.27</v>
      </c>
      <c r="R259" s="2">
        <f t="shared" si="61"/>
        <v>13.62</v>
      </c>
      <c r="S259" s="2">
        <f t="shared" si="62"/>
        <v>24.515999999999998</v>
      </c>
      <c r="T259" s="2">
        <f t="shared" si="63"/>
        <v>58.565999999999995</v>
      </c>
      <c r="U259" s="2">
        <f t="shared" si="64"/>
        <v>72.185999999999993</v>
      </c>
      <c r="V259" s="2">
        <f t="shared" si="65"/>
        <v>24.515999999999998</v>
      </c>
      <c r="W259" s="2">
        <f t="shared" si="66"/>
        <v>34.049999999999997</v>
      </c>
      <c r="X259" s="2">
        <f t="shared" si="67"/>
        <v>13.62</v>
      </c>
      <c r="Y259" s="114">
        <f t="shared" si="68"/>
        <v>31.325999999999997</v>
      </c>
      <c r="AA259" s="11">
        <f t="shared" ca="1" si="57"/>
        <v>259</v>
      </c>
      <c r="AB259" s="11">
        <f ca="1">+AA259+'parametres articles'!$C$9-1</f>
        <v>273</v>
      </c>
      <c r="AC259" s="11">
        <f ca="1">+AA259+'parametres articles'!$C$24-1</f>
        <v>278</v>
      </c>
      <c r="AD259" s="11">
        <f ca="1">+IF(AE259&lt;='parametres articles'!$H$8,0,AA259-'parametres articles'!$H$8+1)</f>
        <v>255</v>
      </c>
      <c r="AE259" s="11">
        <v>255</v>
      </c>
      <c r="AF259" s="2" t="str">
        <f t="shared" ca="1" si="69"/>
        <v>F274</v>
      </c>
      <c r="AG259" s="172"/>
      <c r="AH259" s="2"/>
      <c r="AI259" s="2"/>
      <c r="AJ259" s="2"/>
      <c r="AK259" s="2"/>
      <c r="AL259" s="2"/>
    </row>
    <row r="260" spans="1:38" ht="15.75" thickBot="1" x14ac:dyDescent="0.3">
      <c r="A260" s="166">
        <v>42369</v>
      </c>
      <c r="C260" s="160" t="s">
        <v>21</v>
      </c>
      <c r="D260" s="162">
        <f ca="1">+IF(AD260=0,P260,(SUM(INDIRECT(CONCATENATE("B",AD260,":B",AA260)))/'parametres articles'!$H$8))</f>
        <v>0</v>
      </c>
      <c r="E260" s="10">
        <f t="shared" si="56"/>
        <v>49</v>
      </c>
      <c r="F260" s="10"/>
      <c r="G260" s="10"/>
      <c r="H260" s="142"/>
      <c r="I260" s="143">
        <f t="shared" si="60"/>
        <v>40.428571428571431</v>
      </c>
      <c r="K260" s="2">
        <f>+HLOOKUP($C260,'parametres articles'!$C$5:$G$25,5,FALSE)</f>
        <v>15</v>
      </c>
      <c r="L260" s="2">
        <f>+HLOOKUP($C260,'parametres articles'!$C$5:$G$25,21,FALSE)</f>
        <v>13</v>
      </c>
      <c r="M260" s="124">
        <f>+HLOOKUP($C260,'parametres articles'!$C$5:$G$25,7,FALSE)</f>
        <v>0.8</v>
      </c>
      <c r="N260" s="124">
        <f>+HLOOKUP($C260,'parametres articles'!$C$5:$G$25,6,FALSE)</f>
        <v>0.4</v>
      </c>
      <c r="O260" s="2">
        <f>+HLOOKUP($C260,'parametres articles'!$C$5:$G$25,8,FALSE)</f>
        <v>0</v>
      </c>
      <c r="P260" s="114">
        <f>IF(C260="E",'parametres articles'!$C$8,HLOOKUP($C260,'parametres articles'!$C$5:$F$25,4,FALSE))</f>
        <v>2.27</v>
      </c>
      <c r="Q260" s="114">
        <f t="shared" si="46"/>
        <v>2.27</v>
      </c>
      <c r="R260" s="2">
        <f t="shared" si="61"/>
        <v>13.62</v>
      </c>
      <c r="S260" s="2">
        <f t="shared" si="62"/>
        <v>24.515999999999998</v>
      </c>
      <c r="T260" s="2">
        <f t="shared" si="63"/>
        <v>58.565999999999995</v>
      </c>
      <c r="U260" s="2">
        <f t="shared" si="64"/>
        <v>72.185999999999993</v>
      </c>
      <c r="V260" s="2">
        <f t="shared" si="65"/>
        <v>24.515999999999998</v>
      </c>
      <c r="W260" s="2">
        <f t="shared" si="66"/>
        <v>34.049999999999997</v>
      </c>
      <c r="X260" s="2">
        <f t="shared" si="67"/>
        <v>13.62</v>
      </c>
      <c r="Y260" s="114">
        <f t="shared" si="68"/>
        <v>31.325999999999997</v>
      </c>
      <c r="AA260" s="11">
        <f t="shared" ca="1" si="57"/>
        <v>260</v>
      </c>
      <c r="AB260" s="11">
        <f ca="1">+AA260+'parametres articles'!$C$9-1</f>
        <v>274</v>
      </c>
      <c r="AC260" s="11">
        <f ca="1">+AA260+'parametres articles'!$C$24-1</f>
        <v>279</v>
      </c>
      <c r="AD260" s="11">
        <f ca="1">+IF(AE260&lt;='parametres articles'!$H$8,0,AA260-'parametres articles'!$H$8+1)</f>
        <v>256</v>
      </c>
      <c r="AE260" s="11">
        <v>256</v>
      </c>
      <c r="AF260" s="2" t="str">
        <f t="shared" ca="1" si="69"/>
        <v>F275</v>
      </c>
      <c r="AG260" s="172"/>
      <c r="AH260" s="2"/>
      <c r="AI260" s="2"/>
      <c r="AJ260" s="2"/>
      <c r="AK260" s="2"/>
      <c r="AL260" s="2"/>
    </row>
  </sheetData>
  <autoFilter ref="A4:AJ260"/>
  <conditionalFormatting sqref="AI3">
    <cfRule type="colorScale" priority="9">
      <colorScale>
        <cfvo type="min"/>
        <cfvo type="num" val="0"/>
        <cfvo type="max"/>
        <color rgb="FFF8696B"/>
        <color rgb="FFFFEB84"/>
        <color rgb="FF63BE7B"/>
      </colorScale>
    </cfRule>
  </conditionalFormatting>
  <conditionalFormatting sqref="E5:E260">
    <cfRule type="cellIs" dxfId="18" priority="1" operator="greaterThanOrEqual">
      <formula>T$5</formula>
    </cfRule>
    <cfRule type="cellIs" dxfId="17" priority="2" operator="between">
      <formula>S$5</formula>
      <formula>T$5</formula>
    </cfRule>
    <cfRule type="cellIs" dxfId="16" priority="3" operator="between">
      <formula>R$5</formula>
      <formula>S$5</formula>
    </cfRule>
    <cfRule type="cellIs" dxfId="15" priority="4" operator="lessThanOrEqual">
      <formula>R$5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L57"/>
  <sheetViews>
    <sheetView showGridLines="0" workbookViewId="0">
      <selection activeCell="L12" sqref="L12"/>
    </sheetView>
  </sheetViews>
  <sheetFormatPr baseColWidth="10" defaultRowHeight="15" x14ac:dyDescent="0.25"/>
  <cols>
    <col min="1" max="1" width="5" customWidth="1"/>
    <col min="2" max="2" width="13.42578125" customWidth="1"/>
    <col min="3" max="5" width="12.42578125" customWidth="1"/>
    <col min="6" max="6" width="11.5703125" customWidth="1"/>
    <col min="7" max="7" width="4.85546875" customWidth="1"/>
    <col min="8" max="9" width="3.42578125" customWidth="1"/>
    <col min="10" max="10" width="11.85546875" customWidth="1"/>
  </cols>
  <sheetData>
    <row r="2" spans="1:12" thickBot="1" x14ac:dyDescent="0.35">
      <c r="J2" s="236"/>
      <c r="K2" s="236"/>
      <c r="L2" s="236"/>
    </row>
    <row r="3" spans="1:12" ht="44.45" customHeight="1" thickBot="1" x14ac:dyDescent="0.3">
      <c r="B3" s="4" t="s">
        <v>55</v>
      </c>
      <c r="C3" s="25" t="s">
        <v>51</v>
      </c>
      <c r="D3" s="26" t="s">
        <v>54</v>
      </c>
      <c r="E3" s="27" t="s">
        <v>56</v>
      </c>
      <c r="F3" s="157" t="s">
        <v>48</v>
      </c>
      <c r="J3" s="23" t="s">
        <v>118</v>
      </c>
      <c r="K3" s="24" t="s">
        <v>116</v>
      </c>
      <c r="L3" s="23" t="s">
        <v>117</v>
      </c>
    </row>
    <row r="4" spans="1:12" ht="14.45" customHeight="1" x14ac:dyDescent="0.25">
      <c r="A4" s="223" t="s">
        <v>50</v>
      </c>
      <c r="B4" s="229" t="s">
        <v>57</v>
      </c>
      <c r="C4" s="14" t="s">
        <v>52</v>
      </c>
      <c r="D4" s="17" t="s">
        <v>64</v>
      </c>
      <c r="E4" s="20" t="s">
        <v>67</v>
      </c>
      <c r="F4" s="149" t="s">
        <v>62</v>
      </c>
      <c r="G4" s="223" t="s">
        <v>48</v>
      </c>
      <c r="I4" s="233" t="s">
        <v>130</v>
      </c>
      <c r="J4" s="58" t="s">
        <v>52</v>
      </c>
      <c r="K4" s="28">
        <v>0.2</v>
      </c>
      <c r="L4" s="29">
        <v>0.6</v>
      </c>
    </row>
    <row r="5" spans="1:12" x14ac:dyDescent="0.25">
      <c r="A5" s="225"/>
      <c r="B5" s="230"/>
      <c r="C5" s="15" t="s">
        <v>53</v>
      </c>
      <c r="D5" s="18" t="s">
        <v>65</v>
      </c>
      <c r="E5" s="21" t="s">
        <v>68</v>
      </c>
      <c r="F5" s="150" t="s">
        <v>60</v>
      </c>
      <c r="G5" s="225"/>
      <c r="I5" s="234"/>
      <c r="J5" s="59" t="s">
        <v>53</v>
      </c>
      <c r="K5" s="46">
        <v>0.2</v>
      </c>
      <c r="L5" s="47">
        <v>0.4</v>
      </c>
    </row>
    <row r="6" spans="1:12" x14ac:dyDescent="0.25">
      <c r="A6" s="225"/>
      <c r="B6" s="230"/>
      <c r="C6" s="15" t="s">
        <v>63</v>
      </c>
      <c r="D6" s="18" t="s">
        <v>66</v>
      </c>
      <c r="E6" s="21" t="s">
        <v>69</v>
      </c>
      <c r="F6" s="151" t="s">
        <v>61</v>
      </c>
      <c r="G6" s="225"/>
      <c r="H6" s="4"/>
      <c r="I6" s="234"/>
      <c r="J6" s="59" t="s">
        <v>63</v>
      </c>
      <c r="K6" s="46">
        <v>0.2</v>
      </c>
      <c r="L6" s="47">
        <v>0.2</v>
      </c>
    </row>
    <row r="7" spans="1:12" x14ac:dyDescent="0.25">
      <c r="A7" s="225"/>
      <c r="B7" s="231" t="s">
        <v>58</v>
      </c>
      <c r="C7" s="15" t="s">
        <v>70</v>
      </c>
      <c r="D7" s="18" t="s">
        <v>71</v>
      </c>
      <c r="E7" s="21" t="s">
        <v>72</v>
      </c>
      <c r="F7" s="152" t="s">
        <v>62</v>
      </c>
      <c r="G7" s="225"/>
      <c r="H7" s="4"/>
      <c r="I7" s="234"/>
      <c r="J7" s="59" t="s">
        <v>70</v>
      </c>
      <c r="K7" s="46">
        <v>0.4</v>
      </c>
      <c r="L7" s="47">
        <v>0.6</v>
      </c>
    </row>
    <row r="8" spans="1:12" x14ac:dyDescent="0.25">
      <c r="A8" s="225"/>
      <c r="B8" s="231"/>
      <c r="C8" s="15" t="s">
        <v>73</v>
      </c>
      <c r="D8" s="18" t="s">
        <v>74</v>
      </c>
      <c r="E8" s="21" t="s">
        <v>75</v>
      </c>
      <c r="F8" s="153" t="s">
        <v>60</v>
      </c>
      <c r="G8" s="225"/>
      <c r="H8" s="4"/>
      <c r="I8" s="234"/>
      <c r="J8" s="59" t="s">
        <v>73</v>
      </c>
      <c r="K8" s="46">
        <v>0.4</v>
      </c>
      <c r="L8" s="47">
        <v>0.4</v>
      </c>
    </row>
    <row r="9" spans="1:12" x14ac:dyDescent="0.25">
      <c r="A9" s="225"/>
      <c r="B9" s="231"/>
      <c r="C9" s="15" t="s">
        <v>76</v>
      </c>
      <c r="D9" s="18" t="s">
        <v>77</v>
      </c>
      <c r="E9" s="21" t="s">
        <v>78</v>
      </c>
      <c r="F9" s="154" t="s">
        <v>61</v>
      </c>
      <c r="G9" s="225"/>
      <c r="I9" s="234"/>
      <c r="J9" s="59" t="s">
        <v>76</v>
      </c>
      <c r="K9" s="46">
        <v>0.4</v>
      </c>
      <c r="L9" s="47">
        <v>0.2</v>
      </c>
    </row>
    <row r="10" spans="1:12" x14ac:dyDescent="0.25">
      <c r="A10" s="225"/>
      <c r="B10" s="230" t="s">
        <v>59</v>
      </c>
      <c r="C10" s="15" t="s">
        <v>79</v>
      </c>
      <c r="D10" s="18" t="s">
        <v>80</v>
      </c>
      <c r="E10" s="21" t="s">
        <v>81</v>
      </c>
      <c r="F10" s="155" t="s">
        <v>62</v>
      </c>
      <c r="G10" s="225"/>
      <c r="I10" s="234"/>
      <c r="J10" s="59" t="s">
        <v>79</v>
      </c>
      <c r="K10" s="46">
        <v>0.6</v>
      </c>
      <c r="L10" s="47">
        <v>0.6</v>
      </c>
    </row>
    <row r="11" spans="1:12" x14ac:dyDescent="0.25">
      <c r="A11" s="225"/>
      <c r="B11" s="230"/>
      <c r="C11" s="15" t="s">
        <v>82</v>
      </c>
      <c r="D11" s="18" t="s">
        <v>83</v>
      </c>
      <c r="E11" s="21" t="s">
        <v>84</v>
      </c>
      <c r="F11" s="150" t="s">
        <v>60</v>
      </c>
      <c r="G11" s="225"/>
      <c r="I11" s="234"/>
      <c r="J11" s="59" t="s">
        <v>82</v>
      </c>
      <c r="K11" s="46">
        <v>0.6</v>
      </c>
      <c r="L11" s="47">
        <v>0.4</v>
      </c>
    </row>
    <row r="12" spans="1:12" ht="15.75" thickBot="1" x14ac:dyDescent="0.3">
      <c r="A12" s="227"/>
      <c r="B12" s="232"/>
      <c r="C12" s="16" t="s">
        <v>85</v>
      </c>
      <c r="D12" s="19" t="s">
        <v>86</v>
      </c>
      <c r="E12" s="22" t="s">
        <v>87</v>
      </c>
      <c r="F12" s="156" t="s">
        <v>61</v>
      </c>
      <c r="G12" s="227"/>
      <c r="I12" s="234"/>
      <c r="J12" s="60" t="s">
        <v>85</v>
      </c>
      <c r="K12" s="48">
        <v>0.6</v>
      </c>
      <c r="L12" s="49">
        <v>0.2</v>
      </c>
    </row>
    <row r="13" spans="1:12" ht="14.45" customHeight="1" x14ac:dyDescent="0.25">
      <c r="A13" s="223" t="s">
        <v>115</v>
      </c>
      <c r="B13" s="224"/>
      <c r="C13" s="14" t="s">
        <v>88</v>
      </c>
      <c r="D13" s="17" t="s">
        <v>89</v>
      </c>
      <c r="E13" s="20" t="s">
        <v>90</v>
      </c>
      <c r="F13" s="4"/>
      <c r="G13" s="4"/>
      <c r="H13" s="4"/>
      <c r="I13" s="234"/>
      <c r="J13" s="58" t="s">
        <v>88</v>
      </c>
      <c r="K13" s="28">
        <f>+K4</f>
        <v>0.2</v>
      </c>
      <c r="L13" s="29">
        <f>+L4</f>
        <v>0.6</v>
      </c>
    </row>
    <row r="14" spans="1:12" x14ac:dyDescent="0.25">
      <c r="A14" s="225"/>
      <c r="B14" s="226"/>
      <c r="C14" s="15" t="s">
        <v>91</v>
      </c>
      <c r="D14" s="18" t="s">
        <v>113</v>
      </c>
      <c r="E14" s="21" t="s">
        <v>114</v>
      </c>
      <c r="I14" s="234"/>
      <c r="J14" s="59" t="s">
        <v>91</v>
      </c>
      <c r="K14" s="34">
        <f t="shared" ref="K14:L14" si="0">+K5</f>
        <v>0.2</v>
      </c>
      <c r="L14" s="35">
        <f t="shared" si="0"/>
        <v>0.4</v>
      </c>
    </row>
    <row r="15" spans="1:12" x14ac:dyDescent="0.25">
      <c r="A15" s="225"/>
      <c r="B15" s="226"/>
      <c r="C15" s="15" t="s">
        <v>92</v>
      </c>
      <c r="D15" s="18" t="s">
        <v>93</v>
      </c>
      <c r="E15" s="21" t="s">
        <v>94</v>
      </c>
      <c r="I15" s="234"/>
      <c r="J15" s="59" t="s">
        <v>92</v>
      </c>
      <c r="K15" s="34">
        <f t="shared" ref="K15:L15" si="1">+K6</f>
        <v>0.2</v>
      </c>
      <c r="L15" s="35">
        <f t="shared" si="1"/>
        <v>0.2</v>
      </c>
    </row>
    <row r="16" spans="1:12" x14ac:dyDescent="0.25">
      <c r="A16" s="225"/>
      <c r="B16" s="226"/>
      <c r="C16" s="15" t="s">
        <v>95</v>
      </c>
      <c r="D16" s="18" t="s">
        <v>96</v>
      </c>
      <c r="E16" s="21" t="s">
        <v>97</v>
      </c>
      <c r="I16" s="234"/>
      <c r="J16" s="59" t="s">
        <v>95</v>
      </c>
      <c r="K16" s="34">
        <f t="shared" ref="K16:L16" si="2">+K7</f>
        <v>0.4</v>
      </c>
      <c r="L16" s="35">
        <f t="shared" si="2"/>
        <v>0.6</v>
      </c>
    </row>
    <row r="17" spans="1:12" x14ac:dyDescent="0.25">
      <c r="A17" s="225"/>
      <c r="B17" s="226"/>
      <c r="C17" s="15" t="s">
        <v>98</v>
      </c>
      <c r="D17" s="18" t="s">
        <v>99</v>
      </c>
      <c r="E17" s="21" t="s">
        <v>100</v>
      </c>
      <c r="I17" s="234"/>
      <c r="J17" s="59" t="s">
        <v>98</v>
      </c>
      <c r="K17" s="34">
        <f t="shared" ref="K17:L17" si="3">+K8</f>
        <v>0.4</v>
      </c>
      <c r="L17" s="35">
        <f t="shared" si="3"/>
        <v>0.4</v>
      </c>
    </row>
    <row r="18" spans="1:12" x14ac:dyDescent="0.25">
      <c r="A18" s="225"/>
      <c r="B18" s="226"/>
      <c r="C18" s="15" t="s">
        <v>101</v>
      </c>
      <c r="D18" s="18" t="s">
        <v>102</v>
      </c>
      <c r="E18" s="21" t="s">
        <v>103</v>
      </c>
      <c r="I18" s="234"/>
      <c r="J18" s="59" t="s">
        <v>101</v>
      </c>
      <c r="K18" s="34">
        <f t="shared" ref="K18:L18" si="4">+K9</f>
        <v>0.4</v>
      </c>
      <c r="L18" s="35">
        <f t="shared" si="4"/>
        <v>0.2</v>
      </c>
    </row>
    <row r="19" spans="1:12" x14ac:dyDescent="0.25">
      <c r="A19" s="225"/>
      <c r="B19" s="226"/>
      <c r="C19" s="15" t="s">
        <v>104</v>
      </c>
      <c r="D19" s="18" t="s">
        <v>105</v>
      </c>
      <c r="E19" s="21" t="s">
        <v>106</v>
      </c>
      <c r="I19" s="234"/>
      <c r="J19" s="59" t="s">
        <v>104</v>
      </c>
      <c r="K19" s="34">
        <f t="shared" ref="K19:L19" si="5">+K10</f>
        <v>0.6</v>
      </c>
      <c r="L19" s="35">
        <f t="shared" si="5"/>
        <v>0.6</v>
      </c>
    </row>
    <row r="20" spans="1:12" x14ac:dyDescent="0.25">
      <c r="A20" s="225"/>
      <c r="B20" s="226"/>
      <c r="C20" s="15" t="s">
        <v>107</v>
      </c>
      <c r="D20" s="18" t="s">
        <v>108</v>
      </c>
      <c r="E20" s="21" t="s">
        <v>109</v>
      </c>
      <c r="I20" s="234"/>
      <c r="J20" s="59" t="s">
        <v>107</v>
      </c>
      <c r="K20" s="34">
        <f t="shared" ref="K20:L20" si="6">+K11</f>
        <v>0.6</v>
      </c>
      <c r="L20" s="35">
        <f t="shared" si="6"/>
        <v>0.4</v>
      </c>
    </row>
    <row r="21" spans="1:12" ht="15.75" thickBot="1" x14ac:dyDescent="0.3">
      <c r="A21" s="227"/>
      <c r="B21" s="228"/>
      <c r="C21" s="16" t="s">
        <v>110</v>
      </c>
      <c r="D21" s="19" t="s">
        <v>111</v>
      </c>
      <c r="E21" s="22" t="s">
        <v>112</v>
      </c>
      <c r="I21" s="235"/>
      <c r="J21" s="60" t="s">
        <v>110</v>
      </c>
      <c r="K21" s="40">
        <f t="shared" ref="K21:L21" si="7">+K12</f>
        <v>0.6</v>
      </c>
      <c r="L21" s="41">
        <f t="shared" si="7"/>
        <v>0.2</v>
      </c>
    </row>
    <row r="22" spans="1:12" x14ac:dyDescent="0.25">
      <c r="I22" s="233" t="s">
        <v>131</v>
      </c>
      <c r="J22" s="61" t="s">
        <v>64</v>
      </c>
      <c r="K22" s="50">
        <v>0.2</v>
      </c>
      <c r="L22" s="51">
        <v>0.6</v>
      </c>
    </row>
    <row r="23" spans="1:12" x14ac:dyDescent="0.25">
      <c r="C23" s="57" t="s">
        <v>119</v>
      </c>
      <c r="D23" s="54" t="s">
        <v>50</v>
      </c>
      <c r="E23" s="55" t="s">
        <v>125</v>
      </c>
      <c r="I23" s="234"/>
      <c r="J23" s="62" t="s">
        <v>65</v>
      </c>
      <c r="K23" s="36">
        <v>0.2</v>
      </c>
      <c r="L23" s="37">
        <v>0.4</v>
      </c>
    </row>
    <row r="24" spans="1:12" x14ac:dyDescent="0.25">
      <c r="C24" s="56" t="s">
        <v>120</v>
      </c>
      <c r="D24" s="54" t="s">
        <v>122</v>
      </c>
      <c r="E24" s="55" t="s">
        <v>126</v>
      </c>
      <c r="I24" s="234"/>
      <c r="J24" s="62" t="s">
        <v>66</v>
      </c>
      <c r="K24" s="36">
        <v>0.2</v>
      </c>
      <c r="L24" s="37">
        <v>0.2</v>
      </c>
    </row>
    <row r="25" spans="1:12" x14ac:dyDescent="0.25">
      <c r="C25" s="56" t="s">
        <v>121</v>
      </c>
      <c r="D25" s="54" t="s">
        <v>123</v>
      </c>
      <c r="E25" s="55" t="s">
        <v>123</v>
      </c>
      <c r="I25" s="234"/>
      <c r="J25" s="62" t="s">
        <v>71</v>
      </c>
      <c r="K25" s="36">
        <v>0.4</v>
      </c>
      <c r="L25" s="37">
        <v>0.6</v>
      </c>
    </row>
    <row r="26" spans="1:12" x14ac:dyDescent="0.25">
      <c r="C26" s="56" t="s">
        <v>49</v>
      </c>
      <c r="D26" s="54" t="s">
        <v>124</v>
      </c>
      <c r="E26" s="55" t="s">
        <v>127</v>
      </c>
      <c r="I26" s="234"/>
      <c r="J26" s="62" t="s">
        <v>74</v>
      </c>
      <c r="K26" s="36">
        <v>0.4</v>
      </c>
      <c r="L26" s="37">
        <v>0.4</v>
      </c>
    </row>
    <row r="27" spans="1:12" x14ac:dyDescent="0.25">
      <c r="I27" s="234"/>
      <c r="J27" s="62" t="s">
        <v>77</v>
      </c>
      <c r="K27" s="36">
        <v>0.4</v>
      </c>
      <c r="L27" s="37">
        <v>0.2</v>
      </c>
    </row>
    <row r="28" spans="1:12" x14ac:dyDescent="0.25">
      <c r="I28" s="234"/>
      <c r="J28" s="62" t="s">
        <v>80</v>
      </c>
      <c r="K28" s="36">
        <v>0.6</v>
      </c>
      <c r="L28" s="37">
        <v>0.6</v>
      </c>
    </row>
    <row r="29" spans="1:12" x14ac:dyDescent="0.25">
      <c r="I29" s="234"/>
      <c r="J29" s="62" t="s">
        <v>83</v>
      </c>
      <c r="K29" s="36">
        <v>0.6</v>
      </c>
      <c r="L29" s="37">
        <v>0.4</v>
      </c>
    </row>
    <row r="30" spans="1:12" ht="15.75" thickBot="1" x14ac:dyDescent="0.3">
      <c r="I30" s="234"/>
      <c r="J30" s="63" t="s">
        <v>86</v>
      </c>
      <c r="K30" s="42">
        <v>0.6</v>
      </c>
      <c r="L30" s="43">
        <v>0.2</v>
      </c>
    </row>
    <row r="31" spans="1:12" x14ac:dyDescent="0.25">
      <c r="I31" s="234"/>
      <c r="J31" s="64" t="s">
        <v>89</v>
      </c>
      <c r="K31" s="30">
        <f>+K22</f>
        <v>0.2</v>
      </c>
      <c r="L31" s="31">
        <f>+L22</f>
        <v>0.6</v>
      </c>
    </row>
    <row r="32" spans="1:12" x14ac:dyDescent="0.25">
      <c r="I32" s="234"/>
      <c r="J32" s="65" t="s">
        <v>113</v>
      </c>
      <c r="K32" s="36">
        <f t="shared" ref="K32:L32" si="8">+K23</f>
        <v>0.2</v>
      </c>
      <c r="L32" s="37">
        <f t="shared" si="8"/>
        <v>0.4</v>
      </c>
    </row>
    <row r="33" spans="9:12" x14ac:dyDescent="0.25">
      <c r="I33" s="234"/>
      <c r="J33" s="65" t="s">
        <v>93</v>
      </c>
      <c r="K33" s="36">
        <f t="shared" ref="K33:L33" si="9">+K24</f>
        <v>0.2</v>
      </c>
      <c r="L33" s="37">
        <f t="shared" si="9"/>
        <v>0.2</v>
      </c>
    </row>
    <row r="34" spans="9:12" x14ac:dyDescent="0.25">
      <c r="I34" s="234"/>
      <c r="J34" s="65" t="s">
        <v>96</v>
      </c>
      <c r="K34" s="36">
        <f t="shared" ref="K34:L34" si="10">+K25</f>
        <v>0.4</v>
      </c>
      <c r="L34" s="37">
        <f t="shared" si="10"/>
        <v>0.6</v>
      </c>
    </row>
    <row r="35" spans="9:12" x14ac:dyDescent="0.25">
      <c r="I35" s="234"/>
      <c r="J35" s="65" t="s">
        <v>99</v>
      </c>
      <c r="K35" s="36">
        <f t="shared" ref="K35:L35" si="11">+K26</f>
        <v>0.4</v>
      </c>
      <c r="L35" s="37">
        <f t="shared" si="11"/>
        <v>0.4</v>
      </c>
    </row>
    <row r="36" spans="9:12" x14ac:dyDescent="0.25">
      <c r="I36" s="234"/>
      <c r="J36" s="65" t="s">
        <v>102</v>
      </c>
      <c r="K36" s="36">
        <f t="shared" ref="K36:L36" si="12">+K27</f>
        <v>0.4</v>
      </c>
      <c r="L36" s="37">
        <f t="shared" si="12"/>
        <v>0.2</v>
      </c>
    </row>
    <row r="37" spans="9:12" x14ac:dyDescent="0.25">
      <c r="I37" s="234"/>
      <c r="J37" s="65" t="s">
        <v>105</v>
      </c>
      <c r="K37" s="36">
        <f t="shared" ref="K37:L37" si="13">+K28</f>
        <v>0.6</v>
      </c>
      <c r="L37" s="37">
        <f t="shared" si="13"/>
        <v>0.6</v>
      </c>
    </row>
    <row r="38" spans="9:12" x14ac:dyDescent="0.25">
      <c r="I38" s="234"/>
      <c r="J38" s="65" t="s">
        <v>108</v>
      </c>
      <c r="K38" s="36">
        <f t="shared" ref="K38:L38" si="14">+K29</f>
        <v>0.6</v>
      </c>
      <c r="L38" s="37">
        <f t="shared" si="14"/>
        <v>0.4</v>
      </c>
    </row>
    <row r="39" spans="9:12" ht="15.75" thickBot="1" x14ac:dyDescent="0.3">
      <c r="I39" s="235"/>
      <c r="J39" s="66" t="s">
        <v>111</v>
      </c>
      <c r="K39" s="42">
        <f t="shared" ref="K39:L39" si="15">+K30</f>
        <v>0.6</v>
      </c>
      <c r="L39" s="43">
        <f t="shared" si="15"/>
        <v>0.2</v>
      </c>
    </row>
    <row r="40" spans="9:12" x14ac:dyDescent="0.25">
      <c r="I40" s="233" t="s">
        <v>132</v>
      </c>
      <c r="J40" s="67" t="s">
        <v>67</v>
      </c>
      <c r="K40" s="52">
        <v>0.2</v>
      </c>
      <c r="L40" s="53">
        <v>0.6</v>
      </c>
    </row>
    <row r="41" spans="9:12" x14ac:dyDescent="0.25">
      <c r="I41" s="234"/>
      <c r="J41" s="68" t="s">
        <v>68</v>
      </c>
      <c r="K41" s="38">
        <v>0.2</v>
      </c>
      <c r="L41" s="39">
        <v>0.4</v>
      </c>
    </row>
    <row r="42" spans="9:12" x14ac:dyDescent="0.25">
      <c r="I42" s="234"/>
      <c r="J42" s="68" t="s">
        <v>69</v>
      </c>
      <c r="K42" s="38">
        <v>0.2</v>
      </c>
      <c r="L42" s="39">
        <v>0.2</v>
      </c>
    </row>
    <row r="43" spans="9:12" x14ac:dyDescent="0.25">
      <c r="I43" s="234"/>
      <c r="J43" s="68" t="s">
        <v>72</v>
      </c>
      <c r="K43" s="38">
        <v>0.4</v>
      </c>
      <c r="L43" s="39">
        <v>0.6</v>
      </c>
    </row>
    <row r="44" spans="9:12" x14ac:dyDescent="0.25">
      <c r="I44" s="234"/>
      <c r="J44" s="68" t="s">
        <v>75</v>
      </c>
      <c r="K44" s="38">
        <v>0.4</v>
      </c>
      <c r="L44" s="39">
        <v>0.4</v>
      </c>
    </row>
    <row r="45" spans="9:12" x14ac:dyDescent="0.25">
      <c r="I45" s="234"/>
      <c r="J45" s="68" t="s">
        <v>78</v>
      </c>
      <c r="K45" s="38">
        <v>0.4</v>
      </c>
      <c r="L45" s="39">
        <v>0.2</v>
      </c>
    </row>
    <row r="46" spans="9:12" x14ac:dyDescent="0.25">
      <c r="I46" s="234"/>
      <c r="J46" s="68" t="s">
        <v>81</v>
      </c>
      <c r="K46" s="38">
        <v>0.6</v>
      </c>
      <c r="L46" s="39">
        <v>0.6</v>
      </c>
    </row>
    <row r="47" spans="9:12" x14ac:dyDescent="0.25">
      <c r="I47" s="234"/>
      <c r="J47" s="68" t="s">
        <v>84</v>
      </c>
      <c r="K47" s="38">
        <v>0.6</v>
      </c>
      <c r="L47" s="39">
        <v>0.4</v>
      </c>
    </row>
    <row r="48" spans="9:12" ht="15.75" thickBot="1" x14ac:dyDescent="0.3">
      <c r="I48" s="234"/>
      <c r="J48" s="69" t="s">
        <v>87</v>
      </c>
      <c r="K48" s="44">
        <v>0.6</v>
      </c>
      <c r="L48" s="45">
        <v>0.2</v>
      </c>
    </row>
    <row r="49" spans="9:12" x14ac:dyDescent="0.25">
      <c r="I49" s="234"/>
      <c r="J49" s="70" t="s">
        <v>90</v>
      </c>
      <c r="K49" s="32">
        <f>+K40</f>
        <v>0.2</v>
      </c>
      <c r="L49" s="33">
        <f>+L40</f>
        <v>0.6</v>
      </c>
    </row>
    <row r="50" spans="9:12" x14ac:dyDescent="0.25">
      <c r="I50" s="234"/>
      <c r="J50" s="71" t="s">
        <v>114</v>
      </c>
      <c r="K50" s="38">
        <f t="shared" ref="K50:L50" si="16">+K41</f>
        <v>0.2</v>
      </c>
      <c r="L50" s="39">
        <f t="shared" si="16"/>
        <v>0.4</v>
      </c>
    </row>
    <row r="51" spans="9:12" x14ac:dyDescent="0.25">
      <c r="I51" s="234"/>
      <c r="J51" s="71" t="s">
        <v>94</v>
      </c>
      <c r="K51" s="38">
        <f t="shared" ref="K51:L51" si="17">+K42</f>
        <v>0.2</v>
      </c>
      <c r="L51" s="39">
        <f t="shared" si="17"/>
        <v>0.2</v>
      </c>
    </row>
    <row r="52" spans="9:12" x14ac:dyDescent="0.25">
      <c r="I52" s="234"/>
      <c r="J52" s="71" t="s">
        <v>97</v>
      </c>
      <c r="K52" s="38">
        <f t="shared" ref="K52:L52" si="18">+K43</f>
        <v>0.4</v>
      </c>
      <c r="L52" s="39">
        <f t="shared" si="18"/>
        <v>0.6</v>
      </c>
    </row>
    <row r="53" spans="9:12" x14ac:dyDescent="0.25">
      <c r="I53" s="234"/>
      <c r="J53" s="71" t="s">
        <v>100</v>
      </c>
      <c r="K53" s="38">
        <f t="shared" ref="K53:L53" si="19">+K44</f>
        <v>0.4</v>
      </c>
      <c r="L53" s="39">
        <f t="shared" si="19"/>
        <v>0.4</v>
      </c>
    </row>
    <row r="54" spans="9:12" x14ac:dyDescent="0.25">
      <c r="I54" s="234"/>
      <c r="J54" s="71" t="s">
        <v>103</v>
      </c>
      <c r="K54" s="38">
        <f t="shared" ref="K54:L54" si="20">+K45</f>
        <v>0.4</v>
      </c>
      <c r="L54" s="39">
        <f t="shared" si="20"/>
        <v>0.2</v>
      </c>
    </row>
    <row r="55" spans="9:12" x14ac:dyDescent="0.25">
      <c r="I55" s="234"/>
      <c r="J55" s="71" t="s">
        <v>106</v>
      </c>
      <c r="K55" s="38">
        <f t="shared" ref="K55:L55" si="21">+K46</f>
        <v>0.6</v>
      </c>
      <c r="L55" s="39">
        <f t="shared" si="21"/>
        <v>0.6</v>
      </c>
    </row>
    <row r="56" spans="9:12" x14ac:dyDescent="0.25">
      <c r="I56" s="234"/>
      <c r="J56" s="71" t="s">
        <v>109</v>
      </c>
      <c r="K56" s="38">
        <f t="shared" ref="K56:L56" si="22">+K47</f>
        <v>0.6</v>
      </c>
      <c r="L56" s="39">
        <f t="shared" si="22"/>
        <v>0.4</v>
      </c>
    </row>
    <row r="57" spans="9:12" ht="15.75" thickBot="1" x14ac:dyDescent="0.3">
      <c r="I57" s="235"/>
      <c r="J57" s="72" t="s">
        <v>112</v>
      </c>
      <c r="K57" s="44">
        <f t="shared" ref="K57:L57" si="23">+K48</f>
        <v>0.6</v>
      </c>
      <c r="L57" s="45">
        <f t="shared" si="23"/>
        <v>0.2</v>
      </c>
    </row>
  </sheetData>
  <mergeCells count="10">
    <mergeCell ref="I22:I39"/>
    <mergeCell ref="I40:I57"/>
    <mergeCell ref="J2:L2"/>
    <mergeCell ref="G4:G12"/>
    <mergeCell ref="I4:I21"/>
    <mergeCell ref="A13:B21"/>
    <mergeCell ref="B4:B6"/>
    <mergeCell ref="B7:B9"/>
    <mergeCell ref="B10:B12"/>
    <mergeCell ref="A4:A12"/>
  </mergeCells>
  <pageMargins left="0.70866141732283472" right="0.70866141732283472" top="0.74803149606299213" bottom="0.74803149606299213" header="0.31496062992125984" footer="0.31496062992125984"/>
  <pageSetup paperSize="9" scale="77" orientation="portrait" r:id="rId1"/>
  <headerFooter>
    <oddHeader>&amp;L&amp;"-,Gras"&amp;12BELIER ASSOCIES&amp;C&amp;"-,Gras"&amp;12PROFIL DE PLANIFICATION
DD MRP&amp;R&amp;F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8"/>
  <sheetViews>
    <sheetView showGridLines="0" workbookViewId="0">
      <selection activeCell="K7" sqref="K7"/>
    </sheetView>
  </sheetViews>
  <sheetFormatPr baseColWidth="10" defaultRowHeight="15" x14ac:dyDescent="0.25"/>
  <cols>
    <col min="1" max="1" width="21" bestFit="1" customWidth="1"/>
    <col min="2" max="2" width="16.140625" bestFit="1" customWidth="1"/>
    <col min="3" max="3" width="3.7109375" customWidth="1"/>
    <col min="4" max="4" width="21" bestFit="1" customWidth="1"/>
    <col min="5" max="5" width="15.5703125" bestFit="1" customWidth="1"/>
    <col min="6" max="6" width="3.7109375" customWidth="1"/>
    <col min="7" max="7" width="21" bestFit="1" customWidth="1"/>
    <col min="8" max="8" width="25.140625" bestFit="1" customWidth="1"/>
  </cols>
  <sheetData>
    <row r="1" spans="1:8" x14ac:dyDescent="0.25">
      <c r="A1" s="237" t="s">
        <v>162</v>
      </c>
      <c r="B1" s="238"/>
      <c r="C1" s="209"/>
      <c r="D1" s="237" t="s">
        <v>164</v>
      </c>
      <c r="E1" s="238"/>
      <c r="F1" s="210"/>
      <c r="G1" s="237" t="s">
        <v>165</v>
      </c>
      <c r="H1" s="238"/>
    </row>
    <row r="2" spans="1:8" ht="15.75" thickBot="1" x14ac:dyDescent="0.3">
      <c r="A2" s="239"/>
      <c r="B2" s="240"/>
      <c r="C2" s="209"/>
      <c r="D2" s="239"/>
      <c r="E2" s="240"/>
      <c r="F2" s="210"/>
      <c r="G2" s="239"/>
      <c r="H2" s="240"/>
    </row>
    <row r="3" spans="1:8" x14ac:dyDescent="0.25">
      <c r="A3" s="216" t="s">
        <v>157</v>
      </c>
      <c r="B3" s="217" t="s">
        <v>161</v>
      </c>
      <c r="C3" s="3"/>
      <c r="D3" s="216" t="s">
        <v>157</v>
      </c>
      <c r="E3" s="217" t="s">
        <v>163</v>
      </c>
      <c r="F3" s="3"/>
      <c r="G3" s="216" t="s">
        <v>157</v>
      </c>
      <c r="H3" s="217" t="s">
        <v>159</v>
      </c>
    </row>
    <row r="4" spans="1:8" x14ac:dyDescent="0.25">
      <c r="A4" s="212">
        <v>42011</v>
      </c>
      <c r="B4" s="213">
        <v>11</v>
      </c>
      <c r="C4" s="211"/>
      <c r="D4" s="212">
        <v>42013</v>
      </c>
      <c r="E4" s="213">
        <v>10</v>
      </c>
      <c r="F4" s="3"/>
      <c r="G4" s="212">
        <v>42012</v>
      </c>
      <c r="H4" s="213">
        <v>-1</v>
      </c>
    </row>
    <row r="5" spans="1:8" x14ac:dyDescent="0.25">
      <c r="A5" s="212">
        <v>42017</v>
      </c>
      <c r="B5" s="213">
        <v>1</v>
      </c>
      <c r="C5" s="211"/>
      <c r="D5" s="212">
        <v>42030</v>
      </c>
      <c r="E5" s="213">
        <v>38</v>
      </c>
      <c r="F5" s="3"/>
      <c r="G5" s="212">
        <v>42024</v>
      </c>
      <c r="H5" s="213">
        <v>-1</v>
      </c>
    </row>
    <row r="6" spans="1:8" x14ac:dyDescent="0.25">
      <c r="A6" s="212">
        <v>42024</v>
      </c>
      <c r="B6" s="213">
        <v>4</v>
      </c>
      <c r="C6" s="211"/>
      <c r="D6" s="212">
        <v>42041</v>
      </c>
      <c r="E6" s="213">
        <v>20</v>
      </c>
      <c r="F6" s="3"/>
      <c r="G6" s="212">
        <v>42031</v>
      </c>
      <c r="H6" s="213">
        <v>-1</v>
      </c>
    </row>
    <row r="7" spans="1:8" x14ac:dyDescent="0.25">
      <c r="A7" s="212">
        <v>42027</v>
      </c>
      <c r="B7" s="213">
        <v>10</v>
      </c>
      <c r="C7" s="211"/>
      <c r="D7" s="212">
        <v>42069</v>
      </c>
      <c r="E7" s="213">
        <v>13</v>
      </c>
      <c r="F7" s="3"/>
      <c r="G7" s="212">
        <v>42048</v>
      </c>
      <c r="H7" s="213">
        <v>-1</v>
      </c>
    </row>
    <row r="8" spans="1:8" x14ac:dyDescent="0.25">
      <c r="A8" s="212">
        <v>42037</v>
      </c>
      <c r="B8" s="213">
        <v>2</v>
      </c>
      <c r="C8" s="211"/>
      <c r="D8" s="212">
        <v>42076</v>
      </c>
      <c r="E8" s="213">
        <v>4</v>
      </c>
      <c r="F8" s="3"/>
      <c r="G8" s="212">
        <v>42067</v>
      </c>
      <c r="H8" s="213">
        <v>-1</v>
      </c>
    </row>
    <row r="9" spans="1:8" x14ac:dyDescent="0.25">
      <c r="A9" s="212">
        <v>42047</v>
      </c>
      <c r="B9" s="213">
        <v>1</v>
      </c>
      <c r="C9" s="211"/>
      <c r="D9" s="212">
        <v>42083</v>
      </c>
      <c r="E9" s="213">
        <v>22</v>
      </c>
      <c r="F9" s="3"/>
      <c r="G9" s="212">
        <v>42082</v>
      </c>
      <c r="H9" s="213">
        <v>-3</v>
      </c>
    </row>
    <row r="10" spans="1:8" x14ac:dyDescent="0.25">
      <c r="A10" s="212">
        <v>42048</v>
      </c>
      <c r="B10" s="213">
        <v>8</v>
      </c>
      <c r="C10" s="211"/>
      <c r="D10" s="212">
        <v>42090</v>
      </c>
      <c r="E10" s="213">
        <v>71</v>
      </c>
      <c r="F10" s="3"/>
      <c r="G10" s="212">
        <v>42089</v>
      </c>
      <c r="H10" s="213">
        <v>-4</v>
      </c>
    </row>
    <row r="11" spans="1:8" x14ac:dyDescent="0.25">
      <c r="A11" s="212">
        <v>42051</v>
      </c>
      <c r="B11" s="213">
        <v>2</v>
      </c>
      <c r="C11" s="211"/>
      <c r="D11" s="212">
        <v>42097</v>
      </c>
      <c r="E11" s="213">
        <v>22</v>
      </c>
      <c r="F11" s="3"/>
      <c r="G11" s="212">
        <v>42103</v>
      </c>
      <c r="H11" s="213">
        <v>-1</v>
      </c>
    </row>
    <row r="12" spans="1:8" x14ac:dyDescent="0.25">
      <c r="A12" s="212">
        <v>42058</v>
      </c>
      <c r="B12" s="213">
        <v>15</v>
      </c>
      <c r="C12" s="211"/>
      <c r="D12" s="212">
        <v>42111</v>
      </c>
      <c r="E12" s="213">
        <v>11</v>
      </c>
      <c r="F12" s="3"/>
      <c r="G12" s="212">
        <v>42110</v>
      </c>
      <c r="H12" s="213">
        <v>-4</v>
      </c>
    </row>
    <row r="13" spans="1:8" x14ac:dyDescent="0.25">
      <c r="A13" s="212">
        <v>42068</v>
      </c>
      <c r="B13" s="213">
        <v>2</v>
      </c>
      <c r="C13" s="211"/>
      <c r="D13" s="212">
        <v>42118</v>
      </c>
      <c r="E13" s="213">
        <v>50</v>
      </c>
      <c r="F13" s="3"/>
      <c r="G13" s="212">
        <v>42111</v>
      </c>
      <c r="H13" s="213">
        <v>-6</v>
      </c>
    </row>
    <row r="14" spans="1:8" x14ac:dyDescent="0.25">
      <c r="A14" s="212">
        <v>42072</v>
      </c>
      <c r="B14" s="213">
        <v>1</v>
      </c>
      <c r="C14" s="211"/>
      <c r="D14" s="212">
        <v>42128</v>
      </c>
      <c r="E14" s="213">
        <v>3</v>
      </c>
      <c r="F14" s="3"/>
      <c r="G14" s="212">
        <v>42118</v>
      </c>
      <c r="H14" s="213">
        <v>-5</v>
      </c>
    </row>
    <row r="15" spans="1:8" x14ac:dyDescent="0.25">
      <c r="A15" s="212">
        <v>42073</v>
      </c>
      <c r="B15" s="213">
        <v>6</v>
      </c>
      <c r="C15" s="211"/>
      <c r="D15" s="212">
        <v>42135</v>
      </c>
      <c r="E15" s="213">
        <v>20</v>
      </c>
      <c r="F15" s="3"/>
      <c r="G15" s="212">
        <v>42122</v>
      </c>
      <c r="H15" s="213">
        <v>-1</v>
      </c>
    </row>
    <row r="16" spans="1:8" x14ac:dyDescent="0.25">
      <c r="A16" s="212">
        <v>42080</v>
      </c>
      <c r="B16" s="213">
        <v>10</v>
      </c>
      <c r="C16" s="211"/>
      <c r="D16" s="212">
        <v>42142</v>
      </c>
      <c r="E16" s="213">
        <v>42</v>
      </c>
      <c r="F16" s="3"/>
      <c r="G16" s="212">
        <v>42135</v>
      </c>
      <c r="H16" s="213">
        <v>-1</v>
      </c>
    </row>
    <row r="17" spans="1:8" x14ac:dyDescent="0.25">
      <c r="A17" s="212">
        <v>42083</v>
      </c>
      <c r="B17" s="213">
        <v>2</v>
      </c>
      <c r="C17" s="211"/>
      <c r="D17" s="212">
        <v>42150</v>
      </c>
      <c r="E17" s="213">
        <v>1</v>
      </c>
      <c r="F17" s="3"/>
      <c r="G17" s="212">
        <v>42137</v>
      </c>
      <c r="H17" s="213">
        <v>-24</v>
      </c>
    </row>
    <row r="18" spans="1:8" x14ac:dyDescent="0.25">
      <c r="A18" s="212">
        <v>42086</v>
      </c>
      <c r="B18" s="213">
        <v>2</v>
      </c>
      <c r="C18" s="211"/>
      <c r="D18" s="212">
        <v>42153</v>
      </c>
      <c r="E18" s="213">
        <v>14</v>
      </c>
      <c r="F18" s="3"/>
      <c r="G18" s="212">
        <v>42143</v>
      </c>
      <c r="H18" s="213">
        <v>-1</v>
      </c>
    </row>
    <row r="19" spans="1:8" x14ac:dyDescent="0.25">
      <c r="A19" s="212">
        <v>42088</v>
      </c>
      <c r="B19" s="213">
        <v>2</v>
      </c>
      <c r="C19" s="211"/>
      <c r="D19" s="212">
        <v>42167</v>
      </c>
      <c r="E19" s="213">
        <v>9</v>
      </c>
      <c r="F19" s="3"/>
      <c r="G19" s="212">
        <v>42153</v>
      </c>
      <c r="H19" s="213">
        <v>-2</v>
      </c>
    </row>
    <row r="20" spans="1:8" x14ac:dyDescent="0.25">
      <c r="A20" s="212">
        <v>42093</v>
      </c>
      <c r="B20" s="213">
        <v>34</v>
      </c>
      <c r="C20" s="211"/>
      <c r="D20" s="212">
        <v>42174</v>
      </c>
      <c r="E20" s="213">
        <v>6</v>
      </c>
      <c r="F20" s="3"/>
      <c r="G20" s="212">
        <v>42174</v>
      </c>
      <c r="H20" s="213">
        <v>-4</v>
      </c>
    </row>
    <row r="21" spans="1:8" x14ac:dyDescent="0.25">
      <c r="A21" s="212">
        <v>42094</v>
      </c>
      <c r="B21" s="213">
        <v>2</v>
      </c>
      <c r="C21" s="211"/>
      <c r="D21" s="212">
        <v>42184</v>
      </c>
      <c r="E21" s="213">
        <v>4</v>
      </c>
      <c r="F21" s="3"/>
      <c r="G21" s="212">
        <v>42181</v>
      </c>
      <c r="H21" s="213">
        <v>-4</v>
      </c>
    </row>
    <row r="22" spans="1:8" x14ac:dyDescent="0.25">
      <c r="A22" s="212">
        <v>42097</v>
      </c>
      <c r="B22" s="213">
        <v>10</v>
      </c>
      <c r="C22" s="211"/>
      <c r="D22" s="212">
        <v>42201</v>
      </c>
      <c r="E22" s="213">
        <v>16</v>
      </c>
      <c r="F22" s="3"/>
      <c r="G22" s="212">
        <v>42188</v>
      </c>
      <c r="H22" s="213">
        <v>-4</v>
      </c>
    </row>
    <row r="23" spans="1:8" x14ac:dyDescent="0.25">
      <c r="A23" s="212">
        <v>42104</v>
      </c>
      <c r="B23" s="213">
        <v>1</v>
      </c>
      <c r="C23" s="211"/>
      <c r="D23" s="212">
        <v>42213</v>
      </c>
      <c r="E23" s="213">
        <v>6</v>
      </c>
      <c r="F23" s="3"/>
      <c r="G23" s="212">
        <v>42213</v>
      </c>
      <c r="H23" s="213">
        <v>-4</v>
      </c>
    </row>
    <row r="24" spans="1:8" x14ac:dyDescent="0.25">
      <c r="A24" s="212">
        <v>42107</v>
      </c>
      <c r="B24" s="213">
        <v>2</v>
      </c>
      <c r="C24" s="211"/>
      <c r="D24" s="212">
        <v>42215</v>
      </c>
      <c r="E24" s="213">
        <v>5</v>
      </c>
      <c r="F24" s="3"/>
      <c r="G24" s="212">
        <v>42234</v>
      </c>
      <c r="H24" s="213">
        <v>-2</v>
      </c>
    </row>
    <row r="25" spans="1:8" x14ac:dyDescent="0.25">
      <c r="A25" s="212">
        <v>42110</v>
      </c>
      <c r="B25" s="213">
        <v>1</v>
      </c>
      <c r="C25" s="211"/>
      <c r="D25" s="212">
        <v>42247</v>
      </c>
      <c r="E25" s="213">
        <v>24</v>
      </c>
      <c r="F25" s="3"/>
      <c r="G25" s="212">
        <v>42242</v>
      </c>
      <c r="H25" s="213">
        <v>-5</v>
      </c>
    </row>
    <row r="26" spans="1:8" x14ac:dyDescent="0.25">
      <c r="A26" s="212">
        <v>42111</v>
      </c>
      <c r="B26" s="213">
        <v>1</v>
      </c>
      <c r="C26" s="211"/>
      <c r="D26" s="212">
        <v>42257</v>
      </c>
      <c r="E26" s="213">
        <v>5</v>
      </c>
      <c r="F26" s="3"/>
      <c r="G26" s="212">
        <v>42256</v>
      </c>
      <c r="H26" s="213">
        <v>-10</v>
      </c>
    </row>
    <row r="27" spans="1:8" x14ac:dyDescent="0.25">
      <c r="A27" s="212">
        <v>42116</v>
      </c>
      <c r="B27" s="213">
        <v>1</v>
      </c>
      <c r="C27" s="211"/>
      <c r="D27" s="212">
        <v>42265</v>
      </c>
      <c r="E27" s="213">
        <v>6</v>
      </c>
      <c r="F27" s="3"/>
      <c r="G27" s="212">
        <v>42292</v>
      </c>
      <c r="H27" s="213">
        <v>-4</v>
      </c>
    </row>
    <row r="28" spans="1:8" x14ac:dyDescent="0.25">
      <c r="A28" s="212">
        <v>42117</v>
      </c>
      <c r="B28" s="213">
        <v>14</v>
      </c>
      <c r="C28" s="211"/>
      <c r="D28" s="212">
        <v>42282</v>
      </c>
      <c r="E28" s="213">
        <v>5</v>
      </c>
      <c r="F28" s="3"/>
      <c r="G28" s="212">
        <v>42333</v>
      </c>
      <c r="H28" s="213">
        <v>-14</v>
      </c>
    </row>
    <row r="29" spans="1:8" x14ac:dyDescent="0.25">
      <c r="A29" s="212">
        <v>42121</v>
      </c>
      <c r="B29" s="213">
        <v>7</v>
      </c>
      <c r="C29" s="211"/>
      <c r="D29" s="212">
        <v>42286</v>
      </c>
      <c r="E29" s="213">
        <v>37</v>
      </c>
      <c r="F29" s="3"/>
      <c r="G29" s="212">
        <v>42335</v>
      </c>
      <c r="H29" s="213">
        <v>-3</v>
      </c>
    </row>
    <row r="30" spans="1:8" x14ac:dyDescent="0.25">
      <c r="A30" s="212">
        <v>42122</v>
      </c>
      <c r="B30" s="213">
        <v>3</v>
      </c>
      <c r="C30" s="211"/>
      <c r="D30" s="212">
        <v>42293</v>
      </c>
      <c r="E30" s="213">
        <v>14</v>
      </c>
      <c r="F30" s="3"/>
      <c r="G30" s="212">
        <v>42345</v>
      </c>
      <c r="H30" s="213">
        <v>-1</v>
      </c>
    </row>
    <row r="31" spans="1:8" x14ac:dyDescent="0.25">
      <c r="A31" s="212">
        <v>42123</v>
      </c>
      <c r="B31" s="213">
        <v>1</v>
      </c>
      <c r="C31" s="211"/>
      <c r="D31" s="212">
        <v>42303</v>
      </c>
      <c r="E31" s="213">
        <v>14</v>
      </c>
      <c r="F31" s="3"/>
      <c r="G31" s="212">
        <v>42362</v>
      </c>
      <c r="H31" s="213">
        <v>5</v>
      </c>
    </row>
    <row r="32" spans="1:8" ht="15.75" thickBot="1" x14ac:dyDescent="0.3">
      <c r="A32" s="212">
        <v>42124</v>
      </c>
      <c r="B32" s="213">
        <v>26</v>
      </c>
      <c r="C32" s="211"/>
      <c r="D32" s="212">
        <v>42307</v>
      </c>
      <c r="E32" s="213">
        <v>5</v>
      </c>
      <c r="F32" s="3"/>
      <c r="G32" s="214" t="s">
        <v>158</v>
      </c>
      <c r="H32" s="215">
        <v>-107</v>
      </c>
    </row>
    <row r="33" spans="1:8" x14ac:dyDescent="0.25">
      <c r="A33" s="212">
        <v>42130</v>
      </c>
      <c r="B33" s="213">
        <v>10</v>
      </c>
      <c r="C33" s="211"/>
      <c r="D33" s="212">
        <v>42321</v>
      </c>
      <c r="E33" s="213">
        <v>15</v>
      </c>
      <c r="F33" s="3"/>
      <c r="G33" s="3"/>
      <c r="H33" s="3"/>
    </row>
    <row r="34" spans="1:8" x14ac:dyDescent="0.25">
      <c r="A34" s="212">
        <v>42136</v>
      </c>
      <c r="B34" s="213">
        <v>1</v>
      </c>
      <c r="C34" s="211"/>
      <c r="D34" s="212">
        <v>42328</v>
      </c>
      <c r="E34" s="213">
        <v>19</v>
      </c>
      <c r="F34" s="3"/>
      <c r="G34" s="3"/>
      <c r="H34" s="3"/>
    </row>
    <row r="35" spans="1:8" x14ac:dyDescent="0.25">
      <c r="A35" s="212">
        <v>42137</v>
      </c>
      <c r="B35" s="213">
        <v>6</v>
      </c>
      <c r="C35" s="211"/>
      <c r="D35" s="212">
        <v>42335</v>
      </c>
      <c r="E35" s="213">
        <v>20</v>
      </c>
      <c r="F35" s="3"/>
      <c r="G35" s="3"/>
      <c r="H35" s="3"/>
    </row>
    <row r="36" spans="1:8" x14ac:dyDescent="0.25">
      <c r="A36" s="212">
        <v>42145</v>
      </c>
      <c r="B36" s="213">
        <v>1</v>
      </c>
      <c r="C36" s="211"/>
      <c r="D36" s="212">
        <v>42342</v>
      </c>
      <c r="E36" s="213">
        <v>12</v>
      </c>
      <c r="F36" s="3"/>
      <c r="G36" s="3"/>
      <c r="H36" s="3"/>
    </row>
    <row r="37" spans="1:8" x14ac:dyDescent="0.25">
      <c r="A37" s="212">
        <v>42150</v>
      </c>
      <c r="B37" s="213">
        <v>6</v>
      </c>
      <c r="C37" s="211"/>
      <c r="D37" s="212">
        <v>42349</v>
      </c>
      <c r="E37" s="213">
        <v>20</v>
      </c>
      <c r="F37" s="3"/>
      <c r="G37" s="3"/>
      <c r="H37" s="3"/>
    </row>
    <row r="38" spans="1:8" x14ac:dyDescent="0.25">
      <c r="A38" s="212">
        <v>42158</v>
      </c>
      <c r="B38" s="213">
        <v>18</v>
      </c>
      <c r="C38" s="211"/>
      <c r="D38" s="212">
        <v>42356</v>
      </c>
      <c r="E38" s="213">
        <v>20</v>
      </c>
      <c r="F38" s="3"/>
      <c r="G38" s="3"/>
      <c r="H38" s="3"/>
    </row>
    <row r="39" spans="1:8" ht="15.75" thickBot="1" x14ac:dyDescent="0.3">
      <c r="A39" s="212">
        <v>42159</v>
      </c>
      <c r="B39" s="213">
        <v>1</v>
      </c>
      <c r="C39" s="211"/>
      <c r="D39" s="214" t="s">
        <v>158</v>
      </c>
      <c r="E39" s="215">
        <v>603</v>
      </c>
      <c r="F39" s="3"/>
      <c r="G39" s="3"/>
      <c r="H39" s="3"/>
    </row>
    <row r="40" spans="1:8" x14ac:dyDescent="0.25">
      <c r="A40" s="212">
        <v>42163</v>
      </c>
      <c r="B40" s="213">
        <v>3</v>
      </c>
      <c r="C40" s="211"/>
      <c r="D40" s="3"/>
      <c r="E40" s="3"/>
      <c r="F40" s="3"/>
      <c r="G40" s="3"/>
      <c r="H40" s="3"/>
    </row>
    <row r="41" spans="1:8" x14ac:dyDescent="0.25">
      <c r="A41" s="212">
        <v>42164</v>
      </c>
      <c r="B41" s="213">
        <v>2</v>
      </c>
      <c r="C41" s="211"/>
      <c r="D41" s="3"/>
      <c r="E41" s="3"/>
      <c r="F41" s="3"/>
      <c r="G41" s="3"/>
      <c r="H41" s="3"/>
    </row>
    <row r="42" spans="1:8" x14ac:dyDescent="0.25">
      <c r="A42" s="212">
        <v>42166</v>
      </c>
      <c r="B42" s="213">
        <v>2</v>
      </c>
      <c r="C42" s="211"/>
      <c r="D42" s="3"/>
      <c r="E42" s="3"/>
      <c r="F42" s="3"/>
      <c r="G42" s="3"/>
      <c r="H42" s="3"/>
    </row>
    <row r="43" spans="1:8" x14ac:dyDescent="0.25">
      <c r="A43" s="212">
        <v>42167</v>
      </c>
      <c r="B43" s="213">
        <v>3</v>
      </c>
      <c r="C43" s="211"/>
      <c r="D43" s="3"/>
      <c r="E43" s="3"/>
      <c r="F43" s="3"/>
      <c r="G43" s="3"/>
      <c r="H43" s="3"/>
    </row>
    <row r="44" spans="1:8" x14ac:dyDescent="0.25">
      <c r="A44" s="212">
        <v>42171</v>
      </c>
      <c r="B44" s="213">
        <v>14</v>
      </c>
      <c r="C44" s="211"/>
      <c r="D44" s="3"/>
      <c r="E44" s="3"/>
      <c r="F44" s="3"/>
      <c r="G44" s="3"/>
      <c r="H44" s="3"/>
    </row>
    <row r="45" spans="1:8" x14ac:dyDescent="0.25">
      <c r="A45" s="212">
        <v>42174</v>
      </c>
      <c r="B45" s="213">
        <v>6</v>
      </c>
      <c r="C45" s="211"/>
      <c r="D45" s="3"/>
      <c r="E45" s="3"/>
      <c r="F45" s="3"/>
      <c r="G45" s="3"/>
      <c r="H45" s="3"/>
    </row>
    <row r="46" spans="1:8" x14ac:dyDescent="0.25">
      <c r="A46" s="212">
        <v>42177</v>
      </c>
      <c r="B46" s="213">
        <v>4</v>
      </c>
      <c r="C46" s="211"/>
      <c r="D46" s="3"/>
      <c r="E46" s="3"/>
      <c r="F46" s="3"/>
      <c r="G46" s="3"/>
      <c r="H46" s="3"/>
    </row>
    <row r="47" spans="1:8" x14ac:dyDescent="0.25">
      <c r="A47" s="212">
        <v>42179</v>
      </c>
      <c r="B47" s="213">
        <v>2</v>
      </c>
      <c r="C47" s="211"/>
      <c r="D47" s="3"/>
      <c r="E47" s="3"/>
      <c r="F47" s="3"/>
      <c r="G47" s="3"/>
      <c r="H47" s="3"/>
    </row>
    <row r="48" spans="1:8" x14ac:dyDescent="0.25">
      <c r="A48" s="212">
        <v>42186</v>
      </c>
      <c r="B48" s="213">
        <v>8</v>
      </c>
      <c r="C48" s="211"/>
      <c r="D48" s="3"/>
      <c r="E48" s="3"/>
      <c r="F48" s="3"/>
      <c r="G48" s="3"/>
      <c r="H48" s="3"/>
    </row>
    <row r="49" spans="1:8" x14ac:dyDescent="0.25">
      <c r="A49" s="212">
        <v>42200</v>
      </c>
      <c r="B49" s="213">
        <v>1</v>
      </c>
      <c r="C49" s="211"/>
      <c r="D49" s="3"/>
      <c r="E49" s="3"/>
      <c r="F49" s="3"/>
      <c r="G49" s="3"/>
      <c r="H49" s="3"/>
    </row>
    <row r="50" spans="1:8" x14ac:dyDescent="0.25">
      <c r="A50" s="212">
        <v>42207</v>
      </c>
      <c r="B50" s="213">
        <v>2</v>
      </c>
      <c r="C50" s="211"/>
      <c r="D50" s="3"/>
      <c r="E50" s="3"/>
      <c r="F50" s="3"/>
      <c r="G50" s="3"/>
      <c r="H50" s="3"/>
    </row>
    <row r="51" spans="1:8" x14ac:dyDescent="0.25">
      <c r="A51" s="212">
        <v>42213</v>
      </c>
      <c r="B51" s="213">
        <v>1</v>
      </c>
      <c r="C51" s="211"/>
      <c r="D51" s="3"/>
      <c r="E51" s="3"/>
      <c r="F51" s="3"/>
      <c r="G51" s="3"/>
      <c r="H51" s="3"/>
    </row>
    <row r="52" spans="1:8" x14ac:dyDescent="0.25">
      <c r="A52" s="212">
        <v>42215</v>
      </c>
      <c r="B52" s="213">
        <v>4</v>
      </c>
      <c r="C52" s="211"/>
      <c r="D52" s="3"/>
      <c r="E52" s="3"/>
      <c r="F52" s="3"/>
      <c r="G52" s="3"/>
      <c r="H52" s="3"/>
    </row>
    <row r="53" spans="1:8" x14ac:dyDescent="0.25">
      <c r="A53" s="212">
        <v>42222</v>
      </c>
      <c r="B53" s="213">
        <v>1</v>
      </c>
      <c r="C53" s="211"/>
      <c r="D53" s="3"/>
      <c r="E53" s="3"/>
      <c r="F53" s="3"/>
      <c r="G53" s="3"/>
      <c r="H53" s="3"/>
    </row>
    <row r="54" spans="1:8" x14ac:dyDescent="0.25">
      <c r="A54" s="212">
        <v>42223</v>
      </c>
      <c r="B54" s="213">
        <v>2</v>
      </c>
      <c r="C54" s="211"/>
      <c r="D54" s="3"/>
      <c r="E54" s="3"/>
      <c r="F54" s="3"/>
      <c r="G54" s="3"/>
      <c r="H54" s="3"/>
    </row>
    <row r="55" spans="1:8" x14ac:dyDescent="0.25">
      <c r="A55" s="212">
        <v>42240</v>
      </c>
      <c r="B55" s="213">
        <v>8</v>
      </c>
      <c r="C55" s="211"/>
      <c r="D55" s="3"/>
      <c r="E55" s="3"/>
      <c r="F55" s="3"/>
      <c r="G55" s="3"/>
      <c r="H55" s="3"/>
    </row>
    <row r="56" spans="1:8" x14ac:dyDescent="0.25">
      <c r="A56" s="212">
        <v>42242</v>
      </c>
      <c r="B56" s="213">
        <v>5</v>
      </c>
      <c r="C56" s="211"/>
      <c r="D56" s="3"/>
      <c r="E56" s="3"/>
      <c r="F56" s="3"/>
      <c r="G56" s="3"/>
      <c r="H56" s="3"/>
    </row>
    <row r="57" spans="1:8" x14ac:dyDescent="0.25">
      <c r="A57" s="212">
        <v>42249</v>
      </c>
      <c r="B57" s="213">
        <v>6</v>
      </c>
      <c r="C57" s="211"/>
      <c r="D57" s="3"/>
      <c r="E57" s="3"/>
      <c r="F57" s="3"/>
      <c r="G57" s="3"/>
      <c r="H57" s="3"/>
    </row>
    <row r="58" spans="1:8" x14ac:dyDescent="0.25">
      <c r="A58" s="212">
        <v>42255</v>
      </c>
      <c r="B58" s="213">
        <v>1</v>
      </c>
      <c r="C58" s="211"/>
      <c r="D58" s="3"/>
      <c r="E58" s="3"/>
      <c r="F58" s="3"/>
      <c r="G58" s="3"/>
      <c r="H58" s="3"/>
    </row>
    <row r="59" spans="1:8" x14ac:dyDescent="0.25">
      <c r="A59" s="212">
        <v>42263</v>
      </c>
      <c r="B59" s="213">
        <v>4</v>
      </c>
      <c r="C59" s="211"/>
      <c r="D59" s="3"/>
      <c r="E59" s="3"/>
      <c r="F59" s="3"/>
      <c r="G59" s="3"/>
      <c r="H59" s="3"/>
    </row>
    <row r="60" spans="1:8" x14ac:dyDescent="0.25">
      <c r="A60" s="212">
        <v>42265</v>
      </c>
      <c r="B60" s="213">
        <v>10</v>
      </c>
      <c r="C60" s="211"/>
      <c r="D60" s="3"/>
      <c r="E60" s="3"/>
      <c r="F60" s="3"/>
      <c r="G60" s="3"/>
      <c r="H60" s="3"/>
    </row>
    <row r="61" spans="1:8" x14ac:dyDescent="0.25">
      <c r="A61" s="212">
        <v>42271</v>
      </c>
      <c r="B61" s="213">
        <v>1</v>
      </c>
      <c r="C61" s="211"/>
      <c r="D61" s="3"/>
      <c r="E61" s="3"/>
      <c r="F61" s="3"/>
      <c r="G61" s="3"/>
      <c r="H61" s="3"/>
    </row>
    <row r="62" spans="1:8" x14ac:dyDescent="0.25">
      <c r="A62" s="212">
        <v>42272</v>
      </c>
      <c r="B62" s="213">
        <v>7</v>
      </c>
      <c r="C62" s="211"/>
      <c r="D62" s="3"/>
      <c r="E62" s="3"/>
      <c r="F62" s="3"/>
      <c r="G62" s="3"/>
      <c r="H62" s="3"/>
    </row>
    <row r="63" spans="1:8" x14ac:dyDescent="0.25">
      <c r="A63" s="212">
        <v>42275</v>
      </c>
      <c r="B63" s="213">
        <v>5</v>
      </c>
      <c r="C63" s="211"/>
      <c r="D63" s="3"/>
      <c r="E63" s="3"/>
      <c r="F63" s="3"/>
      <c r="G63" s="3"/>
      <c r="H63" s="3"/>
    </row>
    <row r="64" spans="1:8" x14ac:dyDescent="0.25">
      <c r="A64" s="212">
        <v>42277</v>
      </c>
      <c r="B64" s="213">
        <v>10</v>
      </c>
      <c r="C64" s="211"/>
      <c r="D64" s="3"/>
      <c r="E64" s="3"/>
      <c r="F64" s="3"/>
      <c r="G64" s="3"/>
      <c r="H64" s="3"/>
    </row>
    <row r="65" spans="1:8" x14ac:dyDescent="0.25">
      <c r="A65" s="212">
        <v>42291</v>
      </c>
      <c r="B65" s="213">
        <v>1</v>
      </c>
      <c r="C65" s="211"/>
      <c r="D65" s="3"/>
      <c r="E65" s="3"/>
      <c r="F65" s="3"/>
      <c r="G65" s="3"/>
      <c r="H65" s="3"/>
    </row>
    <row r="66" spans="1:8" x14ac:dyDescent="0.25">
      <c r="A66" s="212">
        <v>42297</v>
      </c>
      <c r="B66" s="213">
        <v>2</v>
      </c>
      <c r="C66" s="211"/>
      <c r="D66" s="3"/>
      <c r="E66" s="3"/>
      <c r="F66" s="3"/>
      <c r="G66" s="3"/>
      <c r="H66" s="3"/>
    </row>
    <row r="67" spans="1:8" x14ac:dyDescent="0.25">
      <c r="A67" s="212">
        <v>42298</v>
      </c>
      <c r="B67" s="213">
        <v>30</v>
      </c>
      <c r="C67" s="211"/>
      <c r="D67" s="3"/>
      <c r="E67" s="3"/>
      <c r="F67" s="3"/>
      <c r="G67" s="3"/>
      <c r="H67" s="3"/>
    </row>
    <row r="68" spans="1:8" x14ac:dyDescent="0.25">
      <c r="A68" s="212">
        <v>42300</v>
      </c>
      <c r="B68" s="213">
        <v>7</v>
      </c>
      <c r="C68" s="211"/>
      <c r="D68" s="3"/>
      <c r="E68" s="3"/>
      <c r="F68" s="3"/>
      <c r="G68" s="3"/>
      <c r="H68" s="3"/>
    </row>
    <row r="69" spans="1:8" x14ac:dyDescent="0.25">
      <c r="A69" s="212">
        <v>42303</v>
      </c>
      <c r="B69" s="213">
        <v>5</v>
      </c>
      <c r="C69" s="211"/>
      <c r="D69" s="3"/>
      <c r="E69" s="3"/>
      <c r="F69" s="3"/>
      <c r="G69" s="3"/>
      <c r="H69" s="3"/>
    </row>
    <row r="70" spans="1:8" x14ac:dyDescent="0.25">
      <c r="A70" s="212">
        <v>42306</v>
      </c>
      <c r="B70" s="213">
        <v>5</v>
      </c>
      <c r="C70" s="211"/>
      <c r="D70" s="3"/>
      <c r="E70" s="3"/>
      <c r="F70" s="3"/>
      <c r="G70" s="3"/>
      <c r="H70" s="3"/>
    </row>
    <row r="71" spans="1:8" x14ac:dyDescent="0.25">
      <c r="A71" s="212">
        <v>42311</v>
      </c>
      <c r="B71" s="213">
        <v>9</v>
      </c>
      <c r="C71" s="211"/>
      <c r="D71" s="3"/>
      <c r="E71" s="3"/>
      <c r="F71" s="3"/>
      <c r="G71" s="3"/>
      <c r="H71" s="3"/>
    </row>
    <row r="72" spans="1:8" x14ac:dyDescent="0.25">
      <c r="A72" s="212">
        <v>42312</v>
      </c>
      <c r="B72" s="213">
        <v>2</v>
      </c>
      <c r="C72" s="211"/>
      <c r="D72" s="3"/>
      <c r="E72" s="3"/>
      <c r="F72" s="3"/>
      <c r="G72" s="3"/>
      <c r="H72" s="3"/>
    </row>
    <row r="73" spans="1:8" x14ac:dyDescent="0.25">
      <c r="A73" s="212">
        <v>42318</v>
      </c>
      <c r="B73" s="213">
        <v>7</v>
      </c>
      <c r="C73" s="211"/>
      <c r="D73" s="3"/>
      <c r="E73" s="3"/>
      <c r="F73" s="3"/>
      <c r="G73" s="3"/>
      <c r="H73" s="3"/>
    </row>
    <row r="74" spans="1:8" x14ac:dyDescent="0.25">
      <c r="A74" s="212">
        <v>42320</v>
      </c>
      <c r="B74" s="213">
        <v>2</v>
      </c>
      <c r="C74" s="211"/>
      <c r="D74" s="3"/>
      <c r="E74" s="3"/>
      <c r="F74" s="3"/>
      <c r="G74" s="3"/>
      <c r="H74" s="3"/>
    </row>
    <row r="75" spans="1:8" x14ac:dyDescent="0.25">
      <c r="A75" s="212">
        <v>42324</v>
      </c>
      <c r="B75" s="213">
        <v>9</v>
      </c>
      <c r="C75" s="211"/>
      <c r="D75" s="3"/>
      <c r="E75" s="3"/>
      <c r="F75" s="3"/>
      <c r="G75" s="3"/>
      <c r="H75" s="3"/>
    </row>
    <row r="76" spans="1:8" x14ac:dyDescent="0.25">
      <c r="A76" s="212">
        <v>42325</v>
      </c>
      <c r="B76" s="213">
        <v>6</v>
      </c>
      <c r="C76" s="211"/>
      <c r="D76" s="3"/>
      <c r="E76" s="3"/>
      <c r="F76" s="3"/>
      <c r="G76" s="3"/>
      <c r="H76" s="3"/>
    </row>
    <row r="77" spans="1:8" x14ac:dyDescent="0.25">
      <c r="A77" s="212">
        <v>42327</v>
      </c>
      <c r="B77" s="213">
        <v>1</v>
      </c>
      <c r="C77" s="211"/>
      <c r="D77" s="3"/>
      <c r="E77" s="3"/>
      <c r="F77" s="3"/>
      <c r="G77" s="3"/>
      <c r="H77" s="3"/>
    </row>
    <row r="78" spans="1:8" x14ac:dyDescent="0.25">
      <c r="A78" s="212">
        <v>42328</v>
      </c>
      <c r="B78" s="213">
        <v>6</v>
      </c>
      <c r="C78" s="211"/>
      <c r="D78" s="3"/>
      <c r="E78" s="3"/>
      <c r="F78" s="3"/>
      <c r="G78" s="3"/>
      <c r="H78" s="3"/>
    </row>
    <row r="79" spans="1:8" x14ac:dyDescent="0.25">
      <c r="A79" s="212">
        <v>42332</v>
      </c>
      <c r="B79" s="213">
        <v>2</v>
      </c>
      <c r="C79" s="211"/>
      <c r="D79" s="3"/>
      <c r="E79" s="3"/>
      <c r="F79" s="3"/>
      <c r="G79" s="3"/>
      <c r="H79" s="3"/>
    </row>
    <row r="80" spans="1:8" x14ac:dyDescent="0.25">
      <c r="A80" s="212">
        <v>42335</v>
      </c>
      <c r="B80" s="213">
        <v>2</v>
      </c>
      <c r="C80" s="211"/>
      <c r="D80" s="3"/>
      <c r="E80" s="3"/>
      <c r="F80" s="3"/>
      <c r="G80" s="3"/>
      <c r="H80" s="3"/>
    </row>
    <row r="81" spans="1:8" x14ac:dyDescent="0.25">
      <c r="A81" s="212">
        <v>42338</v>
      </c>
      <c r="B81" s="213">
        <v>12</v>
      </c>
      <c r="C81" s="211"/>
      <c r="D81" s="3"/>
      <c r="E81" s="3"/>
      <c r="F81" s="3"/>
      <c r="G81" s="3"/>
      <c r="H81" s="3"/>
    </row>
    <row r="82" spans="1:8" x14ac:dyDescent="0.25">
      <c r="A82" s="212">
        <v>42341</v>
      </c>
      <c r="B82" s="213">
        <v>6</v>
      </c>
      <c r="C82" s="211"/>
      <c r="D82" s="3"/>
      <c r="E82" s="3"/>
      <c r="F82" s="3"/>
      <c r="G82" s="3"/>
      <c r="H82" s="3"/>
    </row>
    <row r="83" spans="1:8" x14ac:dyDescent="0.25">
      <c r="A83" s="212">
        <v>42346</v>
      </c>
      <c r="B83" s="213">
        <v>5</v>
      </c>
      <c r="C83" s="211"/>
      <c r="D83" s="3"/>
      <c r="E83" s="3"/>
      <c r="F83" s="3"/>
      <c r="G83" s="3"/>
      <c r="H83" s="3"/>
    </row>
    <row r="84" spans="1:8" x14ac:dyDescent="0.25">
      <c r="A84" s="212">
        <v>42347</v>
      </c>
      <c r="B84" s="213">
        <v>8</v>
      </c>
      <c r="C84" s="211"/>
      <c r="D84" s="3"/>
      <c r="E84" s="3"/>
      <c r="F84" s="3"/>
      <c r="G84" s="3"/>
      <c r="H84" s="3"/>
    </row>
    <row r="85" spans="1:8" x14ac:dyDescent="0.25">
      <c r="A85" s="212">
        <v>42353</v>
      </c>
      <c r="B85" s="213">
        <v>1</v>
      </c>
      <c r="C85" s="211"/>
      <c r="D85" s="3"/>
      <c r="E85" s="3"/>
      <c r="F85" s="3"/>
      <c r="G85" s="3"/>
      <c r="H85" s="3"/>
    </row>
    <row r="86" spans="1:8" x14ac:dyDescent="0.25">
      <c r="A86" s="212">
        <v>42355</v>
      </c>
      <c r="B86" s="213">
        <v>10</v>
      </c>
      <c r="C86" s="211"/>
      <c r="D86" s="3"/>
      <c r="E86" s="3"/>
      <c r="F86" s="3"/>
      <c r="G86" s="3"/>
      <c r="H86" s="3"/>
    </row>
    <row r="87" spans="1:8" x14ac:dyDescent="0.25">
      <c r="A87" s="212">
        <v>42360</v>
      </c>
      <c r="B87" s="213">
        <v>8</v>
      </c>
      <c r="C87" s="211"/>
      <c r="D87" s="3"/>
      <c r="E87" s="3"/>
      <c r="F87" s="3"/>
      <c r="G87" s="3"/>
      <c r="H87" s="3"/>
    </row>
    <row r="88" spans="1:8" ht="15.75" thickBot="1" x14ac:dyDescent="0.3">
      <c r="A88" s="214" t="s">
        <v>158</v>
      </c>
      <c r="B88" s="215">
        <v>483</v>
      </c>
      <c r="C88" s="211"/>
      <c r="D88" s="3"/>
      <c r="E88" s="3"/>
      <c r="F88" s="3"/>
      <c r="G88" s="3"/>
      <c r="H88" s="3"/>
    </row>
  </sheetData>
  <mergeCells count="3">
    <mergeCell ref="A1:B2"/>
    <mergeCell ref="D1:E2"/>
    <mergeCell ref="G1:H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257"/>
  <sheetViews>
    <sheetView showGridLines="0" workbookViewId="0">
      <selection activeCell="I6" sqref="I6"/>
    </sheetView>
  </sheetViews>
  <sheetFormatPr baseColWidth="10" defaultRowHeight="15" x14ac:dyDescent="0.25"/>
  <cols>
    <col min="1" max="1" width="10.7109375" style="182" bestFit="1" customWidth="1"/>
    <col min="2" max="2" width="13.42578125" style="182" customWidth="1"/>
    <col min="3" max="3" width="10.42578125" style="177" customWidth="1"/>
    <col min="4" max="4" width="11.85546875" style="177" bestFit="1" customWidth="1"/>
    <col min="5" max="5" width="7.28515625" style="177" bestFit="1" customWidth="1"/>
    <col min="6" max="6" width="12.140625" style="177" bestFit="1" customWidth="1"/>
    <col min="7" max="7" width="11" style="180" bestFit="1" customWidth="1"/>
    <col min="8" max="8" width="9.42578125" style="177" customWidth="1"/>
    <col min="9" max="9" width="9.28515625" style="177" bestFit="1" customWidth="1"/>
    <col min="10" max="10" width="10.42578125" style="3" hidden="1" customWidth="1"/>
    <col min="11" max="21" width="8.85546875" style="3" customWidth="1"/>
    <col min="22" max="24" width="11.5703125" style="3" hidden="1" customWidth="1"/>
    <col min="25" max="25" width="7.42578125" style="3" customWidth="1"/>
    <col min="26" max="26" width="11.5703125" style="3" hidden="1" customWidth="1"/>
    <col min="27" max="27" width="7.42578125" style="179" hidden="1" customWidth="1"/>
    <col min="28" max="28" width="8.85546875" style="179" hidden="1" customWidth="1"/>
    <col min="29" max="29" width="8" style="179" hidden="1" customWidth="1"/>
    <col min="30" max="30" width="7.85546875" style="179" hidden="1" customWidth="1"/>
    <col min="31" max="31" width="8.85546875" style="179" hidden="1" customWidth="1"/>
    <col min="32" max="32" width="5" style="3" hidden="1" customWidth="1"/>
    <col min="33" max="37" width="11.140625" style="3" customWidth="1"/>
    <col min="38" max="16384" width="11.42578125" style="3"/>
  </cols>
  <sheetData>
    <row r="1" spans="1:37" s="4" customFormat="1" ht="63" x14ac:dyDescent="0.25">
      <c r="A1" s="183" t="s">
        <v>17</v>
      </c>
      <c r="B1" s="183" t="s">
        <v>20</v>
      </c>
      <c r="C1" s="184" t="s">
        <v>134</v>
      </c>
      <c r="D1" s="184" t="s">
        <v>37</v>
      </c>
      <c r="E1" s="184" t="s">
        <v>40</v>
      </c>
      <c r="F1" s="184" t="s">
        <v>14</v>
      </c>
      <c r="G1" s="185" t="s">
        <v>153</v>
      </c>
      <c r="H1" s="184" t="s">
        <v>156</v>
      </c>
      <c r="I1" s="184" t="s">
        <v>15</v>
      </c>
      <c r="J1" s="184" t="s">
        <v>141</v>
      </c>
      <c r="K1" s="184" t="s">
        <v>43</v>
      </c>
      <c r="L1" s="184" t="s">
        <v>133</v>
      </c>
      <c r="M1" s="184" t="s">
        <v>138</v>
      </c>
      <c r="N1" s="184" t="s">
        <v>139</v>
      </c>
      <c r="O1" s="184" t="s">
        <v>1</v>
      </c>
      <c r="P1" s="184" t="s">
        <v>44</v>
      </c>
      <c r="Q1" s="184" t="s">
        <v>140</v>
      </c>
      <c r="R1" s="198" t="s">
        <v>142</v>
      </c>
      <c r="S1" s="196" t="s">
        <v>25</v>
      </c>
      <c r="T1" s="200" t="s">
        <v>29</v>
      </c>
      <c r="U1" s="202" t="s">
        <v>16</v>
      </c>
      <c r="V1" s="184" t="s">
        <v>30</v>
      </c>
      <c r="W1" s="184" t="s">
        <v>31</v>
      </c>
      <c r="X1" s="184" t="s">
        <v>32</v>
      </c>
      <c r="Y1" s="184" t="s">
        <v>11</v>
      </c>
      <c r="Z1" s="184"/>
      <c r="AA1" s="184" t="s">
        <v>137</v>
      </c>
      <c r="AB1" s="184" t="s">
        <v>33</v>
      </c>
      <c r="AC1" s="184" t="s">
        <v>34</v>
      </c>
      <c r="AD1" s="184" t="s">
        <v>136</v>
      </c>
      <c r="AE1" s="184" t="s">
        <v>17</v>
      </c>
      <c r="AF1" s="184"/>
    </row>
    <row r="2" spans="1:37" x14ac:dyDescent="0.25">
      <c r="A2" s="186">
        <v>42005</v>
      </c>
      <c r="B2" s="188" t="s">
        <v>21</v>
      </c>
      <c r="C2" s="189">
        <f ca="1">+IF(AD2=0,P2,(SUM(INDIRECT(CONCATENATE("B",AD2,":B",AA2)))/'parametres articles'!$H$8))</f>
        <v>2.27</v>
      </c>
      <c r="D2" s="187">
        <f>IFERROR(VLOOKUP(A2,'Mvmt stock'!A:B,2,0),0)</f>
        <v>0</v>
      </c>
      <c r="E2" s="188">
        <f>IFERROR(VLOOKUP(A2,'Mvmt stock'!D:E,2,0),0)</f>
        <v>0</v>
      </c>
      <c r="F2" s="188">
        <v>34</v>
      </c>
      <c r="G2" s="208">
        <f>IFERROR(VLOOKUP(A2,'Mvmt stock'!G:H,2,0),0)</f>
        <v>0</v>
      </c>
      <c r="H2" s="190">
        <f>VLOOKUP(A2,Stock!B:C,2,0)</f>
        <v>34</v>
      </c>
      <c r="I2" s="188">
        <f t="shared" ref="I2:I65" si="0">+F2-D2+E2</f>
        <v>34</v>
      </c>
      <c r="J2" s="191"/>
      <c r="K2" s="187">
        <f>+HLOOKUP($B2,'parametres articles'!$C$5:$G$25,5,FALSE)</f>
        <v>15</v>
      </c>
      <c r="L2" s="187">
        <f>+HLOOKUP($B2,'parametres articles'!$C$5:$G$25,21,FALSE)</f>
        <v>13</v>
      </c>
      <c r="M2" s="192">
        <f>+HLOOKUP($B2,'parametres articles'!$C$5:$G$25,7,FALSE)</f>
        <v>0.8</v>
      </c>
      <c r="N2" s="192">
        <f>+HLOOKUP($B2,'parametres articles'!$C$5:$G$25,6,FALSE)</f>
        <v>0.4</v>
      </c>
      <c r="O2" s="187">
        <f>+HLOOKUP($B2,'parametres articles'!$C$5:$G$25,8,FALSE)</f>
        <v>0</v>
      </c>
      <c r="P2" s="193">
        <f>IF(B2="E",'parametres articles'!$C$8,HLOOKUP($B2,'parametres articles'!$C$5:$F$25,4,FALSE))</f>
        <v>2.27</v>
      </c>
      <c r="Q2" s="193">
        <f t="shared" ref="Q2:Q65" si="1">+IF(B2="E",C2,P2)</f>
        <v>2.27</v>
      </c>
      <c r="R2" s="199">
        <f>+Q2*K2*N2</f>
        <v>13.62</v>
      </c>
      <c r="S2" s="197">
        <f t="shared" ref="S2:S65" si="2">(Q2*K2*N2)*(1+M2)</f>
        <v>24.515999999999998</v>
      </c>
      <c r="T2" s="201">
        <f t="shared" ref="T2:T65" si="3">+S2+Q2*K2</f>
        <v>58.565999999999995</v>
      </c>
      <c r="U2" s="203">
        <f>+T2+X2</f>
        <v>72.185999999999993</v>
      </c>
      <c r="V2" s="187">
        <f t="shared" ref="V2:V65" si="4">+(Q2*K2*N2)*(1+M2)</f>
        <v>24.515999999999998</v>
      </c>
      <c r="W2" s="187">
        <f t="shared" ref="W2:W65" si="5">+Q2*K2</f>
        <v>34.049999999999997</v>
      </c>
      <c r="X2" s="187">
        <f t="shared" ref="X2:X65" si="6">+IF(O2&gt;K2*Q2*N2,O2,K2*Q2*N2)</f>
        <v>13.62</v>
      </c>
      <c r="Y2" s="193">
        <f t="shared" ref="Y2:Y65" si="7">+V2+X2/2</f>
        <v>31.325999999999997</v>
      </c>
      <c r="Z2" s="194"/>
      <c r="AA2" s="195">
        <f ca="1">CELL("ligne",A2)</f>
        <v>2</v>
      </c>
      <c r="AB2" s="195">
        <f ca="1">+AA2+'parametres articles'!$C$9-1</f>
        <v>16</v>
      </c>
      <c r="AC2" s="195">
        <f ca="1">+AA2+'parametres articles'!$C$24-1</f>
        <v>21</v>
      </c>
      <c r="AD2" s="195">
        <f>+IF(AE2&lt;='parametres articles'!$H$8,0,AA2-'parametres articles'!$H$8+1)</f>
        <v>0</v>
      </c>
      <c r="AE2" s="195">
        <v>1</v>
      </c>
      <c r="AF2" s="187" t="str">
        <f ca="1">CONCATENATE("F",AA2+K2)</f>
        <v>F17</v>
      </c>
      <c r="AG2" s="181"/>
      <c r="AH2" s="178"/>
      <c r="AI2" s="178"/>
      <c r="AJ2" s="178"/>
      <c r="AK2" s="178"/>
    </row>
    <row r="3" spans="1:37" x14ac:dyDescent="0.25">
      <c r="A3" s="186">
        <v>42006</v>
      </c>
      <c r="B3" s="188" t="s">
        <v>21</v>
      </c>
      <c r="C3" s="189">
        <f ca="1">+IF(AD3=0,P3,(SUM(INDIRECT(CONCATENATE("B",AD3,":B",AA3)))/'parametres articles'!$H$8))</f>
        <v>2.27</v>
      </c>
      <c r="D3" s="187">
        <f>IFERROR(VLOOKUP(A3,'Mvmt stock'!A:B,2,0),0)</f>
        <v>0</v>
      </c>
      <c r="E3" s="188">
        <f>IFERROR(VLOOKUP(A3,'Mvmt stock'!D:E,2,0),0)</f>
        <v>0</v>
      </c>
      <c r="F3" s="188">
        <f t="shared" ref="F3:F66" si="8">+I2+G3</f>
        <v>34</v>
      </c>
      <c r="G3" s="208">
        <f>IFERROR(VLOOKUP(A3,'Mvmt stock'!G:H,2,0),0)</f>
        <v>0</v>
      </c>
      <c r="H3" s="190">
        <f>IFERROR(VLOOKUP(A3,Stock!B:C,2,0),H2)</f>
        <v>34</v>
      </c>
      <c r="I3" s="188">
        <f t="shared" si="0"/>
        <v>34</v>
      </c>
      <c r="J3" s="191"/>
      <c r="K3" s="187">
        <f>+HLOOKUP($B3,'parametres articles'!$C$5:$G$25,5,FALSE)</f>
        <v>15</v>
      </c>
      <c r="L3" s="187">
        <f>+HLOOKUP($B3,'parametres articles'!$C$5:$G$25,21,FALSE)</f>
        <v>13</v>
      </c>
      <c r="M3" s="192">
        <f>+HLOOKUP($B3,'parametres articles'!$C$5:$G$25,7,FALSE)</f>
        <v>0.8</v>
      </c>
      <c r="N3" s="192">
        <f>+HLOOKUP($B3,'parametres articles'!$C$5:$G$25,6,FALSE)</f>
        <v>0.4</v>
      </c>
      <c r="O3" s="187">
        <f>+HLOOKUP($B3,'parametres articles'!$C$5:$G$25,8,FALSE)</f>
        <v>0</v>
      </c>
      <c r="P3" s="193">
        <f>IF(B3="E",'parametres articles'!$C$8,HLOOKUP($B3,'parametres articles'!$C$5:$F$25,4,FALSE))</f>
        <v>2.27</v>
      </c>
      <c r="Q3" s="193">
        <f t="shared" si="1"/>
        <v>2.27</v>
      </c>
      <c r="R3" s="199">
        <f t="shared" ref="R3:R66" si="9">+Q3*K3*N3</f>
        <v>13.62</v>
      </c>
      <c r="S3" s="197">
        <f t="shared" si="2"/>
        <v>24.515999999999998</v>
      </c>
      <c r="T3" s="201">
        <f t="shared" si="3"/>
        <v>58.565999999999995</v>
      </c>
      <c r="U3" s="203">
        <f t="shared" ref="U3:U66" si="10">+T3+X3</f>
        <v>72.185999999999993</v>
      </c>
      <c r="V3" s="187">
        <f t="shared" si="4"/>
        <v>24.515999999999998</v>
      </c>
      <c r="W3" s="187">
        <f t="shared" si="5"/>
        <v>34.049999999999997</v>
      </c>
      <c r="X3" s="187">
        <f t="shared" si="6"/>
        <v>13.62</v>
      </c>
      <c r="Y3" s="193">
        <f t="shared" si="7"/>
        <v>31.325999999999997</v>
      </c>
      <c r="Z3" s="194"/>
      <c r="AA3" s="195">
        <f ca="1">+AA2+1</f>
        <v>3</v>
      </c>
      <c r="AB3" s="195">
        <f ca="1">+AA3+'parametres articles'!$C$9-1</f>
        <v>17</v>
      </c>
      <c r="AC3" s="195">
        <f ca="1">+AA3+'parametres articles'!$C$24-1</f>
        <v>22</v>
      </c>
      <c r="AD3" s="195">
        <f>+IF(AE3&lt;='parametres articles'!$H$8,0,AA3-'parametres articles'!$H$8+1)</f>
        <v>0</v>
      </c>
      <c r="AE3" s="195">
        <v>2</v>
      </c>
      <c r="AF3" s="187" t="str">
        <f t="shared" ref="AF3:AF66" ca="1" si="11">CONCATENATE("F",AA3+K2)</f>
        <v>F18</v>
      </c>
      <c r="AG3" s="181"/>
      <c r="AH3" s="178"/>
      <c r="AI3" s="178"/>
      <c r="AJ3" s="178"/>
      <c r="AK3" s="178"/>
    </row>
    <row r="4" spans="1:37" x14ac:dyDescent="0.25">
      <c r="A4" s="186">
        <v>42007</v>
      </c>
      <c r="B4" s="188" t="s">
        <v>21</v>
      </c>
      <c r="C4" s="189">
        <f ca="1">+IF(AD4=0,P4,(SUM(INDIRECT(CONCATENATE("B",AD4,":B",AA4)))/'parametres articles'!$H$8))</f>
        <v>2.27</v>
      </c>
      <c r="D4" s="187">
        <f>IFERROR(VLOOKUP(A4,'Mvmt stock'!A:B,2,0),0)</f>
        <v>0</v>
      </c>
      <c r="E4" s="188">
        <f>IFERROR(VLOOKUP(A4,'Mvmt stock'!D:E,2,0),0)</f>
        <v>0</v>
      </c>
      <c r="F4" s="188">
        <f t="shared" si="8"/>
        <v>34</v>
      </c>
      <c r="G4" s="208">
        <f>IFERROR(VLOOKUP(A4,'Mvmt stock'!G:H,2,0),0)</f>
        <v>0</v>
      </c>
      <c r="H4" s="190">
        <f>IFERROR(VLOOKUP(A4,Stock!B:C,2,0),H3)</f>
        <v>34</v>
      </c>
      <c r="I4" s="188">
        <f t="shared" si="0"/>
        <v>34</v>
      </c>
      <c r="J4" s="191"/>
      <c r="K4" s="187">
        <f>+HLOOKUP($B4,'parametres articles'!$C$5:$G$25,5,FALSE)</f>
        <v>15</v>
      </c>
      <c r="L4" s="187">
        <f>+HLOOKUP($B4,'parametres articles'!$C$5:$G$25,21,FALSE)</f>
        <v>13</v>
      </c>
      <c r="M4" s="192">
        <f>+HLOOKUP($B4,'parametres articles'!$C$5:$G$25,7,FALSE)</f>
        <v>0.8</v>
      </c>
      <c r="N4" s="192">
        <f>+HLOOKUP($B4,'parametres articles'!$C$5:$G$25,6,FALSE)</f>
        <v>0.4</v>
      </c>
      <c r="O4" s="187">
        <f>+HLOOKUP($B4,'parametres articles'!$C$5:$G$25,8,FALSE)</f>
        <v>0</v>
      </c>
      <c r="P4" s="193">
        <f>IF(B4="E",'parametres articles'!$C$8,HLOOKUP($B4,'parametres articles'!$C$5:$F$25,4,FALSE))</f>
        <v>2.27</v>
      </c>
      <c r="Q4" s="193">
        <f t="shared" si="1"/>
        <v>2.27</v>
      </c>
      <c r="R4" s="199">
        <f t="shared" si="9"/>
        <v>13.62</v>
      </c>
      <c r="S4" s="197">
        <f t="shared" si="2"/>
        <v>24.515999999999998</v>
      </c>
      <c r="T4" s="201">
        <f t="shared" si="3"/>
        <v>58.565999999999995</v>
      </c>
      <c r="U4" s="203">
        <f t="shared" si="10"/>
        <v>72.185999999999993</v>
      </c>
      <c r="V4" s="187">
        <f t="shared" si="4"/>
        <v>24.515999999999998</v>
      </c>
      <c r="W4" s="187">
        <f t="shared" si="5"/>
        <v>34.049999999999997</v>
      </c>
      <c r="X4" s="187">
        <f t="shared" si="6"/>
        <v>13.62</v>
      </c>
      <c r="Y4" s="193">
        <f t="shared" si="7"/>
        <v>31.325999999999997</v>
      </c>
      <c r="Z4" s="194"/>
      <c r="AA4" s="195">
        <f t="shared" ref="AA4:AA67" ca="1" si="12">+AA3+1</f>
        <v>4</v>
      </c>
      <c r="AB4" s="195">
        <f ca="1">+AA4+'parametres articles'!$C$9-1</f>
        <v>18</v>
      </c>
      <c r="AC4" s="195">
        <f ca="1">+AA4+'parametres articles'!$C$24-1</f>
        <v>23</v>
      </c>
      <c r="AD4" s="195">
        <f>+IF(AE4&lt;='parametres articles'!$H$8,0,AA4-'parametres articles'!$H$8+1)</f>
        <v>0</v>
      </c>
      <c r="AE4" s="195">
        <v>3</v>
      </c>
      <c r="AF4" s="187" t="str">
        <f t="shared" ca="1" si="11"/>
        <v>F19</v>
      </c>
      <c r="AG4" s="181"/>
      <c r="AH4" s="178"/>
      <c r="AI4" s="178"/>
      <c r="AJ4" s="178"/>
      <c r="AK4" s="178"/>
    </row>
    <row r="5" spans="1:37" x14ac:dyDescent="0.25">
      <c r="A5" s="186">
        <v>42008</v>
      </c>
      <c r="B5" s="188" t="s">
        <v>21</v>
      </c>
      <c r="C5" s="189">
        <f ca="1">+IF(AD5=0,P5,(SUM(INDIRECT(CONCATENATE("B",AD5,":B",AA5)))/'parametres articles'!$H$8))</f>
        <v>2.27</v>
      </c>
      <c r="D5" s="187">
        <f>IFERROR(VLOOKUP(A5,'Mvmt stock'!A:B,2,0),0)</f>
        <v>0</v>
      </c>
      <c r="E5" s="188">
        <f>IFERROR(VLOOKUP(A5,'Mvmt stock'!D:E,2,0),0)</f>
        <v>0</v>
      </c>
      <c r="F5" s="188">
        <f t="shared" si="8"/>
        <v>34</v>
      </c>
      <c r="G5" s="208">
        <f>IFERROR(VLOOKUP(A5,'Mvmt stock'!G:H,2,0),0)</f>
        <v>0</v>
      </c>
      <c r="H5" s="190">
        <f>IFERROR(VLOOKUP(A5,Stock!B:C,2,0),H4)</f>
        <v>34</v>
      </c>
      <c r="I5" s="188">
        <f t="shared" si="0"/>
        <v>34</v>
      </c>
      <c r="J5" s="191"/>
      <c r="K5" s="187">
        <f>+HLOOKUP($B5,'parametres articles'!$C$5:$G$25,5,FALSE)</f>
        <v>15</v>
      </c>
      <c r="L5" s="187">
        <f>+HLOOKUP($B5,'parametres articles'!$C$5:$G$25,21,FALSE)</f>
        <v>13</v>
      </c>
      <c r="M5" s="192">
        <f>+HLOOKUP($B5,'parametres articles'!$C$5:$G$25,7,FALSE)</f>
        <v>0.8</v>
      </c>
      <c r="N5" s="192">
        <f>+HLOOKUP($B5,'parametres articles'!$C$5:$G$25,6,FALSE)</f>
        <v>0.4</v>
      </c>
      <c r="O5" s="187">
        <f>+HLOOKUP($B5,'parametres articles'!$C$5:$G$25,8,FALSE)</f>
        <v>0</v>
      </c>
      <c r="P5" s="193">
        <f>IF(B5="E",'parametres articles'!$C$8,HLOOKUP($B5,'parametres articles'!$C$5:$F$25,4,FALSE))</f>
        <v>2.27</v>
      </c>
      <c r="Q5" s="193">
        <f t="shared" si="1"/>
        <v>2.27</v>
      </c>
      <c r="R5" s="199">
        <f t="shared" si="9"/>
        <v>13.62</v>
      </c>
      <c r="S5" s="197">
        <f t="shared" si="2"/>
        <v>24.515999999999998</v>
      </c>
      <c r="T5" s="201">
        <f t="shared" si="3"/>
        <v>58.565999999999995</v>
      </c>
      <c r="U5" s="203">
        <f t="shared" si="10"/>
        <v>72.185999999999993</v>
      </c>
      <c r="V5" s="187">
        <f t="shared" si="4"/>
        <v>24.515999999999998</v>
      </c>
      <c r="W5" s="187">
        <f t="shared" si="5"/>
        <v>34.049999999999997</v>
      </c>
      <c r="X5" s="187">
        <f t="shared" si="6"/>
        <v>13.62</v>
      </c>
      <c r="Y5" s="193">
        <f t="shared" si="7"/>
        <v>31.325999999999997</v>
      </c>
      <c r="Z5" s="194"/>
      <c r="AA5" s="195">
        <f t="shared" ca="1" si="12"/>
        <v>5</v>
      </c>
      <c r="AB5" s="195">
        <f ca="1">+AA5+'parametres articles'!$C$9-1</f>
        <v>19</v>
      </c>
      <c r="AC5" s="195">
        <f ca="1">+AA5+'parametres articles'!$C$24-1</f>
        <v>24</v>
      </c>
      <c r="AD5" s="195">
        <f>+IF(AE5&lt;='parametres articles'!$H$8,0,AA5-'parametres articles'!$H$8+1)</f>
        <v>0</v>
      </c>
      <c r="AE5" s="195">
        <v>4</v>
      </c>
      <c r="AF5" s="187" t="str">
        <f t="shared" ca="1" si="11"/>
        <v>F20</v>
      </c>
      <c r="AG5" s="181"/>
      <c r="AH5" s="178"/>
      <c r="AI5" s="178"/>
      <c r="AJ5" s="178"/>
      <c r="AK5" s="178"/>
    </row>
    <row r="6" spans="1:37" x14ac:dyDescent="0.25">
      <c r="A6" s="186">
        <v>42009</v>
      </c>
      <c r="B6" s="188" t="s">
        <v>21</v>
      </c>
      <c r="C6" s="189">
        <f ca="1">+IF(AD6=0,P6,(SUM(INDIRECT(CONCATENATE("B",AD6,":B",AA6)))/'parametres articles'!$H$8))</f>
        <v>2.27</v>
      </c>
      <c r="D6" s="187">
        <f>IFERROR(VLOOKUP(A6,'Mvmt stock'!A:B,2,0),0)</f>
        <v>0</v>
      </c>
      <c r="E6" s="188">
        <f>IFERROR(VLOOKUP(A6,'Mvmt stock'!D:E,2,0),0)</f>
        <v>0</v>
      </c>
      <c r="F6" s="188">
        <f t="shared" si="8"/>
        <v>34</v>
      </c>
      <c r="G6" s="208">
        <f>IFERROR(VLOOKUP(A6,'Mvmt stock'!G:H,2,0),0)</f>
        <v>0</v>
      </c>
      <c r="H6" s="190">
        <f>IFERROR(VLOOKUP(A6,Stock!B:C,2,0),H5)</f>
        <v>34</v>
      </c>
      <c r="I6" s="188">
        <f t="shared" si="0"/>
        <v>34</v>
      </c>
      <c r="J6" s="191"/>
      <c r="K6" s="187">
        <f>+HLOOKUP($B6,'parametres articles'!$C$5:$G$25,5,FALSE)</f>
        <v>15</v>
      </c>
      <c r="L6" s="187">
        <f>+HLOOKUP($B6,'parametres articles'!$C$5:$G$25,21,FALSE)</f>
        <v>13</v>
      </c>
      <c r="M6" s="192">
        <f>+HLOOKUP($B6,'parametres articles'!$C$5:$G$25,7,FALSE)</f>
        <v>0.8</v>
      </c>
      <c r="N6" s="192">
        <f>+HLOOKUP($B6,'parametres articles'!$C$5:$G$25,6,FALSE)</f>
        <v>0.4</v>
      </c>
      <c r="O6" s="187">
        <f>+HLOOKUP($B6,'parametres articles'!$C$5:$G$25,8,FALSE)</f>
        <v>0</v>
      </c>
      <c r="P6" s="193">
        <f>IF(B6="E",'parametres articles'!$C$8,HLOOKUP($B6,'parametres articles'!$C$5:$F$25,4,FALSE))</f>
        <v>2.27</v>
      </c>
      <c r="Q6" s="193">
        <f t="shared" si="1"/>
        <v>2.27</v>
      </c>
      <c r="R6" s="199">
        <f t="shared" si="9"/>
        <v>13.62</v>
      </c>
      <c r="S6" s="197">
        <f t="shared" si="2"/>
        <v>24.515999999999998</v>
      </c>
      <c r="T6" s="201">
        <f t="shared" si="3"/>
        <v>58.565999999999995</v>
      </c>
      <c r="U6" s="203">
        <f t="shared" si="10"/>
        <v>72.185999999999993</v>
      </c>
      <c r="V6" s="187">
        <f t="shared" si="4"/>
        <v>24.515999999999998</v>
      </c>
      <c r="W6" s="187">
        <f t="shared" si="5"/>
        <v>34.049999999999997</v>
      </c>
      <c r="X6" s="187">
        <f t="shared" si="6"/>
        <v>13.62</v>
      </c>
      <c r="Y6" s="193">
        <f t="shared" si="7"/>
        <v>31.325999999999997</v>
      </c>
      <c r="Z6" s="194"/>
      <c r="AA6" s="195">
        <f t="shared" ca="1" si="12"/>
        <v>6</v>
      </c>
      <c r="AB6" s="195">
        <f ca="1">+AA6+'parametres articles'!$C$9-1</f>
        <v>20</v>
      </c>
      <c r="AC6" s="195">
        <f ca="1">+AA6+'parametres articles'!$C$24-1</f>
        <v>25</v>
      </c>
      <c r="AD6" s="195">
        <f>+IF(AE6&lt;='parametres articles'!$H$8,0,AA6-'parametres articles'!$H$8+1)</f>
        <v>0</v>
      </c>
      <c r="AE6" s="195">
        <v>5</v>
      </c>
      <c r="AF6" s="187" t="str">
        <f t="shared" ca="1" si="11"/>
        <v>F21</v>
      </c>
      <c r="AG6" s="181"/>
      <c r="AH6" s="178"/>
      <c r="AI6" s="178"/>
      <c r="AJ6" s="178"/>
      <c r="AK6" s="178"/>
    </row>
    <row r="7" spans="1:37" x14ac:dyDescent="0.25">
      <c r="A7" s="186">
        <v>42010</v>
      </c>
      <c r="B7" s="188" t="s">
        <v>21</v>
      </c>
      <c r="C7" s="189">
        <f ca="1">+IF(AD7=0,P7,(SUM(INDIRECT(CONCATENATE("B",AD7,":B",AA7)))/'parametres articles'!$H$8))</f>
        <v>0</v>
      </c>
      <c r="D7" s="187">
        <f>IFERROR(VLOOKUP(A7,'Mvmt stock'!A:B,2,0),0)</f>
        <v>0</v>
      </c>
      <c r="E7" s="188">
        <f>IFERROR(VLOOKUP(A7,'Mvmt stock'!D:E,2,0),0)</f>
        <v>0</v>
      </c>
      <c r="F7" s="188">
        <f t="shared" si="8"/>
        <v>34</v>
      </c>
      <c r="G7" s="208">
        <f>IFERROR(VLOOKUP(A7,'Mvmt stock'!G:H,2,0),0)</f>
        <v>0</v>
      </c>
      <c r="H7" s="190">
        <f>IFERROR(VLOOKUP(A7,Stock!B:C,2,0),H6)</f>
        <v>34</v>
      </c>
      <c r="I7" s="188">
        <f t="shared" si="0"/>
        <v>34</v>
      </c>
      <c r="J7" s="191"/>
      <c r="K7" s="187">
        <f>+HLOOKUP($B7,'parametres articles'!$C$5:$G$25,5,FALSE)</f>
        <v>15</v>
      </c>
      <c r="L7" s="187">
        <f>+HLOOKUP($B7,'parametres articles'!$C$5:$G$25,21,FALSE)</f>
        <v>13</v>
      </c>
      <c r="M7" s="192">
        <f>+HLOOKUP($B7,'parametres articles'!$C$5:$G$25,7,FALSE)</f>
        <v>0.8</v>
      </c>
      <c r="N7" s="192">
        <f>+HLOOKUP($B7,'parametres articles'!$C$5:$G$25,6,FALSE)</f>
        <v>0.4</v>
      </c>
      <c r="O7" s="187">
        <f>+HLOOKUP($B7,'parametres articles'!$C$5:$G$25,8,FALSE)</f>
        <v>0</v>
      </c>
      <c r="P7" s="193">
        <f>IF(B7="E",'parametres articles'!$C$8,HLOOKUP($B7,'parametres articles'!$C$5:$F$25,4,FALSE))</f>
        <v>2.27</v>
      </c>
      <c r="Q7" s="193">
        <f t="shared" si="1"/>
        <v>2.27</v>
      </c>
      <c r="R7" s="199">
        <f t="shared" si="9"/>
        <v>13.62</v>
      </c>
      <c r="S7" s="197">
        <f t="shared" si="2"/>
        <v>24.515999999999998</v>
      </c>
      <c r="T7" s="201">
        <f t="shared" si="3"/>
        <v>58.565999999999995</v>
      </c>
      <c r="U7" s="203">
        <f t="shared" si="10"/>
        <v>72.185999999999993</v>
      </c>
      <c r="V7" s="187">
        <f t="shared" si="4"/>
        <v>24.515999999999998</v>
      </c>
      <c r="W7" s="187">
        <f t="shared" si="5"/>
        <v>34.049999999999997</v>
      </c>
      <c r="X7" s="187">
        <f t="shared" si="6"/>
        <v>13.62</v>
      </c>
      <c r="Y7" s="193">
        <f t="shared" si="7"/>
        <v>31.325999999999997</v>
      </c>
      <c r="Z7" s="194"/>
      <c r="AA7" s="195">
        <f t="shared" ca="1" si="12"/>
        <v>7</v>
      </c>
      <c r="AB7" s="195">
        <f ca="1">+AA7+'parametres articles'!$C$9-1</f>
        <v>21</v>
      </c>
      <c r="AC7" s="195">
        <f ca="1">+AA7+'parametres articles'!$C$24-1</f>
        <v>26</v>
      </c>
      <c r="AD7" s="195">
        <f ca="1">+IF(AE7&lt;='parametres articles'!$H$8,0,AA7-'parametres articles'!$H$8+1)</f>
        <v>3</v>
      </c>
      <c r="AE7" s="195">
        <v>6</v>
      </c>
      <c r="AF7" s="187" t="str">
        <f t="shared" ca="1" si="11"/>
        <v>F22</v>
      </c>
      <c r="AG7" s="181"/>
      <c r="AH7" s="178"/>
      <c r="AI7" s="178"/>
      <c r="AJ7" s="178"/>
      <c r="AK7" s="178"/>
    </row>
    <row r="8" spans="1:37" x14ac:dyDescent="0.25">
      <c r="A8" s="186">
        <v>42011</v>
      </c>
      <c r="B8" s="188" t="s">
        <v>21</v>
      </c>
      <c r="C8" s="189">
        <f ca="1">+IF(AD8=0,P8,(SUM(INDIRECT(CONCATENATE("B",AD8,":B",AA8)))/'parametres articles'!$H$8))</f>
        <v>0</v>
      </c>
      <c r="D8" s="187">
        <f>IFERROR(VLOOKUP(A8,'Mvmt stock'!A:B,2,0),0)</f>
        <v>11</v>
      </c>
      <c r="E8" s="188">
        <f>IFERROR(VLOOKUP(A8,'Mvmt stock'!D:E,2,0),0)</f>
        <v>0</v>
      </c>
      <c r="F8" s="188">
        <f t="shared" si="8"/>
        <v>34</v>
      </c>
      <c r="G8" s="208">
        <f>IFERROR(VLOOKUP(A8,'Mvmt stock'!G:H,2,0),0)</f>
        <v>0</v>
      </c>
      <c r="H8" s="190">
        <f>IFERROR(VLOOKUP(A8,Stock!B:C,2,0),H7)</f>
        <v>34</v>
      </c>
      <c r="I8" s="188">
        <f t="shared" si="0"/>
        <v>23</v>
      </c>
      <c r="J8" s="191"/>
      <c r="K8" s="187">
        <f>+HLOOKUP($B8,'parametres articles'!$C$5:$G$25,5,FALSE)</f>
        <v>15</v>
      </c>
      <c r="L8" s="187">
        <f>+HLOOKUP($B8,'parametres articles'!$C$5:$G$25,21,FALSE)</f>
        <v>13</v>
      </c>
      <c r="M8" s="192">
        <f>+HLOOKUP($B8,'parametres articles'!$C$5:$G$25,7,FALSE)</f>
        <v>0.8</v>
      </c>
      <c r="N8" s="192">
        <f>+HLOOKUP($B8,'parametres articles'!$C$5:$G$25,6,FALSE)</f>
        <v>0.4</v>
      </c>
      <c r="O8" s="187">
        <f>+HLOOKUP($B8,'parametres articles'!$C$5:$G$25,8,FALSE)</f>
        <v>0</v>
      </c>
      <c r="P8" s="193">
        <f>IF(B8="E",'parametres articles'!$C$8,HLOOKUP($B8,'parametres articles'!$C$5:$F$25,4,FALSE))</f>
        <v>2.27</v>
      </c>
      <c r="Q8" s="193">
        <f t="shared" si="1"/>
        <v>2.27</v>
      </c>
      <c r="R8" s="199">
        <f t="shared" si="9"/>
        <v>13.62</v>
      </c>
      <c r="S8" s="197">
        <f t="shared" si="2"/>
        <v>24.515999999999998</v>
      </c>
      <c r="T8" s="201">
        <f t="shared" si="3"/>
        <v>58.565999999999995</v>
      </c>
      <c r="U8" s="203">
        <f t="shared" si="10"/>
        <v>72.185999999999993</v>
      </c>
      <c r="V8" s="187">
        <f t="shared" si="4"/>
        <v>24.515999999999998</v>
      </c>
      <c r="W8" s="187">
        <f t="shared" si="5"/>
        <v>34.049999999999997</v>
      </c>
      <c r="X8" s="187">
        <f t="shared" si="6"/>
        <v>13.62</v>
      </c>
      <c r="Y8" s="193">
        <f t="shared" si="7"/>
        <v>31.325999999999997</v>
      </c>
      <c r="Z8" s="194"/>
      <c r="AA8" s="195">
        <f t="shared" ca="1" si="12"/>
        <v>8</v>
      </c>
      <c r="AB8" s="195">
        <f ca="1">+AA8+'parametres articles'!$C$9-1</f>
        <v>22</v>
      </c>
      <c r="AC8" s="195">
        <f ca="1">+AA8+'parametres articles'!$C$24-1</f>
        <v>27</v>
      </c>
      <c r="AD8" s="195">
        <f ca="1">+IF(AE8&lt;='parametres articles'!$H$8,0,AA8-'parametres articles'!$H$8+1)</f>
        <v>4</v>
      </c>
      <c r="AE8" s="195">
        <v>7</v>
      </c>
      <c r="AF8" s="187" t="str">
        <f t="shared" ca="1" si="11"/>
        <v>F23</v>
      </c>
      <c r="AG8" s="181"/>
      <c r="AH8" s="178"/>
      <c r="AI8" s="178"/>
      <c r="AJ8" s="178"/>
      <c r="AK8" s="178"/>
    </row>
    <row r="9" spans="1:37" x14ac:dyDescent="0.25">
      <c r="A9" s="186">
        <v>42012</v>
      </c>
      <c r="B9" s="188" t="s">
        <v>24</v>
      </c>
      <c r="C9" s="189">
        <f ca="1">+IF(AD9=0,P9,(SUM(INDIRECT(CONCATENATE("B",AD9,":B",AA9)))/'parametres articles'!$H$8))</f>
        <v>0</v>
      </c>
      <c r="D9" s="187">
        <f>IFERROR(VLOOKUP(A9,'Mvmt stock'!A:B,2,0),0)</f>
        <v>0</v>
      </c>
      <c r="E9" s="188">
        <f>IFERROR(VLOOKUP(A9,'Mvmt stock'!D:E,2,0),0)</f>
        <v>0</v>
      </c>
      <c r="F9" s="188">
        <f t="shared" si="8"/>
        <v>22</v>
      </c>
      <c r="G9" s="208">
        <f>IFERROR(VLOOKUP(A9,'Mvmt stock'!G:H,2,0),0)</f>
        <v>-1</v>
      </c>
      <c r="H9" s="190">
        <f>IFERROR(VLOOKUP(A9,Stock!B:C,2,0),H8)</f>
        <v>22</v>
      </c>
      <c r="I9" s="188">
        <f t="shared" si="0"/>
        <v>22</v>
      </c>
      <c r="J9" s="191"/>
      <c r="K9" s="187">
        <f>+HLOOKUP($B9,'parametres articles'!$C$5:$G$25,5,FALSE)</f>
        <v>15</v>
      </c>
      <c r="L9" s="187">
        <f>+HLOOKUP($B9,'parametres articles'!$C$5:$G$25,21,FALSE)</f>
        <v>19.6875</v>
      </c>
      <c r="M9" s="192">
        <f>+HLOOKUP($B9,'parametres articles'!$C$5:$G$25,7,FALSE)</f>
        <v>0.5</v>
      </c>
      <c r="N9" s="192">
        <f>+HLOOKUP($B9,'parametres articles'!$C$5:$G$25,6,FALSE)</f>
        <v>0.5</v>
      </c>
      <c r="O9" s="187">
        <f>+HLOOKUP($B9,'parametres articles'!$C$5:$G$25,8,FALSE)</f>
        <v>0</v>
      </c>
      <c r="P9" s="193">
        <f>IF(B9="E",'parametres articles'!$C$8,HLOOKUP($B9,'parametres articles'!$C$5:$F$25,4,FALSE))</f>
        <v>3.5</v>
      </c>
      <c r="Q9" s="193">
        <f t="shared" si="1"/>
        <v>3.5</v>
      </c>
      <c r="R9" s="199">
        <f t="shared" si="9"/>
        <v>26.25</v>
      </c>
      <c r="S9" s="197">
        <f t="shared" si="2"/>
        <v>39.375</v>
      </c>
      <c r="T9" s="201">
        <f t="shared" si="3"/>
        <v>91.875</v>
      </c>
      <c r="U9" s="203">
        <f t="shared" si="10"/>
        <v>118.125</v>
      </c>
      <c r="V9" s="187">
        <f t="shared" si="4"/>
        <v>39.375</v>
      </c>
      <c r="W9" s="187">
        <f t="shared" si="5"/>
        <v>52.5</v>
      </c>
      <c r="X9" s="187">
        <f t="shared" si="6"/>
        <v>26.25</v>
      </c>
      <c r="Y9" s="193">
        <f t="shared" si="7"/>
        <v>52.5</v>
      </c>
      <c r="Z9" s="194"/>
      <c r="AA9" s="195">
        <f t="shared" ca="1" si="12"/>
        <v>9</v>
      </c>
      <c r="AB9" s="195">
        <f ca="1">+AA9+'parametres articles'!$C$9-1</f>
        <v>23</v>
      </c>
      <c r="AC9" s="195">
        <f ca="1">+AA9+'parametres articles'!$C$24-1</f>
        <v>28</v>
      </c>
      <c r="AD9" s="195">
        <f ca="1">+IF(AE9&lt;='parametres articles'!$H$8,0,AA9-'parametres articles'!$H$8+1)</f>
        <v>5</v>
      </c>
      <c r="AE9" s="195">
        <v>8</v>
      </c>
      <c r="AF9" s="187" t="str">
        <f t="shared" ca="1" si="11"/>
        <v>F24</v>
      </c>
      <c r="AG9" s="181"/>
      <c r="AH9" s="178"/>
      <c r="AI9" s="178"/>
      <c r="AJ9" s="178"/>
      <c r="AK9" s="178"/>
    </row>
    <row r="10" spans="1:37" x14ac:dyDescent="0.25">
      <c r="A10" s="186">
        <v>42013</v>
      </c>
      <c r="B10" s="188" t="s">
        <v>24</v>
      </c>
      <c r="C10" s="189">
        <f ca="1">+IF(AD10=0,P10,(SUM(INDIRECT(CONCATENATE("B",AD10,":B",AA10)))/'parametres articles'!$H$8))</f>
        <v>0</v>
      </c>
      <c r="D10" s="187">
        <f>IFERROR(VLOOKUP(A10,'Mvmt stock'!A:B,2,0),0)</f>
        <v>0</v>
      </c>
      <c r="E10" s="188">
        <f>IFERROR(VLOOKUP(A10,'Mvmt stock'!D:E,2,0),0)</f>
        <v>10</v>
      </c>
      <c r="F10" s="188">
        <f t="shared" si="8"/>
        <v>22</v>
      </c>
      <c r="G10" s="208">
        <f>IFERROR(VLOOKUP(A10,'Mvmt stock'!G:H,2,0),0)</f>
        <v>0</v>
      </c>
      <c r="H10" s="190">
        <f>IFERROR(VLOOKUP(A10,Stock!B:C,2,0),H9)</f>
        <v>22</v>
      </c>
      <c r="I10" s="188">
        <f t="shared" si="0"/>
        <v>32</v>
      </c>
      <c r="J10" s="191"/>
      <c r="K10" s="187">
        <f>+HLOOKUP($B10,'parametres articles'!$C$5:$G$25,5,FALSE)</f>
        <v>15</v>
      </c>
      <c r="L10" s="187">
        <f>+HLOOKUP($B10,'parametres articles'!$C$5:$G$25,21,FALSE)</f>
        <v>19.6875</v>
      </c>
      <c r="M10" s="192">
        <f>+HLOOKUP($B10,'parametres articles'!$C$5:$G$25,7,FALSE)</f>
        <v>0.5</v>
      </c>
      <c r="N10" s="192">
        <f>+HLOOKUP($B10,'parametres articles'!$C$5:$G$25,6,FALSE)</f>
        <v>0.5</v>
      </c>
      <c r="O10" s="187">
        <f>+HLOOKUP($B10,'parametres articles'!$C$5:$G$25,8,FALSE)</f>
        <v>0</v>
      </c>
      <c r="P10" s="193">
        <f>IF(B10="E",'parametres articles'!$C$8,HLOOKUP($B10,'parametres articles'!$C$5:$F$25,4,FALSE))</f>
        <v>3.5</v>
      </c>
      <c r="Q10" s="193">
        <f t="shared" si="1"/>
        <v>3.5</v>
      </c>
      <c r="R10" s="199">
        <f t="shared" si="9"/>
        <v>26.25</v>
      </c>
      <c r="S10" s="197">
        <f t="shared" si="2"/>
        <v>39.375</v>
      </c>
      <c r="T10" s="201">
        <f t="shared" si="3"/>
        <v>91.875</v>
      </c>
      <c r="U10" s="203">
        <f t="shared" si="10"/>
        <v>118.125</v>
      </c>
      <c r="V10" s="187">
        <f t="shared" si="4"/>
        <v>39.375</v>
      </c>
      <c r="W10" s="187">
        <f t="shared" si="5"/>
        <v>52.5</v>
      </c>
      <c r="X10" s="187">
        <f t="shared" si="6"/>
        <v>26.25</v>
      </c>
      <c r="Y10" s="193">
        <f t="shared" si="7"/>
        <v>52.5</v>
      </c>
      <c r="Z10" s="194"/>
      <c r="AA10" s="195">
        <f t="shared" ca="1" si="12"/>
        <v>10</v>
      </c>
      <c r="AB10" s="195">
        <f ca="1">+AA10+'parametres articles'!$C$9-1</f>
        <v>24</v>
      </c>
      <c r="AC10" s="195">
        <f ca="1">+AA10+'parametres articles'!$C$24-1</f>
        <v>29</v>
      </c>
      <c r="AD10" s="195">
        <f ca="1">+IF(AE10&lt;='parametres articles'!$H$8,0,AA10-'parametres articles'!$H$8+1)</f>
        <v>6</v>
      </c>
      <c r="AE10" s="195">
        <v>9</v>
      </c>
      <c r="AF10" s="187" t="str">
        <f t="shared" ca="1" si="11"/>
        <v>F25</v>
      </c>
      <c r="AG10" s="181"/>
      <c r="AH10" s="178"/>
      <c r="AI10" s="178"/>
      <c r="AJ10" s="178"/>
      <c r="AK10" s="178"/>
    </row>
    <row r="11" spans="1:37" x14ac:dyDescent="0.25">
      <c r="A11" s="186">
        <v>42014</v>
      </c>
      <c r="B11" s="188" t="s">
        <v>24</v>
      </c>
      <c r="C11" s="189">
        <f ca="1">+IF(AD11=0,P11,(SUM(INDIRECT(CONCATENATE("B",AD11,":B",AA11)))/'parametres articles'!$H$8))</f>
        <v>0</v>
      </c>
      <c r="D11" s="187">
        <f>IFERROR(VLOOKUP(A11,'Mvmt stock'!A:B,2,0),0)</f>
        <v>0</v>
      </c>
      <c r="E11" s="188">
        <f>IFERROR(VLOOKUP(A11,'Mvmt stock'!D:E,2,0),0)</f>
        <v>0</v>
      </c>
      <c r="F11" s="188">
        <f t="shared" si="8"/>
        <v>32</v>
      </c>
      <c r="G11" s="208">
        <f>IFERROR(VLOOKUP(A11,'Mvmt stock'!G:H,2,0),0)</f>
        <v>0</v>
      </c>
      <c r="H11" s="190">
        <f>IFERROR(VLOOKUP(A11,Stock!B:C,2,0),H10)</f>
        <v>22</v>
      </c>
      <c r="I11" s="188">
        <f t="shared" si="0"/>
        <v>32</v>
      </c>
      <c r="J11" s="191"/>
      <c r="K11" s="187">
        <f>+HLOOKUP($B11,'parametres articles'!$C$5:$G$25,5,FALSE)</f>
        <v>15</v>
      </c>
      <c r="L11" s="187">
        <f>+HLOOKUP($B11,'parametres articles'!$C$5:$G$25,21,FALSE)</f>
        <v>19.6875</v>
      </c>
      <c r="M11" s="192">
        <f>+HLOOKUP($B11,'parametres articles'!$C$5:$G$25,7,FALSE)</f>
        <v>0.5</v>
      </c>
      <c r="N11" s="192">
        <f>+HLOOKUP($B11,'parametres articles'!$C$5:$G$25,6,FALSE)</f>
        <v>0.5</v>
      </c>
      <c r="O11" s="187">
        <f>+HLOOKUP($B11,'parametres articles'!$C$5:$G$25,8,FALSE)</f>
        <v>0</v>
      </c>
      <c r="P11" s="193">
        <f>IF(B11="E",'parametres articles'!$C$8,HLOOKUP($B11,'parametres articles'!$C$5:$F$25,4,FALSE))</f>
        <v>3.5</v>
      </c>
      <c r="Q11" s="193">
        <f t="shared" si="1"/>
        <v>3.5</v>
      </c>
      <c r="R11" s="199">
        <f t="shared" si="9"/>
        <v>26.25</v>
      </c>
      <c r="S11" s="197">
        <f t="shared" si="2"/>
        <v>39.375</v>
      </c>
      <c r="T11" s="201">
        <f t="shared" si="3"/>
        <v>91.875</v>
      </c>
      <c r="U11" s="203">
        <f t="shared" si="10"/>
        <v>118.125</v>
      </c>
      <c r="V11" s="187">
        <f t="shared" si="4"/>
        <v>39.375</v>
      </c>
      <c r="W11" s="187">
        <f t="shared" si="5"/>
        <v>52.5</v>
      </c>
      <c r="X11" s="187">
        <f t="shared" si="6"/>
        <v>26.25</v>
      </c>
      <c r="Y11" s="193">
        <f t="shared" si="7"/>
        <v>52.5</v>
      </c>
      <c r="Z11" s="194"/>
      <c r="AA11" s="195">
        <f t="shared" ca="1" si="12"/>
        <v>11</v>
      </c>
      <c r="AB11" s="195">
        <f ca="1">+AA11+'parametres articles'!$C$9-1</f>
        <v>25</v>
      </c>
      <c r="AC11" s="195">
        <f ca="1">+AA11+'parametres articles'!$C$24-1</f>
        <v>30</v>
      </c>
      <c r="AD11" s="195">
        <f ca="1">+IF(AE11&lt;='parametres articles'!$H$8,0,AA11-'parametres articles'!$H$8+1)</f>
        <v>7</v>
      </c>
      <c r="AE11" s="195">
        <v>10</v>
      </c>
      <c r="AF11" s="187" t="str">
        <f t="shared" ca="1" si="11"/>
        <v>F26</v>
      </c>
      <c r="AG11" s="181"/>
      <c r="AH11" s="178"/>
      <c r="AI11" s="178"/>
      <c r="AJ11" s="178"/>
      <c r="AK11" s="178"/>
    </row>
    <row r="12" spans="1:37" x14ac:dyDescent="0.25">
      <c r="A12" s="186">
        <v>42015</v>
      </c>
      <c r="B12" s="188" t="s">
        <v>24</v>
      </c>
      <c r="C12" s="189">
        <f ca="1">+IF(AD12=0,P12,(SUM(INDIRECT(CONCATENATE("B",AD12,":B",AA12)))/'parametres articles'!$H$8))</f>
        <v>0</v>
      </c>
      <c r="D12" s="187">
        <f>IFERROR(VLOOKUP(A12,'Mvmt stock'!A:B,2,0),0)</f>
        <v>0</v>
      </c>
      <c r="E12" s="188">
        <f>IFERROR(VLOOKUP(A12,'Mvmt stock'!D:E,2,0),0)</f>
        <v>0</v>
      </c>
      <c r="F12" s="188">
        <f t="shared" si="8"/>
        <v>32</v>
      </c>
      <c r="G12" s="208">
        <f>IFERROR(VLOOKUP(A12,'Mvmt stock'!G:H,2,0),0)</f>
        <v>0</v>
      </c>
      <c r="H12" s="190">
        <f>IFERROR(VLOOKUP(A12,Stock!B:C,2,0),H11)</f>
        <v>22</v>
      </c>
      <c r="I12" s="188">
        <f t="shared" si="0"/>
        <v>32</v>
      </c>
      <c r="J12" s="191"/>
      <c r="K12" s="187">
        <f>+HLOOKUP($B12,'parametres articles'!$C$5:$G$25,5,FALSE)</f>
        <v>15</v>
      </c>
      <c r="L12" s="187">
        <f>+HLOOKUP($B12,'parametres articles'!$C$5:$G$25,21,FALSE)</f>
        <v>19.6875</v>
      </c>
      <c r="M12" s="192">
        <f>+HLOOKUP($B12,'parametres articles'!$C$5:$G$25,7,FALSE)</f>
        <v>0.5</v>
      </c>
      <c r="N12" s="192">
        <f>+HLOOKUP($B12,'parametres articles'!$C$5:$G$25,6,FALSE)</f>
        <v>0.5</v>
      </c>
      <c r="O12" s="187">
        <f>+HLOOKUP($B12,'parametres articles'!$C$5:$G$25,8,FALSE)</f>
        <v>0</v>
      </c>
      <c r="P12" s="193">
        <f>IF(B12="E",'parametres articles'!$C$8,HLOOKUP($B12,'parametres articles'!$C$5:$F$25,4,FALSE))</f>
        <v>3.5</v>
      </c>
      <c r="Q12" s="193">
        <f t="shared" si="1"/>
        <v>3.5</v>
      </c>
      <c r="R12" s="199">
        <f t="shared" si="9"/>
        <v>26.25</v>
      </c>
      <c r="S12" s="197">
        <f t="shared" si="2"/>
        <v>39.375</v>
      </c>
      <c r="T12" s="201">
        <f t="shared" si="3"/>
        <v>91.875</v>
      </c>
      <c r="U12" s="203">
        <f t="shared" si="10"/>
        <v>118.125</v>
      </c>
      <c r="V12" s="187">
        <f t="shared" si="4"/>
        <v>39.375</v>
      </c>
      <c r="W12" s="187">
        <f t="shared" si="5"/>
        <v>52.5</v>
      </c>
      <c r="X12" s="187">
        <f t="shared" si="6"/>
        <v>26.25</v>
      </c>
      <c r="Y12" s="193">
        <f t="shared" si="7"/>
        <v>52.5</v>
      </c>
      <c r="Z12" s="194"/>
      <c r="AA12" s="195">
        <f t="shared" ca="1" si="12"/>
        <v>12</v>
      </c>
      <c r="AB12" s="195">
        <f ca="1">+AA12+'parametres articles'!$C$9-1</f>
        <v>26</v>
      </c>
      <c r="AC12" s="195">
        <f ca="1">+AA12+'parametres articles'!$C$24-1</f>
        <v>31</v>
      </c>
      <c r="AD12" s="195">
        <f ca="1">+IF(AE12&lt;='parametres articles'!$H$8,0,AA12-'parametres articles'!$H$8+1)</f>
        <v>8</v>
      </c>
      <c r="AE12" s="195">
        <v>11</v>
      </c>
      <c r="AF12" s="187" t="str">
        <f t="shared" ca="1" si="11"/>
        <v>F27</v>
      </c>
      <c r="AG12" s="181"/>
      <c r="AH12" s="178"/>
      <c r="AI12" s="178"/>
      <c r="AJ12" s="178"/>
      <c r="AK12" s="178"/>
    </row>
    <row r="13" spans="1:37" x14ac:dyDescent="0.25">
      <c r="A13" s="186">
        <v>42016</v>
      </c>
      <c r="B13" s="188" t="s">
        <v>21</v>
      </c>
      <c r="C13" s="189">
        <f ca="1">+IF(AD13=0,P13,(SUM(INDIRECT(CONCATENATE("B",AD13,":B",AA13)))/'parametres articles'!$H$8))</f>
        <v>0</v>
      </c>
      <c r="D13" s="187">
        <f>IFERROR(VLOOKUP(A13,'Mvmt stock'!A:B,2,0),0)</f>
        <v>0</v>
      </c>
      <c r="E13" s="188">
        <f>IFERROR(VLOOKUP(A13,'Mvmt stock'!D:E,2,0),0)</f>
        <v>0</v>
      </c>
      <c r="F13" s="188">
        <f t="shared" si="8"/>
        <v>32</v>
      </c>
      <c r="G13" s="208">
        <f>IFERROR(VLOOKUP(A13,'Mvmt stock'!G:H,2,0),0)</f>
        <v>0</v>
      </c>
      <c r="H13" s="190">
        <f>IFERROR(VLOOKUP(A13,Stock!B:C,2,0),H12)</f>
        <v>32</v>
      </c>
      <c r="I13" s="188">
        <f t="shared" si="0"/>
        <v>32</v>
      </c>
      <c r="J13" s="191"/>
      <c r="K13" s="187">
        <f>+HLOOKUP($B13,'parametres articles'!$C$5:$G$25,5,FALSE)</f>
        <v>15</v>
      </c>
      <c r="L13" s="187">
        <f>+HLOOKUP($B13,'parametres articles'!$C$5:$G$25,21,FALSE)</f>
        <v>13</v>
      </c>
      <c r="M13" s="192">
        <f>+HLOOKUP($B13,'parametres articles'!$C$5:$G$25,7,FALSE)</f>
        <v>0.8</v>
      </c>
      <c r="N13" s="192">
        <f>+HLOOKUP($B13,'parametres articles'!$C$5:$G$25,6,FALSE)</f>
        <v>0.4</v>
      </c>
      <c r="O13" s="187">
        <f>+HLOOKUP($B13,'parametres articles'!$C$5:$G$25,8,FALSE)</f>
        <v>0</v>
      </c>
      <c r="P13" s="193">
        <f>IF(B13="E",'parametres articles'!$C$8,HLOOKUP($B13,'parametres articles'!$C$5:$F$25,4,FALSE))</f>
        <v>2.27</v>
      </c>
      <c r="Q13" s="193">
        <f t="shared" si="1"/>
        <v>2.27</v>
      </c>
      <c r="R13" s="199">
        <f t="shared" si="9"/>
        <v>13.62</v>
      </c>
      <c r="S13" s="197">
        <f t="shared" si="2"/>
        <v>24.515999999999998</v>
      </c>
      <c r="T13" s="201">
        <f t="shared" si="3"/>
        <v>58.565999999999995</v>
      </c>
      <c r="U13" s="203">
        <f t="shared" si="10"/>
        <v>72.185999999999993</v>
      </c>
      <c r="V13" s="187">
        <f t="shared" si="4"/>
        <v>24.515999999999998</v>
      </c>
      <c r="W13" s="187">
        <f t="shared" si="5"/>
        <v>34.049999999999997</v>
      </c>
      <c r="X13" s="187">
        <f t="shared" si="6"/>
        <v>13.62</v>
      </c>
      <c r="Y13" s="193">
        <f t="shared" si="7"/>
        <v>31.325999999999997</v>
      </c>
      <c r="Z13" s="194"/>
      <c r="AA13" s="195">
        <f t="shared" ca="1" si="12"/>
        <v>13</v>
      </c>
      <c r="AB13" s="195">
        <f ca="1">+AA13+'parametres articles'!$C$9-1</f>
        <v>27</v>
      </c>
      <c r="AC13" s="195">
        <f ca="1">+AA13+'parametres articles'!$C$24-1</f>
        <v>32</v>
      </c>
      <c r="AD13" s="195">
        <f ca="1">+IF(AE13&lt;='parametres articles'!$H$8,0,AA13-'parametres articles'!$H$8+1)</f>
        <v>9</v>
      </c>
      <c r="AE13" s="195">
        <v>12</v>
      </c>
      <c r="AF13" s="187" t="str">
        <f t="shared" ca="1" si="11"/>
        <v>F28</v>
      </c>
      <c r="AG13" s="181"/>
      <c r="AH13" s="178"/>
      <c r="AI13" s="178"/>
      <c r="AJ13" s="178"/>
      <c r="AK13" s="178"/>
    </row>
    <row r="14" spans="1:37" x14ac:dyDescent="0.25">
      <c r="A14" s="186">
        <v>42017</v>
      </c>
      <c r="B14" s="188" t="s">
        <v>21</v>
      </c>
      <c r="C14" s="189">
        <f ca="1">+IF(AD14=0,P14,(SUM(INDIRECT(CONCATENATE("B",AD14,":B",AA14)))/'parametres articles'!$H$8))</f>
        <v>0</v>
      </c>
      <c r="D14" s="187">
        <f>IFERROR(VLOOKUP(A14,'Mvmt stock'!A:B,2,0),0)</f>
        <v>1</v>
      </c>
      <c r="E14" s="188">
        <f>IFERROR(VLOOKUP(A14,'Mvmt stock'!D:E,2,0),0)</f>
        <v>0</v>
      </c>
      <c r="F14" s="188">
        <f t="shared" si="8"/>
        <v>32</v>
      </c>
      <c r="G14" s="208">
        <f>IFERROR(VLOOKUP(A14,'Mvmt stock'!G:H,2,0),0)</f>
        <v>0</v>
      </c>
      <c r="H14" s="190">
        <f>IFERROR(VLOOKUP(A14,Stock!B:C,2,0),H13)</f>
        <v>32</v>
      </c>
      <c r="I14" s="188">
        <f t="shared" si="0"/>
        <v>31</v>
      </c>
      <c r="J14" s="191"/>
      <c r="K14" s="187">
        <f>+HLOOKUP($B14,'parametres articles'!$C$5:$G$25,5,FALSE)</f>
        <v>15</v>
      </c>
      <c r="L14" s="187">
        <f>+HLOOKUP($B14,'parametres articles'!$C$5:$G$25,21,FALSE)</f>
        <v>13</v>
      </c>
      <c r="M14" s="192">
        <f>+HLOOKUP($B14,'parametres articles'!$C$5:$G$25,7,FALSE)</f>
        <v>0.8</v>
      </c>
      <c r="N14" s="192">
        <f>+HLOOKUP($B14,'parametres articles'!$C$5:$G$25,6,FALSE)</f>
        <v>0.4</v>
      </c>
      <c r="O14" s="187">
        <f>+HLOOKUP($B14,'parametres articles'!$C$5:$G$25,8,FALSE)</f>
        <v>0</v>
      </c>
      <c r="P14" s="193">
        <f>IF(B14="E",'parametres articles'!$C$8,HLOOKUP($B14,'parametres articles'!$C$5:$F$25,4,FALSE))</f>
        <v>2.27</v>
      </c>
      <c r="Q14" s="193">
        <f t="shared" si="1"/>
        <v>2.27</v>
      </c>
      <c r="R14" s="199">
        <f t="shared" si="9"/>
        <v>13.62</v>
      </c>
      <c r="S14" s="197">
        <f t="shared" si="2"/>
        <v>24.515999999999998</v>
      </c>
      <c r="T14" s="201">
        <f t="shared" si="3"/>
        <v>58.565999999999995</v>
      </c>
      <c r="U14" s="203">
        <f t="shared" si="10"/>
        <v>72.185999999999993</v>
      </c>
      <c r="V14" s="187">
        <f t="shared" si="4"/>
        <v>24.515999999999998</v>
      </c>
      <c r="W14" s="187">
        <f t="shared" si="5"/>
        <v>34.049999999999997</v>
      </c>
      <c r="X14" s="187">
        <f t="shared" si="6"/>
        <v>13.62</v>
      </c>
      <c r="Y14" s="193">
        <f t="shared" si="7"/>
        <v>31.325999999999997</v>
      </c>
      <c r="Z14" s="194"/>
      <c r="AA14" s="195">
        <f t="shared" ca="1" si="12"/>
        <v>14</v>
      </c>
      <c r="AB14" s="195">
        <f ca="1">+AA14+'parametres articles'!$C$9-1</f>
        <v>28</v>
      </c>
      <c r="AC14" s="195">
        <f ca="1">+AA14+'parametres articles'!$C$24-1</f>
        <v>33</v>
      </c>
      <c r="AD14" s="195">
        <f ca="1">+IF(AE14&lt;='parametres articles'!$H$8,0,AA14-'parametres articles'!$H$8+1)</f>
        <v>10</v>
      </c>
      <c r="AE14" s="195">
        <v>13</v>
      </c>
      <c r="AF14" s="187" t="str">
        <f t="shared" ca="1" si="11"/>
        <v>F29</v>
      </c>
      <c r="AG14" s="181"/>
      <c r="AH14" s="178"/>
      <c r="AI14" s="178"/>
      <c r="AJ14" s="178"/>
      <c r="AK14" s="178"/>
    </row>
    <row r="15" spans="1:37" x14ac:dyDescent="0.25">
      <c r="A15" s="186">
        <v>42018</v>
      </c>
      <c r="B15" s="188" t="s">
        <v>21</v>
      </c>
      <c r="C15" s="189">
        <f ca="1">+IF(AD15=0,P15,(SUM(INDIRECT(CONCATENATE("B",AD15,":B",AA15)))/'parametres articles'!$H$8))</f>
        <v>0</v>
      </c>
      <c r="D15" s="187">
        <f>IFERROR(VLOOKUP(A15,'Mvmt stock'!A:B,2,0),0)</f>
        <v>0</v>
      </c>
      <c r="E15" s="188">
        <f>IFERROR(VLOOKUP(A15,'Mvmt stock'!D:E,2,0),0)</f>
        <v>0</v>
      </c>
      <c r="F15" s="188">
        <f t="shared" si="8"/>
        <v>31</v>
      </c>
      <c r="G15" s="208">
        <f>IFERROR(VLOOKUP(A15,'Mvmt stock'!G:H,2,0),0)</f>
        <v>0</v>
      </c>
      <c r="H15" s="190">
        <f>IFERROR(VLOOKUP(A15,Stock!B:C,2,0),H14)</f>
        <v>31</v>
      </c>
      <c r="I15" s="188">
        <f t="shared" si="0"/>
        <v>31</v>
      </c>
      <c r="J15" s="191"/>
      <c r="K15" s="187">
        <f>+HLOOKUP($B15,'parametres articles'!$C$5:$G$25,5,FALSE)</f>
        <v>15</v>
      </c>
      <c r="L15" s="187">
        <f>+HLOOKUP($B15,'parametres articles'!$C$5:$G$25,21,FALSE)</f>
        <v>13</v>
      </c>
      <c r="M15" s="192">
        <f>+HLOOKUP($B15,'parametres articles'!$C$5:$G$25,7,FALSE)</f>
        <v>0.8</v>
      </c>
      <c r="N15" s="192">
        <f>+HLOOKUP($B15,'parametres articles'!$C$5:$G$25,6,FALSE)</f>
        <v>0.4</v>
      </c>
      <c r="O15" s="187">
        <f>+HLOOKUP($B15,'parametres articles'!$C$5:$G$25,8,FALSE)</f>
        <v>0</v>
      </c>
      <c r="P15" s="193">
        <f>IF(B15="E",'parametres articles'!$C$8,HLOOKUP($B15,'parametres articles'!$C$5:$F$25,4,FALSE))</f>
        <v>2.27</v>
      </c>
      <c r="Q15" s="193">
        <f t="shared" si="1"/>
        <v>2.27</v>
      </c>
      <c r="R15" s="199">
        <f t="shared" si="9"/>
        <v>13.62</v>
      </c>
      <c r="S15" s="197">
        <f t="shared" si="2"/>
        <v>24.515999999999998</v>
      </c>
      <c r="T15" s="201">
        <f t="shared" si="3"/>
        <v>58.565999999999995</v>
      </c>
      <c r="U15" s="203">
        <f t="shared" si="10"/>
        <v>72.185999999999993</v>
      </c>
      <c r="V15" s="187">
        <f t="shared" si="4"/>
        <v>24.515999999999998</v>
      </c>
      <c r="W15" s="187">
        <f t="shared" si="5"/>
        <v>34.049999999999997</v>
      </c>
      <c r="X15" s="187">
        <f t="shared" si="6"/>
        <v>13.62</v>
      </c>
      <c r="Y15" s="193">
        <f t="shared" si="7"/>
        <v>31.325999999999997</v>
      </c>
      <c r="Z15" s="194"/>
      <c r="AA15" s="195">
        <f t="shared" ca="1" si="12"/>
        <v>15</v>
      </c>
      <c r="AB15" s="195">
        <f ca="1">+AA15+'parametres articles'!$C$9-1</f>
        <v>29</v>
      </c>
      <c r="AC15" s="195">
        <f ca="1">+AA15+'parametres articles'!$C$24-1</f>
        <v>34</v>
      </c>
      <c r="AD15" s="195">
        <f ca="1">+IF(AE15&lt;='parametres articles'!$H$8,0,AA15-'parametres articles'!$H$8+1)</f>
        <v>11</v>
      </c>
      <c r="AE15" s="195">
        <v>14</v>
      </c>
      <c r="AF15" s="187" t="str">
        <f t="shared" ca="1" si="11"/>
        <v>F30</v>
      </c>
      <c r="AG15" s="181"/>
      <c r="AH15" s="178"/>
      <c r="AI15" s="178"/>
      <c r="AJ15" s="178"/>
      <c r="AK15" s="178"/>
    </row>
    <row r="16" spans="1:37" x14ac:dyDescent="0.25">
      <c r="A16" s="186">
        <v>42019</v>
      </c>
      <c r="B16" s="188" t="s">
        <v>21</v>
      </c>
      <c r="C16" s="189">
        <f ca="1">+IF(AD16=0,P16,(SUM(INDIRECT(CONCATENATE("B",AD16,":B",AA16)))/'parametres articles'!$H$8))</f>
        <v>0</v>
      </c>
      <c r="D16" s="187">
        <f>IFERROR(VLOOKUP(A16,'Mvmt stock'!A:B,2,0),0)</f>
        <v>0</v>
      </c>
      <c r="E16" s="188">
        <f>IFERROR(VLOOKUP(A16,'Mvmt stock'!D:E,2,0),0)</f>
        <v>0</v>
      </c>
      <c r="F16" s="188">
        <f t="shared" si="8"/>
        <v>31</v>
      </c>
      <c r="G16" s="208">
        <f>IFERROR(VLOOKUP(A16,'Mvmt stock'!G:H,2,0),0)</f>
        <v>0</v>
      </c>
      <c r="H16" s="190">
        <f>IFERROR(VLOOKUP(A16,Stock!B:C,2,0),H15)</f>
        <v>31</v>
      </c>
      <c r="I16" s="188">
        <f t="shared" si="0"/>
        <v>31</v>
      </c>
      <c r="J16" s="191"/>
      <c r="K16" s="187">
        <f>+HLOOKUP($B16,'parametres articles'!$C$5:$G$25,5,FALSE)</f>
        <v>15</v>
      </c>
      <c r="L16" s="187">
        <f>+HLOOKUP($B16,'parametres articles'!$C$5:$G$25,21,FALSE)</f>
        <v>13</v>
      </c>
      <c r="M16" s="192">
        <f>+HLOOKUP($B16,'parametres articles'!$C$5:$G$25,7,FALSE)</f>
        <v>0.8</v>
      </c>
      <c r="N16" s="192">
        <f>+HLOOKUP($B16,'parametres articles'!$C$5:$G$25,6,FALSE)</f>
        <v>0.4</v>
      </c>
      <c r="O16" s="187">
        <f>+HLOOKUP($B16,'parametres articles'!$C$5:$G$25,8,FALSE)</f>
        <v>0</v>
      </c>
      <c r="P16" s="193">
        <f>IF(B16="E",'parametres articles'!$C$8,HLOOKUP($B16,'parametres articles'!$C$5:$F$25,4,FALSE))</f>
        <v>2.27</v>
      </c>
      <c r="Q16" s="193">
        <f t="shared" si="1"/>
        <v>2.27</v>
      </c>
      <c r="R16" s="199">
        <f t="shared" si="9"/>
        <v>13.62</v>
      </c>
      <c r="S16" s="197">
        <f t="shared" si="2"/>
        <v>24.515999999999998</v>
      </c>
      <c r="T16" s="201">
        <f t="shared" si="3"/>
        <v>58.565999999999995</v>
      </c>
      <c r="U16" s="203">
        <f t="shared" si="10"/>
        <v>72.185999999999993</v>
      </c>
      <c r="V16" s="187">
        <f t="shared" si="4"/>
        <v>24.515999999999998</v>
      </c>
      <c r="W16" s="187">
        <f t="shared" si="5"/>
        <v>34.049999999999997</v>
      </c>
      <c r="X16" s="187">
        <f t="shared" si="6"/>
        <v>13.62</v>
      </c>
      <c r="Y16" s="193">
        <f t="shared" si="7"/>
        <v>31.325999999999997</v>
      </c>
      <c r="Z16" s="194"/>
      <c r="AA16" s="195">
        <f t="shared" ca="1" si="12"/>
        <v>16</v>
      </c>
      <c r="AB16" s="195">
        <f ca="1">+AA16+'parametres articles'!$C$9-1</f>
        <v>30</v>
      </c>
      <c r="AC16" s="195">
        <f ca="1">+AA16+'parametres articles'!$C$24-1</f>
        <v>35</v>
      </c>
      <c r="AD16" s="195">
        <f ca="1">+IF(AE16&lt;='parametres articles'!$H$8,0,AA16-'parametres articles'!$H$8+1)</f>
        <v>12</v>
      </c>
      <c r="AE16" s="195">
        <v>15</v>
      </c>
      <c r="AF16" s="187" t="str">
        <f t="shared" ca="1" si="11"/>
        <v>F31</v>
      </c>
      <c r="AG16" s="181"/>
      <c r="AH16" s="178"/>
      <c r="AI16" s="178"/>
      <c r="AJ16" s="178"/>
      <c r="AK16" s="178"/>
    </row>
    <row r="17" spans="1:37" x14ac:dyDescent="0.25">
      <c r="A17" s="186">
        <v>42020</v>
      </c>
      <c r="B17" s="188" t="s">
        <v>21</v>
      </c>
      <c r="C17" s="189">
        <f ca="1">+IF(AD17=0,P17,(SUM(INDIRECT(CONCATENATE("B",AD17,":B",AA17)))/'parametres articles'!$H$8))</f>
        <v>0</v>
      </c>
      <c r="D17" s="187">
        <f>IFERROR(VLOOKUP(A17,'Mvmt stock'!A:B,2,0),0)</f>
        <v>0</v>
      </c>
      <c r="E17" s="188">
        <f>IFERROR(VLOOKUP(A17,'Mvmt stock'!D:E,2,0),0)</f>
        <v>0</v>
      </c>
      <c r="F17" s="188">
        <f t="shared" si="8"/>
        <v>31</v>
      </c>
      <c r="G17" s="208">
        <f>IFERROR(VLOOKUP(A17,'Mvmt stock'!G:H,2,0),0)</f>
        <v>0</v>
      </c>
      <c r="H17" s="190">
        <f>IFERROR(VLOOKUP(A17,Stock!B:C,2,0),H16)</f>
        <v>31</v>
      </c>
      <c r="I17" s="188">
        <f t="shared" si="0"/>
        <v>31</v>
      </c>
      <c r="J17" s="191"/>
      <c r="K17" s="187">
        <f>+HLOOKUP($B17,'parametres articles'!$C$5:$G$25,5,FALSE)</f>
        <v>15</v>
      </c>
      <c r="L17" s="187">
        <f>+HLOOKUP($B17,'parametres articles'!$C$5:$G$25,21,FALSE)</f>
        <v>13</v>
      </c>
      <c r="M17" s="192">
        <f>+HLOOKUP($B17,'parametres articles'!$C$5:$G$25,7,FALSE)</f>
        <v>0.8</v>
      </c>
      <c r="N17" s="192">
        <f>+HLOOKUP($B17,'parametres articles'!$C$5:$G$25,6,FALSE)</f>
        <v>0.4</v>
      </c>
      <c r="O17" s="187">
        <f>+HLOOKUP($B17,'parametres articles'!$C$5:$G$25,8,FALSE)</f>
        <v>0</v>
      </c>
      <c r="P17" s="193">
        <f>IF(B17="E",'parametres articles'!$C$8,HLOOKUP($B17,'parametres articles'!$C$5:$F$25,4,FALSE))</f>
        <v>2.27</v>
      </c>
      <c r="Q17" s="193">
        <f t="shared" si="1"/>
        <v>2.27</v>
      </c>
      <c r="R17" s="199">
        <f t="shared" si="9"/>
        <v>13.62</v>
      </c>
      <c r="S17" s="197">
        <f t="shared" si="2"/>
        <v>24.515999999999998</v>
      </c>
      <c r="T17" s="201">
        <f t="shared" si="3"/>
        <v>58.565999999999995</v>
      </c>
      <c r="U17" s="203">
        <f t="shared" si="10"/>
        <v>72.185999999999993</v>
      </c>
      <c r="V17" s="187">
        <f t="shared" si="4"/>
        <v>24.515999999999998</v>
      </c>
      <c r="W17" s="187">
        <f t="shared" si="5"/>
        <v>34.049999999999997</v>
      </c>
      <c r="X17" s="187">
        <f t="shared" si="6"/>
        <v>13.62</v>
      </c>
      <c r="Y17" s="193">
        <f t="shared" si="7"/>
        <v>31.325999999999997</v>
      </c>
      <c r="Z17" s="194"/>
      <c r="AA17" s="195">
        <f t="shared" ca="1" si="12"/>
        <v>17</v>
      </c>
      <c r="AB17" s="195">
        <f ca="1">+AA17+'parametres articles'!$C$9-1</f>
        <v>31</v>
      </c>
      <c r="AC17" s="195">
        <f ca="1">+AA17+'parametres articles'!$C$24-1</f>
        <v>36</v>
      </c>
      <c r="AD17" s="195">
        <f ca="1">+IF(AE17&lt;='parametres articles'!$H$8,0,AA17-'parametres articles'!$H$8+1)</f>
        <v>13</v>
      </c>
      <c r="AE17" s="195">
        <v>16</v>
      </c>
      <c r="AF17" s="187" t="str">
        <f t="shared" ca="1" si="11"/>
        <v>F32</v>
      </c>
      <c r="AG17" s="181"/>
      <c r="AH17" s="178"/>
      <c r="AI17" s="178"/>
      <c r="AJ17" s="178"/>
      <c r="AK17" s="178"/>
    </row>
    <row r="18" spans="1:37" x14ac:dyDescent="0.25">
      <c r="A18" s="186">
        <v>42021</v>
      </c>
      <c r="B18" s="188" t="s">
        <v>21</v>
      </c>
      <c r="C18" s="189">
        <f ca="1">+IF(AD18=0,P18,(SUM(INDIRECT(CONCATENATE("B",AD18,":B",AA18)))/'parametres articles'!$H$8))</f>
        <v>0</v>
      </c>
      <c r="D18" s="187">
        <f>IFERROR(VLOOKUP(A18,'Mvmt stock'!A:B,2,0),0)</f>
        <v>0</v>
      </c>
      <c r="E18" s="188">
        <f>IFERROR(VLOOKUP(A18,'Mvmt stock'!D:E,2,0),0)</f>
        <v>0</v>
      </c>
      <c r="F18" s="188">
        <f t="shared" si="8"/>
        <v>31</v>
      </c>
      <c r="G18" s="208">
        <f>IFERROR(VLOOKUP(A18,'Mvmt stock'!G:H,2,0),0)</f>
        <v>0</v>
      </c>
      <c r="H18" s="190">
        <f>IFERROR(VLOOKUP(A18,Stock!B:C,2,0),H17)</f>
        <v>31</v>
      </c>
      <c r="I18" s="188">
        <f t="shared" si="0"/>
        <v>31</v>
      </c>
      <c r="J18" s="191"/>
      <c r="K18" s="187">
        <f>+HLOOKUP($B18,'parametres articles'!$C$5:$G$25,5,FALSE)</f>
        <v>15</v>
      </c>
      <c r="L18" s="187">
        <f>+HLOOKUP($B18,'parametres articles'!$C$5:$G$25,21,FALSE)</f>
        <v>13</v>
      </c>
      <c r="M18" s="192">
        <f>+HLOOKUP($B18,'parametres articles'!$C$5:$G$25,7,FALSE)</f>
        <v>0.8</v>
      </c>
      <c r="N18" s="192">
        <f>+HLOOKUP($B18,'parametres articles'!$C$5:$G$25,6,FALSE)</f>
        <v>0.4</v>
      </c>
      <c r="O18" s="187">
        <f>+HLOOKUP($B18,'parametres articles'!$C$5:$G$25,8,FALSE)</f>
        <v>0</v>
      </c>
      <c r="P18" s="193">
        <f>IF(B18="E",'parametres articles'!$C$8,HLOOKUP($B18,'parametres articles'!$C$5:$F$25,4,FALSE))</f>
        <v>2.27</v>
      </c>
      <c r="Q18" s="193">
        <f t="shared" si="1"/>
        <v>2.27</v>
      </c>
      <c r="R18" s="199">
        <f t="shared" si="9"/>
        <v>13.62</v>
      </c>
      <c r="S18" s="197">
        <f t="shared" si="2"/>
        <v>24.515999999999998</v>
      </c>
      <c r="T18" s="201">
        <f t="shared" si="3"/>
        <v>58.565999999999995</v>
      </c>
      <c r="U18" s="203">
        <f t="shared" si="10"/>
        <v>72.185999999999993</v>
      </c>
      <c r="V18" s="187">
        <f t="shared" si="4"/>
        <v>24.515999999999998</v>
      </c>
      <c r="W18" s="187">
        <f t="shared" si="5"/>
        <v>34.049999999999997</v>
      </c>
      <c r="X18" s="187">
        <f t="shared" si="6"/>
        <v>13.62</v>
      </c>
      <c r="Y18" s="193">
        <f t="shared" si="7"/>
        <v>31.325999999999997</v>
      </c>
      <c r="Z18" s="194"/>
      <c r="AA18" s="195">
        <f t="shared" ca="1" si="12"/>
        <v>18</v>
      </c>
      <c r="AB18" s="195">
        <f ca="1">+AA18+'parametres articles'!$C$9-1</f>
        <v>32</v>
      </c>
      <c r="AC18" s="195">
        <f ca="1">+AA18+'parametres articles'!$C$24-1</f>
        <v>37</v>
      </c>
      <c r="AD18" s="195">
        <f ca="1">+IF(AE18&lt;='parametres articles'!$H$8,0,AA18-'parametres articles'!$H$8+1)</f>
        <v>14</v>
      </c>
      <c r="AE18" s="195">
        <v>17</v>
      </c>
      <c r="AF18" s="187" t="str">
        <f t="shared" ca="1" si="11"/>
        <v>F33</v>
      </c>
      <c r="AG18" s="181"/>
      <c r="AH18" s="178"/>
      <c r="AI18" s="178"/>
      <c r="AJ18" s="178"/>
      <c r="AK18" s="178"/>
    </row>
    <row r="19" spans="1:37" x14ac:dyDescent="0.25">
      <c r="A19" s="186">
        <v>42022</v>
      </c>
      <c r="B19" s="188" t="s">
        <v>21</v>
      </c>
      <c r="C19" s="189">
        <f ca="1">+IF(AD19=0,P19,(SUM(INDIRECT(CONCATENATE("B",AD19,":B",AA19)))/'parametres articles'!$H$8))</f>
        <v>0</v>
      </c>
      <c r="D19" s="187">
        <f>IFERROR(VLOOKUP(A19,'Mvmt stock'!A:B,2,0),0)</f>
        <v>0</v>
      </c>
      <c r="E19" s="188">
        <f>IFERROR(VLOOKUP(A19,'Mvmt stock'!D:E,2,0),0)</f>
        <v>0</v>
      </c>
      <c r="F19" s="188">
        <f t="shared" si="8"/>
        <v>31</v>
      </c>
      <c r="G19" s="208">
        <f>IFERROR(VLOOKUP(A19,'Mvmt stock'!G:H,2,0),0)</f>
        <v>0</v>
      </c>
      <c r="H19" s="190">
        <f>IFERROR(VLOOKUP(A19,Stock!B:C,2,0),H18)</f>
        <v>31</v>
      </c>
      <c r="I19" s="188">
        <f t="shared" si="0"/>
        <v>31</v>
      </c>
      <c r="J19" s="191"/>
      <c r="K19" s="187">
        <f>+HLOOKUP($B19,'parametres articles'!$C$5:$G$25,5,FALSE)</f>
        <v>15</v>
      </c>
      <c r="L19" s="187">
        <f>+HLOOKUP($B19,'parametres articles'!$C$5:$G$25,21,FALSE)</f>
        <v>13</v>
      </c>
      <c r="M19" s="192">
        <f>+HLOOKUP($B19,'parametres articles'!$C$5:$G$25,7,FALSE)</f>
        <v>0.8</v>
      </c>
      <c r="N19" s="192">
        <f>+HLOOKUP($B19,'parametres articles'!$C$5:$G$25,6,FALSE)</f>
        <v>0.4</v>
      </c>
      <c r="O19" s="187">
        <f>+HLOOKUP($B19,'parametres articles'!$C$5:$G$25,8,FALSE)</f>
        <v>0</v>
      </c>
      <c r="P19" s="193">
        <f>IF(B19="E",'parametres articles'!$C$8,HLOOKUP($B19,'parametres articles'!$C$5:$F$25,4,FALSE))</f>
        <v>2.27</v>
      </c>
      <c r="Q19" s="193">
        <f t="shared" si="1"/>
        <v>2.27</v>
      </c>
      <c r="R19" s="199">
        <f t="shared" si="9"/>
        <v>13.62</v>
      </c>
      <c r="S19" s="197">
        <f t="shared" si="2"/>
        <v>24.515999999999998</v>
      </c>
      <c r="T19" s="201">
        <f t="shared" si="3"/>
        <v>58.565999999999995</v>
      </c>
      <c r="U19" s="203">
        <f t="shared" si="10"/>
        <v>72.185999999999993</v>
      </c>
      <c r="V19" s="187">
        <f t="shared" si="4"/>
        <v>24.515999999999998</v>
      </c>
      <c r="W19" s="187">
        <f t="shared" si="5"/>
        <v>34.049999999999997</v>
      </c>
      <c r="X19" s="187">
        <f t="shared" si="6"/>
        <v>13.62</v>
      </c>
      <c r="Y19" s="193">
        <f t="shared" si="7"/>
        <v>31.325999999999997</v>
      </c>
      <c r="Z19" s="194"/>
      <c r="AA19" s="195">
        <f t="shared" ca="1" si="12"/>
        <v>19</v>
      </c>
      <c r="AB19" s="195">
        <f ca="1">+AA19+'parametres articles'!$C$9-1</f>
        <v>33</v>
      </c>
      <c r="AC19" s="195">
        <f ca="1">+AA19+'parametres articles'!$C$24-1</f>
        <v>38</v>
      </c>
      <c r="AD19" s="195">
        <f ca="1">+IF(AE19&lt;='parametres articles'!$H$8,0,AA19-'parametres articles'!$H$8+1)</f>
        <v>15</v>
      </c>
      <c r="AE19" s="195">
        <v>18</v>
      </c>
      <c r="AF19" s="187" t="str">
        <f t="shared" ca="1" si="11"/>
        <v>F34</v>
      </c>
      <c r="AG19" s="181"/>
      <c r="AH19" s="178"/>
      <c r="AI19" s="178"/>
      <c r="AJ19" s="178"/>
      <c r="AK19" s="178"/>
    </row>
    <row r="20" spans="1:37" x14ac:dyDescent="0.25">
      <c r="A20" s="186">
        <v>42023</v>
      </c>
      <c r="B20" s="188" t="s">
        <v>21</v>
      </c>
      <c r="C20" s="189">
        <f ca="1">+IF(AD20=0,P20,(SUM(INDIRECT(CONCATENATE("B",AD20,":B",AA20)))/'parametres articles'!$H$8))</f>
        <v>0</v>
      </c>
      <c r="D20" s="187">
        <f>IFERROR(VLOOKUP(A20,'Mvmt stock'!A:B,2,0),0)</f>
        <v>0</v>
      </c>
      <c r="E20" s="188">
        <f>IFERROR(VLOOKUP(A20,'Mvmt stock'!D:E,2,0),0)</f>
        <v>0</v>
      </c>
      <c r="F20" s="188">
        <f t="shared" si="8"/>
        <v>31</v>
      </c>
      <c r="G20" s="208">
        <f>IFERROR(VLOOKUP(A20,'Mvmt stock'!G:H,2,0),0)</f>
        <v>0</v>
      </c>
      <c r="H20" s="190">
        <f>IFERROR(VLOOKUP(A20,Stock!B:C,2,0),H19)</f>
        <v>31</v>
      </c>
      <c r="I20" s="188">
        <f t="shared" si="0"/>
        <v>31</v>
      </c>
      <c r="J20" s="191"/>
      <c r="K20" s="187">
        <f>+HLOOKUP($B20,'parametres articles'!$C$5:$G$25,5,FALSE)</f>
        <v>15</v>
      </c>
      <c r="L20" s="187">
        <f>+HLOOKUP($B20,'parametres articles'!$C$5:$G$25,21,FALSE)</f>
        <v>13</v>
      </c>
      <c r="M20" s="192">
        <f>+HLOOKUP($B20,'parametres articles'!$C$5:$G$25,7,FALSE)</f>
        <v>0.8</v>
      </c>
      <c r="N20" s="192">
        <f>+HLOOKUP($B20,'parametres articles'!$C$5:$G$25,6,FALSE)</f>
        <v>0.4</v>
      </c>
      <c r="O20" s="187">
        <f>+HLOOKUP($B20,'parametres articles'!$C$5:$G$25,8,FALSE)</f>
        <v>0</v>
      </c>
      <c r="P20" s="193">
        <f>IF(B20="E",'parametres articles'!$C$8,HLOOKUP($B20,'parametres articles'!$C$5:$F$25,4,FALSE))</f>
        <v>2.27</v>
      </c>
      <c r="Q20" s="193">
        <f t="shared" si="1"/>
        <v>2.27</v>
      </c>
      <c r="R20" s="199">
        <f t="shared" si="9"/>
        <v>13.62</v>
      </c>
      <c r="S20" s="197">
        <f t="shared" si="2"/>
        <v>24.515999999999998</v>
      </c>
      <c r="T20" s="201">
        <f t="shared" si="3"/>
        <v>58.565999999999995</v>
      </c>
      <c r="U20" s="203">
        <f t="shared" si="10"/>
        <v>72.185999999999993</v>
      </c>
      <c r="V20" s="187">
        <f t="shared" si="4"/>
        <v>24.515999999999998</v>
      </c>
      <c r="W20" s="187">
        <f t="shared" si="5"/>
        <v>34.049999999999997</v>
      </c>
      <c r="X20" s="187">
        <f t="shared" si="6"/>
        <v>13.62</v>
      </c>
      <c r="Y20" s="193">
        <f t="shared" si="7"/>
        <v>31.325999999999997</v>
      </c>
      <c r="Z20" s="194"/>
      <c r="AA20" s="195">
        <f t="shared" ca="1" si="12"/>
        <v>20</v>
      </c>
      <c r="AB20" s="195">
        <f ca="1">+AA20+'parametres articles'!$C$9-1</f>
        <v>34</v>
      </c>
      <c r="AC20" s="195">
        <f ca="1">+AA20+'parametres articles'!$C$24-1</f>
        <v>39</v>
      </c>
      <c r="AD20" s="195">
        <f ca="1">+IF(AE20&lt;='parametres articles'!$H$8,0,AA20-'parametres articles'!$H$8+1)</f>
        <v>16</v>
      </c>
      <c r="AE20" s="195">
        <v>19</v>
      </c>
      <c r="AF20" s="187" t="str">
        <f t="shared" ca="1" si="11"/>
        <v>F35</v>
      </c>
      <c r="AG20" s="181"/>
      <c r="AH20" s="178"/>
      <c r="AI20" s="178"/>
      <c r="AJ20" s="178"/>
      <c r="AK20" s="178"/>
    </row>
    <row r="21" spans="1:37" x14ac:dyDescent="0.25">
      <c r="A21" s="186">
        <v>42024</v>
      </c>
      <c r="B21" s="188" t="s">
        <v>21</v>
      </c>
      <c r="C21" s="189">
        <f ca="1">+IF(AD21=0,P21,(SUM(INDIRECT(CONCATENATE("B",AD21,":B",AA21)))/'parametres articles'!$H$8))</f>
        <v>0</v>
      </c>
      <c r="D21" s="187">
        <f>IFERROR(VLOOKUP(A21,'Mvmt stock'!A:B,2,0),0)</f>
        <v>4</v>
      </c>
      <c r="E21" s="188">
        <f>IFERROR(VLOOKUP(A21,'Mvmt stock'!D:E,2,0),0)</f>
        <v>0</v>
      </c>
      <c r="F21" s="188">
        <f t="shared" si="8"/>
        <v>30</v>
      </c>
      <c r="G21" s="208">
        <f>IFERROR(VLOOKUP(A21,'Mvmt stock'!G:H,2,0),0)</f>
        <v>-1</v>
      </c>
      <c r="H21" s="190">
        <f>IFERROR(VLOOKUP(A21,Stock!B:C,2,0),H20)</f>
        <v>30</v>
      </c>
      <c r="I21" s="188">
        <f t="shared" si="0"/>
        <v>26</v>
      </c>
      <c r="J21" s="191"/>
      <c r="K21" s="187">
        <f>+HLOOKUP($B21,'parametres articles'!$C$5:$G$25,5,FALSE)</f>
        <v>15</v>
      </c>
      <c r="L21" s="187">
        <f>+HLOOKUP($B21,'parametres articles'!$C$5:$G$25,21,FALSE)</f>
        <v>13</v>
      </c>
      <c r="M21" s="192">
        <f>+HLOOKUP($B21,'parametres articles'!$C$5:$G$25,7,FALSE)</f>
        <v>0.8</v>
      </c>
      <c r="N21" s="192">
        <f>+HLOOKUP($B21,'parametres articles'!$C$5:$G$25,6,FALSE)</f>
        <v>0.4</v>
      </c>
      <c r="O21" s="187">
        <f>+HLOOKUP($B21,'parametres articles'!$C$5:$G$25,8,FALSE)</f>
        <v>0</v>
      </c>
      <c r="P21" s="193">
        <f>IF(B21="E",'parametres articles'!$C$8,HLOOKUP($B21,'parametres articles'!$C$5:$F$25,4,FALSE))</f>
        <v>2.27</v>
      </c>
      <c r="Q21" s="193">
        <f t="shared" si="1"/>
        <v>2.27</v>
      </c>
      <c r="R21" s="199">
        <f t="shared" si="9"/>
        <v>13.62</v>
      </c>
      <c r="S21" s="197">
        <f t="shared" si="2"/>
        <v>24.515999999999998</v>
      </c>
      <c r="T21" s="201">
        <f t="shared" si="3"/>
        <v>58.565999999999995</v>
      </c>
      <c r="U21" s="203">
        <f t="shared" si="10"/>
        <v>72.185999999999993</v>
      </c>
      <c r="V21" s="187">
        <f t="shared" si="4"/>
        <v>24.515999999999998</v>
      </c>
      <c r="W21" s="187">
        <f t="shared" si="5"/>
        <v>34.049999999999997</v>
      </c>
      <c r="X21" s="187">
        <f t="shared" si="6"/>
        <v>13.62</v>
      </c>
      <c r="Y21" s="193">
        <f t="shared" si="7"/>
        <v>31.325999999999997</v>
      </c>
      <c r="Z21" s="194"/>
      <c r="AA21" s="195">
        <f t="shared" ca="1" si="12"/>
        <v>21</v>
      </c>
      <c r="AB21" s="195">
        <f ca="1">+AA21+'parametres articles'!$C$9-1</f>
        <v>35</v>
      </c>
      <c r="AC21" s="195">
        <f ca="1">+AA21+'parametres articles'!$C$24-1</f>
        <v>40</v>
      </c>
      <c r="AD21" s="195">
        <f ca="1">+IF(AE21&lt;='parametres articles'!$H$8,0,AA21-'parametres articles'!$H$8+1)</f>
        <v>17</v>
      </c>
      <c r="AE21" s="195">
        <v>20</v>
      </c>
      <c r="AF21" s="187" t="str">
        <f t="shared" ca="1" si="11"/>
        <v>F36</v>
      </c>
      <c r="AG21" s="181"/>
      <c r="AH21" s="178"/>
      <c r="AI21" s="178"/>
      <c r="AJ21" s="178"/>
      <c r="AK21" s="178"/>
    </row>
    <row r="22" spans="1:37" x14ac:dyDescent="0.25">
      <c r="A22" s="186">
        <v>42025</v>
      </c>
      <c r="B22" s="188" t="s">
        <v>21</v>
      </c>
      <c r="C22" s="189">
        <f ca="1">+IF(AD22=0,P22,(SUM(INDIRECT(CONCATENATE("B",AD22,":B",AA22)))/'parametres articles'!$H$8))</f>
        <v>0</v>
      </c>
      <c r="D22" s="187">
        <f>IFERROR(VLOOKUP(A22,'Mvmt stock'!A:B,2,0),0)</f>
        <v>0</v>
      </c>
      <c r="E22" s="188">
        <f>IFERROR(VLOOKUP(A22,'Mvmt stock'!D:E,2,0),0)</f>
        <v>0</v>
      </c>
      <c r="F22" s="188">
        <f t="shared" si="8"/>
        <v>26</v>
      </c>
      <c r="G22" s="208">
        <f>IFERROR(VLOOKUP(A22,'Mvmt stock'!G:H,2,0),0)</f>
        <v>0</v>
      </c>
      <c r="H22" s="190">
        <f>IFERROR(VLOOKUP(A22,Stock!B:C,2,0),H21)</f>
        <v>26</v>
      </c>
      <c r="I22" s="188">
        <f t="shared" si="0"/>
        <v>26</v>
      </c>
      <c r="J22" s="191">
        <f t="shared" ref="J22:J53" si="13">+AVERAGE(F2:F22)</f>
        <v>31.047619047619047</v>
      </c>
      <c r="K22" s="187">
        <f>+HLOOKUP($B22,'parametres articles'!$C$5:$G$25,5,FALSE)</f>
        <v>15</v>
      </c>
      <c r="L22" s="187">
        <f>+HLOOKUP($B22,'parametres articles'!$C$5:$G$25,21,FALSE)</f>
        <v>13</v>
      </c>
      <c r="M22" s="192">
        <f>+HLOOKUP($B22,'parametres articles'!$C$5:$G$25,7,FALSE)</f>
        <v>0.8</v>
      </c>
      <c r="N22" s="192">
        <f>+HLOOKUP($B22,'parametres articles'!$C$5:$G$25,6,FALSE)</f>
        <v>0.4</v>
      </c>
      <c r="O22" s="187">
        <f>+HLOOKUP($B22,'parametres articles'!$C$5:$G$25,8,FALSE)</f>
        <v>0</v>
      </c>
      <c r="P22" s="193">
        <f>IF(B22="E",'parametres articles'!$C$8,HLOOKUP($B22,'parametres articles'!$C$5:$F$25,4,FALSE))</f>
        <v>2.27</v>
      </c>
      <c r="Q22" s="193">
        <f t="shared" si="1"/>
        <v>2.27</v>
      </c>
      <c r="R22" s="199">
        <f t="shared" si="9"/>
        <v>13.62</v>
      </c>
      <c r="S22" s="197">
        <f t="shared" si="2"/>
        <v>24.515999999999998</v>
      </c>
      <c r="T22" s="201">
        <f t="shared" si="3"/>
        <v>58.565999999999995</v>
      </c>
      <c r="U22" s="203">
        <f t="shared" si="10"/>
        <v>72.185999999999993</v>
      </c>
      <c r="V22" s="187">
        <f t="shared" si="4"/>
        <v>24.515999999999998</v>
      </c>
      <c r="W22" s="187">
        <f t="shared" si="5"/>
        <v>34.049999999999997</v>
      </c>
      <c r="X22" s="187">
        <f t="shared" si="6"/>
        <v>13.62</v>
      </c>
      <c r="Y22" s="193">
        <f t="shared" si="7"/>
        <v>31.325999999999997</v>
      </c>
      <c r="Z22" s="194"/>
      <c r="AA22" s="195">
        <f t="shared" ca="1" si="12"/>
        <v>22</v>
      </c>
      <c r="AB22" s="195">
        <f ca="1">+AA22+'parametres articles'!$C$9-1</f>
        <v>36</v>
      </c>
      <c r="AC22" s="195">
        <f ca="1">+AA22+'parametres articles'!$C$24-1</f>
        <v>41</v>
      </c>
      <c r="AD22" s="195">
        <f ca="1">+IF(AE22&lt;='parametres articles'!$H$8,0,AA22-'parametres articles'!$H$8+1)</f>
        <v>18</v>
      </c>
      <c r="AE22" s="195">
        <v>21</v>
      </c>
      <c r="AF22" s="187" t="str">
        <f t="shared" ca="1" si="11"/>
        <v>F37</v>
      </c>
      <c r="AG22" s="181"/>
      <c r="AH22" s="178"/>
      <c r="AI22" s="178"/>
      <c r="AJ22" s="178"/>
      <c r="AK22" s="178"/>
    </row>
    <row r="23" spans="1:37" x14ac:dyDescent="0.25">
      <c r="A23" s="186">
        <v>42026</v>
      </c>
      <c r="B23" s="188" t="s">
        <v>21</v>
      </c>
      <c r="C23" s="189">
        <f ca="1">+IF(AD23=0,P23,(SUM(INDIRECT(CONCATENATE("B",AD23,":B",AA23)))/'parametres articles'!$H$8))</f>
        <v>0</v>
      </c>
      <c r="D23" s="187">
        <f>IFERROR(VLOOKUP(A23,'Mvmt stock'!A:B,2,0),0)</f>
        <v>0</v>
      </c>
      <c r="E23" s="188">
        <f>IFERROR(VLOOKUP(A23,'Mvmt stock'!D:E,2,0),0)</f>
        <v>0</v>
      </c>
      <c r="F23" s="188">
        <f t="shared" si="8"/>
        <v>26</v>
      </c>
      <c r="G23" s="208">
        <f>IFERROR(VLOOKUP(A23,'Mvmt stock'!G:H,2,0),0)</f>
        <v>0</v>
      </c>
      <c r="H23" s="190">
        <f>IFERROR(VLOOKUP(A23,Stock!B:C,2,0),H22)</f>
        <v>26</v>
      </c>
      <c r="I23" s="188">
        <f t="shared" si="0"/>
        <v>26</v>
      </c>
      <c r="J23" s="191">
        <f t="shared" si="13"/>
        <v>30.666666666666668</v>
      </c>
      <c r="K23" s="187">
        <f>+HLOOKUP($B23,'parametres articles'!$C$5:$G$25,5,FALSE)</f>
        <v>15</v>
      </c>
      <c r="L23" s="187">
        <f>+HLOOKUP($B23,'parametres articles'!$C$5:$G$25,21,FALSE)</f>
        <v>13</v>
      </c>
      <c r="M23" s="192">
        <f>+HLOOKUP($B23,'parametres articles'!$C$5:$G$25,7,FALSE)</f>
        <v>0.8</v>
      </c>
      <c r="N23" s="192">
        <f>+HLOOKUP($B23,'parametres articles'!$C$5:$G$25,6,FALSE)</f>
        <v>0.4</v>
      </c>
      <c r="O23" s="187">
        <f>+HLOOKUP($B23,'parametres articles'!$C$5:$G$25,8,FALSE)</f>
        <v>0</v>
      </c>
      <c r="P23" s="193">
        <f>IF(B23="E",'parametres articles'!$C$8,HLOOKUP($B23,'parametres articles'!$C$5:$F$25,4,FALSE))</f>
        <v>2.27</v>
      </c>
      <c r="Q23" s="193">
        <f t="shared" si="1"/>
        <v>2.27</v>
      </c>
      <c r="R23" s="199">
        <f t="shared" si="9"/>
        <v>13.62</v>
      </c>
      <c r="S23" s="197">
        <f t="shared" si="2"/>
        <v>24.515999999999998</v>
      </c>
      <c r="T23" s="201">
        <f t="shared" si="3"/>
        <v>58.565999999999995</v>
      </c>
      <c r="U23" s="203">
        <f t="shared" si="10"/>
        <v>72.185999999999993</v>
      </c>
      <c r="V23" s="187">
        <f t="shared" si="4"/>
        <v>24.515999999999998</v>
      </c>
      <c r="W23" s="187">
        <f t="shared" si="5"/>
        <v>34.049999999999997</v>
      </c>
      <c r="X23" s="187">
        <f t="shared" si="6"/>
        <v>13.62</v>
      </c>
      <c r="Y23" s="193">
        <f t="shared" si="7"/>
        <v>31.325999999999997</v>
      </c>
      <c r="Z23" s="194"/>
      <c r="AA23" s="195">
        <f t="shared" ca="1" si="12"/>
        <v>23</v>
      </c>
      <c r="AB23" s="195">
        <f ca="1">+AA23+'parametres articles'!$C$9-1</f>
        <v>37</v>
      </c>
      <c r="AC23" s="195">
        <f ca="1">+AA23+'parametres articles'!$C$24-1</f>
        <v>42</v>
      </c>
      <c r="AD23" s="195">
        <f ca="1">+IF(AE23&lt;='parametres articles'!$H$8,0,AA23-'parametres articles'!$H$8+1)</f>
        <v>19</v>
      </c>
      <c r="AE23" s="195">
        <v>22</v>
      </c>
      <c r="AF23" s="187" t="str">
        <f t="shared" ca="1" si="11"/>
        <v>F38</v>
      </c>
      <c r="AG23" s="181"/>
      <c r="AH23" s="178"/>
      <c r="AI23" s="178"/>
      <c r="AJ23" s="178"/>
      <c r="AK23" s="178"/>
    </row>
    <row r="24" spans="1:37" x14ac:dyDescent="0.25">
      <c r="A24" s="186">
        <v>42027</v>
      </c>
      <c r="B24" s="188" t="s">
        <v>21</v>
      </c>
      <c r="C24" s="189">
        <f ca="1">+IF(AD24=0,P24,(SUM(INDIRECT(CONCATENATE("B",AD24,":B",AA24)))/'parametres articles'!$H$8))</f>
        <v>0</v>
      </c>
      <c r="D24" s="187">
        <f>IFERROR(VLOOKUP(A24,'Mvmt stock'!A:B,2,0),0)</f>
        <v>10</v>
      </c>
      <c r="E24" s="188">
        <f>IFERROR(VLOOKUP(A24,'Mvmt stock'!D:E,2,0),0)</f>
        <v>0</v>
      </c>
      <c r="F24" s="188">
        <f t="shared" si="8"/>
        <v>26</v>
      </c>
      <c r="G24" s="208">
        <f>IFERROR(VLOOKUP(A24,'Mvmt stock'!G:H,2,0),0)</f>
        <v>0</v>
      </c>
      <c r="H24" s="190">
        <f>IFERROR(VLOOKUP(A24,Stock!B:C,2,0),H23)</f>
        <v>26</v>
      </c>
      <c r="I24" s="188">
        <f t="shared" si="0"/>
        <v>16</v>
      </c>
      <c r="J24" s="191">
        <f t="shared" si="13"/>
        <v>30.285714285714285</v>
      </c>
      <c r="K24" s="187">
        <f>+HLOOKUP($B24,'parametres articles'!$C$5:$G$25,5,FALSE)</f>
        <v>15</v>
      </c>
      <c r="L24" s="187">
        <f>+HLOOKUP($B24,'parametres articles'!$C$5:$G$25,21,FALSE)</f>
        <v>13</v>
      </c>
      <c r="M24" s="192">
        <f>+HLOOKUP($B24,'parametres articles'!$C$5:$G$25,7,FALSE)</f>
        <v>0.8</v>
      </c>
      <c r="N24" s="192">
        <f>+HLOOKUP($B24,'parametres articles'!$C$5:$G$25,6,FALSE)</f>
        <v>0.4</v>
      </c>
      <c r="O24" s="187">
        <f>+HLOOKUP($B24,'parametres articles'!$C$5:$G$25,8,FALSE)</f>
        <v>0</v>
      </c>
      <c r="P24" s="193">
        <f>IF(B24="E",'parametres articles'!$C$8,HLOOKUP($B24,'parametres articles'!$C$5:$F$25,4,FALSE))</f>
        <v>2.27</v>
      </c>
      <c r="Q24" s="193">
        <f t="shared" si="1"/>
        <v>2.27</v>
      </c>
      <c r="R24" s="199">
        <f t="shared" si="9"/>
        <v>13.62</v>
      </c>
      <c r="S24" s="197">
        <f t="shared" si="2"/>
        <v>24.515999999999998</v>
      </c>
      <c r="T24" s="201">
        <f t="shared" si="3"/>
        <v>58.565999999999995</v>
      </c>
      <c r="U24" s="203">
        <f t="shared" si="10"/>
        <v>72.185999999999993</v>
      </c>
      <c r="V24" s="187">
        <f t="shared" si="4"/>
        <v>24.515999999999998</v>
      </c>
      <c r="W24" s="187">
        <f t="shared" si="5"/>
        <v>34.049999999999997</v>
      </c>
      <c r="X24" s="187">
        <f t="shared" si="6"/>
        <v>13.62</v>
      </c>
      <c r="Y24" s="193">
        <f t="shared" si="7"/>
        <v>31.325999999999997</v>
      </c>
      <c r="Z24" s="194"/>
      <c r="AA24" s="195">
        <f t="shared" ca="1" si="12"/>
        <v>24</v>
      </c>
      <c r="AB24" s="195">
        <f ca="1">+AA24+'parametres articles'!$C$9-1</f>
        <v>38</v>
      </c>
      <c r="AC24" s="195">
        <f ca="1">+AA24+'parametres articles'!$C$24-1</f>
        <v>43</v>
      </c>
      <c r="AD24" s="195">
        <f ca="1">+IF(AE24&lt;='parametres articles'!$H$8,0,AA24-'parametres articles'!$H$8+1)</f>
        <v>20</v>
      </c>
      <c r="AE24" s="195">
        <v>23</v>
      </c>
      <c r="AF24" s="187" t="str">
        <f t="shared" ca="1" si="11"/>
        <v>F39</v>
      </c>
      <c r="AG24" s="181"/>
      <c r="AH24" s="178"/>
      <c r="AI24" s="178"/>
      <c r="AJ24" s="178"/>
      <c r="AK24" s="178"/>
    </row>
    <row r="25" spans="1:37" x14ac:dyDescent="0.25">
      <c r="A25" s="186">
        <v>42028</v>
      </c>
      <c r="B25" s="188" t="s">
        <v>21</v>
      </c>
      <c r="C25" s="189">
        <f ca="1">+IF(AD25=0,P25,(SUM(INDIRECT(CONCATENATE("B",AD25,":B",AA25)))/'parametres articles'!$H$8))</f>
        <v>0</v>
      </c>
      <c r="D25" s="187">
        <f>IFERROR(VLOOKUP(A25,'Mvmt stock'!A:B,2,0),0)</f>
        <v>0</v>
      </c>
      <c r="E25" s="188">
        <f>IFERROR(VLOOKUP(A25,'Mvmt stock'!D:E,2,0),0)</f>
        <v>0</v>
      </c>
      <c r="F25" s="188">
        <f t="shared" si="8"/>
        <v>16</v>
      </c>
      <c r="G25" s="208">
        <f>IFERROR(VLOOKUP(A25,'Mvmt stock'!G:H,2,0),0)</f>
        <v>0</v>
      </c>
      <c r="H25" s="190">
        <f>IFERROR(VLOOKUP(A25,Stock!B:C,2,0),H24)</f>
        <v>26</v>
      </c>
      <c r="I25" s="188">
        <f t="shared" si="0"/>
        <v>16</v>
      </c>
      <c r="J25" s="191">
        <f t="shared" si="13"/>
        <v>29.428571428571427</v>
      </c>
      <c r="K25" s="187">
        <f>+HLOOKUP($B25,'parametres articles'!$C$5:$G$25,5,FALSE)</f>
        <v>15</v>
      </c>
      <c r="L25" s="187">
        <f>+HLOOKUP($B25,'parametres articles'!$C$5:$G$25,21,FALSE)</f>
        <v>13</v>
      </c>
      <c r="M25" s="192">
        <f>+HLOOKUP($B25,'parametres articles'!$C$5:$G$25,7,FALSE)</f>
        <v>0.8</v>
      </c>
      <c r="N25" s="192">
        <f>+HLOOKUP($B25,'parametres articles'!$C$5:$G$25,6,FALSE)</f>
        <v>0.4</v>
      </c>
      <c r="O25" s="187">
        <f>+HLOOKUP($B25,'parametres articles'!$C$5:$G$25,8,FALSE)</f>
        <v>0</v>
      </c>
      <c r="P25" s="193">
        <f>IF(B25="E",'parametres articles'!$C$8,HLOOKUP($B25,'parametres articles'!$C$5:$F$25,4,FALSE))</f>
        <v>2.27</v>
      </c>
      <c r="Q25" s="193">
        <f t="shared" si="1"/>
        <v>2.27</v>
      </c>
      <c r="R25" s="199">
        <f t="shared" si="9"/>
        <v>13.62</v>
      </c>
      <c r="S25" s="197">
        <f t="shared" si="2"/>
        <v>24.515999999999998</v>
      </c>
      <c r="T25" s="201">
        <f t="shared" si="3"/>
        <v>58.565999999999995</v>
      </c>
      <c r="U25" s="203">
        <f t="shared" si="10"/>
        <v>72.185999999999993</v>
      </c>
      <c r="V25" s="187">
        <f t="shared" si="4"/>
        <v>24.515999999999998</v>
      </c>
      <c r="W25" s="187">
        <f t="shared" si="5"/>
        <v>34.049999999999997</v>
      </c>
      <c r="X25" s="187">
        <f t="shared" si="6"/>
        <v>13.62</v>
      </c>
      <c r="Y25" s="193">
        <f t="shared" si="7"/>
        <v>31.325999999999997</v>
      </c>
      <c r="Z25" s="194"/>
      <c r="AA25" s="195">
        <f t="shared" ca="1" si="12"/>
        <v>25</v>
      </c>
      <c r="AB25" s="195">
        <f ca="1">+AA25+'parametres articles'!$C$9-1</f>
        <v>39</v>
      </c>
      <c r="AC25" s="195">
        <f ca="1">+AA25+'parametres articles'!$C$24-1</f>
        <v>44</v>
      </c>
      <c r="AD25" s="195">
        <f ca="1">+IF(AE25&lt;='parametres articles'!$H$8,0,AA25-'parametres articles'!$H$8+1)</f>
        <v>21</v>
      </c>
      <c r="AE25" s="195">
        <v>24</v>
      </c>
      <c r="AF25" s="187" t="str">
        <f t="shared" ca="1" si="11"/>
        <v>F40</v>
      </c>
      <c r="AG25" s="181"/>
      <c r="AH25" s="178"/>
      <c r="AI25" s="178"/>
      <c r="AJ25" s="178"/>
      <c r="AK25" s="178"/>
    </row>
    <row r="26" spans="1:37" x14ac:dyDescent="0.25">
      <c r="A26" s="186">
        <v>42029</v>
      </c>
      <c r="B26" s="188" t="s">
        <v>21</v>
      </c>
      <c r="C26" s="189">
        <f ca="1">+IF(AD26=0,P26,(SUM(INDIRECT(CONCATENATE("B",AD26,":B",AA26)))/'parametres articles'!$H$8))</f>
        <v>0</v>
      </c>
      <c r="D26" s="187">
        <f>IFERROR(VLOOKUP(A26,'Mvmt stock'!A:B,2,0),0)</f>
        <v>0</v>
      </c>
      <c r="E26" s="188">
        <f>IFERROR(VLOOKUP(A26,'Mvmt stock'!D:E,2,0),0)</f>
        <v>0</v>
      </c>
      <c r="F26" s="188">
        <f t="shared" si="8"/>
        <v>16</v>
      </c>
      <c r="G26" s="208">
        <f>IFERROR(VLOOKUP(A26,'Mvmt stock'!G:H,2,0),0)</f>
        <v>0</v>
      </c>
      <c r="H26" s="190">
        <f>IFERROR(VLOOKUP(A26,Stock!B:C,2,0),H25)</f>
        <v>26</v>
      </c>
      <c r="I26" s="188">
        <f t="shared" si="0"/>
        <v>16</v>
      </c>
      <c r="J26" s="191">
        <f t="shared" si="13"/>
        <v>28.571428571428573</v>
      </c>
      <c r="K26" s="187">
        <f>+HLOOKUP($B26,'parametres articles'!$C$5:$G$25,5,FALSE)</f>
        <v>15</v>
      </c>
      <c r="L26" s="187">
        <f>+HLOOKUP($B26,'parametres articles'!$C$5:$G$25,21,FALSE)</f>
        <v>13</v>
      </c>
      <c r="M26" s="192">
        <f>+HLOOKUP($B26,'parametres articles'!$C$5:$G$25,7,FALSE)</f>
        <v>0.8</v>
      </c>
      <c r="N26" s="192">
        <f>+HLOOKUP($B26,'parametres articles'!$C$5:$G$25,6,FALSE)</f>
        <v>0.4</v>
      </c>
      <c r="O26" s="187">
        <f>+HLOOKUP($B26,'parametres articles'!$C$5:$G$25,8,FALSE)</f>
        <v>0</v>
      </c>
      <c r="P26" s="193">
        <f>IF(B26="E",'parametres articles'!$C$8,HLOOKUP($B26,'parametres articles'!$C$5:$F$25,4,FALSE))</f>
        <v>2.27</v>
      </c>
      <c r="Q26" s="193">
        <f t="shared" si="1"/>
        <v>2.27</v>
      </c>
      <c r="R26" s="199">
        <f t="shared" si="9"/>
        <v>13.62</v>
      </c>
      <c r="S26" s="197">
        <f t="shared" si="2"/>
        <v>24.515999999999998</v>
      </c>
      <c r="T26" s="201">
        <f t="shared" si="3"/>
        <v>58.565999999999995</v>
      </c>
      <c r="U26" s="203">
        <f t="shared" si="10"/>
        <v>72.185999999999993</v>
      </c>
      <c r="V26" s="187">
        <f t="shared" si="4"/>
        <v>24.515999999999998</v>
      </c>
      <c r="W26" s="187">
        <f t="shared" si="5"/>
        <v>34.049999999999997</v>
      </c>
      <c r="X26" s="187">
        <f t="shared" si="6"/>
        <v>13.62</v>
      </c>
      <c r="Y26" s="193">
        <f t="shared" si="7"/>
        <v>31.325999999999997</v>
      </c>
      <c r="Z26" s="194"/>
      <c r="AA26" s="195">
        <f t="shared" ca="1" si="12"/>
        <v>26</v>
      </c>
      <c r="AB26" s="195">
        <f ca="1">+AA26+'parametres articles'!$C$9-1</f>
        <v>40</v>
      </c>
      <c r="AC26" s="195">
        <f ca="1">+AA26+'parametres articles'!$C$24-1</f>
        <v>45</v>
      </c>
      <c r="AD26" s="195">
        <f ca="1">+IF(AE26&lt;='parametres articles'!$H$8,0,AA26-'parametres articles'!$H$8+1)</f>
        <v>22</v>
      </c>
      <c r="AE26" s="195">
        <v>25</v>
      </c>
      <c r="AF26" s="187" t="str">
        <f t="shared" ca="1" si="11"/>
        <v>F41</v>
      </c>
      <c r="AG26" s="181"/>
      <c r="AH26" s="178"/>
      <c r="AI26" s="178"/>
      <c r="AJ26" s="178"/>
      <c r="AK26" s="178"/>
    </row>
    <row r="27" spans="1:37" x14ac:dyDescent="0.25">
      <c r="A27" s="186">
        <v>42030</v>
      </c>
      <c r="B27" s="188" t="s">
        <v>21</v>
      </c>
      <c r="C27" s="189">
        <f ca="1">+IF(AD27=0,P27,(SUM(INDIRECT(CONCATENATE("B",AD27,":B",AA27)))/'parametres articles'!$H$8))</f>
        <v>0</v>
      </c>
      <c r="D27" s="187">
        <f>IFERROR(VLOOKUP(A27,'Mvmt stock'!A:B,2,0),0)</f>
        <v>0</v>
      </c>
      <c r="E27" s="188">
        <f>IFERROR(VLOOKUP(A27,'Mvmt stock'!D:E,2,0),0)</f>
        <v>38</v>
      </c>
      <c r="F27" s="188">
        <f t="shared" si="8"/>
        <v>16</v>
      </c>
      <c r="G27" s="208">
        <f>IFERROR(VLOOKUP(A27,'Mvmt stock'!G:H,2,0),0)</f>
        <v>0</v>
      </c>
      <c r="H27" s="190">
        <f>IFERROR(VLOOKUP(A27,Stock!B:C,2,0),H26)</f>
        <v>16</v>
      </c>
      <c r="I27" s="188">
        <f t="shared" si="0"/>
        <v>54</v>
      </c>
      <c r="J27" s="191">
        <f t="shared" si="13"/>
        <v>27.714285714285715</v>
      </c>
      <c r="K27" s="187">
        <f>+HLOOKUP($B27,'parametres articles'!$C$5:$G$25,5,FALSE)</f>
        <v>15</v>
      </c>
      <c r="L27" s="187">
        <f>+HLOOKUP($B27,'parametres articles'!$C$5:$G$25,21,FALSE)</f>
        <v>13</v>
      </c>
      <c r="M27" s="192">
        <f>+HLOOKUP($B27,'parametres articles'!$C$5:$G$25,7,FALSE)</f>
        <v>0.8</v>
      </c>
      <c r="N27" s="192">
        <f>+HLOOKUP($B27,'parametres articles'!$C$5:$G$25,6,FALSE)</f>
        <v>0.4</v>
      </c>
      <c r="O27" s="187">
        <f>+HLOOKUP($B27,'parametres articles'!$C$5:$G$25,8,FALSE)</f>
        <v>0</v>
      </c>
      <c r="P27" s="193">
        <f>IF(B27="E",'parametres articles'!$C$8,HLOOKUP($B27,'parametres articles'!$C$5:$F$25,4,FALSE))</f>
        <v>2.27</v>
      </c>
      <c r="Q27" s="193">
        <f t="shared" si="1"/>
        <v>2.27</v>
      </c>
      <c r="R27" s="199">
        <f t="shared" si="9"/>
        <v>13.62</v>
      </c>
      <c r="S27" s="197">
        <f t="shared" si="2"/>
        <v>24.515999999999998</v>
      </c>
      <c r="T27" s="201">
        <f t="shared" si="3"/>
        <v>58.565999999999995</v>
      </c>
      <c r="U27" s="203">
        <f t="shared" si="10"/>
        <v>72.185999999999993</v>
      </c>
      <c r="V27" s="187">
        <f t="shared" si="4"/>
        <v>24.515999999999998</v>
      </c>
      <c r="W27" s="187">
        <f t="shared" si="5"/>
        <v>34.049999999999997</v>
      </c>
      <c r="X27" s="187">
        <f t="shared" si="6"/>
        <v>13.62</v>
      </c>
      <c r="Y27" s="193">
        <f t="shared" si="7"/>
        <v>31.325999999999997</v>
      </c>
      <c r="Z27" s="194"/>
      <c r="AA27" s="195">
        <f t="shared" ca="1" si="12"/>
        <v>27</v>
      </c>
      <c r="AB27" s="195">
        <f ca="1">+AA27+'parametres articles'!$C$9-1</f>
        <v>41</v>
      </c>
      <c r="AC27" s="195">
        <f ca="1">+AA27+'parametres articles'!$C$24-1</f>
        <v>46</v>
      </c>
      <c r="AD27" s="195">
        <f ca="1">+IF(AE27&lt;='parametres articles'!$H$8,0,AA27-'parametres articles'!$H$8+1)</f>
        <v>23</v>
      </c>
      <c r="AE27" s="195">
        <v>26</v>
      </c>
      <c r="AF27" s="187" t="str">
        <f t="shared" ca="1" si="11"/>
        <v>F42</v>
      </c>
      <c r="AG27" s="181"/>
      <c r="AH27" s="178"/>
      <c r="AI27" s="178"/>
      <c r="AJ27" s="178"/>
      <c r="AK27" s="178"/>
    </row>
    <row r="28" spans="1:37" x14ac:dyDescent="0.25">
      <c r="A28" s="186">
        <v>42031</v>
      </c>
      <c r="B28" s="188" t="s">
        <v>21</v>
      </c>
      <c r="C28" s="189">
        <f ca="1">+IF(AD28=0,P28,(SUM(INDIRECT(CONCATENATE("B",AD28,":B",AA28)))/'parametres articles'!$H$8))</f>
        <v>0</v>
      </c>
      <c r="D28" s="187">
        <f>IFERROR(VLOOKUP(A28,'Mvmt stock'!A:B,2,0),0)</f>
        <v>0</v>
      </c>
      <c r="E28" s="188">
        <f>IFERROR(VLOOKUP(A28,'Mvmt stock'!D:E,2,0),0)</f>
        <v>0</v>
      </c>
      <c r="F28" s="188">
        <f t="shared" si="8"/>
        <v>53</v>
      </c>
      <c r="G28" s="208">
        <f>IFERROR(VLOOKUP(A28,'Mvmt stock'!G:H,2,0),0)</f>
        <v>-1</v>
      </c>
      <c r="H28" s="190">
        <f>IFERROR(VLOOKUP(A28,Stock!B:C,2,0),H27)</f>
        <v>53</v>
      </c>
      <c r="I28" s="188">
        <f t="shared" si="0"/>
        <v>53</v>
      </c>
      <c r="J28" s="191">
        <f t="shared" si="13"/>
        <v>28.61904761904762</v>
      </c>
      <c r="K28" s="187">
        <f>+HLOOKUP($B28,'parametres articles'!$C$5:$G$25,5,FALSE)</f>
        <v>15</v>
      </c>
      <c r="L28" s="187">
        <f>+HLOOKUP($B28,'parametres articles'!$C$5:$G$25,21,FALSE)</f>
        <v>13</v>
      </c>
      <c r="M28" s="192">
        <f>+HLOOKUP($B28,'parametres articles'!$C$5:$G$25,7,FALSE)</f>
        <v>0.8</v>
      </c>
      <c r="N28" s="192">
        <f>+HLOOKUP($B28,'parametres articles'!$C$5:$G$25,6,FALSE)</f>
        <v>0.4</v>
      </c>
      <c r="O28" s="187">
        <f>+HLOOKUP($B28,'parametres articles'!$C$5:$G$25,8,FALSE)</f>
        <v>0</v>
      </c>
      <c r="P28" s="193">
        <f>IF(B28="E",'parametres articles'!$C$8,HLOOKUP($B28,'parametres articles'!$C$5:$F$25,4,FALSE))</f>
        <v>2.27</v>
      </c>
      <c r="Q28" s="193">
        <f t="shared" si="1"/>
        <v>2.27</v>
      </c>
      <c r="R28" s="199">
        <f t="shared" si="9"/>
        <v>13.62</v>
      </c>
      <c r="S28" s="197">
        <f t="shared" si="2"/>
        <v>24.515999999999998</v>
      </c>
      <c r="T28" s="201">
        <f t="shared" si="3"/>
        <v>58.565999999999995</v>
      </c>
      <c r="U28" s="203">
        <f t="shared" si="10"/>
        <v>72.185999999999993</v>
      </c>
      <c r="V28" s="187">
        <f t="shared" si="4"/>
        <v>24.515999999999998</v>
      </c>
      <c r="W28" s="187">
        <f t="shared" si="5"/>
        <v>34.049999999999997</v>
      </c>
      <c r="X28" s="187">
        <f t="shared" si="6"/>
        <v>13.62</v>
      </c>
      <c r="Y28" s="193">
        <f t="shared" si="7"/>
        <v>31.325999999999997</v>
      </c>
      <c r="Z28" s="194"/>
      <c r="AA28" s="195">
        <f t="shared" ca="1" si="12"/>
        <v>28</v>
      </c>
      <c r="AB28" s="195">
        <f ca="1">+AA28+'parametres articles'!$C$9-1</f>
        <v>42</v>
      </c>
      <c r="AC28" s="195">
        <f ca="1">+AA28+'parametres articles'!$C$24-1</f>
        <v>47</v>
      </c>
      <c r="AD28" s="195">
        <f ca="1">+IF(AE28&lt;='parametres articles'!$H$8,0,AA28-'parametres articles'!$H$8+1)</f>
        <v>24</v>
      </c>
      <c r="AE28" s="195">
        <v>27</v>
      </c>
      <c r="AF28" s="187" t="str">
        <f t="shared" ca="1" si="11"/>
        <v>F43</v>
      </c>
      <c r="AG28" s="181"/>
      <c r="AH28" s="178"/>
      <c r="AI28" s="178"/>
      <c r="AJ28" s="178"/>
      <c r="AK28" s="178"/>
    </row>
    <row r="29" spans="1:37" x14ac:dyDescent="0.25">
      <c r="A29" s="186">
        <v>42032</v>
      </c>
      <c r="B29" s="188" t="s">
        <v>21</v>
      </c>
      <c r="C29" s="189">
        <f ca="1">+IF(AD29=0,P29,(SUM(INDIRECT(CONCATENATE("B",AD29,":B",AA29)))/'parametres articles'!$H$8))</f>
        <v>0</v>
      </c>
      <c r="D29" s="187">
        <f>IFERROR(VLOOKUP(A29,'Mvmt stock'!A:B,2,0),0)</f>
        <v>0</v>
      </c>
      <c r="E29" s="188">
        <f>IFERROR(VLOOKUP(A29,'Mvmt stock'!D:E,2,0),0)</f>
        <v>0</v>
      </c>
      <c r="F29" s="188">
        <f t="shared" si="8"/>
        <v>53</v>
      </c>
      <c r="G29" s="208">
        <f>IFERROR(VLOOKUP(A29,'Mvmt stock'!G:H,2,0),0)</f>
        <v>0</v>
      </c>
      <c r="H29" s="190">
        <f>IFERROR(VLOOKUP(A29,Stock!B:C,2,0),H28)</f>
        <v>53</v>
      </c>
      <c r="I29" s="188">
        <f t="shared" si="0"/>
        <v>53</v>
      </c>
      <c r="J29" s="191">
        <f t="shared" si="13"/>
        <v>29.523809523809526</v>
      </c>
      <c r="K29" s="187">
        <f>+HLOOKUP($B29,'parametres articles'!$C$5:$G$25,5,FALSE)</f>
        <v>15</v>
      </c>
      <c r="L29" s="187">
        <f>+HLOOKUP($B29,'parametres articles'!$C$5:$G$25,21,FALSE)</f>
        <v>13</v>
      </c>
      <c r="M29" s="192">
        <f>+HLOOKUP($B29,'parametres articles'!$C$5:$G$25,7,FALSE)</f>
        <v>0.8</v>
      </c>
      <c r="N29" s="192">
        <f>+HLOOKUP($B29,'parametres articles'!$C$5:$G$25,6,FALSE)</f>
        <v>0.4</v>
      </c>
      <c r="O29" s="187">
        <f>+HLOOKUP($B29,'parametres articles'!$C$5:$G$25,8,FALSE)</f>
        <v>0</v>
      </c>
      <c r="P29" s="193">
        <f>IF(B29="E",'parametres articles'!$C$8,HLOOKUP($B29,'parametres articles'!$C$5:$F$25,4,FALSE))</f>
        <v>2.27</v>
      </c>
      <c r="Q29" s="193">
        <f t="shared" si="1"/>
        <v>2.27</v>
      </c>
      <c r="R29" s="199">
        <f t="shared" si="9"/>
        <v>13.62</v>
      </c>
      <c r="S29" s="197">
        <f t="shared" si="2"/>
        <v>24.515999999999998</v>
      </c>
      <c r="T29" s="201">
        <f t="shared" si="3"/>
        <v>58.565999999999995</v>
      </c>
      <c r="U29" s="203">
        <f t="shared" si="10"/>
        <v>72.185999999999993</v>
      </c>
      <c r="V29" s="187">
        <f t="shared" si="4"/>
        <v>24.515999999999998</v>
      </c>
      <c r="W29" s="187">
        <f t="shared" si="5"/>
        <v>34.049999999999997</v>
      </c>
      <c r="X29" s="187">
        <f t="shared" si="6"/>
        <v>13.62</v>
      </c>
      <c r="Y29" s="193">
        <f t="shared" si="7"/>
        <v>31.325999999999997</v>
      </c>
      <c r="Z29" s="194"/>
      <c r="AA29" s="195">
        <f t="shared" ca="1" si="12"/>
        <v>29</v>
      </c>
      <c r="AB29" s="195">
        <f ca="1">+AA29+'parametres articles'!$C$9-1</f>
        <v>43</v>
      </c>
      <c r="AC29" s="195">
        <f ca="1">+AA29+'parametres articles'!$C$24-1</f>
        <v>48</v>
      </c>
      <c r="AD29" s="195">
        <f ca="1">+IF(AE29&lt;='parametres articles'!$H$8,0,AA29-'parametres articles'!$H$8+1)</f>
        <v>25</v>
      </c>
      <c r="AE29" s="195">
        <v>28</v>
      </c>
      <c r="AF29" s="187" t="str">
        <f t="shared" ca="1" si="11"/>
        <v>F44</v>
      </c>
      <c r="AG29" s="181"/>
      <c r="AH29" s="178"/>
      <c r="AI29" s="178"/>
      <c r="AJ29" s="178"/>
      <c r="AK29" s="178"/>
    </row>
    <row r="30" spans="1:37" x14ac:dyDescent="0.25">
      <c r="A30" s="186">
        <v>42033</v>
      </c>
      <c r="B30" s="188" t="s">
        <v>21</v>
      </c>
      <c r="C30" s="189">
        <f ca="1">+IF(AD30=0,P30,(SUM(INDIRECT(CONCATENATE("B",AD30,":B",AA30)))/'parametres articles'!$H$8))</f>
        <v>0</v>
      </c>
      <c r="D30" s="187">
        <f>IFERROR(VLOOKUP(A30,'Mvmt stock'!A:B,2,0),0)</f>
        <v>0</v>
      </c>
      <c r="E30" s="188">
        <f>IFERROR(VLOOKUP(A30,'Mvmt stock'!D:E,2,0),0)</f>
        <v>0</v>
      </c>
      <c r="F30" s="188">
        <f t="shared" si="8"/>
        <v>53</v>
      </c>
      <c r="G30" s="208">
        <f>IFERROR(VLOOKUP(A30,'Mvmt stock'!G:H,2,0),0)</f>
        <v>0</v>
      </c>
      <c r="H30" s="190">
        <f>IFERROR(VLOOKUP(A30,Stock!B:C,2,0),H29)</f>
        <v>53</v>
      </c>
      <c r="I30" s="188">
        <f t="shared" si="0"/>
        <v>53</v>
      </c>
      <c r="J30" s="191">
        <f t="shared" si="13"/>
        <v>31</v>
      </c>
      <c r="K30" s="187">
        <f>+HLOOKUP($B30,'parametres articles'!$C$5:$G$25,5,FALSE)</f>
        <v>15</v>
      </c>
      <c r="L30" s="187">
        <f>+HLOOKUP($B30,'parametres articles'!$C$5:$G$25,21,FALSE)</f>
        <v>13</v>
      </c>
      <c r="M30" s="192">
        <f>+HLOOKUP($B30,'parametres articles'!$C$5:$G$25,7,FALSE)</f>
        <v>0.8</v>
      </c>
      <c r="N30" s="192">
        <f>+HLOOKUP($B30,'parametres articles'!$C$5:$G$25,6,FALSE)</f>
        <v>0.4</v>
      </c>
      <c r="O30" s="187">
        <f>+HLOOKUP($B30,'parametres articles'!$C$5:$G$25,8,FALSE)</f>
        <v>0</v>
      </c>
      <c r="P30" s="193">
        <f>IF(B30="E",'parametres articles'!$C$8,HLOOKUP($B30,'parametres articles'!$C$5:$F$25,4,FALSE))</f>
        <v>2.27</v>
      </c>
      <c r="Q30" s="193">
        <f t="shared" si="1"/>
        <v>2.27</v>
      </c>
      <c r="R30" s="199">
        <f t="shared" si="9"/>
        <v>13.62</v>
      </c>
      <c r="S30" s="197">
        <f t="shared" si="2"/>
        <v>24.515999999999998</v>
      </c>
      <c r="T30" s="201">
        <f t="shared" si="3"/>
        <v>58.565999999999995</v>
      </c>
      <c r="U30" s="203">
        <f t="shared" si="10"/>
        <v>72.185999999999993</v>
      </c>
      <c r="V30" s="187">
        <f t="shared" si="4"/>
        <v>24.515999999999998</v>
      </c>
      <c r="W30" s="187">
        <f t="shared" si="5"/>
        <v>34.049999999999997</v>
      </c>
      <c r="X30" s="187">
        <f t="shared" si="6"/>
        <v>13.62</v>
      </c>
      <c r="Y30" s="193">
        <f t="shared" si="7"/>
        <v>31.325999999999997</v>
      </c>
      <c r="Z30" s="194"/>
      <c r="AA30" s="195">
        <f t="shared" ca="1" si="12"/>
        <v>30</v>
      </c>
      <c r="AB30" s="195">
        <f ca="1">+AA30+'parametres articles'!$C$9-1</f>
        <v>44</v>
      </c>
      <c r="AC30" s="195">
        <f ca="1">+AA30+'parametres articles'!$C$24-1</f>
        <v>49</v>
      </c>
      <c r="AD30" s="195">
        <f ca="1">+IF(AE30&lt;='parametres articles'!$H$8,0,AA30-'parametres articles'!$H$8+1)</f>
        <v>26</v>
      </c>
      <c r="AE30" s="195">
        <v>29</v>
      </c>
      <c r="AF30" s="187" t="str">
        <f t="shared" ca="1" si="11"/>
        <v>F45</v>
      </c>
      <c r="AG30" s="181"/>
      <c r="AH30" s="178"/>
      <c r="AI30" s="178"/>
      <c r="AJ30" s="178"/>
      <c r="AK30" s="178"/>
    </row>
    <row r="31" spans="1:37" x14ac:dyDescent="0.25">
      <c r="A31" s="186">
        <v>42034</v>
      </c>
      <c r="B31" s="188" t="s">
        <v>21</v>
      </c>
      <c r="C31" s="189">
        <f ca="1">+IF(AD31=0,P31,(SUM(INDIRECT(CONCATENATE("B",AD31,":B",AA31)))/'parametres articles'!$H$8))</f>
        <v>0</v>
      </c>
      <c r="D31" s="187">
        <f>IFERROR(VLOOKUP(A31,'Mvmt stock'!A:B,2,0),0)</f>
        <v>0</v>
      </c>
      <c r="E31" s="188">
        <f>IFERROR(VLOOKUP(A31,'Mvmt stock'!D:E,2,0),0)</f>
        <v>0</v>
      </c>
      <c r="F31" s="188">
        <f t="shared" si="8"/>
        <v>53</v>
      </c>
      <c r="G31" s="208">
        <f>IFERROR(VLOOKUP(A31,'Mvmt stock'!G:H,2,0),0)</f>
        <v>0</v>
      </c>
      <c r="H31" s="190">
        <f>IFERROR(VLOOKUP(A31,Stock!B:C,2,0),H30)</f>
        <v>53</v>
      </c>
      <c r="I31" s="188">
        <f t="shared" si="0"/>
        <v>53</v>
      </c>
      <c r="J31" s="191">
        <f t="shared" si="13"/>
        <v>32.476190476190474</v>
      </c>
      <c r="K31" s="187">
        <f>+HLOOKUP($B31,'parametres articles'!$C$5:$G$25,5,FALSE)</f>
        <v>15</v>
      </c>
      <c r="L31" s="187">
        <f>+HLOOKUP($B31,'parametres articles'!$C$5:$G$25,21,FALSE)</f>
        <v>13</v>
      </c>
      <c r="M31" s="192">
        <f>+HLOOKUP($B31,'parametres articles'!$C$5:$G$25,7,FALSE)</f>
        <v>0.8</v>
      </c>
      <c r="N31" s="192">
        <f>+HLOOKUP($B31,'parametres articles'!$C$5:$G$25,6,FALSE)</f>
        <v>0.4</v>
      </c>
      <c r="O31" s="187">
        <f>+HLOOKUP($B31,'parametres articles'!$C$5:$G$25,8,FALSE)</f>
        <v>0</v>
      </c>
      <c r="P31" s="193">
        <f>IF(B31="E",'parametres articles'!$C$8,HLOOKUP($B31,'parametres articles'!$C$5:$F$25,4,FALSE))</f>
        <v>2.27</v>
      </c>
      <c r="Q31" s="193">
        <f t="shared" si="1"/>
        <v>2.27</v>
      </c>
      <c r="R31" s="199">
        <f t="shared" si="9"/>
        <v>13.62</v>
      </c>
      <c r="S31" s="197">
        <f t="shared" si="2"/>
        <v>24.515999999999998</v>
      </c>
      <c r="T31" s="201">
        <f t="shared" si="3"/>
        <v>58.565999999999995</v>
      </c>
      <c r="U31" s="203">
        <f t="shared" si="10"/>
        <v>72.185999999999993</v>
      </c>
      <c r="V31" s="187">
        <f t="shared" si="4"/>
        <v>24.515999999999998</v>
      </c>
      <c r="W31" s="187">
        <f t="shared" si="5"/>
        <v>34.049999999999997</v>
      </c>
      <c r="X31" s="187">
        <f t="shared" si="6"/>
        <v>13.62</v>
      </c>
      <c r="Y31" s="193">
        <f t="shared" si="7"/>
        <v>31.325999999999997</v>
      </c>
      <c r="Z31" s="194"/>
      <c r="AA31" s="195">
        <f t="shared" ca="1" si="12"/>
        <v>31</v>
      </c>
      <c r="AB31" s="195">
        <f ca="1">+AA31+'parametres articles'!$C$9-1</f>
        <v>45</v>
      </c>
      <c r="AC31" s="195">
        <f ca="1">+AA31+'parametres articles'!$C$24-1</f>
        <v>50</v>
      </c>
      <c r="AD31" s="195">
        <f ca="1">+IF(AE31&lt;='parametres articles'!$H$8,0,AA31-'parametres articles'!$H$8+1)</f>
        <v>27</v>
      </c>
      <c r="AE31" s="195">
        <v>30</v>
      </c>
      <c r="AF31" s="187" t="str">
        <f t="shared" ca="1" si="11"/>
        <v>F46</v>
      </c>
      <c r="AG31" s="181"/>
      <c r="AH31" s="178"/>
      <c r="AI31" s="178"/>
      <c r="AJ31" s="178"/>
      <c r="AK31" s="178"/>
    </row>
    <row r="32" spans="1:37" x14ac:dyDescent="0.25">
      <c r="A32" s="186">
        <v>42035</v>
      </c>
      <c r="B32" s="188" t="s">
        <v>21</v>
      </c>
      <c r="C32" s="189">
        <f ca="1">+IF(AD32=0,P32,(SUM(INDIRECT(CONCATENATE("B",AD32,":B",AA32)))/'parametres articles'!$H$8))</f>
        <v>0</v>
      </c>
      <c r="D32" s="187">
        <f>IFERROR(VLOOKUP(A32,'Mvmt stock'!A:B,2,0),0)</f>
        <v>0</v>
      </c>
      <c r="E32" s="188">
        <f>IFERROR(VLOOKUP(A32,'Mvmt stock'!D:E,2,0),0)</f>
        <v>0</v>
      </c>
      <c r="F32" s="188">
        <f t="shared" si="8"/>
        <v>53</v>
      </c>
      <c r="G32" s="208">
        <f>IFERROR(VLOOKUP(A32,'Mvmt stock'!G:H,2,0),0)</f>
        <v>0</v>
      </c>
      <c r="H32" s="190">
        <f>IFERROR(VLOOKUP(A32,Stock!B:C,2,0),H31)</f>
        <v>53</v>
      </c>
      <c r="I32" s="188">
        <f t="shared" si="0"/>
        <v>53</v>
      </c>
      <c r="J32" s="191">
        <f t="shared" si="13"/>
        <v>33.476190476190474</v>
      </c>
      <c r="K32" s="187">
        <f>+HLOOKUP($B32,'parametres articles'!$C$5:$G$25,5,FALSE)</f>
        <v>15</v>
      </c>
      <c r="L32" s="187">
        <f>+HLOOKUP($B32,'parametres articles'!$C$5:$G$25,21,FALSE)</f>
        <v>13</v>
      </c>
      <c r="M32" s="192">
        <f>+HLOOKUP($B32,'parametres articles'!$C$5:$G$25,7,FALSE)</f>
        <v>0.8</v>
      </c>
      <c r="N32" s="192">
        <f>+HLOOKUP($B32,'parametres articles'!$C$5:$G$25,6,FALSE)</f>
        <v>0.4</v>
      </c>
      <c r="O32" s="187">
        <f>+HLOOKUP($B32,'parametres articles'!$C$5:$G$25,8,FALSE)</f>
        <v>0</v>
      </c>
      <c r="P32" s="193">
        <f>IF(B32="E",'parametres articles'!$C$8,HLOOKUP($B32,'parametres articles'!$C$5:$F$25,4,FALSE))</f>
        <v>2.27</v>
      </c>
      <c r="Q32" s="193">
        <f t="shared" si="1"/>
        <v>2.27</v>
      </c>
      <c r="R32" s="199">
        <f t="shared" si="9"/>
        <v>13.62</v>
      </c>
      <c r="S32" s="197">
        <f t="shared" si="2"/>
        <v>24.515999999999998</v>
      </c>
      <c r="T32" s="201">
        <f t="shared" si="3"/>
        <v>58.565999999999995</v>
      </c>
      <c r="U32" s="203">
        <f t="shared" si="10"/>
        <v>72.185999999999993</v>
      </c>
      <c r="V32" s="187">
        <f t="shared" si="4"/>
        <v>24.515999999999998</v>
      </c>
      <c r="W32" s="187">
        <f t="shared" si="5"/>
        <v>34.049999999999997</v>
      </c>
      <c r="X32" s="187">
        <f t="shared" si="6"/>
        <v>13.62</v>
      </c>
      <c r="Y32" s="193">
        <f t="shared" si="7"/>
        <v>31.325999999999997</v>
      </c>
      <c r="Z32" s="194"/>
      <c r="AA32" s="195">
        <f t="shared" ca="1" si="12"/>
        <v>32</v>
      </c>
      <c r="AB32" s="195">
        <f ca="1">+AA32+'parametres articles'!$C$9-1</f>
        <v>46</v>
      </c>
      <c r="AC32" s="195">
        <f ca="1">+AA32+'parametres articles'!$C$24-1</f>
        <v>51</v>
      </c>
      <c r="AD32" s="195">
        <f ca="1">+IF(AE32&lt;='parametres articles'!$H$8,0,AA32-'parametres articles'!$H$8+1)</f>
        <v>28</v>
      </c>
      <c r="AE32" s="195">
        <v>31</v>
      </c>
      <c r="AF32" s="187" t="str">
        <f t="shared" ca="1" si="11"/>
        <v>F47</v>
      </c>
      <c r="AG32" s="181"/>
      <c r="AH32" s="178"/>
      <c r="AI32" s="178"/>
      <c r="AJ32" s="178"/>
      <c r="AK32" s="178"/>
    </row>
    <row r="33" spans="1:37" x14ac:dyDescent="0.25">
      <c r="A33" s="186">
        <v>42036</v>
      </c>
      <c r="B33" s="188" t="s">
        <v>21</v>
      </c>
      <c r="C33" s="189">
        <f ca="1">+IF(AD33=0,P33,(SUM(INDIRECT(CONCATENATE("B",AD33,":B",AA33)))/'parametres articles'!$H$8))</f>
        <v>0</v>
      </c>
      <c r="D33" s="187">
        <f>IFERROR(VLOOKUP(A33,'Mvmt stock'!A:B,2,0),0)</f>
        <v>0</v>
      </c>
      <c r="E33" s="188">
        <f>IFERROR(VLOOKUP(A33,'Mvmt stock'!D:E,2,0),0)</f>
        <v>0</v>
      </c>
      <c r="F33" s="188">
        <f t="shared" si="8"/>
        <v>53</v>
      </c>
      <c r="G33" s="208">
        <f>IFERROR(VLOOKUP(A33,'Mvmt stock'!G:H,2,0),0)</f>
        <v>0</v>
      </c>
      <c r="H33" s="190">
        <f>IFERROR(VLOOKUP(A33,Stock!B:C,2,0),H32)</f>
        <v>53</v>
      </c>
      <c r="I33" s="188">
        <f t="shared" si="0"/>
        <v>53</v>
      </c>
      <c r="J33" s="191">
        <f t="shared" si="13"/>
        <v>34.476190476190474</v>
      </c>
      <c r="K33" s="187">
        <f>+HLOOKUP($B33,'parametres articles'!$C$5:$G$25,5,FALSE)</f>
        <v>15</v>
      </c>
      <c r="L33" s="187">
        <f>+HLOOKUP($B33,'parametres articles'!$C$5:$G$25,21,FALSE)</f>
        <v>13</v>
      </c>
      <c r="M33" s="192">
        <f>+HLOOKUP($B33,'parametres articles'!$C$5:$G$25,7,FALSE)</f>
        <v>0.8</v>
      </c>
      <c r="N33" s="192">
        <f>+HLOOKUP($B33,'parametres articles'!$C$5:$G$25,6,FALSE)</f>
        <v>0.4</v>
      </c>
      <c r="O33" s="187">
        <f>+HLOOKUP($B33,'parametres articles'!$C$5:$G$25,8,FALSE)</f>
        <v>0</v>
      </c>
      <c r="P33" s="193">
        <f>IF(B33="E",'parametres articles'!$C$8,HLOOKUP($B33,'parametres articles'!$C$5:$F$25,4,FALSE))</f>
        <v>2.27</v>
      </c>
      <c r="Q33" s="193">
        <f t="shared" si="1"/>
        <v>2.27</v>
      </c>
      <c r="R33" s="199">
        <f t="shared" si="9"/>
        <v>13.62</v>
      </c>
      <c r="S33" s="197">
        <f t="shared" si="2"/>
        <v>24.515999999999998</v>
      </c>
      <c r="T33" s="201">
        <f t="shared" si="3"/>
        <v>58.565999999999995</v>
      </c>
      <c r="U33" s="203">
        <f t="shared" si="10"/>
        <v>72.185999999999993</v>
      </c>
      <c r="V33" s="187">
        <f t="shared" si="4"/>
        <v>24.515999999999998</v>
      </c>
      <c r="W33" s="187">
        <f t="shared" si="5"/>
        <v>34.049999999999997</v>
      </c>
      <c r="X33" s="187">
        <f t="shared" si="6"/>
        <v>13.62</v>
      </c>
      <c r="Y33" s="193">
        <f t="shared" si="7"/>
        <v>31.325999999999997</v>
      </c>
      <c r="Z33" s="194"/>
      <c r="AA33" s="195">
        <f t="shared" ca="1" si="12"/>
        <v>33</v>
      </c>
      <c r="AB33" s="195">
        <f ca="1">+AA33+'parametres articles'!$C$9-1</f>
        <v>47</v>
      </c>
      <c r="AC33" s="195">
        <f ca="1">+AA33+'parametres articles'!$C$24-1</f>
        <v>52</v>
      </c>
      <c r="AD33" s="195">
        <f ca="1">+IF(AE33&lt;='parametres articles'!$H$8,0,AA33-'parametres articles'!$H$8+1)</f>
        <v>29</v>
      </c>
      <c r="AE33" s="195">
        <v>32</v>
      </c>
      <c r="AF33" s="187" t="str">
        <f t="shared" ca="1" si="11"/>
        <v>F48</v>
      </c>
      <c r="AG33" s="181"/>
      <c r="AH33" s="178"/>
      <c r="AI33" s="178"/>
      <c r="AJ33" s="178"/>
      <c r="AK33" s="178"/>
    </row>
    <row r="34" spans="1:37" x14ac:dyDescent="0.25">
      <c r="A34" s="186">
        <v>42037</v>
      </c>
      <c r="B34" s="188" t="s">
        <v>21</v>
      </c>
      <c r="C34" s="189">
        <f ca="1">+IF(AD34=0,P34,(SUM(INDIRECT(CONCATENATE("B",AD34,":B",AA34)))/'parametres articles'!$H$8))</f>
        <v>0</v>
      </c>
      <c r="D34" s="187">
        <f>IFERROR(VLOOKUP(A34,'Mvmt stock'!A:B,2,0),0)</f>
        <v>2</v>
      </c>
      <c r="E34" s="188">
        <f>IFERROR(VLOOKUP(A34,'Mvmt stock'!D:E,2,0),0)</f>
        <v>0</v>
      </c>
      <c r="F34" s="188">
        <f t="shared" si="8"/>
        <v>53</v>
      </c>
      <c r="G34" s="208">
        <f>IFERROR(VLOOKUP(A34,'Mvmt stock'!G:H,2,0),0)</f>
        <v>0</v>
      </c>
      <c r="H34" s="190">
        <f>IFERROR(VLOOKUP(A34,Stock!B:C,2,0),H33)</f>
        <v>53</v>
      </c>
      <c r="I34" s="188">
        <f t="shared" si="0"/>
        <v>51</v>
      </c>
      <c r="J34" s="191">
        <f t="shared" si="13"/>
        <v>35.476190476190474</v>
      </c>
      <c r="K34" s="187">
        <f>+HLOOKUP($B34,'parametres articles'!$C$5:$G$25,5,FALSE)</f>
        <v>15</v>
      </c>
      <c r="L34" s="187">
        <f>+HLOOKUP($B34,'parametres articles'!$C$5:$G$25,21,FALSE)</f>
        <v>13</v>
      </c>
      <c r="M34" s="192">
        <f>+HLOOKUP($B34,'parametres articles'!$C$5:$G$25,7,FALSE)</f>
        <v>0.8</v>
      </c>
      <c r="N34" s="192">
        <f>+HLOOKUP($B34,'parametres articles'!$C$5:$G$25,6,FALSE)</f>
        <v>0.4</v>
      </c>
      <c r="O34" s="187">
        <f>+HLOOKUP($B34,'parametres articles'!$C$5:$G$25,8,FALSE)</f>
        <v>0</v>
      </c>
      <c r="P34" s="193">
        <f>IF(B34="E",'parametres articles'!$C$8,HLOOKUP($B34,'parametres articles'!$C$5:$F$25,4,FALSE))</f>
        <v>2.27</v>
      </c>
      <c r="Q34" s="193">
        <f t="shared" si="1"/>
        <v>2.27</v>
      </c>
      <c r="R34" s="199">
        <f t="shared" si="9"/>
        <v>13.62</v>
      </c>
      <c r="S34" s="197">
        <f t="shared" si="2"/>
        <v>24.515999999999998</v>
      </c>
      <c r="T34" s="201">
        <f t="shared" si="3"/>
        <v>58.565999999999995</v>
      </c>
      <c r="U34" s="203">
        <f t="shared" si="10"/>
        <v>72.185999999999993</v>
      </c>
      <c r="V34" s="187">
        <f t="shared" si="4"/>
        <v>24.515999999999998</v>
      </c>
      <c r="W34" s="187">
        <f t="shared" si="5"/>
        <v>34.049999999999997</v>
      </c>
      <c r="X34" s="187">
        <f t="shared" si="6"/>
        <v>13.62</v>
      </c>
      <c r="Y34" s="193">
        <f t="shared" si="7"/>
        <v>31.325999999999997</v>
      </c>
      <c r="Z34" s="194"/>
      <c r="AA34" s="195">
        <f t="shared" ca="1" si="12"/>
        <v>34</v>
      </c>
      <c r="AB34" s="195">
        <f ca="1">+AA34+'parametres articles'!$C$9-1</f>
        <v>48</v>
      </c>
      <c r="AC34" s="195">
        <f ca="1">+AA34+'parametres articles'!$C$24-1</f>
        <v>53</v>
      </c>
      <c r="AD34" s="195">
        <f ca="1">+IF(AE34&lt;='parametres articles'!$H$8,0,AA34-'parametres articles'!$H$8+1)</f>
        <v>30</v>
      </c>
      <c r="AE34" s="195">
        <v>33</v>
      </c>
      <c r="AF34" s="187" t="str">
        <f t="shared" ca="1" si="11"/>
        <v>F49</v>
      </c>
      <c r="AG34" s="181"/>
      <c r="AH34" s="178"/>
      <c r="AI34" s="178"/>
      <c r="AJ34" s="178"/>
      <c r="AK34" s="178"/>
    </row>
    <row r="35" spans="1:37" x14ac:dyDescent="0.25">
      <c r="A35" s="186">
        <v>42038</v>
      </c>
      <c r="B35" s="188" t="s">
        <v>21</v>
      </c>
      <c r="C35" s="189">
        <f ca="1">+IF(AD35=0,P35,(SUM(INDIRECT(CONCATENATE("B",AD35,":B",AA35)))/'parametres articles'!$H$8))</f>
        <v>0</v>
      </c>
      <c r="D35" s="187">
        <f>IFERROR(VLOOKUP(A35,'Mvmt stock'!A:B,2,0),0)</f>
        <v>0</v>
      </c>
      <c r="E35" s="188">
        <f>IFERROR(VLOOKUP(A35,'Mvmt stock'!D:E,2,0),0)</f>
        <v>0</v>
      </c>
      <c r="F35" s="188">
        <f t="shared" si="8"/>
        <v>51</v>
      </c>
      <c r="G35" s="208">
        <f>IFERROR(VLOOKUP(A35,'Mvmt stock'!G:H,2,0),0)</f>
        <v>0</v>
      </c>
      <c r="H35" s="190">
        <f>IFERROR(VLOOKUP(A35,Stock!B:C,2,0),H34)</f>
        <v>51</v>
      </c>
      <c r="I35" s="188">
        <f t="shared" si="0"/>
        <v>51</v>
      </c>
      <c r="J35" s="191">
        <f t="shared" si="13"/>
        <v>36.38095238095238</v>
      </c>
      <c r="K35" s="187">
        <f>+HLOOKUP($B35,'parametres articles'!$C$5:$G$25,5,FALSE)</f>
        <v>15</v>
      </c>
      <c r="L35" s="187">
        <f>+HLOOKUP($B35,'parametres articles'!$C$5:$G$25,21,FALSE)</f>
        <v>13</v>
      </c>
      <c r="M35" s="192">
        <f>+HLOOKUP($B35,'parametres articles'!$C$5:$G$25,7,FALSE)</f>
        <v>0.8</v>
      </c>
      <c r="N35" s="192">
        <f>+HLOOKUP($B35,'parametres articles'!$C$5:$G$25,6,FALSE)</f>
        <v>0.4</v>
      </c>
      <c r="O35" s="187">
        <f>+HLOOKUP($B35,'parametres articles'!$C$5:$G$25,8,FALSE)</f>
        <v>0</v>
      </c>
      <c r="P35" s="193">
        <f>IF(B35="E",'parametres articles'!$C$8,HLOOKUP($B35,'parametres articles'!$C$5:$F$25,4,FALSE))</f>
        <v>2.27</v>
      </c>
      <c r="Q35" s="193">
        <f t="shared" si="1"/>
        <v>2.27</v>
      </c>
      <c r="R35" s="199">
        <f t="shared" si="9"/>
        <v>13.62</v>
      </c>
      <c r="S35" s="197">
        <f t="shared" si="2"/>
        <v>24.515999999999998</v>
      </c>
      <c r="T35" s="201">
        <f t="shared" si="3"/>
        <v>58.565999999999995</v>
      </c>
      <c r="U35" s="203">
        <f t="shared" si="10"/>
        <v>72.185999999999993</v>
      </c>
      <c r="V35" s="187">
        <f t="shared" si="4"/>
        <v>24.515999999999998</v>
      </c>
      <c r="W35" s="187">
        <f t="shared" si="5"/>
        <v>34.049999999999997</v>
      </c>
      <c r="X35" s="187">
        <f t="shared" si="6"/>
        <v>13.62</v>
      </c>
      <c r="Y35" s="193">
        <f t="shared" si="7"/>
        <v>31.325999999999997</v>
      </c>
      <c r="Z35" s="194"/>
      <c r="AA35" s="195">
        <f t="shared" ca="1" si="12"/>
        <v>35</v>
      </c>
      <c r="AB35" s="195">
        <f ca="1">+AA35+'parametres articles'!$C$9-1</f>
        <v>49</v>
      </c>
      <c r="AC35" s="195">
        <f ca="1">+AA35+'parametres articles'!$C$24-1</f>
        <v>54</v>
      </c>
      <c r="AD35" s="195">
        <f ca="1">+IF(AE35&lt;='parametres articles'!$H$8,0,AA35-'parametres articles'!$H$8+1)</f>
        <v>31</v>
      </c>
      <c r="AE35" s="195">
        <v>34</v>
      </c>
      <c r="AF35" s="187" t="str">
        <f t="shared" ca="1" si="11"/>
        <v>F50</v>
      </c>
      <c r="AG35" s="181"/>
      <c r="AH35" s="178"/>
      <c r="AI35" s="178"/>
      <c r="AJ35" s="178"/>
      <c r="AK35" s="178"/>
    </row>
    <row r="36" spans="1:37" x14ac:dyDescent="0.25">
      <c r="A36" s="186">
        <v>42039</v>
      </c>
      <c r="B36" s="188" t="s">
        <v>21</v>
      </c>
      <c r="C36" s="189">
        <f ca="1">+IF(AD36=0,P36,(SUM(INDIRECT(CONCATENATE("B",AD36,":B",AA36)))/'parametres articles'!$H$8))</f>
        <v>0</v>
      </c>
      <c r="D36" s="187">
        <f>IFERROR(VLOOKUP(A36,'Mvmt stock'!A:B,2,0),0)</f>
        <v>0</v>
      </c>
      <c r="E36" s="188">
        <f>IFERROR(VLOOKUP(A36,'Mvmt stock'!D:E,2,0),0)</f>
        <v>0</v>
      </c>
      <c r="F36" s="188">
        <f t="shared" si="8"/>
        <v>51</v>
      </c>
      <c r="G36" s="208">
        <f>IFERROR(VLOOKUP(A36,'Mvmt stock'!G:H,2,0),0)</f>
        <v>0</v>
      </c>
      <c r="H36" s="190">
        <f>IFERROR(VLOOKUP(A36,Stock!B:C,2,0),H35)</f>
        <v>51</v>
      </c>
      <c r="I36" s="188">
        <f t="shared" si="0"/>
        <v>51</v>
      </c>
      <c r="J36" s="191">
        <f t="shared" si="13"/>
        <v>37.333333333333336</v>
      </c>
      <c r="K36" s="187">
        <f>+HLOOKUP($B36,'parametres articles'!$C$5:$G$25,5,FALSE)</f>
        <v>15</v>
      </c>
      <c r="L36" s="187">
        <f>+HLOOKUP($B36,'parametres articles'!$C$5:$G$25,21,FALSE)</f>
        <v>13</v>
      </c>
      <c r="M36" s="192">
        <f>+HLOOKUP($B36,'parametres articles'!$C$5:$G$25,7,FALSE)</f>
        <v>0.8</v>
      </c>
      <c r="N36" s="192">
        <f>+HLOOKUP($B36,'parametres articles'!$C$5:$G$25,6,FALSE)</f>
        <v>0.4</v>
      </c>
      <c r="O36" s="187">
        <f>+HLOOKUP($B36,'parametres articles'!$C$5:$G$25,8,FALSE)</f>
        <v>0</v>
      </c>
      <c r="P36" s="193">
        <f>IF(B36="E",'parametres articles'!$C$8,HLOOKUP($B36,'parametres articles'!$C$5:$F$25,4,FALSE))</f>
        <v>2.27</v>
      </c>
      <c r="Q36" s="193">
        <f t="shared" si="1"/>
        <v>2.27</v>
      </c>
      <c r="R36" s="199">
        <f t="shared" si="9"/>
        <v>13.62</v>
      </c>
      <c r="S36" s="197">
        <f t="shared" si="2"/>
        <v>24.515999999999998</v>
      </c>
      <c r="T36" s="201">
        <f t="shared" si="3"/>
        <v>58.565999999999995</v>
      </c>
      <c r="U36" s="203">
        <f t="shared" si="10"/>
        <v>72.185999999999993</v>
      </c>
      <c r="V36" s="187">
        <f t="shared" si="4"/>
        <v>24.515999999999998</v>
      </c>
      <c r="W36" s="187">
        <f t="shared" si="5"/>
        <v>34.049999999999997</v>
      </c>
      <c r="X36" s="187">
        <f t="shared" si="6"/>
        <v>13.62</v>
      </c>
      <c r="Y36" s="193">
        <f t="shared" si="7"/>
        <v>31.325999999999997</v>
      </c>
      <c r="Z36" s="194"/>
      <c r="AA36" s="195">
        <f t="shared" ca="1" si="12"/>
        <v>36</v>
      </c>
      <c r="AB36" s="195">
        <f ca="1">+AA36+'parametres articles'!$C$9-1</f>
        <v>50</v>
      </c>
      <c r="AC36" s="195">
        <f ca="1">+AA36+'parametres articles'!$C$24-1</f>
        <v>55</v>
      </c>
      <c r="AD36" s="195">
        <f ca="1">+IF(AE36&lt;='parametres articles'!$H$8,0,AA36-'parametres articles'!$H$8+1)</f>
        <v>32</v>
      </c>
      <c r="AE36" s="195">
        <v>35</v>
      </c>
      <c r="AF36" s="187" t="str">
        <f t="shared" ca="1" si="11"/>
        <v>F51</v>
      </c>
      <c r="AG36" s="181"/>
      <c r="AH36" s="178"/>
      <c r="AI36" s="178"/>
      <c r="AJ36" s="178"/>
      <c r="AK36" s="178"/>
    </row>
    <row r="37" spans="1:37" x14ac:dyDescent="0.25">
      <c r="A37" s="186">
        <v>42040</v>
      </c>
      <c r="B37" s="188" t="s">
        <v>21</v>
      </c>
      <c r="C37" s="189">
        <f ca="1">+IF(AD37=0,P37,(SUM(INDIRECT(CONCATENATE("B",AD37,":B",AA37)))/'parametres articles'!$H$8))</f>
        <v>0</v>
      </c>
      <c r="D37" s="187">
        <f>IFERROR(VLOOKUP(A37,'Mvmt stock'!A:B,2,0),0)</f>
        <v>0</v>
      </c>
      <c r="E37" s="188">
        <f>IFERROR(VLOOKUP(A37,'Mvmt stock'!D:E,2,0),0)</f>
        <v>0</v>
      </c>
      <c r="F37" s="188">
        <f t="shared" si="8"/>
        <v>51</v>
      </c>
      <c r="G37" s="208">
        <f>IFERROR(VLOOKUP(A37,'Mvmt stock'!G:H,2,0),0)</f>
        <v>0</v>
      </c>
      <c r="H37" s="190">
        <f>IFERROR(VLOOKUP(A37,Stock!B:C,2,0),H36)</f>
        <v>51</v>
      </c>
      <c r="I37" s="188">
        <f t="shared" si="0"/>
        <v>51</v>
      </c>
      <c r="J37" s="191">
        <f t="shared" si="13"/>
        <v>38.285714285714285</v>
      </c>
      <c r="K37" s="187">
        <f>+HLOOKUP($B37,'parametres articles'!$C$5:$G$25,5,FALSE)</f>
        <v>15</v>
      </c>
      <c r="L37" s="187">
        <f>+HLOOKUP($B37,'parametres articles'!$C$5:$G$25,21,FALSE)</f>
        <v>13</v>
      </c>
      <c r="M37" s="192">
        <f>+HLOOKUP($B37,'parametres articles'!$C$5:$G$25,7,FALSE)</f>
        <v>0.8</v>
      </c>
      <c r="N37" s="192">
        <f>+HLOOKUP($B37,'parametres articles'!$C$5:$G$25,6,FALSE)</f>
        <v>0.4</v>
      </c>
      <c r="O37" s="187">
        <f>+HLOOKUP($B37,'parametres articles'!$C$5:$G$25,8,FALSE)</f>
        <v>0</v>
      </c>
      <c r="P37" s="193">
        <f>IF(B37="E",'parametres articles'!$C$8,HLOOKUP($B37,'parametres articles'!$C$5:$F$25,4,FALSE))</f>
        <v>2.27</v>
      </c>
      <c r="Q37" s="193">
        <f t="shared" si="1"/>
        <v>2.27</v>
      </c>
      <c r="R37" s="199">
        <f t="shared" si="9"/>
        <v>13.62</v>
      </c>
      <c r="S37" s="197">
        <f t="shared" si="2"/>
        <v>24.515999999999998</v>
      </c>
      <c r="T37" s="201">
        <f t="shared" si="3"/>
        <v>58.565999999999995</v>
      </c>
      <c r="U37" s="203">
        <f t="shared" si="10"/>
        <v>72.185999999999993</v>
      </c>
      <c r="V37" s="187">
        <f t="shared" si="4"/>
        <v>24.515999999999998</v>
      </c>
      <c r="W37" s="187">
        <f t="shared" si="5"/>
        <v>34.049999999999997</v>
      </c>
      <c r="X37" s="187">
        <f t="shared" si="6"/>
        <v>13.62</v>
      </c>
      <c r="Y37" s="193">
        <f t="shared" si="7"/>
        <v>31.325999999999997</v>
      </c>
      <c r="Z37" s="194"/>
      <c r="AA37" s="195">
        <f t="shared" ca="1" si="12"/>
        <v>37</v>
      </c>
      <c r="AB37" s="195">
        <f ca="1">+AA37+'parametres articles'!$C$9-1</f>
        <v>51</v>
      </c>
      <c r="AC37" s="195">
        <f ca="1">+AA37+'parametres articles'!$C$24-1</f>
        <v>56</v>
      </c>
      <c r="AD37" s="195">
        <f ca="1">+IF(AE37&lt;='parametres articles'!$H$8,0,AA37-'parametres articles'!$H$8+1)</f>
        <v>33</v>
      </c>
      <c r="AE37" s="195">
        <v>36</v>
      </c>
      <c r="AF37" s="187" t="str">
        <f t="shared" ca="1" si="11"/>
        <v>F52</v>
      </c>
      <c r="AG37" s="181"/>
      <c r="AH37" s="178"/>
      <c r="AI37" s="178"/>
      <c r="AJ37" s="178"/>
      <c r="AK37" s="178"/>
    </row>
    <row r="38" spans="1:37" x14ac:dyDescent="0.25">
      <c r="A38" s="186">
        <v>42041</v>
      </c>
      <c r="B38" s="188" t="s">
        <v>21</v>
      </c>
      <c r="C38" s="189">
        <f ca="1">+IF(AD38=0,P38,(SUM(INDIRECT(CONCATENATE("B",AD38,":B",AA38)))/'parametres articles'!$H$8))</f>
        <v>0</v>
      </c>
      <c r="D38" s="187">
        <f>IFERROR(VLOOKUP(A38,'Mvmt stock'!A:B,2,0),0)</f>
        <v>0</v>
      </c>
      <c r="E38" s="188">
        <f>IFERROR(VLOOKUP(A38,'Mvmt stock'!D:E,2,0),0)</f>
        <v>20</v>
      </c>
      <c r="F38" s="188">
        <f t="shared" si="8"/>
        <v>51</v>
      </c>
      <c r="G38" s="208">
        <f>IFERROR(VLOOKUP(A38,'Mvmt stock'!G:H,2,0),0)</f>
        <v>0</v>
      </c>
      <c r="H38" s="190">
        <f>IFERROR(VLOOKUP(A38,Stock!B:C,2,0),H37)</f>
        <v>51</v>
      </c>
      <c r="I38" s="188">
        <f t="shared" si="0"/>
        <v>71</v>
      </c>
      <c r="J38" s="191">
        <f t="shared" si="13"/>
        <v>39.238095238095241</v>
      </c>
      <c r="K38" s="187">
        <f>+HLOOKUP($B38,'parametres articles'!$C$5:$G$25,5,FALSE)</f>
        <v>15</v>
      </c>
      <c r="L38" s="187">
        <f>+HLOOKUP($B38,'parametres articles'!$C$5:$G$25,21,FALSE)</f>
        <v>13</v>
      </c>
      <c r="M38" s="192">
        <f>+HLOOKUP($B38,'parametres articles'!$C$5:$G$25,7,FALSE)</f>
        <v>0.8</v>
      </c>
      <c r="N38" s="192">
        <f>+HLOOKUP($B38,'parametres articles'!$C$5:$G$25,6,FALSE)</f>
        <v>0.4</v>
      </c>
      <c r="O38" s="187">
        <f>+HLOOKUP($B38,'parametres articles'!$C$5:$G$25,8,FALSE)</f>
        <v>0</v>
      </c>
      <c r="P38" s="193">
        <f>IF(B38="E",'parametres articles'!$C$8,HLOOKUP($B38,'parametres articles'!$C$5:$F$25,4,FALSE))</f>
        <v>2.27</v>
      </c>
      <c r="Q38" s="193">
        <f t="shared" si="1"/>
        <v>2.27</v>
      </c>
      <c r="R38" s="199">
        <f t="shared" si="9"/>
        <v>13.62</v>
      </c>
      <c r="S38" s="197">
        <f t="shared" si="2"/>
        <v>24.515999999999998</v>
      </c>
      <c r="T38" s="201">
        <f t="shared" si="3"/>
        <v>58.565999999999995</v>
      </c>
      <c r="U38" s="203">
        <f t="shared" si="10"/>
        <v>72.185999999999993</v>
      </c>
      <c r="V38" s="187">
        <f t="shared" si="4"/>
        <v>24.515999999999998</v>
      </c>
      <c r="W38" s="187">
        <f t="shared" si="5"/>
        <v>34.049999999999997</v>
      </c>
      <c r="X38" s="187">
        <f t="shared" si="6"/>
        <v>13.62</v>
      </c>
      <c r="Y38" s="193">
        <f t="shared" si="7"/>
        <v>31.325999999999997</v>
      </c>
      <c r="Z38" s="194"/>
      <c r="AA38" s="195">
        <f t="shared" ca="1" si="12"/>
        <v>38</v>
      </c>
      <c r="AB38" s="195">
        <f ca="1">+AA38+'parametres articles'!$C$9-1</f>
        <v>52</v>
      </c>
      <c r="AC38" s="195">
        <f ca="1">+AA38+'parametres articles'!$C$24-1</f>
        <v>57</v>
      </c>
      <c r="AD38" s="195">
        <f ca="1">+IF(AE38&lt;='parametres articles'!$H$8,0,AA38-'parametres articles'!$H$8+1)</f>
        <v>34</v>
      </c>
      <c r="AE38" s="195">
        <v>37</v>
      </c>
      <c r="AF38" s="187" t="str">
        <f t="shared" ca="1" si="11"/>
        <v>F53</v>
      </c>
      <c r="AG38" s="181"/>
      <c r="AH38" s="178"/>
      <c r="AI38" s="178"/>
      <c r="AJ38" s="178"/>
      <c r="AK38" s="178"/>
    </row>
    <row r="39" spans="1:37" x14ac:dyDescent="0.25">
      <c r="A39" s="186">
        <v>42042</v>
      </c>
      <c r="B39" s="188" t="s">
        <v>21</v>
      </c>
      <c r="C39" s="189">
        <f ca="1">+IF(AD39=0,P39,(SUM(INDIRECT(CONCATENATE("B",AD39,":B",AA39)))/'parametres articles'!$H$8))</f>
        <v>0</v>
      </c>
      <c r="D39" s="187">
        <f>IFERROR(VLOOKUP(A39,'Mvmt stock'!A:B,2,0),0)</f>
        <v>0</v>
      </c>
      <c r="E39" s="188">
        <f>IFERROR(VLOOKUP(A39,'Mvmt stock'!D:E,2,0),0)</f>
        <v>0</v>
      </c>
      <c r="F39" s="188">
        <f t="shared" si="8"/>
        <v>71</v>
      </c>
      <c r="G39" s="208">
        <f>IFERROR(VLOOKUP(A39,'Mvmt stock'!G:H,2,0),0)</f>
        <v>0</v>
      </c>
      <c r="H39" s="190">
        <f>IFERROR(VLOOKUP(A39,Stock!B:C,2,0),H38)</f>
        <v>51</v>
      </c>
      <c r="I39" s="188">
        <f t="shared" si="0"/>
        <v>71</v>
      </c>
      <c r="J39" s="191">
        <f t="shared" si="13"/>
        <v>41.142857142857146</v>
      </c>
      <c r="K39" s="187">
        <f>+HLOOKUP($B39,'parametres articles'!$C$5:$G$25,5,FALSE)</f>
        <v>15</v>
      </c>
      <c r="L39" s="187">
        <f>+HLOOKUP($B39,'parametres articles'!$C$5:$G$25,21,FALSE)</f>
        <v>13</v>
      </c>
      <c r="M39" s="192">
        <f>+HLOOKUP($B39,'parametres articles'!$C$5:$G$25,7,FALSE)</f>
        <v>0.8</v>
      </c>
      <c r="N39" s="192">
        <f>+HLOOKUP($B39,'parametres articles'!$C$5:$G$25,6,FALSE)</f>
        <v>0.4</v>
      </c>
      <c r="O39" s="187">
        <f>+HLOOKUP($B39,'parametres articles'!$C$5:$G$25,8,FALSE)</f>
        <v>0</v>
      </c>
      <c r="P39" s="193">
        <f>IF(B39="E",'parametres articles'!$C$8,HLOOKUP($B39,'parametres articles'!$C$5:$F$25,4,FALSE))</f>
        <v>2.27</v>
      </c>
      <c r="Q39" s="193">
        <f t="shared" si="1"/>
        <v>2.27</v>
      </c>
      <c r="R39" s="199">
        <f t="shared" si="9"/>
        <v>13.62</v>
      </c>
      <c r="S39" s="197">
        <f t="shared" si="2"/>
        <v>24.515999999999998</v>
      </c>
      <c r="T39" s="201">
        <f t="shared" si="3"/>
        <v>58.565999999999995</v>
      </c>
      <c r="U39" s="203">
        <f t="shared" si="10"/>
        <v>72.185999999999993</v>
      </c>
      <c r="V39" s="187">
        <f t="shared" si="4"/>
        <v>24.515999999999998</v>
      </c>
      <c r="W39" s="187">
        <f t="shared" si="5"/>
        <v>34.049999999999997</v>
      </c>
      <c r="X39" s="187">
        <f t="shared" si="6"/>
        <v>13.62</v>
      </c>
      <c r="Y39" s="193">
        <f t="shared" si="7"/>
        <v>31.325999999999997</v>
      </c>
      <c r="Z39" s="194"/>
      <c r="AA39" s="195">
        <f t="shared" ca="1" si="12"/>
        <v>39</v>
      </c>
      <c r="AB39" s="195">
        <f ca="1">+AA39+'parametres articles'!$C$9-1</f>
        <v>53</v>
      </c>
      <c r="AC39" s="195">
        <f ca="1">+AA39+'parametres articles'!$C$24-1</f>
        <v>58</v>
      </c>
      <c r="AD39" s="195">
        <f ca="1">+IF(AE39&lt;='parametres articles'!$H$8,0,AA39-'parametres articles'!$H$8+1)</f>
        <v>35</v>
      </c>
      <c r="AE39" s="195">
        <v>38</v>
      </c>
      <c r="AF39" s="187" t="str">
        <f t="shared" ca="1" si="11"/>
        <v>F54</v>
      </c>
      <c r="AG39" s="181"/>
      <c r="AH39" s="178"/>
      <c r="AI39" s="178"/>
      <c r="AJ39" s="178"/>
      <c r="AK39" s="178"/>
    </row>
    <row r="40" spans="1:37" x14ac:dyDescent="0.25">
      <c r="A40" s="186">
        <v>42043</v>
      </c>
      <c r="B40" s="188" t="s">
        <v>21</v>
      </c>
      <c r="C40" s="189">
        <f ca="1">+IF(AD40=0,P40,(SUM(INDIRECT(CONCATENATE("B",AD40,":B",AA40)))/'parametres articles'!$H$8))</f>
        <v>0</v>
      </c>
      <c r="D40" s="187">
        <f>IFERROR(VLOOKUP(A40,'Mvmt stock'!A:B,2,0),0)</f>
        <v>0</v>
      </c>
      <c r="E40" s="188">
        <f>IFERROR(VLOOKUP(A40,'Mvmt stock'!D:E,2,0),0)</f>
        <v>0</v>
      </c>
      <c r="F40" s="188">
        <f t="shared" si="8"/>
        <v>71</v>
      </c>
      <c r="G40" s="208">
        <f>IFERROR(VLOOKUP(A40,'Mvmt stock'!G:H,2,0),0)</f>
        <v>0</v>
      </c>
      <c r="H40" s="190">
        <f>IFERROR(VLOOKUP(A40,Stock!B:C,2,0),H39)</f>
        <v>51</v>
      </c>
      <c r="I40" s="188">
        <f t="shared" si="0"/>
        <v>71</v>
      </c>
      <c r="J40" s="191">
        <f t="shared" si="13"/>
        <v>43.047619047619051</v>
      </c>
      <c r="K40" s="187">
        <f>+HLOOKUP($B40,'parametres articles'!$C$5:$G$25,5,FALSE)</f>
        <v>15</v>
      </c>
      <c r="L40" s="187">
        <f>+HLOOKUP($B40,'parametres articles'!$C$5:$G$25,21,FALSE)</f>
        <v>13</v>
      </c>
      <c r="M40" s="192">
        <f>+HLOOKUP($B40,'parametres articles'!$C$5:$G$25,7,FALSE)</f>
        <v>0.8</v>
      </c>
      <c r="N40" s="192">
        <f>+HLOOKUP($B40,'parametres articles'!$C$5:$G$25,6,FALSE)</f>
        <v>0.4</v>
      </c>
      <c r="O40" s="187">
        <f>+HLOOKUP($B40,'parametres articles'!$C$5:$G$25,8,FALSE)</f>
        <v>0</v>
      </c>
      <c r="P40" s="193">
        <f>IF(B40="E",'parametres articles'!$C$8,HLOOKUP($B40,'parametres articles'!$C$5:$F$25,4,FALSE))</f>
        <v>2.27</v>
      </c>
      <c r="Q40" s="193">
        <f t="shared" si="1"/>
        <v>2.27</v>
      </c>
      <c r="R40" s="199">
        <f t="shared" si="9"/>
        <v>13.62</v>
      </c>
      <c r="S40" s="197">
        <f t="shared" si="2"/>
        <v>24.515999999999998</v>
      </c>
      <c r="T40" s="201">
        <f t="shared" si="3"/>
        <v>58.565999999999995</v>
      </c>
      <c r="U40" s="203">
        <f t="shared" si="10"/>
        <v>72.185999999999993</v>
      </c>
      <c r="V40" s="187">
        <f t="shared" si="4"/>
        <v>24.515999999999998</v>
      </c>
      <c r="W40" s="187">
        <f t="shared" si="5"/>
        <v>34.049999999999997</v>
      </c>
      <c r="X40" s="187">
        <f t="shared" si="6"/>
        <v>13.62</v>
      </c>
      <c r="Y40" s="193">
        <f t="shared" si="7"/>
        <v>31.325999999999997</v>
      </c>
      <c r="Z40" s="194"/>
      <c r="AA40" s="195">
        <f t="shared" ca="1" si="12"/>
        <v>40</v>
      </c>
      <c r="AB40" s="195">
        <f ca="1">+AA40+'parametres articles'!$C$9-1</f>
        <v>54</v>
      </c>
      <c r="AC40" s="195">
        <f ca="1">+AA40+'parametres articles'!$C$24-1</f>
        <v>59</v>
      </c>
      <c r="AD40" s="195">
        <f ca="1">+IF(AE40&lt;='parametres articles'!$H$8,0,AA40-'parametres articles'!$H$8+1)</f>
        <v>36</v>
      </c>
      <c r="AE40" s="195">
        <v>39</v>
      </c>
      <c r="AF40" s="187" t="str">
        <f t="shared" ca="1" si="11"/>
        <v>F55</v>
      </c>
      <c r="AG40" s="181"/>
      <c r="AH40" s="178"/>
      <c r="AI40" s="178"/>
      <c r="AJ40" s="178"/>
      <c r="AK40" s="178"/>
    </row>
    <row r="41" spans="1:37" x14ac:dyDescent="0.25">
      <c r="A41" s="186">
        <v>42044</v>
      </c>
      <c r="B41" s="188" t="s">
        <v>21</v>
      </c>
      <c r="C41" s="189">
        <f ca="1">+IF(AD41=0,P41,(SUM(INDIRECT(CONCATENATE("B",AD41,":B",AA41)))/'parametres articles'!$H$8))</f>
        <v>0</v>
      </c>
      <c r="D41" s="187">
        <f>IFERROR(VLOOKUP(A41,'Mvmt stock'!A:B,2,0),0)</f>
        <v>0</v>
      </c>
      <c r="E41" s="188">
        <f>IFERROR(VLOOKUP(A41,'Mvmt stock'!D:E,2,0),0)</f>
        <v>0</v>
      </c>
      <c r="F41" s="188">
        <f t="shared" si="8"/>
        <v>71</v>
      </c>
      <c r="G41" s="208">
        <f>IFERROR(VLOOKUP(A41,'Mvmt stock'!G:H,2,0),0)</f>
        <v>0</v>
      </c>
      <c r="H41" s="190">
        <f>IFERROR(VLOOKUP(A41,Stock!B:C,2,0),H40)</f>
        <v>71</v>
      </c>
      <c r="I41" s="188">
        <f t="shared" si="0"/>
        <v>71</v>
      </c>
      <c r="J41" s="191">
        <f t="shared" si="13"/>
        <v>44.952380952380949</v>
      </c>
      <c r="K41" s="187">
        <f>+HLOOKUP($B41,'parametres articles'!$C$5:$G$25,5,FALSE)</f>
        <v>15</v>
      </c>
      <c r="L41" s="187">
        <f>+HLOOKUP($B41,'parametres articles'!$C$5:$G$25,21,FALSE)</f>
        <v>13</v>
      </c>
      <c r="M41" s="192">
        <f>+HLOOKUP($B41,'parametres articles'!$C$5:$G$25,7,FALSE)</f>
        <v>0.8</v>
      </c>
      <c r="N41" s="192">
        <f>+HLOOKUP($B41,'parametres articles'!$C$5:$G$25,6,FALSE)</f>
        <v>0.4</v>
      </c>
      <c r="O41" s="187">
        <f>+HLOOKUP($B41,'parametres articles'!$C$5:$G$25,8,FALSE)</f>
        <v>0</v>
      </c>
      <c r="P41" s="193">
        <f>IF(B41="E",'parametres articles'!$C$8,HLOOKUP($B41,'parametres articles'!$C$5:$F$25,4,FALSE))</f>
        <v>2.27</v>
      </c>
      <c r="Q41" s="193">
        <f t="shared" si="1"/>
        <v>2.27</v>
      </c>
      <c r="R41" s="199">
        <f t="shared" si="9"/>
        <v>13.62</v>
      </c>
      <c r="S41" s="197">
        <f t="shared" si="2"/>
        <v>24.515999999999998</v>
      </c>
      <c r="T41" s="201">
        <f t="shared" si="3"/>
        <v>58.565999999999995</v>
      </c>
      <c r="U41" s="203">
        <f t="shared" si="10"/>
        <v>72.185999999999993</v>
      </c>
      <c r="V41" s="187">
        <f t="shared" si="4"/>
        <v>24.515999999999998</v>
      </c>
      <c r="W41" s="187">
        <f t="shared" si="5"/>
        <v>34.049999999999997</v>
      </c>
      <c r="X41" s="187">
        <f t="shared" si="6"/>
        <v>13.62</v>
      </c>
      <c r="Y41" s="193">
        <f t="shared" si="7"/>
        <v>31.325999999999997</v>
      </c>
      <c r="Z41" s="194"/>
      <c r="AA41" s="195">
        <f t="shared" ca="1" si="12"/>
        <v>41</v>
      </c>
      <c r="AB41" s="195">
        <f ca="1">+AA41+'parametres articles'!$C$9-1</f>
        <v>55</v>
      </c>
      <c r="AC41" s="195">
        <f ca="1">+AA41+'parametres articles'!$C$24-1</f>
        <v>60</v>
      </c>
      <c r="AD41" s="195">
        <f ca="1">+IF(AE41&lt;='parametres articles'!$H$8,0,AA41-'parametres articles'!$H$8+1)</f>
        <v>37</v>
      </c>
      <c r="AE41" s="195">
        <v>40</v>
      </c>
      <c r="AF41" s="187" t="str">
        <f t="shared" ca="1" si="11"/>
        <v>F56</v>
      </c>
      <c r="AG41" s="181"/>
      <c r="AH41" s="178"/>
      <c r="AI41" s="178"/>
      <c r="AJ41" s="178"/>
      <c r="AK41" s="178"/>
    </row>
    <row r="42" spans="1:37" x14ac:dyDescent="0.25">
      <c r="A42" s="186">
        <v>42045</v>
      </c>
      <c r="B42" s="188" t="s">
        <v>21</v>
      </c>
      <c r="C42" s="189">
        <f ca="1">+IF(AD42=0,P42,(SUM(INDIRECT(CONCATENATE("B",AD42,":B",AA42)))/'parametres articles'!$H$8))</f>
        <v>0</v>
      </c>
      <c r="D42" s="187">
        <f>IFERROR(VLOOKUP(A42,'Mvmt stock'!A:B,2,0),0)</f>
        <v>0</v>
      </c>
      <c r="E42" s="188">
        <f>IFERROR(VLOOKUP(A42,'Mvmt stock'!D:E,2,0),0)</f>
        <v>0</v>
      </c>
      <c r="F42" s="188">
        <f t="shared" si="8"/>
        <v>71</v>
      </c>
      <c r="G42" s="208">
        <f>IFERROR(VLOOKUP(A42,'Mvmt stock'!G:H,2,0),0)</f>
        <v>0</v>
      </c>
      <c r="H42" s="190">
        <f>IFERROR(VLOOKUP(A42,Stock!B:C,2,0),H41)</f>
        <v>71</v>
      </c>
      <c r="I42" s="188">
        <f t="shared" si="0"/>
        <v>71</v>
      </c>
      <c r="J42" s="191">
        <f t="shared" si="13"/>
        <v>46.904761904761905</v>
      </c>
      <c r="K42" s="187">
        <f>+HLOOKUP($B42,'parametres articles'!$C$5:$G$25,5,FALSE)</f>
        <v>15</v>
      </c>
      <c r="L42" s="187">
        <f>+HLOOKUP($B42,'parametres articles'!$C$5:$G$25,21,FALSE)</f>
        <v>13</v>
      </c>
      <c r="M42" s="192">
        <f>+HLOOKUP($B42,'parametres articles'!$C$5:$G$25,7,FALSE)</f>
        <v>0.8</v>
      </c>
      <c r="N42" s="192">
        <f>+HLOOKUP($B42,'parametres articles'!$C$5:$G$25,6,FALSE)</f>
        <v>0.4</v>
      </c>
      <c r="O42" s="187">
        <f>+HLOOKUP($B42,'parametres articles'!$C$5:$G$25,8,FALSE)</f>
        <v>0</v>
      </c>
      <c r="P42" s="193">
        <f>IF(B42="E",'parametres articles'!$C$8,HLOOKUP($B42,'parametres articles'!$C$5:$F$25,4,FALSE))</f>
        <v>2.27</v>
      </c>
      <c r="Q42" s="193">
        <f t="shared" si="1"/>
        <v>2.27</v>
      </c>
      <c r="R42" s="199">
        <f t="shared" si="9"/>
        <v>13.62</v>
      </c>
      <c r="S42" s="197">
        <f t="shared" si="2"/>
        <v>24.515999999999998</v>
      </c>
      <c r="T42" s="201">
        <f t="shared" si="3"/>
        <v>58.565999999999995</v>
      </c>
      <c r="U42" s="203">
        <f t="shared" si="10"/>
        <v>72.185999999999993</v>
      </c>
      <c r="V42" s="187">
        <f t="shared" si="4"/>
        <v>24.515999999999998</v>
      </c>
      <c r="W42" s="187">
        <f t="shared" si="5"/>
        <v>34.049999999999997</v>
      </c>
      <c r="X42" s="187">
        <f t="shared" si="6"/>
        <v>13.62</v>
      </c>
      <c r="Y42" s="193">
        <f t="shared" si="7"/>
        <v>31.325999999999997</v>
      </c>
      <c r="Z42" s="194"/>
      <c r="AA42" s="195">
        <f t="shared" ca="1" si="12"/>
        <v>42</v>
      </c>
      <c r="AB42" s="195">
        <f ca="1">+AA42+'parametres articles'!$C$9-1</f>
        <v>56</v>
      </c>
      <c r="AC42" s="195">
        <f ca="1">+AA42+'parametres articles'!$C$24-1</f>
        <v>61</v>
      </c>
      <c r="AD42" s="195">
        <f ca="1">+IF(AE42&lt;='parametres articles'!$H$8,0,AA42-'parametres articles'!$H$8+1)</f>
        <v>38</v>
      </c>
      <c r="AE42" s="195">
        <v>41</v>
      </c>
      <c r="AF42" s="187" t="str">
        <f t="shared" ca="1" si="11"/>
        <v>F57</v>
      </c>
      <c r="AG42" s="181"/>
      <c r="AH42" s="178"/>
      <c r="AI42" s="178"/>
      <c r="AJ42" s="178"/>
      <c r="AK42" s="178"/>
    </row>
    <row r="43" spans="1:37" x14ac:dyDescent="0.25">
      <c r="A43" s="186">
        <v>42046</v>
      </c>
      <c r="B43" s="188" t="s">
        <v>21</v>
      </c>
      <c r="C43" s="189">
        <f ca="1">+IF(AD43=0,P43,(SUM(INDIRECT(CONCATENATE("B",AD43,":B",AA43)))/'parametres articles'!$H$8))</f>
        <v>0</v>
      </c>
      <c r="D43" s="187">
        <f>IFERROR(VLOOKUP(A43,'Mvmt stock'!A:B,2,0),0)</f>
        <v>0</v>
      </c>
      <c r="E43" s="188">
        <f>IFERROR(VLOOKUP(A43,'Mvmt stock'!D:E,2,0),0)</f>
        <v>0</v>
      </c>
      <c r="F43" s="188">
        <f t="shared" si="8"/>
        <v>71</v>
      </c>
      <c r="G43" s="208">
        <f>IFERROR(VLOOKUP(A43,'Mvmt stock'!G:H,2,0),0)</f>
        <v>0</v>
      </c>
      <c r="H43" s="190">
        <f>IFERROR(VLOOKUP(A43,Stock!B:C,2,0),H42)</f>
        <v>71</v>
      </c>
      <c r="I43" s="188">
        <f t="shared" si="0"/>
        <v>71</v>
      </c>
      <c r="J43" s="191">
        <f t="shared" si="13"/>
        <v>49.047619047619051</v>
      </c>
      <c r="K43" s="187">
        <f>+HLOOKUP($B43,'parametres articles'!$C$5:$G$25,5,FALSE)</f>
        <v>15</v>
      </c>
      <c r="L43" s="187">
        <f>+HLOOKUP($B43,'parametres articles'!$C$5:$G$25,21,FALSE)</f>
        <v>13</v>
      </c>
      <c r="M43" s="192">
        <f>+HLOOKUP($B43,'parametres articles'!$C$5:$G$25,7,FALSE)</f>
        <v>0.8</v>
      </c>
      <c r="N43" s="192">
        <f>+HLOOKUP($B43,'parametres articles'!$C$5:$G$25,6,FALSE)</f>
        <v>0.4</v>
      </c>
      <c r="O43" s="187">
        <f>+HLOOKUP($B43,'parametres articles'!$C$5:$G$25,8,FALSE)</f>
        <v>0</v>
      </c>
      <c r="P43" s="193">
        <f>IF(B43="E",'parametres articles'!$C$8,HLOOKUP($B43,'parametres articles'!$C$5:$F$25,4,FALSE))</f>
        <v>2.27</v>
      </c>
      <c r="Q43" s="193">
        <f t="shared" si="1"/>
        <v>2.27</v>
      </c>
      <c r="R43" s="199">
        <f t="shared" si="9"/>
        <v>13.62</v>
      </c>
      <c r="S43" s="197">
        <f t="shared" si="2"/>
        <v>24.515999999999998</v>
      </c>
      <c r="T43" s="201">
        <f t="shared" si="3"/>
        <v>58.565999999999995</v>
      </c>
      <c r="U43" s="203">
        <f t="shared" si="10"/>
        <v>72.185999999999993</v>
      </c>
      <c r="V43" s="187">
        <f t="shared" si="4"/>
        <v>24.515999999999998</v>
      </c>
      <c r="W43" s="187">
        <f t="shared" si="5"/>
        <v>34.049999999999997</v>
      </c>
      <c r="X43" s="187">
        <f t="shared" si="6"/>
        <v>13.62</v>
      </c>
      <c r="Y43" s="193">
        <f t="shared" si="7"/>
        <v>31.325999999999997</v>
      </c>
      <c r="Z43" s="194"/>
      <c r="AA43" s="195">
        <f t="shared" ca="1" si="12"/>
        <v>43</v>
      </c>
      <c r="AB43" s="195">
        <f ca="1">+AA43+'parametres articles'!$C$9-1</f>
        <v>57</v>
      </c>
      <c r="AC43" s="195">
        <f ca="1">+AA43+'parametres articles'!$C$24-1</f>
        <v>62</v>
      </c>
      <c r="AD43" s="195">
        <f ca="1">+IF(AE43&lt;='parametres articles'!$H$8,0,AA43-'parametres articles'!$H$8+1)</f>
        <v>39</v>
      </c>
      <c r="AE43" s="195">
        <v>42</v>
      </c>
      <c r="AF43" s="187" t="str">
        <f t="shared" ca="1" si="11"/>
        <v>F58</v>
      </c>
      <c r="AG43" s="181"/>
      <c r="AH43" s="178"/>
      <c r="AI43" s="178"/>
      <c r="AJ43" s="178"/>
      <c r="AK43" s="178"/>
    </row>
    <row r="44" spans="1:37" x14ac:dyDescent="0.25">
      <c r="A44" s="186">
        <v>42047</v>
      </c>
      <c r="B44" s="188" t="s">
        <v>21</v>
      </c>
      <c r="C44" s="189">
        <f ca="1">+IF(AD44=0,P44,(SUM(INDIRECT(CONCATENATE("B",AD44,":B",AA44)))/'parametres articles'!$H$8))</f>
        <v>0</v>
      </c>
      <c r="D44" s="187">
        <f>IFERROR(VLOOKUP(A44,'Mvmt stock'!A:B,2,0),0)</f>
        <v>1</v>
      </c>
      <c r="E44" s="188">
        <f>IFERROR(VLOOKUP(A44,'Mvmt stock'!D:E,2,0),0)</f>
        <v>0</v>
      </c>
      <c r="F44" s="188">
        <f t="shared" si="8"/>
        <v>71</v>
      </c>
      <c r="G44" s="208">
        <f>IFERROR(VLOOKUP(A44,'Mvmt stock'!G:H,2,0),0)</f>
        <v>0</v>
      </c>
      <c r="H44" s="190">
        <f>IFERROR(VLOOKUP(A44,Stock!B:C,2,0),H43)</f>
        <v>71</v>
      </c>
      <c r="I44" s="188">
        <f t="shared" si="0"/>
        <v>70</v>
      </c>
      <c r="J44" s="191">
        <f t="shared" si="13"/>
        <v>51.19047619047619</v>
      </c>
      <c r="K44" s="187">
        <f>+HLOOKUP($B44,'parametres articles'!$C$5:$G$25,5,FALSE)</f>
        <v>15</v>
      </c>
      <c r="L44" s="187">
        <f>+HLOOKUP($B44,'parametres articles'!$C$5:$G$25,21,FALSE)</f>
        <v>13</v>
      </c>
      <c r="M44" s="192">
        <f>+HLOOKUP($B44,'parametres articles'!$C$5:$G$25,7,FALSE)</f>
        <v>0.8</v>
      </c>
      <c r="N44" s="192">
        <f>+HLOOKUP($B44,'parametres articles'!$C$5:$G$25,6,FALSE)</f>
        <v>0.4</v>
      </c>
      <c r="O44" s="187">
        <f>+HLOOKUP($B44,'parametres articles'!$C$5:$G$25,8,FALSE)</f>
        <v>0</v>
      </c>
      <c r="P44" s="193">
        <f>IF(B44="E",'parametres articles'!$C$8,HLOOKUP($B44,'parametres articles'!$C$5:$F$25,4,FALSE))</f>
        <v>2.27</v>
      </c>
      <c r="Q44" s="193">
        <f t="shared" si="1"/>
        <v>2.27</v>
      </c>
      <c r="R44" s="199">
        <f t="shared" si="9"/>
        <v>13.62</v>
      </c>
      <c r="S44" s="197">
        <f t="shared" si="2"/>
        <v>24.515999999999998</v>
      </c>
      <c r="T44" s="201">
        <f t="shared" si="3"/>
        <v>58.565999999999995</v>
      </c>
      <c r="U44" s="203">
        <f t="shared" si="10"/>
        <v>72.185999999999993</v>
      </c>
      <c r="V44" s="187">
        <f t="shared" si="4"/>
        <v>24.515999999999998</v>
      </c>
      <c r="W44" s="187">
        <f t="shared" si="5"/>
        <v>34.049999999999997</v>
      </c>
      <c r="X44" s="187">
        <f t="shared" si="6"/>
        <v>13.62</v>
      </c>
      <c r="Y44" s="193">
        <f t="shared" si="7"/>
        <v>31.325999999999997</v>
      </c>
      <c r="Z44" s="194"/>
      <c r="AA44" s="195">
        <f t="shared" ca="1" si="12"/>
        <v>44</v>
      </c>
      <c r="AB44" s="195">
        <f ca="1">+AA44+'parametres articles'!$C$9-1</f>
        <v>58</v>
      </c>
      <c r="AC44" s="195">
        <f ca="1">+AA44+'parametres articles'!$C$24-1</f>
        <v>63</v>
      </c>
      <c r="AD44" s="195">
        <f ca="1">+IF(AE44&lt;='parametres articles'!$H$8,0,AA44-'parametres articles'!$H$8+1)</f>
        <v>40</v>
      </c>
      <c r="AE44" s="195">
        <v>43</v>
      </c>
      <c r="AF44" s="187" t="str">
        <f t="shared" ca="1" si="11"/>
        <v>F59</v>
      </c>
      <c r="AG44" s="181"/>
      <c r="AH44" s="178"/>
      <c r="AI44" s="178"/>
      <c r="AJ44" s="178"/>
      <c r="AK44" s="178"/>
    </row>
    <row r="45" spans="1:37" x14ac:dyDescent="0.25">
      <c r="A45" s="186">
        <v>42048</v>
      </c>
      <c r="B45" s="188" t="s">
        <v>21</v>
      </c>
      <c r="C45" s="189">
        <f ca="1">+IF(AD45=0,P45,(SUM(INDIRECT(CONCATENATE("B",AD45,":B",AA45)))/'parametres articles'!$H$8))</f>
        <v>0</v>
      </c>
      <c r="D45" s="187">
        <f>IFERROR(VLOOKUP(A45,'Mvmt stock'!A:B,2,0),0)</f>
        <v>8</v>
      </c>
      <c r="E45" s="188">
        <f>IFERROR(VLOOKUP(A45,'Mvmt stock'!D:E,2,0),0)</f>
        <v>0</v>
      </c>
      <c r="F45" s="188">
        <f t="shared" si="8"/>
        <v>69</v>
      </c>
      <c r="G45" s="208">
        <f>IFERROR(VLOOKUP(A45,'Mvmt stock'!G:H,2,0),0)</f>
        <v>-1</v>
      </c>
      <c r="H45" s="190">
        <f>IFERROR(VLOOKUP(A45,Stock!B:C,2,0),H44)</f>
        <v>69</v>
      </c>
      <c r="I45" s="188">
        <f t="shared" si="0"/>
        <v>61</v>
      </c>
      <c r="J45" s="191">
        <f t="shared" si="13"/>
        <v>53.238095238095241</v>
      </c>
      <c r="K45" s="187">
        <f>+HLOOKUP($B45,'parametres articles'!$C$5:$G$25,5,FALSE)</f>
        <v>15</v>
      </c>
      <c r="L45" s="187">
        <f>+HLOOKUP($B45,'parametres articles'!$C$5:$G$25,21,FALSE)</f>
        <v>13</v>
      </c>
      <c r="M45" s="192">
        <f>+HLOOKUP($B45,'parametres articles'!$C$5:$G$25,7,FALSE)</f>
        <v>0.8</v>
      </c>
      <c r="N45" s="192">
        <f>+HLOOKUP($B45,'parametres articles'!$C$5:$G$25,6,FALSE)</f>
        <v>0.4</v>
      </c>
      <c r="O45" s="187">
        <f>+HLOOKUP($B45,'parametres articles'!$C$5:$G$25,8,FALSE)</f>
        <v>0</v>
      </c>
      <c r="P45" s="193">
        <f>IF(B45="E",'parametres articles'!$C$8,HLOOKUP($B45,'parametres articles'!$C$5:$F$25,4,FALSE))</f>
        <v>2.27</v>
      </c>
      <c r="Q45" s="193">
        <f t="shared" si="1"/>
        <v>2.27</v>
      </c>
      <c r="R45" s="199">
        <f t="shared" si="9"/>
        <v>13.62</v>
      </c>
      <c r="S45" s="197">
        <f t="shared" si="2"/>
        <v>24.515999999999998</v>
      </c>
      <c r="T45" s="201">
        <f t="shared" si="3"/>
        <v>58.565999999999995</v>
      </c>
      <c r="U45" s="203">
        <f t="shared" si="10"/>
        <v>72.185999999999993</v>
      </c>
      <c r="V45" s="187">
        <f t="shared" si="4"/>
        <v>24.515999999999998</v>
      </c>
      <c r="W45" s="187">
        <f t="shared" si="5"/>
        <v>34.049999999999997</v>
      </c>
      <c r="X45" s="187">
        <f t="shared" si="6"/>
        <v>13.62</v>
      </c>
      <c r="Y45" s="193">
        <f t="shared" si="7"/>
        <v>31.325999999999997</v>
      </c>
      <c r="Z45" s="194"/>
      <c r="AA45" s="195">
        <f t="shared" ca="1" si="12"/>
        <v>45</v>
      </c>
      <c r="AB45" s="195">
        <f ca="1">+AA45+'parametres articles'!$C$9-1</f>
        <v>59</v>
      </c>
      <c r="AC45" s="195">
        <f ca="1">+AA45+'parametres articles'!$C$24-1</f>
        <v>64</v>
      </c>
      <c r="AD45" s="195">
        <f ca="1">+IF(AE45&lt;='parametres articles'!$H$8,0,AA45-'parametres articles'!$H$8+1)</f>
        <v>41</v>
      </c>
      <c r="AE45" s="195">
        <v>44</v>
      </c>
      <c r="AF45" s="187" t="str">
        <f t="shared" ca="1" si="11"/>
        <v>F60</v>
      </c>
      <c r="AG45" s="181"/>
      <c r="AH45" s="178"/>
      <c r="AI45" s="178"/>
      <c r="AJ45" s="178"/>
      <c r="AK45" s="178"/>
    </row>
    <row r="46" spans="1:37" x14ac:dyDescent="0.25">
      <c r="A46" s="186">
        <v>42049</v>
      </c>
      <c r="B46" s="188" t="s">
        <v>21</v>
      </c>
      <c r="C46" s="189">
        <f ca="1">+IF(AD46=0,P46,(SUM(INDIRECT(CONCATENATE("B",AD46,":B",AA46)))/'parametres articles'!$H$8))</f>
        <v>0</v>
      </c>
      <c r="D46" s="187">
        <f>IFERROR(VLOOKUP(A46,'Mvmt stock'!A:B,2,0),0)</f>
        <v>0</v>
      </c>
      <c r="E46" s="188">
        <f>IFERROR(VLOOKUP(A46,'Mvmt stock'!D:E,2,0),0)</f>
        <v>0</v>
      </c>
      <c r="F46" s="188">
        <f t="shared" si="8"/>
        <v>61</v>
      </c>
      <c r="G46" s="208">
        <f>IFERROR(VLOOKUP(A46,'Mvmt stock'!G:H,2,0),0)</f>
        <v>0</v>
      </c>
      <c r="H46" s="190">
        <f>IFERROR(VLOOKUP(A46,Stock!B:C,2,0),H45)</f>
        <v>69</v>
      </c>
      <c r="I46" s="188">
        <f t="shared" si="0"/>
        <v>61</v>
      </c>
      <c r="J46" s="191">
        <f t="shared" si="13"/>
        <v>55.38095238095238</v>
      </c>
      <c r="K46" s="187">
        <f>+HLOOKUP($B46,'parametres articles'!$C$5:$G$25,5,FALSE)</f>
        <v>15</v>
      </c>
      <c r="L46" s="187">
        <f>+HLOOKUP($B46,'parametres articles'!$C$5:$G$25,21,FALSE)</f>
        <v>13</v>
      </c>
      <c r="M46" s="192">
        <f>+HLOOKUP($B46,'parametres articles'!$C$5:$G$25,7,FALSE)</f>
        <v>0.8</v>
      </c>
      <c r="N46" s="192">
        <f>+HLOOKUP($B46,'parametres articles'!$C$5:$G$25,6,FALSE)</f>
        <v>0.4</v>
      </c>
      <c r="O46" s="187">
        <f>+HLOOKUP($B46,'parametres articles'!$C$5:$G$25,8,FALSE)</f>
        <v>0</v>
      </c>
      <c r="P46" s="193">
        <f>IF(B46="E",'parametres articles'!$C$8,HLOOKUP($B46,'parametres articles'!$C$5:$F$25,4,FALSE))</f>
        <v>2.27</v>
      </c>
      <c r="Q46" s="193">
        <f t="shared" si="1"/>
        <v>2.27</v>
      </c>
      <c r="R46" s="199">
        <f t="shared" si="9"/>
        <v>13.62</v>
      </c>
      <c r="S46" s="197">
        <f t="shared" si="2"/>
        <v>24.515999999999998</v>
      </c>
      <c r="T46" s="201">
        <f t="shared" si="3"/>
        <v>58.565999999999995</v>
      </c>
      <c r="U46" s="203">
        <f t="shared" si="10"/>
        <v>72.185999999999993</v>
      </c>
      <c r="V46" s="187">
        <f t="shared" si="4"/>
        <v>24.515999999999998</v>
      </c>
      <c r="W46" s="187">
        <f t="shared" si="5"/>
        <v>34.049999999999997</v>
      </c>
      <c r="X46" s="187">
        <f t="shared" si="6"/>
        <v>13.62</v>
      </c>
      <c r="Y46" s="193">
        <f t="shared" si="7"/>
        <v>31.325999999999997</v>
      </c>
      <c r="Z46" s="194"/>
      <c r="AA46" s="195">
        <f t="shared" ca="1" si="12"/>
        <v>46</v>
      </c>
      <c r="AB46" s="195">
        <f ca="1">+AA46+'parametres articles'!$C$9-1</f>
        <v>60</v>
      </c>
      <c r="AC46" s="195">
        <f ca="1">+AA46+'parametres articles'!$C$24-1</f>
        <v>65</v>
      </c>
      <c r="AD46" s="195">
        <f ca="1">+IF(AE46&lt;='parametres articles'!$H$8,0,AA46-'parametres articles'!$H$8+1)</f>
        <v>42</v>
      </c>
      <c r="AE46" s="195">
        <v>45</v>
      </c>
      <c r="AF46" s="187" t="str">
        <f t="shared" ca="1" si="11"/>
        <v>F61</v>
      </c>
      <c r="AG46" s="181"/>
      <c r="AH46" s="178"/>
      <c r="AI46" s="178"/>
      <c r="AJ46" s="178"/>
      <c r="AK46" s="178"/>
    </row>
    <row r="47" spans="1:37" x14ac:dyDescent="0.25">
      <c r="A47" s="186">
        <v>42050</v>
      </c>
      <c r="B47" s="188" t="s">
        <v>21</v>
      </c>
      <c r="C47" s="189">
        <f ca="1">+IF(AD47=0,P47,(SUM(INDIRECT(CONCATENATE("B",AD47,":B",AA47)))/'parametres articles'!$H$8))</f>
        <v>0</v>
      </c>
      <c r="D47" s="187">
        <f>IFERROR(VLOOKUP(A47,'Mvmt stock'!A:B,2,0),0)</f>
        <v>0</v>
      </c>
      <c r="E47" s="188">
        <f>IFERROR(VLOOKUP(A47,'Mvmt stock'!D:E,2,0),0)</f>
        <v>0</v>
      </c>
      <c r="F47" s="188">
        <f t="shared" si="8"/>
        <v>61</v>
      </c>
      <c r="G47" s="208">
        <f>IFERROR(VLOOKUP(A47,'Mvmt stock'!G:H,2,0),0)</f>
        <v>0</v>
      </c>
      <c r="H47" s="190">
        <f>IFERROR(VLOOKUP(A47,Stock!B:C,2,0),H46)</f>
        <v>69</v>
      </c>
      <c r="I47" s="188">
        <f t="shared" si="0"/>
        <v>61</v>
      </c>
      <c r="J47" s="191">
        <f t="shared" si="13"/>
        <v>57.523809523809526</v>
      </c>
      <c r="K47" s="187">
        <f>+HLOOKUP($B47,'parametres articles'!$C$5:$G$25,5,FALSE)</f>
        <v>15</v>
      </c>
      <c r="L47" s="187">
        <f>+HLOOKUP($B47,'parametres articles'!$C$5:$G$25,21,FALSE)</f>
        <v>13</v>
      </c>
      <c r="M47" s="192">
        <f>+HLOOKUP($B47,'parametres articles'!$C$5:$G$25,7,FALSE)</f>
        <v>0.8</v>
      </c>
      <c r="N47" s="192">
        <f>+HLOOKUP($B47,'parametres articles'!$C$5:$G$25,6,FALSE)</f>
        <v>0.4</v>
      </c>
      <c r="O47" s="187">
        <f>+HLOOKUP($B47,'parametres articles'!$C$5:$G$25,8,FALSE)</f>
        <v>0</v>
      </c>
      <c r="P47" s="193">
        <f>IF(B47="E",'parametres articles'!$C$8,HLOOKUP($B47,'parametres articles'!$C$5:$F$25,4,FALSE))</f>
        <v>2.27</v>
      </c>
      <c r="Q47" s="193">
        <f t="shared" si="1"/>
        <v>2.27</v>
      </c>
      <c r="R47" s="199">
        <f t="shared" si="9"/>
        <v>13.62</v>
      </c>
      <c r="S47" s="197">
        <f t="shared" si="2"/>
        <v>24.515999999999998</v>
      </c>
      <c r="T47" s="201">
        <f t="shared" si="3"/>
        <v>58.565999999999995</v>
      </c>
      <c r="U47" s="203">
        <f t="shared" si="10"/>
        <v>72.185999999999993</v>
      </c>
      <c r="V47" s="187">
        <f t="shared" si="4"/>
        <v>24.515999999999998</v>
      </c>
      <c r="W47" s="187">
        <f t="shared" si="5"/>
        <v>34.049999999999997</v>
      </c>
      <c r="X47" s="187">
        <f t="shared" si="6"/>
        <v>13.62</v>
      </c>
      <c r="Y47" s="193">
        <f t="shared" si="7"/>
        <v>31.325999999999997</v>
      </c>
      <c r="Z47" s="194"/>
      <c r="AA47" s="195">
        <f t="shared" ca="1" si="12"/>
        <v>47</v>
      </c>
      <c r="AB47" s="195">
        <f ca="1">+AA47+'parametres articles'!$C$9-1</f>
        <v>61</v>
      </c>
      <c r="AC47" s="195">
        <f ca="1">+AA47+'parametres articles'!$C$24-1</f>
        <v>66</v>
      </c>
      <c r="AD47" s="195">
        <f ca="1">+IF(AE47&lt;='parametres articles'!$H$8,0,AA47-'parametres articles'!$H$8+1)</f>
        <v>43</v>
      </c>
      <c r="AE47" s="195">
        <v>46</v>
      </c>
      <c r="AF47" s="187" t="str">
        <f t="shared" ca="1" si="11"/>
        <v>F62</v>
      </c>
      <c r="AG47" s="181"/>
      <c r="AH47" s="178"/>
      <c r="AI47" s="178"/>
      <c r="AJ47" s="178"/>
      <c r="AK47" s="178"/>
    </row>
    <row r="48" spans="1:37" x14ac:dyDescent="0.25">
      <c r="A48" s="186">
        <v>42051</v>
      </c>
      <c r="B48" s="188" t="s">
        <v>21</v>
      </c>
      <c r="C48" s="189">
        <f ca="1">+IF(AD48=0,P48,(SUM(INDIRECT(CONCATENATE("B",AD48,":B",AA48)))/'parametres articles'!$H$8))</f>
        <v>0</v>
      </c>
      <c r="D48" s="187">
        <f>IFERROR(VLOOKUP(A48,'Mvmt stock'!A:B,2,0),0)</f>
        <v>2</v>
      </c>
      <c r="E48" s="188">
        <f>IFERROR(VLOOKUP(A48,'Mvmt stock'!D:E,2,0),0)</f>
        <v>0</v>
      </c>
      <c r="F48" s="188">
        <f t="shared" si="8"/>
        <v>61</v>
      </c>
      <c r="G48" s="208">
        <f>IFERROR(VLOOKUP(A48,'Mvmt stock'!G:H,2,0),0)</f>
        <v>0</v>
      </c>
      <c r="H48" s="190">
        <f>IFERROR(VLOOKUP(A48,Stock!B:C,2,0),H47)</f>
        <v>61</v>
      </c>
      <c r="I48" s="188">
        <f t="shared" si="0"/>
        <v>59</v>
      </c>
      <c r="J48" s="191">
        <f t="shared" si="13"/>
        <v>59.666666666666664</v>
      </c>
      <c r="K48" s="187">
        <f>+HLOOKUP($B48,'parametres articles'!$C$5:$G$25,5,FALSE)</f>
        <v>15</v>
      </c>
      <c r="L48" s="187">
        <f>+HLOOKUP($B48,'parametres articles'!$C$5:$G$25,21,FALSE)</f>
        <v>13</v>
      </c>
      <c r="M48" s="192">
        <f>+HLOOKUP($B48,'parametres articles'!$C$5:$G$25,7,FALSE)</f>
        <v>0.8</v>
      </c>
      <c r="N48" s="192">
        <f>+HLOOKUP($B48,'parametres articles'!$C$5:$G$25,6,FALSE)</f>
        <v>0.4</v>
      </c>
      <c r="O48" s="187">
        <f>+HLOOKUP($B48,'parametres articles'!$C$5:$G$25,8,FALSE)</f>
        <v>0</v>
      </c>
      <c r="P48" s="193">
        <f>IF(B48="E",'parametres articles'!$C$8,HLOOKUP($B48,'parametres articles'!$C$5:$F$25,4,FALSE))</f>
        <v>2.27</v>
      </c>
      <c r="Q48" s="193">
        <f t="shared" si="1"/>
        <v>2.27</v>
      </c>
      <c r="R48" s="199">
        <f t="shared" si="9"/>
        <v>13.62</v>
      </c>
      <c r="S48" s="197">
        <f t="shared" si="2"/>
        <v>24.515999999999998</v>
      </c>
      <c r="T48" s="201">
        <f t="shared" si="3"/>
        <v>58.565999999999995</v>
      </c>
      <c r="U48" s="203">
        <f t="shared" si="10"/>
        <v>72.185999999999993</v>
      </c>
      <c r="V48" s="187">
        <f t="shared" si="4"/>
        <v>24.515999999999998</v>
      </c>
      <c r="W48" s="187">
        <f t="shared" si="5"/>
        <v>34.049999999999997</v>
      </c>
      <c r="X48" s="187">
        <f t="shared" si="6"/>
        <v>13.62</v>
      </c>
      <c r="Y48" s="193">
        <f t="shared" si="7"/>
        <v>31.325999999999997</v>
      </c>
      <c r="Z48" s="194"/>
      <c r="AA48" s="195">
        <f t="shared" ca="1" si="12"/>
        <v>48</v>
      </c>
      <c r="AB48" s="195">
        <f ca="1">+AA48+'parametres articles'!$C$9-1</f>
        <v>62</v>
      </c>
      <c r="AC48" s="195">
        <f ca="1">+AA48+'parametres articles'!$C$24-1</f>
        <v>67</v>
      </c>
      <c r="AD48" s="195">
        <f ca="1">+IF(AE48&lt;='parametres articles'!$H$8,0,AA48-'parametres articles'!$H$8+1)</f>
        <v>44</v>
      </c>
      <c r="AE48" s="195">
        <v>47</v>
      </c>
      <c r="AF48" s="187" t="str">
        <f t="shared" ca="1" si="11"/>
        <v>F63</v>
      </c>
      <c r="AG48" s="181"/>
      <c r="AH48" s="178"/>
      <c r="AI48" s="178"/>
      <c r="AJ48" s="178"/>
      <c r="AK48" s="178"/>
    </row>
    <row r="49" spans="1:37" x14ac:dyDescent="0.25">
      <c r="A49" s="186">
        <v>42052</v>
      </c>
      <c r="B49" s="188" t="s">
        <v>21</v>
      </c>
      <c r="C49" s="189">
        <f ca="1">+IF(AD49=0,P49,(SUM(INDIRECT(CONCATENATE("B",AD49,":B",AA49)))/'parametres articles'!$H$8))</f>
        <v>0</v>
      </c>
      <c r="D49" s="187">
        <f>IFERROR(VLOOKUP(A49,'Mvmt stock'!A:B,2,0),0)</f>
        <v>0</v>
      </c>
      <c r="E49" s="188">
        <f>IFERROR(VLOOKUP(A49,'Mvmt stock'!D:E,2,0),0)</f>
        <v>0</v>
      </c>
      <c r="F49" s="188">
        <f t="shared" si="8"/>
        <v>59</v>
      </c>
      <c r="G49" s="208">
        <f>IFERROR(VLOOKUP(A49,'Mvmt stock'!G:H,2,0),0)</f>
        <v>0</v>
      </c>
      <c r="H49" s="190">
        <f>IFERROR(VLOOKUP(A49,Stock!B:C,2,0),H48)</f>
        <v>59</v>
      </c>
      <c r="I49" s="188">
        <f t="shared" si="0"/>
        <v>59</v>
      </c>
      <c r="J49" s="191">
        <f t="shared" si="13"/>
        <v>59.952380952380949</v>
      </c>
      <c r="K49" s="187">
        <f>+HLOOKUP($B49,'parametres articles'!$C$5:$G$25,5,FALSE)</f>
        <v>15</v>
      </c>
      <c r="L49" s="187">
        <f>+HLOOKUP($B49,'parametres articles'!$C$5:$G$25,21,FALSE)</f>
        <v>13</v>
      </c>
      <c r="M49" s="192">
        <f>+HLOOKUP($B49,'parametres articles'!$C$5:$G$25,7,FALSE)</f>
        <v>0.8</v>
      </c>
      <c r="N49" s="192">
        <f>+HLOOKUP($B49,'parametres articles'!$C$5:$G$25,6,FALSE)</f>
        <v>0.4</v>
      </c>
      <c r="O49" s="187">
        <f>+HLOOKUP($B49,'parametres articles'!$C$5:$G$25,8,FALSE)</f>
        <v>0</v>
      </c>
      <c r="P49" s="193">
        <f>IF(B49="E",'parametres articles'!$C$8,HLOOKUP($B49,'parametres articles'!$C$5:$F$25,4,FALSE))</f>
        <v>2.27</v>
      </c>
      <c r="Q49" s="193">
        <f t="shared" si="1"/>
        <v>2.27</v>
      </c>
      <c r="R49" s="199">
        <f t="shared" si="9"/>
        <v>13.62</v>
      </c>
      <c r="S49" s="197">
        <f t="shared" si="2"/>
        <v>24.515999999999998</v>
      </c>
      <c r="T49" s="201">
        <f t="shared" si="3"/>
        <v>58.565999999999995</v>
      </c>
      <c r="U49" s="203">
        <f t="shared" si="10"/>
        <v>72.185999999999993</v>
      </c>
      <c r="V49" s="187">
        <f t="shared" si="4"/>
        <v>24.515999999999998</v>
      </c>
      <c r="W49" s="187">
        <f t="shared" si="5"/>
        <v>34.049999999999997</v>
      </c>
      <c r="X49" s="187">
        <f t="shared" si="6"/>
        <v>13.62</v>
      </c>
      <c r="Y49" s="193">
        <f t="shared" si="7"/>
        <v>31.325999999999997</v>
      </c>
      <c r="Z49" s="194"/>
      <c r="AA49" s="195">
        <f t="shared" ca="1" si="12"/>
        <v>49</v>
      </c>
      <c r="AB49" s="195">
        <f ca="1">+AA49+'parametres articles'!$C$9-1</f>
        <v>63</v>
      </c>
      <c r="AC49" s="195">
        <f ca="1">+AA49+'parametres articles'!$C$24-1</f>
        <v>68</v>
      </c>
      <c r="AD49" s="195">
        <f ca="1">+IF(AE49&lt;='parametres articles'!$H$8,0,AA49-'parametres articles'!$H$8+1)</f>
        <v>45</v>
      </c>
      <c r="AE49" s="195">
        <v>48</v>
      </c>
      <c r="AF49" s="187" t="str">
        <f t="shared" ca="1" si="11"/>
        <v>F64</v>
      </c>
      <c r="AG49" s="181"/>
      <c r="AH49" s="178"/>
      <c r="AI49" s="178"/>
      <c r="AJ49" s="178"/>
      <c r="AK49" s="178"/>
    </row>
    <row r="50" spans="1:37" x14ac:dyDescent="0.25">
      <c r="A50" s="186">
        <v>42053</v>
      </c>
      <c r="B50" s="188" t="s">
        <v>21</v>
      </c>
      <c r="C50" s="189">
        <f ca="1">+IF(AD50=0,P50,(SUM(INDIRECT(CONCATENATE("B",AD50,":B",AA50)))/'parametres articles'!$H$8))</f>
        <v>0</v>
      </c>
      <c r="D50" s="187">
        <f>IFERROR(VLOOKUP(A50,'Mvmt stock'!A:B,2,0),0)</f>
        <v>0</v>
      </c>
      <c r="E50" s="188">
        <f>IFERROR(VLOOKUP(A50,'Mvmt stock'!D:E,2,0),0)</f>
        <v>0</v>
      </c>
      <c r="F50" s="188">
        <f t="shared" si="8"/>
        <v>59</v>
      </c>
      <c r="G50" s="208">
        <f>IFERROR(VLOOKUP(A50,'Mvmt stock'!G:H,2,0),0)</f>
        <v>0</v>
      </c>
      <c r="H50" s="190">
        <f>IFERROR(VLOOKUP(A50,Stock!B:C,2,0),H49)</f>
        <v>59</v>
      </c>
      <c r="I50" s="188">
        <f t="shared" si="0"/>
        <v>59</v>
      </c>
      <c r="J50" s="191">
        <f t="shared" si="13"/>
        <v>60.238095238095241</v>
      </c>
      <c r="K50" s="187">
        <f>+HLOOKUP($B50,'parametres articles'!$C$5:$G$25,5,FALSE)</f>
        <v>15</v>
      </c>
      <c r="L50" s="187">
        <f>+HLOOKUP($B50,'parametres articles'!$C$5:$G$25,21,FALSE)</f>
        <v>13</v>
      </c>
      <c r="M50" s="192">
        <f>+HLOOKUP($B50,'parametres articles'!$C$5:$G$25,7,FALSE)</f>
        <v>0.8</v>
      </c>
      <c r="N50" s="192">
        <f>+HLOOKUP($B50,'parametres articles'!$C$5:$G$25,6,FALSE)</f>
        <v>0.4</v>
      </c>
      <c r="O50" s="187">
        <f>+HLOOKUP($B50,'parametres articles'!$C$5:$G$25,8,FALSE)</f>
        <v>0</v>
      </c>
      <c r="P50" s="193">
        <f>IF(B50="E",'parametres articles'!$C$8,HLOOKUP($B50,'parametres articles'!$C$5:$F$25,4,FALSE))</f>
        <v>2.27</v>
      </c>
      <c r="Q50" s="193">
        <f t="shared" si="1"/>
        <v>2.27</v>
      </c>
      <c r="R50" s="199">
        <f t="shared" si="9"/>
        <v>13.62</v>
      </c>
      <c r="S50" s="197">
        <f t="shared" si="2"/>
        <v>24.515999999999998</v>
      </c>
      <c r="T50" s="201">
        <f t="shared" si="3"/>
        <v>58.565999999999995</v>
      </c>
      <c r="U50" s="203">
        <f t="shared" si="10"/>
        <v>72.185999999999993</v>
      </c>
      <c r="V50" s="187">
        <f t="shared" si="4"/>
        <v>24.515999999999998</v>
      </c>
      <c r="W50" s="187">
        <f t="shared" si="5"/>
        <v>34.049999999999997</v>
      </c>
      <c r="X50" s="187">
        <f t="shared" si="6"/>
        <v>13.62</v>
      </c>
      <c r="Y50" s="193">
        <f t="shared" si="7"/>
        <v>31.325999999999997</v>
      </c>
      <c r="Z50" s="194"/>
      <c r="AA50" s="195">
        <f t="shared" ca="1" si="12"/>
        <v>50</v>
      </c>
      <c r="AB50" s="195">
        <f ca="1">+AA50+'parametres articles'!$C$9-1</f>
        <v>64</v>
      </c>
      <c r="AC50" s="195">
        <f ca="1">+AA50+'parametres articles'!$C$24-1</f>
        <v>69</v>
      </c>
      <c r="AD50" s="195">
        <f ca="1">+IF(AE50&lt;='parametres articles'!$H$8,0,AA50-'parametres articles'!$H$8+1)</f>
        <v>46</v>
      </c>
      <c r="AE50" s="195">
        <v>49</v>
      </c>
      <c r="AF50" s="187" t="str">
        <f t="shared" ca="1" si="11"/>
        <v>F65</v>
      </c>
      <c r="AG50" s="181"/>
      <c r="AH50" s="178"/>
      <c r="AI50" s="178"/>
      <c r="AJ50" s="178"/>
      <c r="AK50" s="178"/>
    </row>
    <row r="51" spans="1:37" x14ac:dyDescent="0.25">
      <c r="A51" s="186">
        <v>42054</v>
      </c>
      <c r="B51" s="188" t="s">
        <v>21</v>
      </c>
      <c r="C51" s="189">
        <f ca="1">+IF(AD51=0,P51,(SUM(INDIRECT(CONCATENATE("B",AD51,":B",AA51)))/'parametres articles'!$H$8))</f>
        <v>0</v>
      </c>
      <c r="D51" s="187">
        <f>IFERROR(VLOOKUP(A51,'Mvmt stock'!A:B,2,0),0)</f>
        <v>0</v>
      </c>
      <c r="E51" s="188">
        <f>IFERROR(VLOOKUP(A51,'Mvmt stock'!D:E,2,0),0)</f>
        <v>0</v>
      </c>
      <c r="F51" s="188">
        <f t="shared" si="8"/>
        <v>59</v>
      </c>
      <c r="G51" s="208">
        <f>IFERROR(VLOOKUP(A51,'Mvmt stock'!G:H,2,0),0)</f>
        <v>0</v>
      </c>
      <c r="H51" s="190">
        <f>IFERROR(VLOOKUP(A51,Stock!B:C,2,0),H50)</f>
        <v>59</v>
      </c>
      <c r="I51" s="188">
        <f t="shared" si="0"/>
        <v>59</v>
      </c>
      <c r="J51" s="191">
        <f t="shared" si="13"/>
        <v>60.523809523809526</v>
      </c>
      <c r="K51" s="187">
        <f>+HLOOKUP($B51,'parametres articles'!$C$5:$G$25,5,FALSE)</f>
        <v>15</v>
      </c>
      <c r="L51" s="187">
        <f>+HLOOKUP($B51,'parametres articles'!$C$5:$G$25,21,FALSE)</f>
        <v>13</v>
      </c>
      <c r="M51" s="192">
        <f>+HLOOKUP($B51,'parametres articles'!$C$5:$G$25,7,FALSE)</f>
        <v>0.8</v>
      </c>
      <c r="N51" s="192">
        <f>+HLOOKUP($B51,'parametres articles'!$C$5:$G$25,6,FALSE)</f>
        <v>0.4</v>
      </c>
      <c r="O51" s="187">
        <f>+HLOOKUP($B51,'parametres articles'!$C$5:$G$25,8,FALSE)</f>
        <v>0</v>
      </c>
      <c r="P51" s="193">
        <f>IF(B51="E",'parametres articles'!$C$8,HLOOKUP($B51,'parametres articles'!$C$5:$F$25,4,FALSE))</f>
        <v>2.27</v>
      </c>
      <c r="Q51" s="193">
        <f t="shared" si="1"/>
        <v>2.27</v>
      </c>
      <c r="R51" s="199">
        <f t="shared" si="9"/>
        <v>13.62</v>
      </c>
      <c r="S51" s="197">
        <f t="shared" si="2"/>
        <v>24.515999999999998</v>
      </c>
      <c r="T51" s="201">
        <f t="shared" si="3"/>
        <v>58.565999999999995</v>
      </c>
      <c r="U51" s="203">
        <f t="shared" si="10"/>
        <v>72.185999999999993</v>
      </c>
      <c r="V51" s="187">
        <f t="shared" si="4"/>
        <v>24.515999999999998</v>
      </c>
      <c r="W51" s="187">
        <f t="shared" si="5"/>
        <v>34.049999999999997</v>
      </c>
      <c r="X51" s="187">
        <f t="shared" si="6"/>
        <v>13.62</v>
      </c>
      <c r="Y51" s="193">
        <f t="shared" si="7"/>
        <v>31.325999999999997</v>
      </c>
      <c r="Z51" s="194"/>
      <c r="AA51" s="195">
        <f t="shared" ca="1" si="12"/>
        <v>51</v>
      </c>
      <c r="AB51" s="195">
        <f ca="1">+AA51+'parametres articles'!$C$9-1</f>
        <v>65</v>
      </c>
      <c r="AC51" s="195">
        <f ca="1">+AA51+'parametres articles'!$C$24-1</f>
        <v>70</v>
      </c>
      <c r="AD51" s="195">
        <f ca="1">+IF(AE51&lt;='parametres articles'!$H$8,0,AA51-'parametres articles'!$H$8+1)</f>
        <v>47</v>
      </c>
      <c r="AE51" s="195">
        <v>50</v>
      </c>
      <c r="AF51" s="187" t="str">
        <f t="shared" ca="1" si="11"/>
        <v>F66</v>
      </c>
      <c r="AG51" s="181"/>
      <c r="AH51" s="178"/>
      <c r="AI51" s="178"/>
      <c r="AJ51" s="178"/>
      <c r="AK51" s="178"/>
    </row>
    <row r="52" spans="1:37" x14ac:dyDescent="0.25">
      <c r="A52" s="186">
        <v>42055</v>
      </c>
      <c r="B52" s="188" t="s">
        <v>21</v>
      </c>
      <c r="C52" s="189">
        <f ca="1">+IF(AD52=0,P52,(SUM(INDIRECT(CONCATENATE("B",AD52,":B",AA52)))/'parametres articles'!$H$8))</f>
        <v>0</v>
      </c>
      <c r="D52" s="187">
        <f>IFERROR(VLOOKUP(A52,'Mvmt stock'!A:B,2,0),0)</f>
        <v>0</v>
      </c>
      <c r="E52" s="188">
        <f>IFERROR(VLOOKUP(A52,'Mvmt stock'!D:E,2,0),0)</f>
        <v>0</v>
      </c>
      <c r="F52" s="188">
        <f t="shared" si="8"/>
        <v>59</v>
      </c>
      <c r="G52" s="208">
        <f>IFERROR(VLOOKUP(A52,'Mvmt stock'!G:H,2,0),0)</f>
        <v>0</v>
      </c>
      <c r="H52" s="190">
        <f>IFERROR(VLOOKUP(A52,Stock!B:C,2,0),H51)</f>
        <v>59</v>
      </c>
      <c r="I52" s="188">
        <f t="shared" si="0"/>
        <v>59</v>
      </c>
      <c r="J52" s="191">
        <f t="shared" si="13"/>
        <v>60.80952380952381</v>
      </c>
      <c r="K52" s="187">
        <f>+HLOOKUP($B52,'parametres articles'!$C$5:$G$25,5,FALSE)</f>
        <v>15</v>
      </c>
      <c r="L52" s="187">
        <f>+HLOOKUP($B52,'parametres articles'!$C$5:$G$25,21,FALSE)</f>
        <v>13</v>
      </c>
      <c r="M52" s="192">
        <f>+HLOOKUP($B52,'parametres articles'!$C$5:$G$25,7,FALSE)</f>
        <v>0.8</v>
      </c>
      <c r="N52" s="192">
        <f>+HLOOKUP($B52,'parametres articles'!$C$5:$G$25,6,FALSE)</f>
        <v>0.4</v>
      </c>
      <c r="O52" s="187">
        <f>+HLOOKUP($B52,'parametres articles'!$C$5:$G$25,8,FALSE)</f>
        <v>0</v>
      </c>
      <c r="P52" s="193">
        <f>IF(B52="E",'parametres articles'!$C$8,HLOOKUP($B52,'parametres articles'!$C$5:$F$25,4,FALSE))</f>
        <v>2.27</v>
      </c>
      <c r="Q52" s="193">
        <f t="shared" si="1"/>
        <v>2.27</v>
      </c>
      <c r="R52" s="199">
        <f t="shared" si="9"/>
        <v>13.62</v>
      </c>
      <c r="S52" s="197">
        <f t="shared" si="2"/>
        <v>24.515999999999998</v>
      </c>
      <c r="T52" s="201">
        <f t="shared" si="3"/>
        <v>58.565999999999995</v>
      </c>
      <c r="U52" s="203">
        <f t="shared" si="10"/>
        <v>72.185999999999993</v>
      </c>
      <c r="V52" s="187">
        <f t="shared" si="4"/>
        <v>24.515999999999998</v>
      </c>
      <c r="W52" s="187">
        <f t="shared" si="5"/>
        <v>34.049999999999997</v>
      </c>
      <c r="X52" s="187">
        <f t="shared" si="6"/>
        <v>13.62</v>
      </c>
      <c r="Y52" s="193">
        <f t="shared" si="7"/>
        <v>31.325999999999997</v>
      </c>
      <c r="Z52" s="194"/>
      <c r="AA52" s="195">
        <f t="shared" ca="1" si="12"/>
        <v>52</v>
      </c>
      <c r="AB52" s="195">
        <f ca="1">+AA52+'parametres articles'!$C$9-1</f>
        <v>66</v>
      </c>
      <c r="AC52" s="195">
        <f ca="1">+AA52+'parametres articles'!$C$24-1</f>
        <v>71</v>
      </c>
      <c r="AD52" s="195">
        <f ca="1">+IF(AE52&lt;='parametres articles'!$H$8,0,AA52-'parametres articles'!$H$8+1)</f>
        <v>48</v>
      </c>
      <c r="AE52" s="195">
        <v>51</v>
      </c>
      <c r="AF52" s="187" t="str">
        <f t="shared" ca="1" si="11"/>
        <v>F67</v>
      </c>
      <c r="AG52" s="181"/>
      <c r="AH52" s="178"/>
      <c r="AI52" s="178"/>
      <c r="AJ52" s="178"/>
      <c r="AK52" s="178"/>
    </row>
    <row r="53" spans="1:37" x14ac:dyDescent="0.25">
      <c r="A53" s="186">
        <v>42056</v>
      </c>
      <c r="B53" s="188" t="s">
        <v>21</v>
      </c>
      <c r="C53" s="189">
        <f ca="1">+IF(AD53=0,P53,(SUM(INDIRECT(CONCATENATE("B",AD53,":B",AA53)))/'parametres articles'!$H$8))</f>
        <v>0</v>
      </c>
      <c r="D53" s="187">
        <f>IFERROR(VLOOKUP(A53,'Mvmt stock'!A:B,2,0),0)</f>
        <v>0</v>
      </c>
      <c r="E53" s="188">
        <f>IFERROR(VLOOKUP(A53,'Mvmt stock'!D:E,2,0),0)</f>
        <v>0</v>
      </c>
      <c r="F53" s="188">
        <f t="shared" si="8"/>
        <v>59</v>
      </c>
      <c r="G53" s="208">
        <f>IFERROR(VLOOKUP(A53,'Mvmt stock'!G:H,2,0),0)</f>
        <v>0</v>
      </c>
      <c r="H53" s="190">
        <f>IFERROR(VLOOKUP(A53,Stock!B:C,2,0),H52)</f>
        <v>59</v>
      </c>
      <c r="I53" s="188">
        <f t="shared" si="0"/>
        <v>59</v>
      </c>
      <c r="J53" s="191">
        <f t="shared" si="13"/>
        <v>61.095238095238095</v>
      </c>
      <c r="K53" s="187">
        <f>+HLOOKUP($B53,'parametres articles'!$C$5:$G$25,5,FALSE)</f>
        <v>15</v>
      </c>
      <c r="L53" s="187">
        <f>+HLOOKUP($B53,'parametres articles'!$C$5:$G$25,21,FALSE)</f>
        <v>13</v>
      </c>
      <c r="M53" s="192">
        <f>+HLOOKUP($B53,'parametres articles'!$C$5:$G$25,7,FALSE)</f>
        <v>0.8</v>
      </c>
      <c r="N53" s="192">
        <f>+HLOOKUP($B53,'parametres articles'!$C$5:$G$25,6,FALSE)</f>
        <v>0.4</v>
      </c>
      <c r="O53" s="187">
        <f>+HLOOKUP($B53,'parametres articles'!$C$5:$G$25,8,FALSE)</f>
        <v>0</v>
      </c>
      <c r="P53" s="193">
        <f>IF(B53="E",'parametres articles'!$C$8,HLOOKUP($B53,'parametres articles'!$C$5:$F$25,4,FALSE))</f>
        <v>2.27</v>
      </c>
      <c r="Q53" s="193">
        <f t="shared" si="1"/>
        <v>2.27</v>
      </c>
      <c r="R53" s="199">
        <f t="shared" si="9"/>
        <v>13.62</v>
      </c>
      <c r="S53" s="197">
        <f t="shared" si="2"/>
        <v>24.515999999999998</v>
      </c>
      <c r="T53" s="201">
        <f t="shared" si="3"/>
        <v>58.565999999999995</v>
      </c>
      <c r="U53" s="203">
        <f t="shared" si="10"/>
        <v>72.185999999999993</v>
      </c>
      <c r="V53" s="187">
        <f t="shared" si="4"/>
        <v>24.515999999999998</v>
      </c>
      <c r="W53" s="187">
        <f t="shared" si="5"/>
        <v>34.049999999999997</v>
      </c>
      <c r="X53" s="187">
        <f t="shared" si="6"/>
        <v>13.62</v>
      </c>
      <c r="Y53" s="193">
        <f t="shared" si="7"/>
        <v>31.325999999999997</v>
      </c>
      <c r="Z53" s="194"/>
      <c r="AA53" s="195">
        <f t="shared" ca="1" si="12"/>
        <v>53</v>
      </c>
      <c r="AB53" s="195">
        <f ca="1">+AA53+'parametres articles'!$C$9-1</f>
        <v>67</v>
      </c>
      <c r="AC53" s="195">
        <f ca="1">+AA53+'parametres articles'!$C$24-1</f>
        <v>72</v>
      </c>
      <c r="AD53" s="195">
        <f ca="1">+IF(AE53&lt;='parametres articles'!$H$8,0,AA53-'parametres articles'!$H$8+1)</f>
        <v>49</v>
      </c>
      <c r="AE53" s="195">
        <v>52</v>
      </c>
      <c r="AF53" s="187" t="str">
        <f t="shared" ca="1" si="11"/>
        <v>F68</v>
      </c>
      <c r="AG53" s="181"/>
      <c r="AH53" s="178"/>
      <c r="AI53" s="178"/>
      <c r="AJ53" s="178"/>
      <c r="AK53" s="178"/>
    </row>
    <row r="54" spans="1:37" x14ac:dyDescent="0.25">
      <c r="A54" s="186">
        <v>42057</v>
      </c>
      <c r="B54" s="188" t="s">
        <v>21</v>
      </c>
      <c r="C54" s="189">
        <f ca="1">+IF(AD54=0,P54,(SUM(INDIRECT(CONCATENATE("B",AD54,":B",AA54)))/'parametres articles'!$H$8))</f>
        <v>0</v>
      </c>
      <c r="D54" s="187">
        <f>IFERROR(VLOOKUP(A54,'Mvmt stock'!A:B,2,0),0)</f>
        <v>0</v>
      </c>
      <c r="E54" s="188">
        <f>IFERROR(VLOOKUP(A54,'Mvmt stock'!D:E,2,0),0)</f>
        <v>0</v>
      </c>
      <c r="F54" s="188">
        <f t="shared" si="8"/>
        <v>59</v>
      </c>
      <c r="G54" s="208">
        <f>IFERROR(VLOOKUP(A54,'Mvmt stock'!G:H,2,0),0)</f>
        <v>0</v>
      </c>
      <c r="H54" s="190">
        <f>IFERROR(VLOOKUP(A54,Stock!B:C,2,0),H53)</f>
        <v>59</v>
      </c>
      <c r="I54" s="188">
        <f t="shared" si="0"/>
        <v>59</v>
      </c>
      <c r="J54" s="191">
        <f t="shared" ref="J54:J85" si="14">+AVERAGE(F34:F54)</f>
        <v>61.38095238095238</v>
      </c>
      <c r="K54" s="187">
        <f>+HLOOKUP($B54,'parametres articles'!$C$5:$G$25,5,FALSE)</f>
        <v>15</v>
      </c>
      <c r="L54" s="187">
        <f>+HLOOKUP($B54,'parametres articles'!$C$5:$G$25,21,FALSE)</f>
        <v>13</v>
      </c>
      <c r="M54" s="192">
        <f>+HLOOKUP($B54,'parametres articles'!$C$5:$G$25,7,FALSE)</f>
        <v>0.8</v>
      </c>
      <c r="N54" s="192">
        <f>+HLOOKUP($B54,'parametres articles'!$C$5:$G$25,6,FALSE)</f>
        <v>0.4</v>
      </c>
      <c r="O54" s="187">
        <f>+HLOOKUP($B54,'parametres articles'!$C$5:$G$25,8,FALSE)</f>
        <v>0</v>
      </c>
      <c r="P54" s="193">
        <f>IF(B54="E",'parametres articles'!$C$8,HLOOKUP($B54,'parametres articles'!$C$5:$F$25,4,FALSE))</f>
        <v>2.27</v>
      </c>
      <c r="Q54" s="193">
        <f t="shared" si="1"/>
        <v>2.27</v>
      </c>
      <c r="R54" s="199">
        <f t="shared" si="9"/>
        <v>13.62</v>
      </c>
      <c r="S54" s="197">
        <f t="shared" si="2"/>
        <v>24.515999999999998</v>
      </c>
      <c r="T54" s="201">
        <f t="shared" si="3"/>
        <v>58.565999999999995</v>
      </c>
      <c r="U54" s="203">
        <f t="shared" si="10"/>
        <v>72.185999999999993</v>
      </c>
      <c r="V54" s="187">
        <f t="shared" si="4"/>
        <v>24.515999999999998</v>
      </c>
      <c r="W54" s="187">
        <f t="shared" si="5"/>
        <v>34.049999999999997</v>
      </c>
      <c r="X54" s="187">
        <f t="shared" si="6"/>
        <v>13.62</v>
      </c>
      <c r="Y54" s="193">
        <f t="shared" si="7"/>
        <v>31.325999999999997</v>
      </c>
      <c r="Z54" s="194"/>
      <c r="AA54" s="195">
        <f t="shared" ca="1" si="12"/>
        <v>54</v>
      </c>
      <c r="AB54" s="195">
        <f ca="1">+AA54+'parametres articles'!$C$9-1</f>
        <v>68</v>
      </c>
      <c r="AC54" s="195">
        <f ca="1">+AA54+'parametres articles'!$C$24-1</f>
        <v>73</v>
      </c>
      <c r="AD54" s="195">
        <f ca="1">+IF(AE54&lt;='parametres articles'!$H$8,0,AA54-'parametres articles'!$H$8+1)</f>
        <v>50</v>
      </c>
      <c r="AE54" s="195">
        <v>53</v>
      </c>
      <c r="AF54" s="187" t="str">
        <f t="shared" ca="1" si="11"/>
        <v>F69</v>
      </c>
      <c r="AG54" s="181"/>
      <c r="AH54" s="178"/>
      <c r="AI54" s="178"/>
      <c r="AJ54" s="178"/>
      <c r="AK54" s="178"/>
    </row>
    <row r="55" spans="1:37" x14ac:dyDescent="0.25">
      <c r="A55" s="186">
        <v>42058</v>
      </c>
      <c r="B55" s="188" t="s">
        <v>21</v>
      </c>
      <c r="C55" s="189">
        <f ca="1">+IF(AD55=0,P55,(SUM(INDIRECT(CONCATENATE("B",AD55,":B",AA55)))/'parametres articles'!$H$8))</f>
        <v>0</v>
      </c>
      <c r="D55" s="187">
        <f>IFERROR(VLOOKUP(A55,'Mvmt stock'!A:B,2,0),0)</f>
        <v>15</v>
      </c>
      <c r="E55" s="188">
        <f>IFERROR(VLOOKUP(A55,'Mvmt stock'!D:E,2,0),0)</f>
        <v>0</v>
      </c>
      <c r="F55" s="188">
        <f t="shared" si="8"/>
        <v>59</v>
      </c>
      <c r="G55" s="208">
        <f>IFERROR(VLOOKUP(A55,'Mvmt stock'!G:H,2,0),0)</f>
        <v>0</v>
      </c>
      <c r="H55" s="190">
        <f>IFERROR(VLOOKUP(A55,Stock!B:C,2,0),H54)</f>
        <v>59</v>
      </c>
      <c r="I55" s="188">
        <f t="shared" si="0"/>
        <v>44</v>
      </c>
      <c r="J55" s="191">
        <f t="shared" si="14"/>
        <v>61.666666666666664</v>
      </c>
      <c r="K55" s="187">
        <f>+HLOOKUP($B55,'parametres articles'!$C$5:$G$25,5,FALSE)</f>
        <v>15</v>
      </c>
      <c r="L55" s="187">
        <f>+HLOOKUP($B55,'parametres articles'!$C$5:$G$25,21,FALSE)</f>
        <v>13</v>
      </c>
      <c r="M55" s="192">
        <f>+HLOOKUP($B55,'parametres articles'!$C$5:$G$25,7,FALSE)</f>
        <v>0.8</v>
      </c>
      <c r="N55" s="192">
        <f>+HLOOKUP($B55,'parametres articles'!$C$5:$G$25,6,FALSE)</f>
        <v>0.4</v>
      </c>
      <c r="O55" s="187">
        <f>+HLOOKUP($B55,'parametres articles'!$C$5:$G$25,8,FALSE)</f>
        <v>0</v>
      </c>
      <c r="P55" s="193">
        <f>IF(B55="E",'parametres articles'!$C$8,HLOOKUP($B55,'parametres articles'!$C$5:$F$25,4,FALSE))</f>
        <v>2.27</v>
      </c>
      <c r="Q55" s="193">
        <f t="shared" si="1"/>
        <v>2.27</v>
      </c>
      <c r="R55" s="199">
        <f t="shared" si="9"/>
        <v>13.62</v>
      </c>
      <c r="S55" s="197">
        <f t="shared" si="2"/>
        <v>24.515999999999998</v>
      </c>
      <c r="T55" s="201">
        <f t="shared" si="3"/>
        <v>58.565999999999995</v>
      </c>
      <c r="U55" s="203">
        <f t="shared" si="10"/>
        <v>72.185999999999993</v>
      </c>
      <c r="V55" s="187">
        <f t="shared" si="4"/>
        <v>24.515999999999998</v>
      </c>
      <c r="W55" s="187">
        <f t="shared" si="5"/>
        <v>34.049999999999997</v>
      </c>
      <c r="X55" s="187">
        <f t="shared" si="6"/>
        <v>13.62</v>
      </c>
      <c r="Y55" s="193">
        <f t="shared" si="7"/>
        <v>31.325999999999997</v>
      </c>
      <c r="Z55" s="194"/>
      <c r="AA55" s="195">
        <f t="shared" ca="1" si="12"/>
        <v>55</v>
      </c>
      <c r="AB55" s="195">
        <f ca="1">+AA55+'parametres articles'!$C$9-1</f>
        <v>69</v>
      </c>
      <c r="AC55" s="195">
        <f ca="1">+AA55+'parametres articles'!$C$24-1</f>
        <v>74</v>
      </c>
      <c r="AD55" s="195">
        <f ca="1">+IF(AE55&lt;='parametres articles'!$H$8,0,AA55-'parametres articles'!$H$8+1)</f>
        <v>51</v>
      </c>
      <c r="AE55" s="195">
        <v>54</v>
      </c>
      <c r="AF55" s="187" t="str">
        <f t="shared" ca="1" si="11"/>
        <v>F70</v>
      </c>
      <c r="AG55" s="181"/>
      <c r="AH55" s="178"/>
      <c r="AI55" s="178"/>
      <c r="AJ55" s="178"/>
      <c r="AK55" s="178"/>
    </row>
    <row r="56" spans="1:37" x14ac:dyDescent="0.25">
      <c r="A56" s="186">
        <v>42059</v>
      </c>
      <c r="B56" s="188" t="s">
        <v>21</v>
      </c>
      <c r="C56" s="189">
        <f ca="1">+IF(AD56=0,P56,(SUM(INDIRECT(CONCATENATE("B",AD56,":B",AA56)))/'parametres articles'!$H$8))</f>
        <v>0</v>
      </c>
      <c r="D56" s="187">
        <f>IFERROR(VLOOKUP(A56,'Mvmt stock'!A:B,2,0),0)</f>
        <v>0</v>
      </c>
      <c r="E56" s="188">
        <f>IFERROR(VLOOKUP(A56,'Mvmt stock'!D:E,2,0),0)</f>
        <v>0</v>
      </c>
      <c r="F56" s="188">
        <f t="shared" si="8"/>
        <v>44</v>
      </c>
      <c r="G56" s="208">
        <f>IFERROR(VLOOKUP(A56,'Mvmt stock'!G:H,2,0),0)</f>
        <v>0</v>
      </c>
      <c r="H56" s="190">
        <f>IFERROR(VLOOKUP(A56,Stock!B:C,2,0),H55)</f>
        <v>44</v>
      </c>
      <c r="I56" s="188">
        <f t="shared" si="0"/>
        <v>44</v>
      </c>
      <c r="J56" s="191">
        <f t="shared" si="14"/>
        <v>61.333333333333336</v>
      </c>
      <c r="K56" s="187">
        <f>+HLOOKUP($B56,'parametres articles'!$C$5:$G$25,5,FALSE)</f>
        <v>15</v>
      </c>
      <c r="L56" s="187">
        <f>+HLOOKUP($B56,'parametres articles'!$C$5:$G$25,21,FALSE)</f>
        <v>13</v>
      </c>
      <c r="M56" s="192">
        <f>+HLOOKUP($B56,'parametres articles'!$C$5:$G$25,7,FALSE)</f>
        <v>0.8</v>
      </c>
      <c r="N56" s="192">
        <f>+HLOOKUP($B56,'parametres articles'!$C$5:$G$25,6,FALSE)</f>
        <v>0.4</v>
      </c>
      <c r="O56" s="187">
        <f>+HLOOKUP($B56,'parametres articles'!$C$5:$G$25,8,FALSE)</f>
        <v>0</v>
      </c>
      <c r="P56" s="193">
        <f>IF(B56="E",'parametres articles'!$C$8,HLOOKUP($B56,'parametres articles'!$C$5:$F$25,4,FALSE))</f>
        <v>2.27</v>
      </c>
      <c r="Q56" s="193">
        <f t="shared" si="1"/>
        <v>2.27</v>
      </c>
      <c r="R56" s="199">
        <f t="shared" si="9"/>
        <v>13.62</v>
      </c>
      <c r="S56" s="197">
        <f t="shared" si="2"/>
        <v>24.515999999999998</v>
      </c>
      <c r="T56" s="201">
        <f t="shared" si="3"/>
        <v>58.565999999999995</v>
      </c>
      <c r="U56" s="203">
        <f t="shared" si="10"/>
        <v>72.185999999999993</v>
      </c>
      <c r="V56" s="187">
        <f t="shared" si="4"/>
        <v>24.515999999999998</v>
      </c>
      <c r="W56" s="187">
        <f t="shared" si="5"/>
        <v>34.049999999999997</v>
      </c>
      <c r="X56" s="187">
        <f t="shared" si="6"/>
        <v>13.62</v>
      </c>
      <c r="Y56" s="193">
        <f t="shared" si="7"/>
        <v>31.325999999999997</v>
      </c>
      <c r="Z56" s="194"/>
      <c r="AA56" s="195">
        <f t="shared" ca="1" si="12"/>
        <v>56</v>
      </c>
      <c r="AB56" s="195">
        <f ca="1">+AA56+'parametres articles'!$C$9-1</f>
        <v>70</v>
      </c>
      <c r="AC56" s="195">
        <f ca="1">+AA56+'parametres articles'!$C$24-1</f>
        <v>75</v>
      </c>
      <c r="AD56" s="195">
        <f ca="1">+IF(AE56&lt;='parametres articles'!$H$8,0,AA56-'parametres articles'!$H$8+1)</f>
        <v>52</v>
      </c>
      <c r="AE56" s="195">
        <v>55</v>
      </c>
      <c r="AF56" s="187" t="str">
        <f t="shared" ca="1" si="11"/>
        <v>F71</v>
      </c>
      <c r="AG56" s="178"/>
      <c r="AH56" s="178"/>
      <c r="AI56" s="178"/>
      <c r="AJ56" s="178"/>
      <c r="AK56" s="178"/>
    </row>
    <row r="57" spans="1:37" x14ac:dyDescent="0.25">
      <c r="A57" s="186">
        <v>42060</v>
      </c>
      <c r="B57" s="188" t="s">
        <v>21</v>
      </c>
      <c r="C57" s="189">
        <f ca="1">+IF(AD57=0,P57,(SUM(INDIRECT(CONCATENATE("B",AD57,":B",AA57)))/'parametres articles'!$H$8))</f>
        <v>0</v>
      </c>
      <c r="D57" s="187">
        <f>IFERROR(VLOOKUP(A57,'Mvmt stock'!A:B,2,0),0)</f>
        <v>0</v>
      </c>
      <c r="E57" s="188">
        <f>IFERROR(VLOOKUP(A57,'Mvmt stock'!D:E,2,0),0)</f>
        <v>0</v>
      </c>
      <c r="F57" s="188">
        <f t="shared" si="8"/>
        <v>44</v>
      </c>
      <c r="G57" s="208">
        <f>IFERROR(VLOOKUP(A57,'Mvmt stock'!G:H,2,0),0)</f>
        <v>0</v>
      </c>
      <c r="H57" s="190">
        <f>IFERROR(VLOOKUP(A57,Stock!B:C,2,0),H56)</f>
        <v>44</v>
      </c>
      <c r="I57" s="188">
        <f t="shared" si="0"/>
        <v>44</v>
      </c>
      <c r="J57" s="191">
        <f t="shared" si="14"/>
        <v>61</v>
      </c>
      <c r="K57" s="187">
        <f>+HLOOKUP($B57,'parametres articles'!$C$5:$G$25,5,FALSE)</f>
        <v>15</v>
      </c>
      <c r="L57" s="187">
        <f>+HLOOKUP($B57,'parametres articles'!$C$5:$G$25,21,FALSE)</f>
        <v>13</v>
      </c>
      <c r="M57" s="192">
        <f>+HLOOKUP($B57,'parametres articles'!$C$5:$G$25,7,FALSE)</f>
        <v>0.8</v>
      </c>
      <c r="N57" s="192">
        <f>+HLOOKUP($B57,'parametres articles'!$C$5:$G$25,6,FALSE)</f>
        <v>0.4</v>
      </c>
      <c r="O57" s="187">
        <f>+HLOOKUP($B57,'parametres articles'!$C$5:$G$25,8,FALSE)</f>
        <v>0</v>
      </c>
      <c r="P57" s="193">
        <f>IF(B57="E",'parametres articles'!$C$8,HLOOKUP($B57,'parametres articles'!$C$5:$F$25,4,FALSE))</f>
        <v>2.27</v>
      </c>
      <c r="Q57" s="193">
        <f t="shared" si="1"/>
        <v>2.27</v>
      </c>
      <c r="R57" s="199">
        <f t="shared" si="9"/>
        <v>13.62</v>
      </c>
      <c r="S57" s="197">
        <f t="shared" si="2"/>
        <v>24.515999999999998</v>
      </c>
      <c r="T57" s="201">
        <f t="shared" si="3"/>
        <v>58.565999999999995</v>
      </c>
      <c r="U57" s="203">
        <f t="shared" si="10"/>
        <v>72.185999999999993</v>
      </c>
      <c r="V57" s="187">
        <f t="shared" si="4"/>
        <v>24.515999999999998</v>
      </c>
      <c r="W57" s="187">
        <f t="shared" si="5"/>
        <v>34.049999999999997</v>
      </c>
      <c r="X57" s="187">
        <f t="shared" si="6"/>
        <v>13.62</v>
      </c>
      <c r="Y57" s="193">
        <f t="shared" si="7"/>
        <v>31.325999999999997</v>
      </c>
      <c r="Z57" s="194"/>
      <c r="AA57" s="195">
        <f t="shared" ca="1" si="12"/>
        <v>57</v>
      </c>
      <c r="AB57" s="195">
        <f ca="1">+AA57+'parametres articles'!$C$9-1</f>
        <v>71</v>
      </c>
      <c r="AC57" s="195">
        <f ca="1">+AA57+'parametres articles'!$C$24-1</f>
        <v>76</v>
      </c>
      <c r="AD57" s="195">
        <f ca="1">+IF(AE57&lt;='parametres articles'!$H$8,0,AA57-'parametres articles'!$H$8+1)</f>
        <v>53</v>
      </c>
      <c r="AE57" s="195">
        <v>56</v>
      </c>
      <c r="AF57" s="187" t="str">
        <f t="shared" ca="1" si="11"/>
        <v>F72</v>
      </c>
      <c r="AG57" s="178"/>
      <c r="AH57" s="178"/>
      <c r="AI57" s="178"/>
      <c r="AJ57" s="178"/>
      <c r="AK57" s="178"/>
    </row>
    <row r="58" spans="1:37" x14ac:dyDescent="0.25">
      <c r="A58" s="186">
        <v>42061</v>
      </c>
      <c r="B58" s="188" t="s">
        <v>21</v>
      </c>
      <c r="C58" s="189">
        <f ca="1">+IF(AD58=0,P58,(SUM(INDIRECT(CONCATENATE("B",AD58,":B",AA58)))/'parametres articles'!$H$8))</f>
        <v>0</v>
      </c>
      <c r="D58" s="187">
        <f>IFERROR(VLOOKUP(A58,'Mvmt stock'!A:B,2,0),0)</f>
        <v>0</v>
      </c>
      <c r="E58" s="188">
        <f>IFERROR(VLOOKUP(A58,'Mvmt stock'!D:E,2,0),0)</f>
        <v>0</v>
      </c>
      <c r="F58" s="188">
        <f t="shared" si="8"/>
        <v>44</v>
      </c>
      <c r="G58" s="208">
        <f>IFERROR(VLOOKUP(A58,'Mvmt stock'!G:H,2,0),0)</f>
        <v>0</v>
      </c>
      <c r="H58" s="190">
        <f>IFERROR(VLOOKUP(A58,Stock!B:C,2,0),H57)</f>
        <v>44</v>
      </c>
      <c r="I58" s="188">
        <f t="shared" si="0"/>
        <v>44</v>
      </c>
      <c r="J58" s="191">
        <f t="shared" si="14"/>
        <v>60.666666666666664</v>
      </c>
      <c r="K58" s="187">
        <f>+HLOOKUP($B58,'parametres articles'!$C$5:$G$25,5,FALSE)</f>
        <v>15</v>
      </c>
      <c r="L58" s="187">
        <f>+HLOOKUP($B58,'parametres articles'!$C$5:$G$25,21,FALSE)</f>
        <v>13</v>
      </c>
      <c r="M58" s="192">
        <f>+HLOOKUP($B58,'parametres articles'!$C$5:$G$25,7,FALSE)</f>
        <v>0.8</v>
      </c>
      <c r="N58" s="192">
        <f>+HLOOKUP($B58,'parametres articles'!$C$5:$G$25,6,FALSE)</f>
        <v>0.4</v>
      </c>
      <c r="O58" s="187">
        <f>+HLOOKUP($B58,'parametres articles'!$C$5:$G$25,8,FALSE)</f>
        <v>0</v>
      </c>
      <c r="P58" s="193">
        <f>IF(B58="E",'parametres articles'!$C$8,HLOOKUP($B58,'parametres articles'!$C$5:$F$25,4,FALSE))</f>
        <v>2.27</v>
      </c>
      <c r="Q58" s="193">
        <f t="shared" si="1"/>
        <v>2.27</v>
      </c>
      <c r="R58" s="199">
        <f t="shared" si="9"/>
        <v>13.62</v>
      </c>
      <c r="S58" s="197">
        <f t="shared" si="2"/>
        <v>24.515999999999998</v>
      </c>
      <c r="T58" s="201">
        <f t="shared" si="3"/>
        <v>58.565999999999995</v>
      </c>
      <c r="U58" s="203">
        <f t="shared" si="10"/>
        <v>72.185999999999993</v>
      </c>
      <c r="V58" s="187">
        <f t="shared" si="4"/>
        <v>24.515999999999998</v>
      </c>
      <c r="W58" s="187">
        <f t="shared" si="5"/>
        <v>34.049999999999997</v>
      </c>
      <c r="X58" s="187">
        <f t="shared" si="6"/>
        <v>13.62</v>
      </c>
      <c r="Y58" s="193">
        <f t="shared" si="7"/>
        <v>31.325999999999997</v>
      </c>
      <c r="Z58" s="194"/>
      <c r="AA58" s="195">
        <f t="shared" ca="1" si="12"/>
        <v>58</v>
      </c>
      <c r="AB58" s="195">
        <f ca="1">+AA58+'parametres articles'!$C$9-1</f>
        <v>72</v>
      </c>
      <c r="AC58" s="195">
        <f ca="1">+AA58+'parametres articles'!$C$24-1</f>
        <v>77</v>
      </c>
      <c r="AD58" s="195">
        <f ca="1">+IF(AE58&lt;='parametres articles'!$H$8,0,AA58-'parametres articles'!$H$8+1)</f>
        <v>54</v>
      </c>
      <c r="AE58" s="195">
        <v>57</v>
      </c>
      <c r="AF58" s="187" t="str">
        <f t="shared" ca="1" si="11"/>
        <v>F73</v>
      </c>
      <c r="AG58" s="178"/>
      <c r="AH58" s="178"/>
      <c r="AI58" s="178"/>
      <c r="AJ58" s="178"/>
      <c r="AK58" s="178"/>
    </row>
    <row r="59" spans="1:37" x14ac:dyDescent="0.25">
      <c r="A59" s="186">
        <v>42062</v>
      </c>
      <c r="B59" s="188" t="s">
        <v>21</v>
      </c>
      <c r="C59" s="189">
        <f ca="1">+IF(AD59=0,P59,(SUM(INDIRECT(CONCATENATE("B",AD59,":B",AA59)))/'parametres articles'!$H$8))</f>
        <v>0</v>
      </c>
      <c r="D59" s="187">
        <f>IFERROR(VLOOKUP(A59,'Mvmt stock'!A:B,2,0),0)</f>
        <v>0</v>
      </c>
      <c r="E59" s="188">
        <f>IFERROR(VLOOKUP(A59,'Mvmt stock'!D:E,2,0),0)</f>
        <v>0</v>
      </c>
      <c r="F59" s="188">
        <f t="shared" si="8"/>
        <v>44</v>
      </c>
      <c r="G59" s="208">
        <f>IFERROR(VLOOKUP(A59,'Mvmt stock'!G:H,2,0),0)</f>
        <v>0</v>
      </c>
      <c r="H59" s="190">
        <f>IFERROR(VLOOKUP(A59,Stock!B:C,2,0),H58)</f>
        <v>44</v>
      </c>
      <c r="I59" s="188">
        <f t="shared" si="0"/>
        <v>44</v>
      </c>
      <c r="J59" s="191">
        <f t="shared" si="14"/>
        <v>60.333333333333336</v>
      </c>
      <c r="K59" s="187">
        <f>+HLOOKUP($B59,'parametres articles'!$C$5:$G$25,5,FALSE)</f>
        <v>15</v>
      </c>
      <c r="L59" s="187">
        <f>+HLOOKUP($B59,'parametres articles'!$C$5:$G$25,21,FALSE)</f>
        <v>13</v>
      </c>
      <c r="M59" s="192">
        <f>+HLOOKUP($B59,'parametres articles'!$C$5:$G$25,7,FALSE)</f>
        <v>0.8</v>
      </c>
      <c r="N59" s="192">
        <f>+HLOOKUP($B59,'parametres articles'!$C$5:$G$25,6,FALSE)</f>
        <v>0.4</v>
      </c>
      <c r="O59" s="187">
        <f>+HLOOKUP($B59,'parametres articles'!$C$5:$G$25,8,FALSE)</f>
        <v>0</v>
      </c>
      <c r="P59" s="193">
        <f>IF(B59="E",'parametres articles'!$C$8,HLOOKUP($B59,'parametres articles'!$C$5:$F$25,4,FALSE))</f>
        <v>2.27</v>
      </c>
      <c r="Q59" s="193">
        <f t="shared" si="1"/>
        <v>2.27</v>
      </c>
      <c r="R59" s="199">
        <f t="shared" si="9"/>
        <v>13.62</v>
      </c>
      <c r="S59" s="197">
        <f t="shared" si="2"/>
        <v>24.515999999999998</v>
      </c>
      <c r="T59" s="201">
        <f t="shared" si="3"/>
        <v>58.565999999999995</v>
      </c>
      <c r="U59" s="203">
        <f t="shared" si="10"/>
        <v>72.185999999999993</v>
      </c>
      <c r="V59" s="187">
        <f t="shared" si="4"/>
        <v>24.515999999999998</v>
      </c>
      <c r="W59" s="187">
        <f t="shared" si="5"/>
        <v>34.049999999999997</v>
      </c>
      <c r="X59" s="187">
        <f t="shared" si="6"/>
        <v>13.62</v>
      </c>
      <c r="Y59" s="193">
        <f t="shared" si="7"/>
        <v>31.325999999999997</v>
      </c>
      <c r="Z59" s="194"/>
      <c r="AA59" s="195">
        <f t="shared" ca="1" si="12"/>
        <v>59</v>
      </c>
      <c r="AB59" s="195">
        <f ca="1">+AA59+'parametres articles'!$C$9-1</f>
        <v>73</v>
      </c>
      <c r="AC59" s="195">
        <f ca="1">+AA59+'parametres articles'!$C$24-1</f>
        <v>78</v>
      </c>
      <c r="AD59" s="195">
        <f ca="1">+IF(AE59&lt;='parametres articles'!$H$8,0,AA59-'parametres articles'!$H$8+1)</f>
        <v>55</v>
      </c>
      <c r="AE59" s="195">
        <v>58</v>
      </c>
      <c r="AF59" s="187" t="str">
        <f t="shared" ca="1" si="11"/>
        <v>F74</v>
      </c>
      <c r="AG59" s="178"/>
      <c r="AH59" s="178"/>
      <c r="AI59" s="178"/>
      <c r="AJ59" s="178"/>
      <c r="AK59" s="178"/>
    </row>
    <row r="60" spans="1:37" x14ac:dyDescent="0.25">
      <c r="A60" s="186">
        <v>42063</v>
      </c>
      <c r="B60" s="188" t="s">
        <v>21</v>
      </c>
      <c r="C60" s="189">
        <f ca="1">+IF(AD60=0,P60,(SUM(INDIRECT(CONCATENATE("B",AD60,":B",AA60)))/'parametres articles'!$H$8))</f>
        <v>0</v>
      </c>
      <c r="D60" s="187">
        <f>IFERROR(VLOOKUP(A60,'Mvmt stock'!A:B,2,0),0)</f>
        <v>0</v>
      </c>
      <c r="E60" s="188">
        <f>IFERROR(VLOOKUP(A60,'Mvmt stock'!D:E,2,0),0)</f>
        <v>0</v>
      </c>
      <c r="F60" s="188">
        <f t="shared" si="8"/>
        <v>44</v>
      </c>
      <c r="G60" s="208">
        <f>IFERROR(VLOOKUP(A60,'Mvmt stock'!G:H,2,0),0)</f>
        <v>0</v>
      </c>
      <c r="H60" s="190">
        <f>IFERROR(VLOOKUP(A60,Stock!B:C,2,0),H59)</f>
        <v>44</v>
      </c>
      <c r="I60" s="188">
        <f t="shared" si="0"/>
        <v>44</v>
      </c>
      <c r="J60" s="191">
        <f t="shared" si="14"/>
        <v>59.047619047619051</v>
      </c>
      <c r="K60" s="187">
        <f>+HLOOKUP($B60,'parametres articles'!$C$5:$G$25,5,FALSE)</f>
        <v>15</v>
      </c>
      <c r="L60" s="187">
        <f>+HLOOKUP($B60,'parametres articles'!$C$5:$G$25,21,FALSE)</f>
        <v>13</v>
      </c>
      <c r="M60" s="192">
        <f>+HLOOKUP($B60,'parametres articles'!$C$5:$G$25,7,FALSE)</f>
        <v>0.8</v>
      </c>
      <c r="N60" s="192">
        <f>+HLOOKUP($B60,'parametres articles'!$C$5:$G$25,6,FALSE)</f>
        <v>0.4</v>
      </c>
      <c r="O60" s="187">
        <f>+HLOOKUP($B60,'parametres articles'!$C$5:$G$25,8,FALSE)</f>
        <v>0</v>
      </c>
      <c r="P60" s="193">
        <f>IF(B60="E",'parametres articles'!$C$8,HLOOKUP($B60,'parametres articles'!$C$5:$F$25,4,FALSE))</f>
        <v>2.27</v>
      </c>
      <c r="Q60" s="193">
        <f t="shared" si="1"/>
        <v>2.27</v>
      </c>
      <c r="R60" s="199">
        <f t="shared" si="9"/>
        <v>13.62</v>
      </c>
      <c r="S60" s="197">
        <f t="shared" si="2"/>
        <v>24.515999999999998</v>
      </c>
      <c r="T60" s="201">
        <f t="shared" si="3"/>
        <v>58.565999999999995</v>
      </c>
      <c r="U60" s="203">
        <f t="shared" si="10"/>
        <v>72.185999999999993</v>
      </c>
      <c r="V60" s="187">
        <f t="shared" si="4"/>
        <v>24.515999999999998</v>
      </c>
      <c r="W60" s="187">
        <f t="shared" si="5"/>
        <v>34.049999999999997</v>
      </c>
      <c r="X60" s="187">
        <f t="shared" si="6"/>
        <v>13.62</v>
      </c>
      <c r="Y60" s="193">
        <f t="shared" si="7"/>
        <v>31.325999999999997</v>
      </c>
      <c r="Z60" s="194"/>
      <c r="AA60" s="195">
        <f t="shared" ca="1" si="12"/>
        <v>60</v>
      </c>
      <c r="AB60" s="195">
        <f ca="1">+AA60+'parametres articles'!$C$9-1</f>
        <v>74</v>
      </c>
      <c r="AC60" s="195">
        <f ca="1">+AA60+'parametres articles'!$C$24-1</f>
        <v>79</v>
      </c>
      <c r="AD60" s="195">
        <f ca="1">+IF(AE60&lt;='parametres articles'!$H$8,0,AA60-'parametres articles'!$H$8+1)</f>
        <v>56</v>
      </c>
      <c r="AE60" s="195">
        <v>59</v>
      </c>
      <c r="AF60" s="187" t="str">
        <f t="shared" ca="1" si="11"/>
        <v>F75</v>
      </c>
      <c r="AG60" s="178"/>
      <c r="AH60" s="178"/>
      <c r="AI60" s="178"/>
      <c r="AJ60" s="178"/>
      <c r="AK60" s="178"/>
    </row>
    <row r="61" spans="1:37" x14ac:dyDescent="0.25">
      <c r="A61" s="186">
        <v>42064</v>
      </c>
      <c r="B61" s="188" t="s">
        <v>21</v>
      </c>
      <c r="C61" s="189">
        <f ca="1">+IF(AD61=0,P61,(SUM(INDIRECT(CONCATENATE("B",AD61,":B",AA61)))/'parametres articles'!$H$8))</f>
        <v>0</v>
      </c>
      <c r="D61" s="187">
        <f>IFERROR(VLOOKUP(A61,'Mvmt stock'!A:B,2,0),0)</f>
        <v>0</v>
      </c>
      <c r="E61" s="188">
        <f>IFERROR(VLOOKUP(A61,'Mvmt stock'!D:E,2,0),0)</f>
        <v>0</v>
      </c>
      <c r="F61" s="188">
        <f t="shared" si="8"/>
        <v>44</v>
      </c>
      <c r="G61" s="208">
        <f>IFERROR(VLOOKUP(A61,'Mvmt stock'!G:H,2,0),0)</f>
        <v>0</v>
      </c>
      <c r="H61" s="190">
        <f>IFERROR(VLOOKUP(A61,Stock!B:C,2,0),H60)</f>
        <v>44</v>
      </c>
      <c r="I61" s="188">
        <f t="shared" si="0"/>
        <v>44</v>
      </c>
      <c r="J61" s="191">
        <f t="shared" si="14"/>
        <v>57.761904761904759</v>
      </c>
      <c r="K61" s="187">
        <f>+HLOOKUP($B61,'parametres articles'!$C$5:$G$25,5,FALSE)</f>
        <v>15</v>
      </c>
      <c r="L61" s="187">
        <f>+HLOOKUP($B61,'parametres articles'!$C$5:$G$25,21,FALSE)</f>
        <v>13</v>
      </c>
      <c r="M61" s="192">
        <f>+HLOOKUP($B61,'parametres articles'!$C$5:$G$25,7,FALSE)</f>
        <v>0.8</v>
      </c>
      <c r="N61" s="192">
        <f>+HLOOKUP($B61,'parametres articles'!$C$5:$G$25,6,FALSE)</f>
        <v>0.4</v>
      </c>
      <c r="O61" s="187">
        <f>+HLOOKUP($B61,'parametres articles'!$C$5:$G$25,8,FALSE)</f>
        <v>0</v>
      </c>
      <c r="P61" s="193">
        <f>IF(B61="E",'parametres articles'!$C$8,HLOOKUP($B61,'parametres articles'!$C$5:$F$25,4,FALSE))</f>
        <v>2.27</v>
      </c>
      <c r="Q61" s="193">
        <f t="shared" si="1"/>
        <v>2.27</v>
      </c>
      <c r="R61" s="199">
        <f t="shared" si="9"/>
        <v>13.62</v>
      </c>
      <c r="S61" s="197">
        <f t="shared" si="2"/>
        <v>24.515999999999998</v>
      </c>
      <c r="T61" s="201">
        <f t="shared" si="3"/>
        <v>58.565999999999995</v>
      </c>
      <c r="U61" s="203">
        <f t="shared" si="10"/>
        <v>72.185999999999993</v>
      </c>
      <c r="V61" s="187">
        <f t="shared" si="4"/>
        <v>24.515999999999998</v>
      </c>
      <c r="W61" s="187">
        <f t="shared" si="5"/>
        <v>34.049999999999997</v>
      </c>
      <c r="X61" s="187">
        <f t="shared" si="6"/>
        <v>13.62</v>
      </c>
      <c r="Y61" s="193">
        <f t="shared" si="7"/>
        <v>31.325999999999997</v>
      </c>
      <c r="Z61" s="194"/>
      <c r="AA61" s="195">
        <f t="shared" ca="1" si="12"/>
        <v>61</v>
      </c>
      <c r="AB61" s="195">
        <f ca="1">+AA61+'parametres articles'!$C$9-1</f>
        <v>75</v>
      </c>
      <c r="AC61" s="195">
        <f ca="1">+AA61+'parametres articles'!$C$24-1</f>
        <v>80</v>
      </c>
      <c r="AD61" s="195">
        <f ca="1">+IF(AE61&lt;='parametres articles'!$H$8,0,AA61-'parametres articles'!$H$8+1)</f>
        <v>57</v>
      </c>
      <c r="AE61" s="195">
        <v>60</v>
      </c>
      <c r="AF61" s="187" t="str">
        <f t="shared" ca="1" si="11"/>
        <v>F76</v>
      </c>
      <c r="AG61" s="178"/>
      <c r="AH61" s="178"/>
      <c r="AI61" s="178"/>
      <c r="AJ61" s="178"/>
      <c r="AK61" s="178"/>
    </row>
    <row r="62" spans="1:37" x14ac:dyDescent="0.25">
      <c r="A62" s="186">
        <v>42065</v>
      </c>
      <c r="B62" s="188" t="s">
        <v>21</v>
      </c>
      <c r="C62" s="189">
        <f ca="1">+IF(AD62=0,P62,(SUM(INDIRECT(CONCATENATE("B",AD62,":B",AA62)))/'parametres articles'!$H$8))</f>
        <v>0</v>
      </c>
      <c r="D62" s="187">
        <f>IFERROR(VLOOKUP(A62,'Mvmt stock'!A:B,2,0),0)</f>
        <v>0</v>
      </c>
      <c r="E62" s="188">
        <f>IFERROR(VLOOKUP(A62,'Mvmt stock'!D:E,2,0),0)</f>
        <v>0</v>
      </c>
      <c r="F62" s="188">
        <f t="shared" si="8"/>
        <v>44</v>
      </c>
      <c r="G62" s="208">
        <f>IFERROR(VLOOKUP(A62,'Mvmt stock'!G:H,2,0),0)</f>
        <v>0</v>
      </c>
      <c r="H62" s="190">
        <f>IFERROR(VLOOKUP(A62,Stock!B:C,2,0),H61)</f>
        <v>44</v>
      </c>
      <c r="I62" s="188">
        <f t="shared" si="0"/>
        <v>44</v>
      </c>
      <c r="J62" s="191">
        <f t="shared" si="14"/>
        <v>56.476190476190474</v>
      </c>
      <c r="K62" s="187">
        <f>+HLOOKUP($B62,'parametres articles'!$C$5:$G$25,5,FALSE)</f>
        <v>15</v>
      </c>
      <c r="L62" s="187">
        <f>+HLOOKUP($B62,'parametres articles'!$C$5:$G$25,21,FALSE)</f>
        <v>13</v>
      </c>
      <c r="M62" s="192">
        <f>+HLOOKUP($B62,'parametres articles'!$C$5:$G$25,7,FALSE)</f>
        <v>0.8</v>
      </c>
      <c r="N62" s="192">
        <f>+HLOOKUP($B62,'parametres articles'!$C$5:$G$25,6,FALSE)</f>
        <v>0.4</v>
      </c>
      <c r="O62" s="187">
        <f>+HLOOKUP($B62,'parametres articles'!$C$5:$G$25,8,FALSE)</f>
        <v>0</v>
      </c>
      <c r="P62" s="193">
        <f>IF(B62="E",'parametres articles'!$C$8,HLOOKUP($B62,'parametres articles'!$C$5:$F$25,4,FALSE))</f>
        <v>2.27</v>
      </c>
      <c r="Q62" s="193">
        <f t="shared" si="1"/>
        <v>2.27</v>
      </c>
      <c r="R62" s="199">
        <f t="shared" si="9"/>
        <v>13.62</v>
      </c>
      <c r="S62" s="197">
        <f t="shared" si="2"/>
        <v>24.515999999999998</v>
      </c>
      <c r="T62" s="201">
        <f t="shared" si="3"/>
        <v>58.565999999999995</v>
      </c>
      <c r="U62" s="203">
        <f t="shared" si="10"/>
        <v>72.185999999999993</v>
      </c>
      <c r="V62" s="187">
        <f t="shared" si="4"/>
        <v>24.515999999999998</v>
      </c>
      <c r="W62" s="187">
        <f t="shared" si="5"/>
        <v>34.049999999999997</v>
      </c>
      <c r="X62" s="187">
        <f t="shared" si="6"/>
        <v>13.62</v>
      </c>
      <c r="Y62" s="193">
        <f t="shared" si="7"/>
        <v>31.325999999999997</v>
      </c>
      <c r="Z62" s="194"/>
      <c r="AA62" s="195">
        <f t="shared" ca="1" si="12"/>
        <v>62</v>
      </c>
      <c r="AB62" s="195">
        <f ca="1">+AA62+'parametres articles'!$C$9-1</f>
        <v>76</v>
      </c>
      <c r="AC62" s="195">
        <f ca="1">+AA62+'parametres articles'!$C$24-1</f>
        <v>81</v>
      </c>
      <c r="AD62" s="195">
        <f ca="1">+IF(AE62&lt;='parametres articles'!$H$8,0,AA62-'parametres articles'!$H$8+1)</f>
        <v>58</v>
      </c>
      <c r="AE62" s="195">
        <v>61</v>
      </c>
      <c r="AF62" s="187" t="str">
        <f t="shared" ca="1" si="11"/>
        <v>F77</v>
      </c>
      <c r="AG62" s="181"/>
      <c r="AH62" s="178"/>
      <c r="AI62" s="178"/>
      <c r="AJ62" s="178"/>
      <c r="AK62" s="178"/>
    </row>
    <row r="63" spans="1:37" x14ac:dyDescent="0.25">
      <c r="A63" s="186">
        <v>42066</v>
      </c>
      <c r="B63" s="188" t="s">
        <v>21</v>
      </c>
      <c r="C63" s="189">
        <f ca="1">+IF(AD63=0,P63,(SUM(INDIRECT(CONCATENATE("B",AD63,":B",AA63)))/'parametres articles'!$H$8))</f>
        <v>0</v>
      </c>
      <c r="D63" s="187">
        <f>IFERROR(VLOOKUP(A63,'Mvmt stock'!A:B,2,0),0)</f>
        <v>0</v>
      </c>
      <c r="E63" s="188">
        <f>IFERROR(VLOOKUP(A63,'Mvmt stock'!D:E,2,0),0)</f>
        <v>0</v>
      </c>
      <c r="F63" s="188">
        <f t="shared" si="8"/>
        <v>44</v>
      </c>
      <c r="G63" s="208">
        <f>IFERROR(VLOOKUP(A63,'Mvmt stock'!G:H,2,0),0)</f>
        <v>0</v>
      </c>
      <c r="H63" s="190">
        <f>IFERROR(VLOOKUP(A63,Stock!B:C,2,0),H62)</f>
        <v>44</v>
      </c>
      <c r="I63" s="188">
        <f t="shared" si="0"/>
        <v>44</v>
      </c>
      <c r="J63" s="191">
        <f t="shared" si="14"/>
        <v>55.19047619047619</v>
      </c>
      <c r="K63" s="187">
        <f>+HLOOKUP($B63,'parametres articles'!$C$5:$G$25,5,FALSE)</f>
        <v>15</v>
      </c>
      <c r="L63" s="187">
        <f>+HLOOKUP($B63,'parametres articles'!$C$5:$G$25,21,FALSE)</f>
        <v>13</v>
      </c>
      <c r="M63" s="192">
        <f>+HLOOKUP($B63,'parametres articles'!$C$5:$G$25,7,FALSE)</f>
        <v>0.8</v>
      </c>
      <c r="N63" s="192">
        <f>+HLOOKUP($B63,'parametres articles'!$C$5:$G$25,6,FALSE)</f>
        <v>0.4</v>
      </c>
      <c r="O63" s="187">
        <f>+HLOOKUP($B63,'parametres articles'!$C$5:$G$25,8,FALSE)</f>
        <v>0</v>
      </c>
      <c r="P63" s="193">
        <f>IF(B63="E",'parametres articles'!$C$8,HLOOKUP($B63,'parametres articles'!$C$5:$F$25,4,FALSE))</f>
        <v>2.27</v>
      </c>
      <c r="Q63" s="193">
        <f t="shared" si="1"/>
        <v>2.27</v>
      </c>
      <c r="R63" s="199">
        <f t="shared" si="9"/>
        <v>13.62</v>
      </c>
      <c r="S63" s="197">
        <f t="shared" si="2"/>
        <v>24.515999999999998</v>
      </c>
      <c r="T63" s="201">
        <f t="shared" si="3"/>
        <v>58.565999999999995</v>
      </c>
      <c r="U63" s="203">
        <f t="shared" si="10"/>
        <v>72.185999999999993</v>
      </c>
      <c r="V63" s="187">
        <f t="shared" si="4"/>
        <v>24.515999999999998</v>
      </c>
      <c r="W63" s="187">
        <f t="shared" si="5"/>
        <v>34.049999999999997</v>
      </c>
      <c r="X63" s="187">
        <f t="shared" si="6"/>
        <v>13.62</v>
      </c>
      <c r="Y63" s="193">
        <f t="shared" si="7"/>
        <v>31.325999999999997</v>
      </c>
      <c r="Z63" s="194"/>
      <c r="AA63" s="195">
        <f t="shared" ca="1" si="12"/>
        <v>63</v>
      </c>
      <c r="AB63" s="195">
        <f ca="1">+AA63+'parametres articles'!$C$9-1</f>
        <v>77</v>
      </c>
      <c r="AC63" s="195">
        <f ca="1">+AA63+'parametres articles'!$C$24-1</f>
        <v>82</v>
      </c>
      <c r="AD63" s="195">
        <f ca="1">+IF(AE63&lt;='parametres articles'!$H$8,0,AA63-'parametres articles'!$H$8+1)</f>
        <v>59</v>
      </c>
      <c r="AE63" s="195">
        <v>62</v>
      </c>
      <c r="AF63" s="187" t="str">
        <f t="shared" ca="1" si="11"/>
        <v>F78</v>
      </c>
      <c r="AG63" s="181"/>
      <c r="AH63" s="178"/>
      <c r="AI63" s="178"/>
      <c r="AJ63" s="178"/>
      <c r="AK63" s="178"/>
    </row>
    <row r="64" spans="1:37" x14ac:dyDescent="0.25">
      <c r="A64" s="186">
        <v>42067</v>
      </c>
      <c r="B64" s="188" t="s">
        <v>21</v>
      </c>
      <c r="C64" s="189">
        <f ca="1">+IF(AD64=0,P64,(SUM(INDIRECT(CONCATENATE("B",AD64,":B",AA64)))/'parametres articles'!$H$8))</f>
        <v>0</v>
      </c>
      <c r="D64" s="187">
        <f>IFERROR(VLOOKUP(A64,'Mvmt stock'!A:B,2,0),0)</f>
        <v>0</v>
      </c>
      <c r="E64" s="188">
        <f>IFERROR(VLOOKUP(A64,'Mvmt stock'!D:E,2,0),0)</f>
        <v>0</v>
      </c>
      <c r="F64" s="188">
        <f t="shared" si="8"/>
        <v>43</v>
      </c>
      <c r="G64" s="208">
        <f>IFERROR(VLOOKUP(A64,'Mvmt stock'!G:H,2,0),0)</f>
        <v>-1</v>
      </c>
      <c r="H64" s="190">
        <f>IFERROR(VLOOKUP(A64,Stock!B:C,2,0),H63)</f>
        <v>43</v>
      </c>
      <c r="I64" s="188">
        <f t="shared" si="0"/>
        <v>43</v>
      </c>
      <c r="J64" s="191">
        <f t="shared" si="14"/>
        <v>53.857142857142854</v>
      </c>
      <c r="K64" s="187">
        <f>+HLOOKUP($B64,'parametres articles'!$C$5:$G$25,5,FALSE)</f>
        <v>15</v>
      </c>
      <c r="L64" s="187">
        <f>+HLOOKUP($B64,'parametres articles'!$C$5:$G$25,21,FALSE)</f>
        <v>13</v>
      </c>
      <c r="M64" s="192">
        <f>+HLOOKUP($B64,'parametres articles'!$C$5:$G$25,7,FALSE)</f>
        <v>0.8</v>
      </c>
      <c r="N64" s="192">
        <f>+HLOOKUP($B64,'parametres articles'!$C$5:$G$25,6,FALSE)</f>
        <v>0.4</v>
      </c>
      <c r="O64" s="187">
        <f>+HLOOKUP($B64,'parametres articles'!$C$5:$G$25,8,FALSE)</f>
        <v>0</v>
      </c>
      <c r="P64" s="193">
        <f>IF(B64="E",'parametres articles'!$C$8,HLOOKUP($B64,'parametres articles'!$C$5:$F$25,4,FALSE))</f>
        <v>2.27</v>
      </c>
      <c r="Q64" s="193">
        <f t="shared" si="1"/>
        <v>2.27</v>
      </c>
      <c r="R64" s="199">
        <f t="shared" si="9"/>
        <v>13.62</v>
      </c>
      <c r="S64" s="197">
        <f t="shared" si="2"/>
        <v>24.515999999999998</v>
      </c>
      <c r="T64" s="201">
        <f t="shared" si="3"/>
        <v>58.565999999999995</v>
      </c>
      <c r="U64" s="203">
        <f t="shared" si="10"/>
        <v>72.185999999999993</v>
      </c>
      <c r="V64" s="187">
        <f t="shared" si="4"/>
        <v>24.515999999999998</v>
      </c>
      <c r="W64" s="187">
        <f t="shared" si="5"/>
        <v>34.049999999999997</v>
      </c>
      <c r="X64" s="187">
        <f t="shared" si="6"/>
        <v>13.62</v>
      </c>
      <c r="Y64" s="193">
        <f t="shared" si="7"/>
        <v>31.325999999999997</v>
      </c>
      <c r="Z64" s="194"/>
      <c r="AA64" s="195">
        <f t="shared" ca="1" si="12"/>
        <v>64</v>
      </c>
      <c r="AB64" s="195">
        <f ca="1">+AA64+'parametres articles'!$C$9-1</f>
        <v>78</v>
      </c>
      <c r="AC64" s="195">
        <f ca="1">+AA64+'parametres articles'!$C$24-1</f>
        <v>83</v>
      </c>
      <c r="AD64" s="195">
        <f ca="1">+IF(AE64&lt;='parametres articles'!$H$8,0,AA64-'parametres articles'!$H$8+1)</f>
        <v>60</v>
      </c>
      <c r="AE64" s="195">
        <v>63</v>
      </c>
      <c r="AF64" s="187" t="str">
        <f t="shared" ca="1" si="11"/>
        <v>F79</v>
      </c>
      <c r="AG64" s="181"/>
      <c r="AH64" s="178"/>
      <c r="AI64" s="178"/>
      <c r="AJ64" s="178"/>
      <c r="AK64" s="178"/>
    </row>
    <row r="65" spans="1:37" x14ac:dyDescent="0.25">
      <c r="A65" s="186">
        <v>42068</v>
      </c>
      <c r="B65" s="188" t="s">
        <v>21</v>
      </c>
      <c r="C65" s="189">
        <f ca="1">+IF(AD65=0,P65,(SUM(INDIRECT(CONCATENATE("B",AD65,":B",AA65)))/'parametres articles'!$H$8))</f>
        <v>0</v>
      </c>
      <c r="D65" s="187">
        <f>IFERROR(VLOOKUP(A65,'Mvmt stock'!A:B,2,0),0)</f>
        <v>2</v>
      </c>
      <c r="E65" s="188">
        <f>IFERROR(VLOOKUP(A65,'Mvmt stock'!D:E,2,0),0)</f>
        <v>0</v>
      </c>
      <c r="F65" s="188">
        <f t="shared" si="8"/>
        <v>43</v>
      </c>
      <c r="G65" s="208">
        <f>IFERROR(VLOOKUP(A65,'Mvmt stock'!G:H,2,0),0)</f>
        <v>0</v>
      </c>
      <c r="H65" s="190">
        <f>IFERROR(VLOOKUP(A65,Stock!B:C,2,0),H64)</f>
        <v>43</v>
      </c>
      <c r="I65" s="188">
        <f t="shared" si="0"/>
        <v>41</v>
      </c>
      <c r="J65" s="191">
        <f t="shared" si="14"/>
        <v>52.523809523809526</v>
      </c>
      <c r="K65" s="187">
        <f>+HLOOKUP($B65,'parametres articles'!$C$5:$G$25,5,FALSE)</f>
        <v>15</v>
      </c>
      <c r="L65" s="187">
        <f>+HLOOKUP($B65,'parametres articles'!$C$5:$G$25,21,FALSE)</f>
        <v>13</v>
      </c>
      <c r="M65" s="192">
        <f>+HLOOKUP($B65,'parametres articles'!$C$5:$G$25,7,FALSE)</f>
        <v>0.8</v>
      </c>
      <c r="N65" s="192">
        <f>+HLOOKUP($B65,'parametres articles'!$C$5:$G$25,6,FALSE)</f>
        <v>0.4</v>
      </c>
      <c r="O65" s="187">
        <f>+HLOOKUP($B65,'parametres articles'!$C$5:$G$25,8,FALSE)</f>
        <v>0</v>
      </c>
      <c r="P65" s="193">
        <f>IF(B65="E",'parametres articles'!$C$8,HLOOKUP($B65,'parametres articles'!$C$5:$F$25,4,FALSE))</f>
        <v>2.27</v>
      </c>
      <c r="Q65" s="193">
        <f t="shared" si="1"/>
        <v>2.27</v>
      </c>
      <c r="R65" s="199">
        <f t="shared" si="9"/>
        <v>13.62</v>
      </c>
      <c r="S65" s="197">
        <f t="shared" si="2"/>
        <v>24.515999999999998</v>
      </c>
      <c r="T65" s="201">
        <f t="shared" si="3"/>
        <v>58.565999999999995</v>
      </c>
      <c r="U65" s="203">
        <f t="shared" si="10"/>
        <v>72.185999999999993</v>
      </c>
      <c r="V65" s="187">
        <f t="shared" si="4"/>
        <v>24.515999999999998</v>
      </c>
      <c r="W65" s="187">
        <f t="shared" si="5"/>
        <v>34.049999999999997</v>
      </c>
      <c r="X65" s="187">
        <f t="shared" si="6"/>
        <v>13.62</v>
      </c>
      <c r="Y65" s="193">
        <f t="shared" si="7"/>
        <v>31.325999999999997</v>
      </c>
      <c r="Z65" s="194"/>
      <c r="AA65" s="195">
        <f t="shared" ca="1" si="12"/>
        <v>65</v>
      </c>
      <c r="AB65" s="195">
        <f ca="1">+AA65+'parametres articles'!$C$9-1</f>
        <v>79</v>
      </c>
      <c r="AC65" s="195">
        <f ca="1">+AA65+'parametres articles'!$C$24-1</f>
        <v>84</v>
      </c>
      <c r="AD65" s="195">
        <f ca="1">+IF(AE65&lt;='parametres articles'!$H$8,0,AA65-'parametres articles'!$H$8+1)</f>
        <v>61</v>
      </c>
      <c r="AE65" s="195">
        <v>64</v>
      </c>
      <c r="AF65" s="187" t="str">
        <f t="shared" ca="1" si="11"/>
        <v>F80</v>
      </c>
      <c r="AG65" s="181"/>
      <c r="AH65" s="178"/>
      <c r="AI65" s="178"/>
      <c r="AJ65" s="178"/>
      <c r="AK65" s="178"/>
    </row>
    <row r="66" spans="1:37" x14ac:dyDescent="0.25">
      <c r="A66" s="186">
        <v>42069</v>
      </c>
      <c r="B66" s="188" t="s">
        <v>21</v>
      </c>
      <c r="C66" s="189">
        <f ca="1">+IF(AD66=0,P66,(SUM(INDIRECT(CONCATENATE("B",AD66,":B",AA66)))/'parametres articles'!$H$8))</f>
        <v>0</v>
      </c>
      <c r="D66" s="187">
        <f>IFERROR(VLOOKUP(A66,'Mvmt stock'!A:B,2,0),0)</f>
        <v>0</v>
      </c>
      <c r="E66" s="188">
        <f>IFERROR(VLOOKUP(A66,'Mvmt stock'!D:E,2,0),0)</f>
        <v>13</v>
      </c>
      <c r="F66" s="188">
        <f t="shared" si="8"/>
        <v>41</v>
      </c>
      <c r="G66" s="208">
        <f>IFERROR(VLOOKUP(A66,'Mvmt stock'!G:H,2,0),0)</f>
        <v>0</v>
      </c>
      <c r="H66" s="190">
        <f>IFERROR(VLOOKUP(A66,Stock!B:C,2,0),H65)</f>
        <v>41</v>
      </c>
      <c r="I66" s="188">
        <f t="shared" ref="I66:I129" si="15">+F66-D66+E66</f>
        <v>54</v>
      </c>
      <c r="J66" s="191">
        <f t="shared" si="14"/>
        <v>51.19047619047619</v>
      </c>
      <c r="K66" s="187">
        <f>+HLOOKUP($B66,'parametres articles'!$C$5:$G$25,5,FALSE)</f>
        <v>15</v>
      </c>
      <c r="L66" s="187">
        <f>+HLOOKUP($B66,'parametres articles'!$C$5:$G$25,21,FALSE)</f>
        <v>13</v>
      </c>
      <c r="M66" s="192">
        <f>+HLOOKUP($B66,'parametres articles'!$C$5:$G$25,7,FALSE)</f>
        <v>0.8</v>
      </c>
      <c r="N66" s="192">
        <f>+HLOOKUP($B66,'parametres articles'!$C$5:$G$25,6,FALSE)</f>
        <v>0.4</v>
      </c>
      <c r="O66" s="187">
        <f>+HLOOKUP($B66,'parametres articles'!$C$5:$G$25,8,FALSE)</f>
        <v>0</v>
      </c>
      <c r="P66" s="193">
        <f>IF(B66="E",'parametres articles'!$C$8,HLOOKUP($B66,'parametres articles'!$C$5:$F$25,4,FALSE))</f>
        <v>2.27</v>
      </c>
      <c r="Q66" s="193">
        <f t="shared" ref="Q66:Q129" si="16">+IF(B66="E",C66,P66)</f>
        <v>2.27</v>
      </c>
      <c r="R66" s="199">
        <f t="shared" si="9"/>
        <v>13.62</v>
      </c>
      <c r="S66" s="197">
        <f t="shared" ref="S66:S129" si="17">(Q66*K66*N66)*(1+M66)</f>
        <v>24.515999999999998</v>
      </c>
      <c r="T66" s="201">
        <f t="shared" ref="T66:T129" si="18">+S66+Q66*K66</f>
        <v>58.565999999999995</v>
      </c>
      <c r="U66" s="203">
        <f t="shared" si="10"/>
        <v>72.185999999999993</v>
      </c>
      <c r="V66" s="187">
        <f t="shared" ref="V66:V129" si="19">+(Q66*K66*N66)*(1+M66)</f>
        <v>24.515999999999998</v>
      </c>
      <c r="W66" s="187">
        <f t="shared" ref="W66:W129" si="20">+Q66*K66</f>
        <v>34.049999999999997</v>
      </c>
      <c r="X66" s="187">
        <f t="shared" ref="X66:X129" si="21">+IF(O66&gt;K66*Q66*N66,O66,K66*Q66*N66)</f>
        <v>13.62</v>
      </c>
      <c r="Y66" s="193">
        <f t="shared" ref="Y66:Y129" si="22">+V66+X66/2</f>
        <v>31.325999999999997</v>
      </c>
      <c r="Z66" s="194"/>
      <c r="AA66" s="195">
        <f t="shared" ca="1" si="12"/>
        <v>66</v>
      </c>
      <c r="AB66" s="195">
        <f ca="1">+AA66+'parametres articles'!$C$9-1</f>
        <v>80</v>
      </c>
      <c r="AC66" s="195">
        <f ca="1">+AA66+'parametres articles'!$C$24-1</f>
        <v>85</v>
      </c>
      <c r="AD66" s="195">
        <f ca="1">+IF(AE66&lt;='parametres articles'!$H$8,0,AA66-'parametres articles'!$H$8+1)</f>
        <v>62</v>
      </c>
      <c r="AE66" s="195">
        <v>65</v>
      </c>
      <c r="AF66" s="187" t="str">
        <f t="shared" ca="1" si="11"/>
        <v>F81</v>
      </c>
      <c r="AH66" s="178"/>
      <c r="AI66" s="178"/>
      <c r="AJ66" s="178"/>
      <c r="AK66" s="178"/>
    </row>
    <row r="67" spans="1:37" x14ac:dyDescent="0.25">
      <c r="A67" s="186">
        <v>42070</v>
      </c>
      <c r="B67" s="188" t="s">
        <v>21</v>
      </c>
      <c r="C67" s="189">
        <f ca="1">+IF(AD67=0,P67,(SUM(INDIRECT(CONCATENATE("B",AD67,":B",AA67)))/'parametres articles'!$H$8))</f>
        <v>0</v>
      </c>
      <c r="D67" s="187">
        <f>IFERROR(VLOOKUP(A67,'Mvmt stock'!A:B,2,0),0)</f>
        <v>0</v>
      </c>
      <c r="E67" s="188">
        <f>IFERROR(VLOOKUP(A67,'Mvmt stock'!D:E,2,0),0)</f>
        <v>0</v>
      </c>
      <c r="F67" s="188">
        <f t="shared" ref="F67:F130" si="23">+I66+G67</f>
        <v>54</v>
      </c>
      <c r="G67" s="208">
        <f>IFERROR(VLOOKUP(A67,'Mvmt stock'!G:H,2,0),0)</f>
        <v>0</v>
      </c>
      <c r="H67" s="190">
        <f>IFERROR(VLOOKUP(A67,Stock!B:C,2,0),H66)</f>
        <v>41</v>
      </c>
      <c r="I67" s="188">
        <f t="shared" si="15"/>
        <v>54</v>
      </c>
      <c r="J67" s="191">
        <f t="shared" si="14"/>
        <v>50.857142857142854</v>
      </c>
      <c r="K67" s="187">
        <f>+HLOOKUP($B67,'parametres articles'!$C$5:$G$25,5,FALSE)</f>
        <v>15</v>
      </c>
      <c r="L67" s="187">
        <f>+HLOOKUP($B67,'parametres articles'!$C$5:$G$25,21,FALSE)</f>
        <v>13</v>
      </c>
      <c r="M67" s="192">
        <f>+HLOOKUP($B67,'parametres articles'!$C$5:$G$25,7,FALSE)</f>
        <v>0.8</v>
      </c>
      <c r="N67" s="192">
        <f>+HLOOKUP($B67,'parametres articles'!$C$5:$G$25,6,FALSE)</f>
        <v>0.4</v>
      </c>
      <c r="O67" s="187">
        <f>+HLOOKUP($B67,'parametres articles'!$C$5:$G$25,8,FALSE)</f>
        <v>0</v>
      </c>
      <c r="P67" s="193">
        <f>IF(B67="E",'parametres articles'!$C$8,HLOOKUP($B67,'parametres articles'!$C$5:$F$25,4,FALSE))</f>
        <v>2.27</v>
      </c>
      <c r="Q67" s="193">
        <f t="shared" si="16"/>
        <v>2.27</v>
      </c>
      <c r="R67" s="199">
        <f t="shared" ref="R67:R130" si="24">+Q67*K67*N67</f>
        <v>13.62</v>
      </c>
      <c r="S67" s="197">
        <f t="shared" si="17"/>
        <v>24.515999999999998</v>
      </c>
      <c r="T67" s="201">
        <f t="shared" si="18"/>
        <v>58.565999999999995</v>
      </c>
      <c r="U67" s="203">
        <f t="shared" ref="U67:U130" si="25">+T67+X67</f>
        <v>72.185999999999993</v>
      </c>
      <c r="V67" s="187">
        <f t="shared" si="19"/>
        <v>24.515999999999998</v>
      </c>
      <c r="W67" s="187">
        <f t="shared" si="20"/>
        <v>34.049999999999997</v>
      </c>
      <c r="X67" s="187">
        <f t="shared" si="21"/>
        <v>13.62</v>
      </c>
      <c r="Y67" s="193">
        <f t="shared" si="22"/>
        <v>31.325999999999997</v>
      </c>
      <c r="Z67" s="194"/>
      <c r="AA67" s="195">
        <f t="shared" ca="1" si="12"/>
        <v>67</v>
      </c>
      <c r="AB67" s="195">
        <f ca="1">+AA67+'parametres articles'!$C$9-1</f>
        <v>81</v>
      </c>
      <c r="AC67" s="195">
        <f ca="1">+AA67+'parametres articles'!$C$24-1</f>
        <v>86</v>
      </c>
      <c r="AD67" s="195">
        <f ca="1">+IF(AE67&lt;='parametres articles'!$H$8,0,AA67-'parametres articles'!$H$8+1)</f>
        <v>63</v>
      </c>
      <c r="AE67" s="195">
        <v>66</v>
      </c>
      <c r="AF67" s="187" t="str">
        <f t="shared" ref="AF67:AF130" ca="1" si="26">CONCATENATE("F",AA67+K66)</f>
        <v>F82</v>
      </c>
      <c r="AH67" s="178"/>
      <c r="AI67" s="178"/>
      <c r="AJ67" s="178"/>
      <c r="AK67" s="178"/>
    </row>
    <row r="68" spans="1:37" x14ac:dyDescent="0.25">
      <c r="A68" s="186">
        <v>42071</v>
      </c>
      <c r="B68" s="188" t="s">
        <v>21</v>
      </c>
      <c r="C68" s="189">
        <f ca="1">+IF(AD68=0,P68,(SUM(INDIRECT(CONCATENATE("B",AD68,":B",AA68)))/'parametres articles'!$H$8))</f>
        <v>0</v>
      </c>
      <c r="D68" s="187">
        <f>IFERROR(VLOOKUP(A68,'Mvmt stock'!A:B,2,0),0)</f>
        <v>0</v>
      </c>
      <c r="E68" s="188">
        <f>IFERROR(VLOOKUP(A68,'Mvmt stock'!D:E,2,0),0)</f>
        <v>0</v>
      </c>
      <c r="F68" s="188">
        <f t="shared" si="23"/>
        <v>54</v>
      </c>
      <c r="G68" s="208">
        <f>IFERROR(VLOOKUP(A68,'Mvmt stock'!G:H,2,0),0)</f>
        <v>0</v>
      </c>
      <c r="H68" s="190">
        <f>IFERROR(VLOOKUP(A68,Stock!B:C,2,0),H67)</f>
        <v>41</v>
      </c>
      <c r="I68" s="188">
        <f t="shared" si="15"/>
        <v>54</v>
      </c>
      <c r="J68" s="191">
        <f t="shared" si="14"/>
        <v>50.523809523809526</v>
      </c>
      <c r="K68" s="187">
        <f>+HLOOKUP($B68,'parametres articles'!$C$5:$G$25,5,FALSE)</f>
        <v>15</v>
      </c>
      <c r="L68" s="187">
        <f>+HLOOKUP($B68,'parametres articles'!$C$5:$G$25,21,FALSE)</f>
        <v>13</v>
      </c>
      <c r="M68" s="192">
        <f>+HLOOKUP($B68,'parametres articles'!$C$5:$G$25,7,FALSE)</f>
        <v>0.8</v>
      </c>
      <c r="N68" s="192">
        <f>+HLOOKUP($B68,'parametres articles'!$C$5:$G$25,6,FALSE)</f>
        <v>0.4</v>
      </c>
      <c r="O68" s="187">
        <f>+HLOOKUP($B68,'parametres articles'!$C$5:$G$25,8,FALSE)</f>
        <v>0</v>
      </c>
      <c r="P68" s="193">
        <f>IF(B68="E",'parametres articles'!$C$8,HLOOKUP($B68,'parametres articles'!$C$5:$F$25,4,FALSE))</f>
        <v>2.27</v>
      </c>
      <c r="Q68" s="193">
        <f t="shared" si="16"/>
        <v>2.27</v>
      </c>
      <c r="R68" s="199">
        <f t="shared" si="24"/>
        <v>13.62</v>
      </c>
      <c r="S68" s="197">
        <f t="shared" si="17"/>
        <v>24.515999999999998</v>
      </c>
      <c r="T68" s="201">
        <f t="shared" si="18"/>
        <v>58.565999999999995</v>
      </c>
      <c r="U68" s="203">
        <f t="shared" si="25"/>
        <v>72.185999999999993</v>
      </c>
      <c r="V68" s="187">
        <f t="shared" si="19"/>
        <v>24.515999999999998</v>
      </c>
      <c r="W68" s="187">
        <f t="shared" si="20"/>
        <v>34.049999999999997</v>
      </c>
      <c r="X68" s="187">
        <f t="shared" si="21"/>
        <v>13.62</v>
      </c>
      <c r="Y68" s="193">
        <f t="shared" si="22"/>
        <v>31.325999999999997</v>
      </c>
      <c r="Z68" s="194"/>
      <c r="AA68" s="195">
        <f t="shared" ref="AA68:AA131" ca="1" si="27">+AA67+1</f>
        <v>68</v>
      </c>
      <c r="AB68" s="195">
        <f ca="1">+AA68+'parametres articles'!$C$9-1</f>
        <v>82</v>
      </c>
      <c r="AC68" s="195">
        <f ca="1">+AA68+'parametres articles'!$C$24-1</f>
        <v>87</v>
      </c>
      <c r="AD68" s="195">
        <f ca="1">+IF(AE68&lt;='parametres articles'!$H$8,0,AA68-'parametres articles'!$H$8+1)</f>
        <v>64</v>
      </c>
      <c r="AE68" s="195">
        <v>67</v>
      </c>
      <c r="AF68" s="187" t="str">
        <f t="shared" ca="1" si="26"/>
        <v>F83</v>
      </c>
      <c r="AH68" s="178"/>
      <c r="AI68" s="178"/>
      <c r="AJ68" s="178"/>
      <c r="AK68" s="178"/>
    </row>
    <row r="69" spans="1:37" x14ac:dyDescent="0.25">
      <c r="A69" s="186">
        <v>42072</v>
      </c>
      <c r="B69" s="188" t="s">
        <v>21</v>
      </c>
      <c r="C69" s="189">
        <f ca="1">+IF(AD69=0,P69,(SUM(INDIRECT(CONCATENATE("B",AD69,":B",AA69)))/'parametres articles'!$H$8))</f>
        <v>0</v>
      </c>
      <c r="D69" s="187">
        <f>IFERROR(VLOOKUP(A69,'Mvmt stock'!A:B,2,0),0)</f>
        <v>1</v>
      </c>
      <c r="E69" s="188">
        <f>IFERROR(VLOOKUP(A69,'Mvmt stock'!D:E,2,0),0)</f>
        <v>0</v>
      </c>
      <c r="F69" s="188">
        <f t="shared" si="23"/>
        <v>54</v>
      </c>
      <c r="G69" s="208">
        <f>IFERROR(VLOOKUP(A69,'Mvmt stock'!G:H,2,0),0)</f>
        <v>0</v>
      </c>
      <c r="H69" s="190">
        <f>IFERROR(VLOOKUP(A69,Stock!B:C,2,0),H68)</f>
        <v>54</v>
      </c>
      <c r="I69" s="188">
        <f t="shared" si="15"/>
        <v>53</v>
      </c>
      <c r="J69" s="191">
        <f t="shared" si="14"/>
        <v>50.19047619047619</v>
      </c>
      <c r="K69" s="187">
        <f>+HLOOKUP($B69,'parametres articles'!$C$5:$G$25,5,FALSE)</f>
        <v>15</v>
      </c>
      <c r="L69" s="187">
        <f>+HLOOKUP($B69,'parametres articles'!$C$5:$G$25,21,FALSE)</f>
        <v>13</v>
      </c>
      <c r="M69" s="192">
        <f>+HLOOKUP($B69,'parametres articles'!$C$5:$G$25,7,FALSE)</f>
        <v>0.8</v>
      </c>
      <c r="N69" s="192">
        <f>+HLOOKUP($B69,'parametres articles'!$C$5:$G$25,6,FALSE)</f>
        <v>0.4</v>
      </c>
      <c r="O69" s="187">
        <f>+HLOOKUP($B69,'parametres articles'!$C$5:$G$25,8,FALSE)</f>
        <v>0</v>
      </c>
      <c r="P69" s="193">
        <f>IF(B69="E",'parametres articles'!$C$8,HLOOKUP($B69,'parametres articles'!$C$5:$F$25,4,FALSE))</f>
        <v>2.27</v>
      </c>
      <c r="Q69" s="193">
        <f t="shared" si="16"/>
        <v>2.27</v>
      </c>
      <c r="R69" s="199">
        <f t="shared" si="24"/>
        <v>13.62</v>
      </c>
      <c r="S69" s="197">
        <f t="shared" si="17"/>
        <v>24.515999999999998</v>
      </c>
      <c r="T69" s="201">
        <f t="shared" si="18"/>
        <v>58.565999999999995</v>
      </c>
      <c r="U69" s="203">
        <f t="shared" si="25"/>
        <v>72.185999999999993</v>
      </c>
      <c r="V69" s="187">
        <f t="shared" si="19"/>
        <v>24.515999999999998</v>
      </c>
      <c r="W69" s="187">
        <f t="shared" si="20"/>
        <v>34.049999999999997</v>
      </c>
      <c r="X69" s="187">
        <f t="shared" si="21"/>
        <v>13.62</v>
      </c>
      <c r="Y69" s="193">
        <f t="shared" si="22"/>
        <v>31.325999999999997</v>
      </c>
      <c r="Z69" s="194"/>
      <c r="AA69" s="195">
        <f t="shared" ca="1" si="27"/>
        <v>69</v>
      </c>
      <c r="AB69" s="195">
        <f ca="1">+AA69+'parametres articles'!$C$9-1</f>
        <v>83</v>
      </c>
      <c r="AC69" s="195">
        <f ca="1">+AA69+'parametres articles'!$C$24-1</f>
        <v>88</v>
      </c>
      <c r="AD69" s="195">
        <f ca="1">+IF(AE69&lt;='parametres articles'!$H$8,0,AA69-'parametres articles'!$H$8+1)</f>
        <v>65</v>
      </c>
      <c r="AE69" s="195">
        <v>68</v>
      </c>
      <c r="AF69" s="187" t="str">
        <f t="shared" ca="1" si="26"/>
        <v>F84</v>
      </c>
      <c r="AH69" s="178"/>
      <c r="AI69" s="178"/>
      <c r="AJ69" s="178"/>
      <c r="AK69" s="178"/>
    </row>
    <row r="70" spans="1:37" x14ac:dyDescent="0.25">
      <c r="A70" s="186">
        <v>42073</v>
      </c>
      <c r="B70" s="188" t="s">
        <v>21</v>
      </c>
      <c r="C70" s="189">
        <f ca="1">+IF(AD70=0,P70,(SUM(INDIRECT(CONCATENATE("B",AD70,":B",AA70)))/'parametres articles'!$H$8))</f>
        <v>0</v>
      </c>
      <c r="D70" s="187">
        <f>IFERROR(VLOOKUP(A70,'Mvmt stock'!A:B,2,0),0)</f>
        <v>6</v>
      </c>
      <c r="E70" s="188">
        <f>IFERROR(VLOOKUP(A70,'Mvmt stock'!D:E,2,0),0)</f>
        <v>0</v>
      </c>
      <c r="F70" s="188">
        <f t="shared" si="23"/>
        <v>53</v>
      </c>
      <c r="G70" s="208">
        <f>IFERROR(VLOOKUP(A70,'Mvmt stock'!G:H,2,0),0)</f>
        <v>0</v>
      </c>
      <c r="H70" s="190">
        <f>IFERROR(VLOOKUP(A70,Stock!B:C,2,0),H69)</f>
        <v>53</v>
      </c>
      <c r="I70" s="188">
        <f t="shared" si="15"/>
        <v>47</v>
      </c>
      <c r="J70" s="191">
        <f t="shared" si="14"/>
        <v>49.904761904761905</v>
      </c>
      <c r="K70" s="187">
        <f>+HLOOKUP($B70,'parametres articles'!$C$5:$G$25,5,FALSE)</f>
        <v>15</v>
      </c>
      <c r="L70" s="187">
        <f>+HLOOKUP($B70,'parametres articles'!$C$5:$G$25,21,FALSE)</f>
        <v>13</v>
      </c>
      <c r="M70" s="192">
        <f>+HLOOKUP($B70,'parametres articles'!$C$5:$G$25,7,FALSE)</f>
        <v>0.8</v>
      </c>
      <c r="N70" s="192">
        <f>+HLOOKUP($B70,'parametres articles'!$C$5:$G$25,6,FALSE)</f>
        <v>0.4</v>
      </c>
      <c r="O70" s="187">
        <f>+HLOOKUP($B70,'parametres articles'!$C$5:$G$25,8,FALSE)</f>
        <v>0</v>
      </c>
      <c r="P70" s="193">
        <f>IF(B70="E",'parametres articles'!$C$8,HLOOKUP($B70,'parametres articles'!$C$5:$F$25,4,FALSE))</f>
        <v>2.27</v>
      </c>
      <c r="Q70" s="193">
        <f t="shared" si="16"/>
        <v>2.27</v>
      </c>
      <c r="R70" s="199">
        <f t="shared" si="24"/>
        <v>13.62</v>
      </c>
      <c r="S70" s="197">
        <f t="shared" si="17"/>
        <v>24.515999999999998</v>
      </c>
      <c r="T70" s="201">
        <f t="shared" si="18"/>
        <v>58.565999999999995</v>
      </c>
      <c r="U70" s="203">
        <f t="shared" si="25"/>
        <v>72.185999999999993</v>
      </c>
      <c r="V70" s="187">
        <f t="shared" si="19"/>
        <v>24.515999999999998</v>
      </c>
      <c r="W70" s="187">
        <f t="shared" si="20"/>
        <v>34.049999999999997</v>
      </c>
      <c r="X70" s="187">
        <f t="shared" si="21"/>
        <v>13.62</v>
      </c>
      <c r="Y70" s="193">
        <f t="shared" si="22"/>
        <v>31.325999999999997</v>
      </c>
      <c r="Z70" s="194"/>
      <c r="AA70" s="195">
        <f t="shared" ca="1" si="27"/>
        <v>70</v>
      </c>
      <c r="AB70" s="195">
        <f ca="1">+AA70+'parametres articles'!$C$9-1</f>
        <v>84</v>
      </c>
      <c r="AC70" s="195">
        <f ca="1">+AA70+'parametres articles'!$C$24-1</f>
        <v>89</v>
      </c>
      <c r="AD70" s="195">
        <f ca="1">+IF(AE70&lt;='parametres articles'!$H$8,0,AA70-'parametres articles'!$H$8+1)</f>
        <v>66</v>
      </c>
      <c r="AE70" s="195">
        <v>69</v>
      </c>
      <c r="AF70" s="187" t="str">
        <f t="shared" ca="1" si="26"/>
        <v>F85</v>
      </c>
      <c r="AH70" s="178"/>
      <c r="AI70" s="178"/>
      <c r="AJ70" s="178"/>
      <c r="AK70" s="178"/>
    </row>
    <row r="71" spans="1:37" x14ac:dyDescent="0.25">
      <c r="A71" s="186">
        <v>42074</v>
      </c>
      <c r="B71" s="188" t="s">
        <v>21</v>
      </c>
      <c r="C71" s="189">
        <f ca="1">+IF(AD71=0,P71,(SUM(INDIRECT(CONCATENATE("B",AD71,":B",AA71)))/'parametres articles'!$H$8))</f>
        <v>0</v>
      </c>
      <c r="D71" s="187">
        <f>IFERROR(VLOOKUP(A71,'Mvmt stock'!A:B,2,0),0)</f>
        <v>0</v>
      </c>
      <c r="E71" s="188">
        <f>IFERROR(VLOOKUP(A71,'Mvmt stock'!D:E,2,0),0)</f>
        <v>0</v>
      </c>
      <c r="F71" s="188">
        <f t="shared" si="23"/>
        <v>47</v>
      </c>
      <c r="G71" s="208">
        <f>IFERROR(VLOOKUP(A71,'Mvmt stock'!G:H,2,0),0)</f>
        <v>0</v>
      </c>
      <c r="H71" s="190">
        <f>IFERROR(VLOOKUP(A71,Stock!B:C,2,0),H70)</f>
        <v>47</v>
      </c>
      <c r="I71" s="188">
        <f t="shared" si="15"/>
        <v>47</v>
      </c>
      <c r="J71" s="191">
        <f t="shared" si="14"/>
        <v>49.333333333333336</v>
      </c>
      <c r="K71" s="187">
        <f>+HLOOKUP($B71,'parametres articles'!$C$5:$G$25,5,FALSE)</f>
        <v>15</v>
      </c>
      <c r="L71" s="187">
        <f>+HLOOKUP($B71,'parametres articles'!$C$5:$G$25,21,FALSE)</f>
        <v>13</v>
      </c>
      <c r="M71" s="192">
        <f>+HLOOKUP($B71,'parametres articles'!$C$5:$G$25,7,FALSE)</f>
        <v>0.8</v>
      </c>
      <c r="N71" s="192">
        <f>+HLOOKUP($B71,'parametres articles'!$C$5:$G$25,6,FALSE)</f>
        <v>0.4</v>
      </c>
      <c r="O71" s="187">
        <f>+HLOOKUP($B71,'parametres articles'!$C$5:$G$25,8,FALSE)</f>
        <v>0</v>
      </c>
      <c r="P71" s="193">
        <f>IF(B71="E",'parametres articles'!$C$8,HLOOKUP($B71,'parametres articles'!$C$5:$F$25,4,FALSE))</f>
        <v>2.27</v>
      </c>
      <c r="Q71" s="193">
        <f t="shared" si="16"/>
        <v>2.27</v>
      </c>
      <c r="R71" s="199">
        <f t="shared" si="24"/>
        <v>13.62</v>
      </c>
      <c r="S71" s="197">
        <f t="shared" si="17"/>
        <v>24.515999999999998</v>
      </c>
      <c r="T71" s="201">
        <f t="shared" si="18"/>
        <v>58.565999999999995</v>
      </c>
      <c r="U71" s="203">
        <f t="shared" si="25"/>
        <v>72.185999999999993</v>
      </c>
      <c r="V71" s="187">
        <f t="shared" si="19"/>
        <v>24.515999999999998</v>
      </c>
      <c r="W71" s="187">
        <f t="shared" si="20"/>
        <v>34.049999999999997</v>
      </c>
      <c r="X71" s="187">
        <f t="shared" si="21"/>
        <v>13.62</v>
      </c>
      <c r="Y71" s="193">
        <f t="shared" si="22"/>
        <v>31.325999999999997</v>
      </c>
      <c r="Z71" s="194"/>
      <c r="AA71" s="195">
        <f t="shared" ca="1" si="27"/>
        <v>71</v>
      </c>
      <c r="AB71" s="195">
        <f ca="1">+AA71+'parametres articles'!$C$9-1</f>
        <v>85</v>
      </c>
      <c r="AC71" s="195">
        <f ca="1">+AA71+'parametres articles'!$C$24-1</f>
        <v>90</v>
      </c>
      <c r="AD71" s="195">
        <f ca="1">+IF(AE71&lt;='parametres articles'!$H$8,0,AA71-'parametres articles'!$H$8+1)</f>
        <v>67</v>
      </c>
      <c r="AE71" s="195">
        <v>70</v>
      </c>
      <c r="AF71" s="187" t="str">
        <f t="shared" ca="1" si="26"/>
        <v>F86</v>
      </c>
      <c r="AH71" s="178"/>
      <c r="AI71" s="178"/>
      <c r="AJ71" s="178"/>
      <c r="AK71" s="178"/>
    </row>
    <row r="72" spans="1:37" x14ac:dyDescent="0.25">
      <c r="A72" s="186">
        <v>42075</v>
      </c>
      <c r="B72" s="188" t="s">
        <v>21</v>
      </c>
      <c r="C72" s="189">
        <f ca="1">+IF(AD72=0,P72,(SUM(INDIRECT(CONCATENATE("B",AD72,":B",AA72)))/'parametres articles'!$H$8))</f>
        <v>0</v>
      </c>
      <c r="D72" s="187">
        <f>IFERROR(VLOOKUP(A72,'Mvmt stock'!A:B,2,0),0)</f>
        <v>0</v>
      </c>
      <c r="E72" s="188">
        <f>IFERROR(VLOOKUP(A72,'Mvmt stock'!D:E,2,0),0)</f>
        <v>0</v>
      </c>
      <c r="F72" s="188">
        <f t="shared" si="23"/>
        <v>47</v>
      </c>
      <c r="G72" s="208">
        <f>IFERROR(VLOOKUP(A72,'Mvmt stock'!G:H,2,0),0)</f>
        <v>0</v>
      </c>
      <c r="H72" s="190">
        <f>IFERROR(VLOOKUP(A72,Stock!B:C,2,0),H71)</f>
        <v>47</v>
      </c>
      <c r="I72" s="188">
        <f t="shared" si="15"/>
        <v>47</v>
      </c>
      <c r="J72" s="191">
        <f t="shared" si="14"/>
        <v>48.761904761904759</v>
      </c>
      <c r="K72" s="187">
        <f>+HLOOKUP($B72,'parametres articles'!$C$5:$G$25,5,FALSE)</f>
        <v>15</v>
      </c>
      <c r="L72" s="187">
        <f>+HLOOKUP($B72,'parametres articles'!$C$5:$G$25,21,FALSE)</f>
        <v>13</v>
      </c>
      <c r="M72" s="192">
        <f>+HLOOKUP($B72,'parametres articles'!$C$5:$G$25,7,FALSE)</f>
        <v>0.8</v>
      </c>
      <c r="N72" s="192">
        <f>+HLOOKUP($B72,'parametres articles'!$C$5:$G$25,6,FALSE)</f>
        <v>0.4</v>
      </c>
      <c r="O72" s="187">
        <f>+HLOOKUP($B72,'parametres articles'!$C$5:$G$25,8,FALSE)</f>
        <v>0</v>
      </c>
      <c r="P72" s="193">
        <f>IF(B72="E",'parametres articles'!$C$8,HLOOKUP($B72,'parametres articles'!$C$5:$F$25,4,FALSE))</f>
        <v>2.27</v>
      </c>
      <c r="Q72" s="193">
        <f t="shared" si="16"/>
        <v>2.27</v>
      </c>
      <c r="R72" s="199">
        <f t="shared" si="24"/>
        <v>13.62</v>
      </c>
      <c r="S72" s="197">
        <f t="shared" si="17"/>
        <v>24.515999999999998</v>
      </c>
      <c r="T72" s="201">
        <f t="shared" si="18"/>
        <v>58.565999999999995</v>
      </c>
      <c r="U72" s="203">
        <f t="shared" si="25"/>
        <v>72.185999999999993</v>
      </c>
      <c r="V72" s="187">
        <f t="shared" si="19"/>
        <v>24.515999999999998</v>
      </c>
      <c r="W72" s="187">
        <f t="shared" si="20"/>
        <v>34.049999999999997</v>
      </c>
      <c r="X72" s="187">
        <f t="shared" si="21"/>
        <v>13.62</v>
      </c>
      <c r="Y72" s="193">
        <f t="shared" si="22"/>
        <v>31.325999999999997</v>
      </c>
      <c r="Z72" s="194"/>
      <c r="AA72" s="195">
        <f t="shared" ca="1" si="27"/>
        <v>72</v>
      </c>
      <c r="AB72" s="195">
        <f ca="1">+AA72+'parametres articles'!$C$9-1</f>
        <v>86</v>
      </c>
      <c r="AC72" s="195">
        <f ca="1">+AA72+'parametres articles'!$C$24-1</f>
        <v>91</v>
      </c>
      <c r="AD72" s="195">
        <f ca="1">+IF(AE72&lt;='parametres articles'!$H$8,0,AA72-'parametres articles'!$H$8+1)</f>
        <v>68</v>
      </c>
      <c r="AE72" s="195">
        <v>71</v>
      </c>
      <c r="AF72" s="187" t="str">
        <f t="shared" ca="1" si="26"/>
        <v>F87</v>
      </c>
      <c r="AH72" s="178"/>
      <c r="AI72" s="178"/>
      <c r="AJ72" s="178"/>
      <c r="AK72" s="178"/>
    </row>
    <row r="73" spans="1:37" x14ac:dyDescent="0.25">
      <c r="A73" s="186">
        <v>42076</v>
      </c>
      <c r="B73" s="188" t="s">
        <v>21</v>
      </c>
      <c r="C73" s="189">
        <f ca="1">+IF(AD73=0,P73,(SUM(INDIRECT(CONCATENATE("B",AD73,":B",AA73)))/'parametres articles'!$H$8))</f>
        <v>0</v>
      </c>
      <c r="D73" s="187">
        <f>IFERROR(VLOOKUP(A73,'Mvmt stock'!A:B,2,0),0)</f>
        <v>0</v>
      </c>
      <c r="E73" s="188">
        <f>IFERROR(VLOOKUP(A73,'Mvmt stock'!D:E,2,0),0)</f>
        <v>4</v>
      </c>
      <c r="F73" s="188">
        <f t="shared" si="23"/>
        <v>47</v>
      </c>
      <c r="G73" s="208">
        <f>IFERROR(VLOOKUP(A73,'Mvmt stock'!G:H,2,0),0)</f>
        <v>0</v>
      </c>
      <c r="H73" s="190">
        <f>IFERROR(VLOOKUP(A73,Stock!B:C,2,0),H72)</f>
        <v>47</v>
      </c>
      <c r="I73" s="188">
        <f t="shared" si="15"/>
        <v>51</v>
      </c>
      <c r="J73" s="191">
        <f t="shared" si="14"/>
        <v>48.19047619047619</v>
      </c>
      <c r="K73" s="187">
        <f>+HLOOKUP($B73,'parametres articles'!$C$5:$G$25,5,FALSE)</f>
        <v>15</v>
      </c>
      <c r="L73" s="187">
        <f>+HLOOKUP($B73,'parametres articles'!$C$5:$G$25,21,FALSE)</f>
        <v>13</v>
      </c>
      <c r="M73" s="192">
        <f>+HLOOKUP($B73,'parametres articles'!$C$5:$G$25,7,FALSE)</f>
        <v>0.8</v>
      </c>
      <c r="N73" s="192">
        <f>+HLOOKUP($B73,'parametres articles'!$C$5:$G$25,6,FALSE)</f>
        <v>0.4</v>
      </c>
      <c r="O73" s="187">
        <f>+HLOOKUP($B73,'parametres articles'!$C$5:$G$25,8,FALSE)</f>
        <v>0</v>
      </c>
      <c r="P73" s="193">
        <f>IF(B73="E",'parametres articles'!$C$8,HLOOKUP($B73,'parametres articles'!$C$5:$F$25,4,FALSE))</f>
        <v>2.27</v>
      </c>
      <c r="Q73" s="193">
        <f t="shared" si="16"/>
        <v>2.27</v>
      </c>
      <c r="R73" s="199">
        <f t="shared" si="24"/>
        <v>13.62</v>
      </c>
      <c r="S73" s="197">
        <f t="shared" si="17"/>
        <v>24.515999999999998</v>
      </c>
      <c r="T73" s="201">
        <f t="shared" si="18"/>
        <v>58.565999999999995</v>
      </c>
      <c r="U73" s="203">
        <f t="shared" si="25"/>
        <v>72.185999999999993</v>
      </c>
      <c r="V73" s="187">
        <f t="shared" si="19"/>
        <v>24.515999999999998</v>
      </c>
      <c r="W73" s="187">
        <f t="shared" si="20"/>
        <v>34.049999999999997</v>
      </c>
      <c r="X73" s="187">
        <f t="shared" si="21"/>
        <v>13.62</v>
      </c>
      <c r="Y73" s="193">
        <f t="shared" si="22"/>
        <v>31.325999999999997</v>
      </c>
      <c r="Z73" s="194"/>
      <c r="AA73" s="195">
        <f t="shared" ca="1" si="27"/>
        <v>73</v>
      </c>
      <c r="AB73" s="195">
        <f ca="1">+AA73+'parametres articles'!$C$9-1</f>
        <v>87</v>
      </c>
      <c r="AC73" s="195">
        <f ca="1">+AA73+'parametres articles'!$C$24-1</f>
        <v>92</v>
      </c>
      <c r="AD73" s="195">
        <f ca="1">+IF(AE73&lt;='parametres articles'!$H$8,0,AA73-'parametres articles'!$H$8+1)</f>
        <v>69</v>
      </c>
      <c r="AE73" s="195">
        <v>72</v>
      </c>
      <c r="AF73" s="187" t="str">
        <f t="shared" ca="1" si="26"/>
        <v>F88</v>
      </c>
      <c r="AH73" s="178"/>
      <c r="AI73" s="178"/>
      <c r="AJ73" s="178"/>
      <c r="AK73" s="178"/>
    </row>
    <row r="74" spans="1:37" x14ac:dyDescent="0.25">
      <c r="A74" s="186">
        <v>42077</v>
      </c>
      <c r="B74" s="188" t="s">
        <v>21</v>
      </c>
      <c r="C74" s="189">
        <f ca="1">+IF(AD74=0,P74,(SUM(INDIRECT(CONCATENATE("B",AD74,":B",AA74)))/'parametres articles'!$H$8))</f>
        <v>0</v>
      </c>
      <c r="D74" s="187">
        <f>IFERROR(VLOOKUP(A74,'Mvmt stock'!A:B,2,0),0)</f>
        <v>0</v>
      </c>
      <c r="E74" s="188">
        <f>IFERROR(VLOOKUP(A74,'Mvmt stock'!D:E,2,0),0)</f>
        <v>0</v>
      </c>
      <c r="F74" s="188">
        <f t="shared" si="23"/>
        <v>51</v>
      </c>
      <c r="G74" s="208">
        <f>IFERROR(VLOOKUP(A74,'Mvmt stock'!G:H,2,0),0)</f>
        <v>0</v>
      </c>
      <c r="H74" s="190">
        <f>IFERROR(VLOOKUP(A74,Stock!B:C,2,0),H73)</f>
        <v>47</v>
      </c>
      <c r="I74" s="188">
        <f t="shared" si="15"/>
        <v>51</v>
      </c>
      <c r="J74" s="191">
        <f t="shared" si="14"/>
        <v>47.80952380952381</v>
      </c>
      <c r="K74" s="187">
        <f>+HLOOKUP($B74,'parametres articles'!$C$5:$G$25,5,FALSE)</f>
        <v>15</v>
      </c>
      <c r="L74" s="187">
        <f>+HLOOKUP($B74,'parametres articles'!$C$5:$G$25,21,FALSE)</f>
        <v>13</v>
      </c>
      <c r="M74" s="192">
        <f>+HLOOKUP($B74,'parametres articles'!$C$5:$G$25,7,FALSE)</f>
        <v>0.8</v>
      </c>
      <c r="N74" s="192">
        <f>+HLOOKUP($B74,'parametres articles'!$C$5:$G$25,6,FALSE)</f>
        <v>0.4</v>
      </c>
      <c r="O74" s="187">
        <f>+HLOOKUP($B74,'parametres articles'!$C$5:$G$25,8,FALSE)</f>
        <v>0</v>
      </c>
      <c r="P74" s="193">
        <f>IF(B74="E",'parametres articles'!$C$8,HLOOKUP($B74,'parametres articles'!$C$5:$F$25,4,FALSE))</f>
        <v>2.27</v>
      </c>
      <c r="Q74" s="193">
        <f t="shared" si="16"/>
        <v>2.27</v>
      </c>
      <c r="R74" s="199">
        <f t="shared" si="24"/>
        <v>13.62</v>
      </c>
      <c r="S74" s="197">
        <f t="shared" si="17"/>
        <v>24.515999999999998</v>
      </c>
      <c r="T74" s="201">
        <f t="shared" si="18"/>
        <v>58.565999999999995</v>
      </c>
      <c r="U74" s="203">
        <f t="shared" si="25"/>
        <v>72.185999999999993</v>
      </c>
      <c r="V74" s="187">
        <f t="shared" si="19"/>
        <v>24.515999999999998</v>
      </c>
      <c r="W74" s="187">
        <f t="shared" si="20"/>
        <v>34.049999999999997</v>
      </c>
      <c r="X74" s="187">
        <f t="shared" si="21"/>
        <v>13.62</v>
      </c>
      <c r="Y74" s="193">
        <f t="shared" si="22"/>
        <v>31.325999999999997</v>
      </c>
      <c r="Z74" s="194"/>
      <c r="AA74" s="195">
        <f t="shared" ca="1" si="27"/>
        <v>74</v>
      </c>
      <c r="AB74" s="195">
        <f ca="1">+AA74+'parametres articles'!$C$9-1</f>
        <v>88</v>
      </c>
      <c r="AC74" s="195">
        <f ca="1">+AA74+'parametres articles'!$C$24-1</f>
        <v>93</v>
      </c>
      <c r="AD74" s="195">
        <f ca="1">+IF(AE74&lt;='parametres articles'!$H$8,0,AA74-'parametres articles'!$H$8+1)</f>
        <v>70</v>
      </c>
      <c r="AE74" s="195">
        <v>73</v>
      </c>
      <c r="AF74" s="187" t="str">
        <f t="shared" ca="1" si="26"/>
        <v>F89</v>
      </c>
      <c r="AH74" s="178"/>
      <c r="AI74" s="178"/>
      <c r="AJ74" s="178"/>
      <c r="AK74" s="178"/>
    </row>
    <row r="75" spans="1:37" x14ac:dyDescent="0.25">
      <c r="A75" s="186">
        <v>42078</v>
      </c>
      <c r="B75" s="188" t="s">
        <v>21</v>
      </c>
      <c r="C75" s="189">
        <f ca="1">+IF(AD75=0,P75,(SUM(INDIRECT(CONCATENATE("B",AD75,":B",AA75)))/'parametres articles'!$H$8))</f>
        <v>0</v>
      </c>
      <c r="D75" s="187">
        <f>IFERROR(VLOOKUP(A75,'Mvmt stock'!A:B,2,0),0)</f>
        <v>0</v>
      </c>
      <c r="E75" s="188">
        <f>IFERROR(VLOOKUP(A75,'Mvmt stock'!D:E,2,0),0)</f>
        <v>0</v>
      </c>
      <c r="F75" s="188">
        <f t="shared" si="23"/>
        <v>51</v>
      </c>
      <c r="G75" s="208">
        <f>IFERROR(VLOOKUP(A75,'Mvmt stock'!G:H,2,0),0)</f>
        <v>0</v>
      </c>
      <c r="H75" s="190">
        <f>IFERROR(VLOOKUP(A75,Stock!B:C,2,0),H74)</f>
        <v>47</v>
      </c>
      <c r="I75" s="188">
        <f t="shared" si="15"/>
        <v>51</v>
      </c>
      <c r="J75" s="191">
        <f t="shared" si="14"/>
        <v>47.428571428571431</v>
      </c>
      <c r="K75" s="187">
        <f>+HLOOKUP($B75,'parametres articles'!$C$5:$G$25,5,FALSE)</f>
        <v>15</v>
      </c>
      <c r="L75" s="187">
        <f>+HLOOKUP($B75,'parametres articles'!$C$5:$G$25,21,FALSE)</f>
        <v>13</v>
      </c>
      <c r="M75" s="192">
        <f>+HLOOKUP($B75,'parametres articles'!$C$5:$G$25,7,FALSE)</f>
        <v>0.8</v>
      </c>
      <c r="N75" s="192">
        <f>+HLOOKUP($B75,'parametres articles'!$C$5:$G$25,6,FALSE)</f>
        <v>0.4</v>
      </c>
      <c r="O75" s="187">
        <f>+HLOOKUP($B75,'parametres articles'!$C$5:$G$25,8,FALSE)</f>
        <v>0</v>
      </c>
      <c r="P75" s="193">
        <f>IF(B75="E",'parametres articles'!$C$8,HLOOKUP($B75,'parametres articles'!$C$5:$F$25,4,FALSE))</f>
        <v>2.27</v>
      </c>
      <c r="Q75" s="193">
        <f t="shared" si="16"/>
        <v>2.27</v>
      </c>
      <c r="R75" s="199">
        <f t="shared" si="24"/>
        <v>13.62</v>
      </c>
      <c r="S75" s="197">
        <f t="shared" si="17"/>
        <v>24.515999999999998</v>
      </c>
      <c r="T75" s="201">
        <f t="shared" si="18"/>
        <v>58.565999999999995</v>
      </c>
      <c r="U75" s="203">
        <f t="shared" si="25"/>
        <v>72.185999999999993</v>
      </c>
      <c r="V75" s="187">
        <f t="shared" si="19"/>
        <v>24.515999999999998</v>
      </c>
      <c r="W75" s="187">
        <f t="shared" si="20"/>
        <v>34.049999999999997</v>
      </c>
      <c r="X75" s="187">
        <f t="shared" si="21"/>
        <v>13.62</v>
      </c>
      <c r="Y75" s="193">
        <f t="shared" si="22"/>
        <v>31.325999999999997</v>
      </c>
      <c r="Z75" s="194"/>
      <c r="AA75" s="195">
        <f t="shared" ca="1" si="27"/>
        <v>75</v>
      </c>
      <c r="AB75" s="195">
        <f ca="1">+AA75+'parametres articles'!$C$9-1</f>
        <v>89</v>
      </c>
      <c r="AC75" s="195">
        <f ca="1">+AA75+'parametres articles'!$C$24-1</f>
        <v>94</v>
      </c>
      <c r="AD75" s="195">
        <f ca="1">+IF(AE75&lt;='parametres articles'!$H$8,0,AA75-'parametres articles'!$H$8+1)</f>
        <v>71</v>
      </c>
      <c r="AE75" s="195">
        <v>74</v>
      </c>
      <c r="AF75" s="187" t="str">
        <f t="shared" ca="1" si="26"/>
        <v>F90</v>
      </c>
      <c r="AH75" s="178"/>
      <c r="AI75" s="178"/>
      <c r="AJ75" s="178"/>
      <c r="AK75" s="178"/>
    </row>
    <row r="76" spans="1:37" x14ac:dyDescent="0.25">
      <c r="A76" s="186">
        <v>42079</v>
      </c>
      <c r="B76" s="188" t="s">
        <v>21</v>
      </c>
      <c r="C76" s="189">
        <f ca="1">+IF(AD76=0,P76,(SUM(INDIRECT(CONCATENATE("B",AD76,":B",AA76)))/'parametres articles'!$H$8))</f>
        <v>0</v>
      </c>
      <c r="D76" s="187">
        <f>IFERROR(VLOOKUP(A76,'Mvmt stock'!A:B,2,0),0)</f>
        <v>0</v>
      </c>
      <c r="E76" s="188">
        <f>IFERROR(VLOOKUP(A76,'Mvmt stock'!D:E,2,0),0)</f>
        <v>0</v>
      </c>
      <c r="F76" s="188">
        <f t="shared" si="23"/>
        <v>51</v>
      </c>
      <c r="G76" s="208">
        <f>IFERROR(VLOOKUP(A76,'Mvmt stock'!G:H,2,0),0)</f>
        <v>0</v>
      </c>
      <c r="H76" s="190">
        <f>IFERROR(VLOOKUP(A76,Stock!B:C,2,0),H75)</f>
        <v>51</v>
      </c>
      <c r="I76" s="188">
        <f t="shared" si="15"/>
        <v>51</v>
      </c>
      <c r="J76" s="191">
        <f t="shared" si="14"/>
        <v>47.047619047619051</v>
      </c>
      <c r="K76" s="187">
        <f>+HLOOKUP($B76,'parametres articles'!$C$5:$G$25,5,FALSE)</f>
        <v>15</v>
      </c>
      <c r="L76" s="187">
        <f>+HLOOKUP($B76,'parametres articles'!$C$5:$G$25,21,FALSE)</f>
        <v>13</v>
      </c>
      <c r="M76" s="192">
        <f>+HLOOKUP($B76,'parametres articles'!$C$5:$G$25,7,FALSE)</f>
        <v>0.8</v>
      </c>
      <c r="N76" s="192">
        <f>+HLOOKUP($B76,'parametres articles'!$C$5:$G$25,6,FALSE)</f>
        <v>0.4</v>
      </c>
      <c r="O76" s="187">
        <f>+HLOOKUP($B76,'parametres articles'!$C$5:$G$25,8,FALSE)</f>
        <v>0</v>
      </c>
      <c r="P76" s="193">
        <f>IF(B76="E",'parametres articles'!$C$8,HLOOKUP($B76,'parametres articles'!$C$5:$F$25,4,FALSE))</f>
        <v>2.27</v>
      </c>
      <c r="Q76" s="193">
        <f t="shared" si="16"/>
        <v>2.27</v>
      </c>
      <c r="R76" s="199">
        <f t="shared" si="24"/>
        <v>13.62</v>
      </c>
      <c r="S76" s="197">
        <f t="shared" si="17"/>
        <v>24.515999999999998</v>
      </c>
      <c r="T76" s="201">
        <f t="shared" si="18"/>
        <v>58.565999999999995</v>
      </c>
      <c r="U76" s="203">
        <f t="shared" si="25"/>
        <v>72.185999999999993</v>
      </c>
      <c r="V76" s="187">
        <f t="shared" si="19"/>
        <v>24.515999999999998</v>
      </c>
      <c r="W76" s="187">
        <f t="shared" si="20"/>
        <v>34.049999999999997</v>
      </c>
      <c r="X76" s="187">
        <f t="shared" si="21"/>
        <v>13.62</v>
      </c>
      <c r="Y76" s="193">
        <f t="shared" si="22"/>
        <v>31.325999999999997</v>
      </c>
      <c r="Z76" s="194"/>
      <c r="AA76" s="195">
        <f t="shared" ca="1" si="27"/>
        <v>76</v>
      </c>
      <c r="AB76" s="195">
        <f ca="1">+AA76+'parametres articles'!$C$9-1</f>
        <v>90</v>
      </c>
      <c r="AC76" s="195">
        <f ca="1">+AA76+'parametres articles'!$C$24-1</f>
        <v>95</v>
      </c>
      <c r="AD76" s="195">
        <f ca="1">+IF(AE76&lt;='parametres articles'!$H$8,0,AA76-'parametres articles'!$H$8+1)</f>
        <v>72</v>
      </c>
      <c r="AE76" s="195">
        <v>75</v>
      </c>
      <c r="AF76" s="187" t="str">
        <f t="shared" ca="1" si="26"/>
        <v>F91</v>
      </c>
      <c r="AH76" s="178"/>
      <c r="AI76" s="178"/>
      <c r="AJ76" s="178"/>
      <c r="AK76" s="178"/>
    </row>
    <row r="77" spans="1:37" x14ac:dyDescent="0.25">
      <c r="A77" s="186">
        <v>42080</v>
      </c>
      <c r="B77" s="188" t="s">
        <v>21</v>
      </c>
      <c r="C77" s="189">
        <f ca="1">+IF(AD77=0,P77,(SUM(INDIRECT(CONCATENATE("B",AD77,":B",AA77)))/'parametres articles'!$H$8))</f>
        <v>0</v>
      </c>
      <c r="D77" s="187">
        <f>IFERROR(VLOOKUP(A77,'Mvmt stock'!A:B,2,0),0)</f>
        <v>10</v>
      </c>
      <c r="E77" s="188">
        <f>IFERROR(VLOOKUP(A77,'Mvmt stock'!D:E,2,0),0)</f>
        <v>0</v>
      </c>
      <c r="F77" s="188">
        <f t="shared" si="23"/>
        <v>51</v>
      </c>
      <c r="G77" s="208">
        <f>IFERROR(VLOOKUP(A77,'Mvmt stock'!G:H,2,0),0)</f>
        <v>0</v>
      </c>
      <c r="H77" s="190">
        <f>IFERROR(VLOOKUP(A77,Stock!B:C,2,0),H76)</f>
        <v>51</v>
      </c>
      <c r="I77" s="188">
        <f t="shared" si="15"/>
        <v>41</v>
      </c>
      <c r="J77" s="191">
        <f t="shared" si="14"/>
        <v>47.38095238095238</v>
      </c>
      <c r="K77" s="187">
        <f>+HLOOKUP($B77,'parametres articles'!$C$5:$G$25,5,FALSE)</f>
        <v>15</v>
      </c>
      <c r="L77" s="187">
        <f>+HLOOKUP($B77,'parametres articles'!$C$5:$G$25,21,FALSE)</f>
        <v>13</v>
      </c>
      <c r="M77" s="192">
        <f>+HLOOKUP($B77,'parametres articles'!$C$5:$G$25,7,FALSE)</f>
        <v>0.8</v>
      </c>
      <c r="N77" s="192">
        <f>+HLOOKUP($B77,'parametres articles'!$C$5:$G$25,6,FALSE)</f>
        <v>0.4</v>
      </c>
      <c r="O77" s="187">
        <f>+HLOOKUP($B77,'parametres articles'!$C$5:$G$25,8,FALSE)</f>
        <v>0</v>
      </c>
      <c r="P77" s="193">
        <f>IF(B77="E",'parametres articles'!$C$8,HLOOKUP($B77,'parametres articles'!$C$5:$F$25,4,FALSE))</f>
        <v>2.27</v>
      </c>
      <c r="Q77" s="193">
        <f t="shared" si="16"/>
        <v>2.27</v>
      </c>
      <c r="R77" s="199">
        <f t="shared" si="24"/>
        <v>13.62</v>
      </c>
      <c r="S77" s="197">
        <f t="shared" si="17"/>
        <v>24.515999999999998</v>
      </c>
      <c r="T77" s="201">
        <f t="shared" si="18"/>
        <v>58.565999999999995</v>
      </c>
      <c r="U77" s="203">
        <f t="shared" si="25"/>
        <v>72.185999999999993</v>
      </c>
      <c r="V77" s="187">
        <f t="shared" si="19"/>
        <v>24.515999999999998</v>
      </c>
      <c r="W77" s="187">
        <f t="shared" si="20"/>
        <v>34.049999999999997</v>
      </c>
      <c r="X77" s="187">
        <f t="shared" si="21"/>
        <v>13.62</v>
      </c>
      <c r="Y77" s="193">
        <f t="shared" si="22"/>
        <v>31.325999999999997</v>
      </c>
      <c r="Z77" s="194"/>
      <c r="AA77" s="195">
        <f t="shared" ca="1" si="27"/>
        <v>77</v>
      </c>
      <c r="AB77" s="195">
        <f ca="1">+AA77+'parametres articles'!$C$9-1</f>
        <v>91</v>
      </c>
      <c r="AC77" s="195">
        <f ca="1">+AA77+'parametres articles'!$C$24-1</f>
        <v>96</v>
      </c>
      <c r="AD77" s="195">
        <f ca="1">+IF(AE77&lt;='parametres articles'!$H$8,0,AA77-'parametres articles'!$H$8+1)</f>
        <v>73</v>
      </c>
      <c r="AE77" s="195">
        <v>76</v>
      </c>
      <c r="AF77" s="187" t="str">
        <f t="shared" ca="1" si="26"/>
        <v>F92</v>
      </c>
      <c r="AH77" s="178"/>
      <c r="AI77" s="178"/>
      <c r="AJ77" s="178"/>
      <c r="AK77" s="178"/>
    </row>
    <row r="78" spans="1:37" x14ac:dyDescent="0.25">
      <c r="A78" s="186">
        <v>42081</v>
      </c>
      <c r="B78" s="188" t="s">
        <v>21</v>
      </c>
      <c r="C78" s="189">
        <f ca="1">+IF(AD78=0,P78,(SUM(INDIRECT(CONCATENATE("B",AD78,":B",AA78)))/'parametres articles'!$H$8))</f>
        <v>0</v>
      </c>
      <c r="D78" s="187">
        <f>IFERROR(VLOOKUP(A78,'Mvmt stock'!A:B,2,0),0)</f>
        <v>0</v>
      </c>
      <c r="E78" s="188">
        <f>IFERROR(VLOOKUP(A78,'Mvmt stock'!D:E,2,0),0)</f>
        <v>0</v>
      </c>
      <c r="F78" s="188">
        <f t="shared" si="23"/>
        <v>41</v>
      </c>
      <c r="G78" s="208">
        <f>IFERROR(VLOOKUP(A78,'Mvmt stock'!G:H,2,0),0)</f>
        <v>0</v>
      </c>
      <c r="H78" s="190">
        <f>IFERROR(VLOOKUP(A78,Stock!B:C,2,0),H77)</f>
        <v>41</v>
      </c>
      <c r="I78" s="188">
        <f t="shared" si="15"/>
        <v>41</v>
      </c>
      <c r="J78" s="191">
        <f t="shared" si="14"/>
        <v>47.238095238095241</v>
      </c>
      <c r="K78" s="187">
        <f>+HLOOKUP($B78,'parametres articles'!$C$5:$G$25,5,FALSE)</f>
        <v>15</v>
      </c>
      <c r="L78" s="187">
        <f>+HLOOKUP($B78,'parametres articles'!$C$5:$G$25,21,FALSE)</f>
        <v>13</v>
      </c>
      <c r="M78" s="192">
        <f>+HLOOKUP($B78,'parametres articles'!$C$5:$G$25,7,FALSE)</f>
        <v>0.8</v>
      </c>
      <c r="N78" s="192">
        <f>+HLOOKUP($B78,'parametres articles'!$C$5:$G$25,6,FALSE)</f>
        <v>0.4</v>
      </c>
      <c r="O78" s="187">
        <f>+HLOOKUP($B78,'parametres articles'!$C$5:$G$25,8,FALSE)</f>
        <v>0</v>
      </c>
      <c r="P78" s="193">
        <f>IF(B78="E",'parametres articles'!$C$8,HLOOKUP($B78,'parametres articles'!$C$5:$F$25,4,FALSE))</f>
        <v>2.27</v>
      </c>
      <c r="Q78" s="193">
        <f t="shared" si="16"/>
        <v>2.27</v>
      </c>
      <c r="R78" s="199">
        <f t="shared" si="24"/>
        <v>13.62</v>
      </c>
      <c r="S78" s="197">
        <f t="shared" si="17"/>
        <v>24.515999999999998</v>
      </c>
      <c r="T78" s="201">
        <f t="shared" si="18"/>
        <v>58.565999999999995</v>
      </c>
      <c r="U78" s="203">
        <f t="shared" si="25"/>
        <v>72.185999999999993</v>
      </c>
      <c r="V78" s="187">
        <f t="shared" si="19"/>
        <v>24.515999999999998</v>
      </c>
      <c r="W78" s="187">
        <f t="shared" si="20"/>
        <v>34.049999999999997</v>
      </c>
      <c r="X78" s="187">
        <f t="shared" si="21"/>
        <v>13.62</v>
      </c>
      <c r="Y78" s="193">
        <f t="shared" si="22"/>
        <v>31.325999999999997</v>
      </c>
      <c r="Z78" s="194"/>
      <c r="AA78" s="195">
        <f t="shared" ca="1" si="27"/>
        <v>78</v>
      </c>
      <c r="AB78" s="195">
        <f ca="1">+AA78+'parametres articles'!$C$9-1</f>
        <v>92</v>
      </c>
      <c r="AC78" s="195">
        <f ca="1">+AA78+'parametres articles'!$C$24-1</f>
        <v>97</v>
      </c>
      <c r="AD78" s="195">
        <f ca="1">+IF(AE78&lt;='parametres articles'!$H$8,0,AA78-'parametres articles'!$H$8+1)</f>
        <v>74</v>
      </c>
      <c r="AE78" s="195">
        <v>77</v>
      </c>
      <c r="AF78" s="187" t="str">
        <f t="shared" ca="1" si="26"/>
        <v>F93</v>
      </c>
      <c r="AH78" s="178"/>
      <c r="AI78" s="178"/>
      <c r="AJ78" s="178"/>
      <c r="AK78" s="178"/>
    </row>
    <row r="79" spans="1:37" x14ac:dyDescent="0.25">
      <c r="A79" s="186">
        <v>42082</v>
      </c>
      <c r="B79" s="188" t="s">
        <v>21</v>
      </c>
      <c r="C79" s="189">
        <f ca="1">+IF(AD79=0,P79,(SUM(INDIRECT(CONCATENATE("B",AD79,":B",AA79)))/'parametres articles'!$H$8))</f>
        <v>0</v>
      </c>
      <c r="D79" s="187">
        <f>IFERROR(VLOOKUP(A79,'Mvmt stock'!A:B,2,0),0)</f>
        <v>0</v>
      </c>
      <c r="E79" s="188">
        <f>IFERROR(VLOOKUP(A79,'Mvmt stock'!D:E,2,0),0)</f>
        <v>0</v>
      </c>
      <c r="F79" s="188">
        <f t="shared" si="23"/>
        <v>38</v>
      </c>
      <c r="G79" s="208">
        <f>IFERROR(VLOOKUP(A79,'Mvmt stock'!G:H,2,0),0)</f>
        <v>-3</v>
      </c>
      <c r="H79" s="190">
        <f>IFERROR(VLOOKUP(A79,Stock!B:C,2,0),H78)</f>
        <v>38</v>
      </c>
      <c r="I79" s="188">
        <f t="shared" si="15"/>
        <v>38</v>
      </c>
      <c r="J79" s="191">
        <f t="shared" si="14"/>
        <v>46.952380952380949</v>
      </c>
      <c r="K79" s="187">
        <f>+HLOOKUP($B79,'parametres articles'!$C$5:$G$25,5,FALSE)</f>
        <v>15</v>
      </c>
      <c r="L79" s="187">
        <f>+HLOOKUP($B79,'parametres articles'!$C$5:$G$25,21,FALSE)</f>
        <v>13</v>
      </c>
      <c r="M79" s="192">
        <f>+HLOOKUP($B79,'parametres articles'!$C$5:$G$25,7,FALSE)</f>
        <v>0.8</v>
      </c>
      <c r="N79" s="192">
        <f>+HLOOKUP($B79,'parametres articles'!$C$5:$G$25,6,FALSE)</f>
        <v>0.4</v>
      </c>
      <c r="O79" s="187">
        <f>+HLOOKUP($B79,'parametres articles'!$C$5:$G$25,8,FALSE)</f>
        <v>0</v>
      </c>
      <c r="P79" s="193">
        <f>IF(B79="E",'parametres articles'!$C$8,HLOOKUP($B79,'parametres articles'!$C$5:$F$25,4,FALSE))</f>
        <v>2.27</v>
      </c>
      <c r="Q79" s="193">
        <f t="shared" si="16"/>
        <v>2.27</v>
      </c>
      <c r="R79" s="199">
        <f t="shared" si="24"/>
        <v>13.62</v>
      </c>
      <c r="S79" s="197">
        <f t="shared" si="17"/>
        <v>24.515999999999998</v>
      </c>
      <c r="T79" s="201">
        <f t="shared" si="18"/>
        <v>58.565999999999995</v>
      </c>
      <c r="U79" s="203">
        <f t="shared" si="25"/>
        <v>72.185999999999993</v>
      </c>
      <c r="V79" s="187">
        <f t="shared" si="19"/>
        <v>24.515999999999998</v>
      </c>
      <c r="W79" s="187">
        <f t="shared" si="20"/>
        <v>34.049999999999997</v>
      </c>
      <c r="X79" s="187">
        <f t="shared" si="21"/>
        <v>13.62</v>
      </c>
      <c r="Y79" s="193">
        <f t="shared" si="22"/>
        <v>31.325999999999997</v>
      </c>
      <c r="Z79" s="194"/>
      <c r="AA79" s="195">
        <f t="shared" ca="1" si="27"/>
        <v>79</v>
      </c>
      <c r="AB79" s="195">
        <f ca="1">+AA79+'parametres articles'!$C$9-1</f>
        <v>93</v>
      </c>
      <c r="AC79" s="195">
        <f ca="1">+AA79+'parametres articles'!$C$24-1</f>
        <v>98</v>
      </c>
      <c r="AD79" s="195">
        <f ca="1">+IF(AE79&lt;='parametres articles'!$H$8,0,AA79-'parametres articles'!$H$8+1)</f>
        <v>75</v>
      </c>
      <c r="AE79" s="195">
        <v>78</v>
      </c>
      <c r="AF79" s="187" t="str">
        <f t="shared" ca="1" si="26"/>
        <v>F94</v>
      </c>
      <c r="AH79" s="178"/>
      <c r="AI79" s="178"/>
      <c r="AJ79" s="178"/>
      <c r="AK79" s="178"/>
    </row>
    <row r="80" spans="1:37" x14ac:dyDescent="0.25">
      <c r="A80" s="186">
        <v>42083</v>
      </c>
      <c r="B80" s="188" t="s">
        <v>21</v>
      </c>
      <c r="C80" s="189">
        <f ca="1">+IF(AD80=0,P80,(SUM(INDIRECT(CONCATENATE("B",AD80,":B",AA80)))/'parametres articles'!$H$8))</f>
        <v>0</v>
      </c>
      <c r="D80" s="187">
        <f>IFERROR(VLOOKUP(A80,'Mvmt stock'!A:B,2,0),0)</f>
        <v>2</v>
      </c>
      <c r="E80" s="188">
        <f>IFERROR(VLOOKUP(A80,'Mvmt stock'!D:E,2,0),0)</f>
        <v>22</v>
      </c>
      <c r="F80" s="188">
        <f t="shared" si="23"/>
        <v>38</v>
      </c>
      <c r="G80" s="208">
        <f>IFERROR(VLOOKUP(A80,'Mvmt stock'!G:H,2,0),0)</f>
        <v>0</v>
      </c>
      <c r="H80" s="190">
        <f>IFERROR(VLOOKUP(A80,Stock!B:C,2,0),H79)</f>
        <v>38</v>
      </c>
      <c r="I80" s="188">
        <f t="shared" si="15"/>
        <v>58</v>
      </c>
      <c r="J80" s="191">
        <f t="shared" si="14"/>
        <v>46.666666666666664</v>
      </c>
      <c r="K80" s="187">
        <f>+HLOOKUP($B80,'parametres articles'!$C$5:$G$25,5,FALSE)</f>
        <v>15</v>
      </c>
      <c r="L80" s="187">
        <f>+HLOOKUP($B80,'parametres articles'!$C$5:$G$25,21,FALSE)</f>
        <v>13</v>
      </c>
      <c r="M80" s="192">
        <f>+HLOOKUP($B80,'parametres articles'!$C$5:$G$25,7,FALSE)</f>
        <v>0.8</v>
      </c>
      <c r="N80" s="192">
        <f>+HLOOKUP($B80,'parametres articles'!$C$5:$G$25,6,FALSE)</f>
        <v>0.4</v>
      </c>
      <c r="O80" s="187">
        <f>+HLOOKUP($B80,'parametres articles'!$C$5:$G$25,8,FALSE)</f>
        <v>0</v>
      </c>
      <c r="P80" s="193">
        <f>IF(B80="E",'parametres articles'!$C$8,HLOOKUP($B80,'parametres articles'!$C$5:$F$25,4,FALSE))</f>
        <v>2.27</v>
      </c>
      <c r="Q80" s="193">
        <f t="shared" si="16"/>
        <v>2.27</v>
      </c>
      <c r="R80" s="199">
        <f t="shared" si="24"/>
        <v>13.62</v>
      </c>
      <c r="S80" s="197">
        <f t="shared" si="17"/>
        <v>24.515999999999998</v>
      </c>
      <c r="T80" s="201">
        <f t="shared" si="18"/>
        <v>58.565999999999995</v>
      </c>
      <c r="U80" s="203">
        <f t="shared" si="25"/>
        <v>72.185999999999993</v>
      </c>
      <c r="V80" s="187">
        <f t="shared" si="19"/>
        <v>24.515999999999998</v>
      </c>
      <c r="W80" s="187">
        <f t="shared" si="20"/>
        <v>34.049999999999997</v>
      </c>
      <c r="X80" s="187">
        <f t="shared" si="21"/>
        <v>13.62</v>
      </c>
      <c r="Y80" s="193">
        <f t="shared" si="22"/>
        <v>31.325999999999997</v>
      </c>
      <c r="Z80" s="194"/>
      <c r="AA80" s="195">
        <f t="shared" ca="1" si="27"/>
        <v>80</v>
      </c>
      <c r="AB80" s="195">
        <f ca="1">+AA80+'parametres articles'!$C$9-1</f>
        <v>94</v>
      </c>
      <c r="AC80" s="195">
        <f ca="1">+AA80+'parametres articles'!$C$24-1</f>
        <v>99</v>
      </c>
      <c r="AD80" s="195">
        <f ca="1">+IF(AE80&lt;='parametres articles'!$H$8,0,AA80-'parametres articles'!$H$8+1)</f>
        <v>76</v>
      </c>
      <c r="AE80" s="195">
        <v>79</v>
      </c>
      <c r="AF80" s="187" t="str">
        <f t="shared" ca="1" si="26"/>
        <v>F95</v>
      </c>
      <c r="AH80" s="178"/>
      <c r="AI80" s="178"/>
      <c r="AJ80" s="178"/>
      <c r="AK80" s="178"/>
    </row>
    <row r="81" spans="1:37" x14ac:dyDescent="0.25">
      <c r="A81" s="186">
        <v>42084</v>
      </c>
      <c r="B81" s="188" t="s">
        <v>21</v>
      </c>
      <c r="C81" s="189">
        <f ca="1">+IF(AD81=0,P81,(SUM(INDIRECT(CONCATENATE("B",AD81,":B",AA81)))/'parametres articles'!$H$8))</f>
        <v>0</v>
      </c>
      <c r="D81" s="187">
        <f>IFERROR(VLOOKUP(A81,'Mvmt stock'!A:B,2,0),0)</f>
        <v>0</v>
      </c>
      <c r="E81" s="188">
        <f>IFERROR(VLOOKUP(A81,'Mvmt stock'!D:E,2,0),0)</f>
        <v>0</v>
      </c>
      <c r="F81" s="188">
        <f t="shared" si="23"/>
        <v>58</v>
      </c>
      <c r="G81" s="208">
        <f>IFERROR(VLOOKUP(A81,'Mvmt stock'!G:H,2,0),0)</f>
        <v>0</v>
      </c>
      <c r="H81" s="190">
        <f>IFERROR(VLOOKUP(A81,Stock!B:C,2,0),H80)</f>
        <v>38</v>
      </c>
      <c r="I81" s="188">
        <f t="shared" si="15"/>
        <v>58</v>
      </c>
      <c r="J81" s="191">
        <f t="shared" si="14"/>
        <v>47.333333333333336</v>
      </c>
      <c r="K81" s="187">
        <f>+HLOOKUP($B81,'parametres articles'!$C$5:$G$25,5,FALSE)</f>
        <v>15</v>
      </c>
      <c r="L81" s="187">
        <f>+HLOOKUP($B81,'parametres articles'!$C$5:$G$25,21,FALSE)</f>
        <v>13</v>
      </c>
      <c r="M81" s="192">
        <f>+HLOOKUP($B81,'parametres articles'!$C$5:$G$25,7,FALSE)</f>
        <v>0.8</v>
      </c>
      <c r="N81" s="192">
        <f>+HLOOKUP($B81,'parametres articles'!$C$5:$G$25,6,FALSE)</f>
        <v>0.4</v>
      </c>
      <c r="O81" s="187">
        <f>+HLOOKUP($B81,'parametres articles'!$C$5:$G$25,8,FALSE)</f>
        <v>0</v>
      </c>
      <c r="P81" s="193">
        <f>IF(B81="E",'parametres articles'!$C$8,HLOOKUP($B81,'parametres articles'!$C$5:$F$25,4,FALSE))</f>
        <v>2.27</v>
      </c>
      <c r="Q81" s="193">
        <f t="shared" si="16"/>
        <v>2.27</v>
      </c>
      <c r="R81" s="199">
        <f t="shared" si="24"/>
        <v>13.62</v>
      </c>
      <c r="S81" s="197">
        <f t="shared" si="17"/>
        <v>24.515999999999998</v>
      </c>
      <c r="T81" s="201">
        <f t="shared" si="18"/>
        <v>58.565999999999995</v>
      </c>
      <c r="U81" s="203">
        <f t="shared" si="25"/>
        <v>72.185999999999993</v>
      </c>
      <c r="V81" s="187">
        <f t="shared" si="19"/>
        <v>24.515999999999998</v>
      </c>
      <c r="W81" s="187">
        <f t="shared" si="20"/>
        <v>34.049999999999997</v>
      </c>
      <c r="X81" s="187">
        <f t="shared" si="21"/>
        <v>13.62</v>
      </c>
      <c r="Y81" s="193">
        <f t="shared" si="22"/>
        <v>31.325999999999997</v>
      </c>
      <c r="Z81" s="194"/>
      <c r="AA81" s="195">
        <f t="shared" ca="1" si="27"/>
        <v>81</v>
      </c>
      <c r="AB81" s="195">
        <f ca="1">+AA81+'parametres articles'!$C$9-1</f>
        <v>95</v>
      </c>
      <c r="AC81" s="195">
        <f ca="1">+AA81+'parametres articles'!$C$24-1</f>
        <v>100</v>
      </c>
      <c r="AD81" s="195">
        <f ca="1">+IF(AE81&lt;='parametres articles'!$H$8,0,AA81-'parametres articles'!$H$8+1)</f>
        <v>77</v>
      </c>
      <c r="AE81" s="195">
        <v>80</v>
      </c>
      <c r="AF81" s="187" t="str">
        <f t="shared" ca="1" si="26"/>
        <v>F96</v>
      </c>
      <c r="AH81" s="178"/>
      <c r="AI81" s="178"/>
      <c r="AJ81" s="178"/>
      <c r="AK81" s="178"/>
    </row>
    <row r="82" spans="1:37" x14ac:dyDescent="0.25">
      <c r="A82" s="186">
        <v>42085</v>
      </c>
      <c r="B82" s="188" t="s">
        <v>21</v>
      </c>
      <c r="C82" s="189">
        <f ca="1">+IF(AD82=0,P82,(SUM(INDIRECT(CONCATENATE("B",AD82,":B",AA82)))/'parametres articles'!$H$8))</f>
        <v>0</v>
      </c>
      <c r="D82" s="187">
        <f>IFERROR(VLOOKUP(A82,'Mvmt stock'!A:B,2,0),0)</f>
        <v>0</v>
      </c>
      <c r="E82" s="188">
        <f>IFERROR(VLOOKUP(A82,'Mvmt stock'!D:E,2,0),0)</f>
        <v>0</v>
      </c>
      <c r="F82" s="188">
        <f t="shared" si="23"/>
        <v>58</v>
      </c>
      <c r="G82" s="208">
        <f>IFERROR(VLOOKUP(A82,'Mvmt stock'!G:H,2,0),0)</f>
        <v>0</v>
      </c>
      <c r="H82" s="190">
        <f>IFERROR(VLOOKUP(A82,Stock!B:C,2,0),H81)</f>
        <v>38</v>
      </c>
      <c r="I82" s="188">
        <f t="shared" si="15"/>
        <v>58</v>
      </c>
      <c r="J82" s="191">
        <f t="shared" si="14"/>
        <v>48</v>
      </c>
      <c r="K82" s="187">
        <f>+HLOOKUP($B82,'parametres articles'!$C$5:$G$25,5,FALSE)</f>
        <v>15</v>
      </c>
      <c r="L82" s="187">
        <f>+HLOOKUP($B82,'parametres articles'!$C$5:$G$25,21,FALSE)</f>
        <v>13</v>
      </c>
      <c r="M82" s="192">
        <f>+HLOOKUP($B82,'parametres articles'!$C$5:$G$25,7,FALSE)</f>
        <v>0.8</v>
      </c>
      <c r="N82" s="192">
        <f>+HLOOKUP($B82,'parametres articles'!$C$5:$G$25,6,FALSE)</f>
        <v>0.4</v>
      </c>
      <c r="O82" s="187">
        <f>+HLOOKUP($B82,'parametres articles'!$C$5:$G$25,8,FALSE)</f>
        <v>0</v>
      </c>
      <c r="P82" s="193">
        <f>IF(B82="E",'parametres articles'!$C$8,HLOOKUP($B82,'parametres articles'!$C$5:$F$25,4,FALSE))</f>
        <v>2.27</v>
      </c>
      <c r="Q82" s="193">
        <f t="shared" si="16"/>
        <v>2.27</v>
      </c>
      <c r="R82" s="199">
        <f t="shared" si="24"/>
        <v>13.62</v>
      </c>
      <c r="S82" s="197">
        <f t="shared" si="17"/>
        <v>24.515999999999998</v>
      </c>
      <c r="T82" s="201">
        <f t="shared" si="18"/>
        <v>58.565999999999995</v>
      </c>
      <c r="U82" s="203">
        <f t="shared" si="25"/>
        <v>72.185999999999993</v>
      </c>
      <c r="V82" s="187">
        <f t="shared" si="19"/>
        <v>24.515999999999998</v>
      </c>
      <c r="W82" s="187">
        <f t="shared" si="20"/>
        <v>34.049999999999997</v>
      </c>
      <c r="X82" s="187">
        <f t="shared" si="21"/>
        <v>13.62</v>
      </c>
      <c r="Y82" s="193">
        <f t="shared" si="22"/>
        <v>31.325999999999997</v>
      </c>
      <c r="Z82" s="194"/>
      <c r="AA82" s="195">
        <f t="shared" ca="1" si="27"/>
        <v>82</v>
      </c>
      <c r="AB82" s="195">
        <f ca="1">+AA82+'parametres articles'!$C$9-1</f>
        <v>96</v>
      </c>
      <c r="AC82" s="195">
        <f ca="1">+AA82+'parametres articles'!$C$24-1</f>
        <v>101</v>
      </c>
      <c r="AD82" s="195">
        <f ca="1">+IF(AE82&lt;='parametres articles'!$H$8,0,AA82-'parametres articles'!$H$8+1)</f>
        <v>78</v>
      </c>
      <c r="AE82" s="195">
        <v>81</v>
      </c>
      <c r="AF82" s="187" t="str">
        <f t="shared" ca="1" si="26"/>
        <v>F97</v>
      </c>
      <c r="AG82" s="181"/>
      <c r="AH82" s="178"/>
      <c r="AI82" s="178"/>
      <c r="AJ82" s="178"/>
      <c r="AK82" s="178"/>
    </row>
    <row r="83" spans="1:37" x14ac:dyDescent="0.25">
      <c r="A83" s="186">
        <v>42086</v>
      </c>
      <c r="B83" s="188" t="s">
        <v>21</v>
      </c>
      <c r="C83" s="189">
        <f ca="1">+IF(AD83=0,P83,(SUM(INDIRECT(CONCATENATE("B",AD83,":B",AA83)))/'parametres articles'!$H$8))</f>
        <v>0</v>
      </c>
      <c r="D83" s="187">
        <f>IFERROR(VLOOKUP(A83,'Mvmt stock'!A:B,2,0),0)</f>
        <v>2</v>
      </c>
      <c r="E83" s="188">
        <f>IFERROR(VLOOKUP(A83,'Mvmt stock'!D:E,2,0),0)</f>
        <v>0</v>
      </c>
      <c r="F83" s="188">
        <f t="shared" si="23"/>
        <v>58</v>
      </c>
      <c r="G83" s="208">
        <f>IFERROR(VLOOKUP(A83,'Mvmt stock'!G:H,2,0),0)</f>
        <v>0</v>
      </c>
      <c r="H83" s="190">
        <f>IFERROR(VLOOKUP(A83,Stock!B:C,2,0),H82)</f>
        <v>58</v>
      </c>
      <c r="I83" s="188">
        <f t="shared" si="15"/>
        <v>56</v>
      </c>
      <c r="J83" s="191">
        <f t="shared" si="14"/>
        <v>48.666666666666664</v>
      </c>
      <c r="K83" s="187">
        <f>+HLOOKUP($B83,'parametres articles'!$C$5:$G$25,5,FALSE)</f>
        <v>15</v>
      </c>
      <c r="L83" s="187">
        <f>+HLOOKUP($B83,'parametres articles'!$C$5:$G$25,21,FALSE)</f>
        <v>13</v>
      </c>
      <c r="M83" s="192">
        <f>+HLOOKUP($B83,'parametres articles'!$C$5:$G$25,7,FALSE)</f>
        <v>0.8</v>
      </c>
      <c r="N83" s="192">
        <f>+HLOOKUP($B83,'parametres articles'!$C$5:$G$25,6,FALSE)</f>
        <v>0.4</v>
      </c>
      <c r="O83" s="187">
        <f>+HLOOKUP($B83,'parametres articles'!$C$5:$G$25,8,FALSE)</f>
        <v>0</v>
      </c>
      <c r="P83" s="193">
        <f>IF(B83="E",'parametres articles'!$C$8,HLOOKUP($B83,'parametres articles'!$C$5:$F$25,4,FALSE))</f>
        <v>2.27</v>
      </c>
      <c r="Q83" s="193">
        <f t="shared" si="16"/>
        <v>2.27</v>
      </c>
      <c r="R83" s="199">
        <f t="shared" si="24"/>
        <v>13.62</v>
      </c>
      <c r="S83" s="197">
        <f t="shared" si="17"/>
        <v>24.515999999999998</v>
      </c>
      <c r="T83" s="201">
        <f t="shared" si="18"/>
        <v>58.565999999999995</v>
      </c>
      <c r="U83" s="203">
        <f t="shared" si="25"/>
        <v>72.185999999999993</v>
      </c>
      <c r="V83" s="187">
        <f t="shared" si="19"/>
        <v>24.515999999999998</v>
      </c>
      <c r="W83" s="187">
        <f t="shared" si="20"/>
        <v>34.049999999999997</v>
      </c>
      <c r="X83" s="187">
        <f t="shared" si="21"/>
        <v>13.62</v>
      </c>
      <c r="Y83" s="193">
        <f t="shared" si="22"/>
        <v>31.325999999999997</v>
      </c>
      <c r="Z83" s="194"/>
      <c r="AA83" s="195">
        <f t="shared" ca="1" si="27"/>
        <v>83</v>
      </c>
      <c r="AB83" s="195">
        <f ca="1">+AA83+'parametres articles'!$C$9-1</f>
        <v>97</v>
      </c>
      <c r="AC83" s="195">
        <f ca="1">+AA83+'parametres articles'!$C$24-1</f>
        <v>102</v>
      </c>
      <c r="AD83" s="195">
        <f ca="1">+IF(AE83&lt;='parametres articles'!$H$8,0,AA83-'parametres articles'!$H$8+1)</f>
        <v>79</v>
      </c>
      <c r="AE83" s="195">
        <v>82</v>
      </c>
      <c r="AF83" s="187" t="str">
        <f t="shared" ca="1" si="26"/>
        <v>F98</v>
      </c>
      <c r="AG83" s="181"/>
      <c r="AH83" s="178"/>
      <c r="AI83" s="178"/>
      <c r="AJ83" s="178"/>
      <c r="AK83" s="178"/>
    </row>
    <row r="84" spans="1:37" x14ac:dyDescent="0.25">
      <c r="A84" s="186">
        <v>42087</v>
      </c>
      <c r="B84" s="188" t="s">
        <v>21</v>
      </c>
      <c r="C84" s="189">
        <f ca="1">+IF(AD84=0,P84,(SUM(INDIRECT(CONCATENATE("B",AD84,":B",AA84)))/'parametres articles'!$H$8))</f>
        <v>0</v>
      </c>
      <c r="D84" s="187">
        <f>IFERROR(VLOOKUP(A84,'Mvmt stock'!A:B,2,0),0)</f>
        <v>0</v>
      </c>
      <c r="E84" s="188">
        <f>IFERROR(VLOOKUP(A84,'Mvmt stock'!D:E,2,0),0)</f>
        <v>0</v>
      </c>
      <c r="F84" s="188">
        <f t="shared" si="23"/>
        <v>56</v>
      </c>
      <c r="G84" s="208">
        <f>IFERROR(VLOOKUP(A84,'Mvmt stock'!G:H,2,0),0)</f>
        <v>0</v>
      </c>
      <c r="H84" s="190">
        <f>IFERROR(VLOOKUP(A84,Stock!B:C,2,0),H83)</f>
        <v>56</v>
      </c>
      <c r="I84" s="188">
        <f t="shared" si="15"/>
        <v>56</v>
      </c>
      <c r="J84" s="191">
        <f t="shared" si="14"/>
        <v>49.238095238095241</v>
      </c>
      <c r="K84" s="187">
        <f>+HLOOKUP($B84,'parametres articles'!$C$5:$G$25,5,FALSE)</f>
        <v>15</v>
      </c>
      <c r="L84" s="187">
        <f>+HLOOKUP($B84,'parametres articles'!$C$5:$G$25,21,FALSE)</f>
        <v>13</v>
      </c>
      <c r="M84" s="192">
        <f>+HLOOKUP($B84,'parametres articles'!$C$5:$G$25,7,FALSE)</f>
        <v>0.8</v>
      </c>
      <c r="N84" s="192">
        <f>+HLOOKUP($B84,'parametres articles'!$C$5:$G$25,6,FALSE)</f>
        <v>0.4</v>
      </c>
      <c r="O84" s="187">
        <f>+HLOOKUP($B84,'parametres articles'!$C$5:$G$25,8,FALSE)</f>
        <v>0</v>
      </c>
      <c r="P84" s="193">
        <f>IF(B84="E",'parametres articles'!$C$8,HLOOKUP($B84,'parametres articles'!$C$5:$F$25,4,FALSE))</f>
        <v>2.27</v>
      </c>
      <c r="Q84" s="193">
        <f t="shared" si="16"/>
        <v>2.27</v>
      </c>
      <c r="R84" s="199">
        <f t="shared" si="24"/>
        <v>13.62</v>
      </c>
      <c r="S84" s="197">
        <f t="shared" si="17"/>
        <v>24.515999999999998</v>
      </c>
      <c r="T84" s="201">
        <f t="shared" si="18"/>
        <v>58.565999999999995</v>
      </c>
      <c r="U84" s="203">
        <f t="shared" si="25"/>
        <v>72.185999999999993</v>
      </c>
      <c r="V84" s="187">
        <f t="shared" si="19"/>
        <v>24.515999999999998</v>
      </c>
      <c r="W84" s="187">
        <f t="shared" si="20"/>
        <v>34.049999999999997</v>
      </c>
      <c r="X84" s="187">
        <f t="shared" si="21"/>
        <v>13.62</v>
      </c>
      <c r="Y84" s="193">
        <f t="shared" si="22"/>
        <v>31.325999999999997</v>
      </c>
      <c r="Z84" s="194"/>
      <c r="AA84" s="195">
        <f t="shared" ca="1" si="27"/>
        <v>84</v>
      </c>
      <c r="AB84" s="195">
        <f ca="1">+AA84+'parametres articles'!$C$9-1</f>
        <v>98</v>
      </c>
      <c r="AC84" s="195">
        <f ca="1">+AA84+'parametres articles'!$C$24-1</f>
        <v>103</v>
      </c>
      <c r="AD84" s="195">
        <f ca="1">+IF(AE84&lt;='parametres articles'!$H$8,0,AA84-'parametres articles'!$H$8+1)</f>
        <v>80</v>
      </c>
      <c r="AE84" s="195">
        <v>83</v>
      </c>
      <c r="AF84" s="187" t="str">
        <f t="shared" ca="1" si="26"/>
        <v>F99</v>
      </c>
      <c r="AG84" s="181"/>
      <c r="AH84" s="178"/>
      <c r="AI84" s="178"/>
      <c r="AJ84" s="178"/>
      <c r="AK84" s="178"/>
    </row>
    <row r="85" spans="1:37" x14ac:dyDescent="0.25">
      <c r="A85" s="186">
        <v>42088</v>
      </c>
      <c r="B85" s="188" t="s">
        <v>21</v>
      </c>
      <c r="C85" s="189">
        <f ca="1">+IF(AD85=0,P85,(SUM(INDIRECT(CONCATENATE("B",AD85,":B",AA85)))/'parametres articles'!$H$8))</f>
        <v>0</v>
      </c>
      <c r="D85" s="187">
        <f>IFERROR(VLOOKUP(A85,'Mvmt stock'!A:B,2,0),0)</f>
        <v>2</v>
      </c>
      <c r="E85" s="188">
        <f>IFERROR(VLOOKUP(A85,'Mvmt stock'!D:E,2,0),0)</f>
        <v>0</v>
      </c>
      <c r="F85" s="188">
        <f t="shared" si="23"/>
        <v>56</v>
      </c>
      <c r="G85" s="208">
        <f>IFERROR(VLOOKUP(A85,'Mvmt stock'!G:H,2,0),0)</f>
        <v>0</v>
      </c>
      <c r="H85" s="190">
        <f>IFERROR(VLOOKUP(A85,Stock!B:C,2,0),H84)</f>
        <v>56</v>
      </c>
      <c r="I85" s="188">
        <f t="shared" si="15"/>
        <v>54</v>
      </c>
      <c r="J85" s="191">
        <f t="shared" si="14"/>
        <v>49.857142857142854</v>
      </c>
      <c r="K85" s="187">
        <f>+HLOOKUP($B85,'parametres articles'!$C$5:$G$25,5,FALSE)</f>
        <v>15</v>
      </c>
      <c r="L85" s="187">
        <f>+HLOOKUP($B85,'parametres articles'!$C$5:$G$25,21,FALSE)</f>
        <v>13</v>
      </c>
      <c r="M85" s="192">
        <f>+HLOOKUP($B85,'parametres articles'!$C$5:$G$25,7,FALSE)</f>
        <v>0.8</v>
      </c>
      <c r="N85" s="192">
        <f>+HLOOKUP($B85,'parametres articles'!$C$5:$G$25,6,FALSE)</f>
        <v>0.4</v>
      </c>
      <c r="O85" s="187">
        <f>+HLOOKUP($B85,'parametres articles'!$C$5:$G$25,8,FALSE)</f>
        <v>0</v>
      </c>
      <c r="P85" s="193">
        <f>IF(B85="E",'parametres articles'!$C$8,HLOOKUP($B85,'parametres articles'!$C$5:$F$25,4,FALSE))</f>
        <v>2.27</v>
      </c>
      <c r="Q85" s="193">
        <f t="shared" si="16"/>
        <v>2.27</v>
      </c>
      <c r="R85" s="199">
        <f t="shared" si="24"/>
        <v>13.62</v>
      </c>
      <c r="S85" s="197">
        <f t="shared" si="17"/>
        <v>24.515999999999998</v>
      </c>
      <c r="T85" s="201">
        <f t="shared" si="18"/>
        <v>58.565999999999995</v>
      </c>
      <c r="U85" s="203">
        <f t="shared" si="25"/>
        <v>72.185999999999993</v>
      </c>
      <c r="V85" s="187">
        <f t="shared" si="19"/>
        <v>24.515999999999998</v>
      </c>
      <c r="W85" s="187">
        <f t="shared" si="20"/>
        <v>34.049999999999997</v>
      </c>
      <c r="X85" s="187">
        <f t="shared" si="21"/>
        <v>13.62</v>
      </c>
      <c r="Y85" s="193">
        <f t="shared" si="22"/>
        <v>31.325999999999997</v>
      </c>
      <c r="Z85" s="194"/>
      <c r="AA85" s="195">
        <f t="shared" ca="1" si="27"/>
        <v>85</v>
      </c>
      <c r="AB85" s="195">
        <f ca="1">+AA85+'parametres articles'!$C$9-1</f>
        <v>99</v>
      </c>
      <c r="AC85" s="195">
        <f ca="1">+AA85+'parametres articles'!$C$24-1</f>
        <v>104</v>
      </c>
      <c r="AD85" s="195">
        <f ca="1">+IF(AE85&lt;='parametres articles'!$H$8,0,AA85-'parametres articles'!$H$8+1)</f>
        <v>81</v>
      </c>
      <c r="AE85" s="195">
        <v>84</v>
      </c>
      <c r="AF85" s="187" t="str">
        <f t="shared" ca="1" si="26"/>
        <v>F100</v>
      </c>
      <c r="AG85" s="181"/>
      <c r="AH85" s="178"/>
      <c r="AI85" s="178"/>
      <c r="AJ85" s="178"/>
      <c r="AK85" s="178"/>
    </row>
    <row r="86" spans="1:37" x14ac:dyDescent="0.25">
      <c r="A86" s="186">
        <v>42089</v>
      </c>
      <c r="B86" s="188" t="s">
        <v>21</v>
      </c>
      <c r="C86" s="189">
        <f ca="1">+IF(AD86=0,P86,(SUM(INDIRECT(CONCATENATE("B",AD86,":B",AA86)))/'parametres articles'!$H$8))</f>
        <v>0</v>
      </c>
      <c r="D86" s="187">
        <f>IFERROR(VLOOKUP(A86,'Mvmt stock'!A:B,2,0),0)</f>
        <v>0</v>
      </c>
      <c r="E86" s="188">
        <f>IFERROR(VLOOKUP(A86,'Mvmt stock'!D:E,2,0),0)</f>
        <v>0</v>
      </c>
      <c r="F86" s="188">
        <f t="shared" si="23"/>
        <v>50</v>
      </c>
      <c r="G86" s="208">
        <f>IFERROR(VLOOKUP(A86,'Mvmt stock'!G:H,2,0),0)</f>
        <v>-4</v>
      </c>
      <c r="H86" s="190">
        <f>IFERROR(VLOOKUP(A86,Stock!B:C,2,0),H85)</f>
        <v>50</v>
      </c>
      <c r="I86" s="188">
        <f t="shared" si="15"/>
        <v>50</v>
      </c>
      <c r="J86" s="191">
        <f t="shared" ref="J86:J117" si="28">+AVERAGE(F66:F86)</f>
        <v>50.19047619047619</v>
      </c>
      <c r="K86" s="187">
        <f>+HLOOKUP($B86,'parametres articles'!$C$5:$G$25,5,FALSE)</f>
        <v>15</v>
      </c>
      <c r="L86" s="187">
        <f>+HLOOKUP($B86,'parametres articles'!$C$5:$G$25,21,FALSE)</f>
        <v>13</v>
      </c>
      <c r="M86" s="192">
        <f>+HLOOKUP($B86,'parametres articles'!$C$5:$G$25,7,FALSE)</f>
        <v>0.8</v>
      </c>
      <c r="N86" s="192">
        <f>+HLOOKUP($B86,'parametres articles'!$C$5:$G$25,6,FALSE)</f>
        <v>0.4</v>
      </c>
      <c r="O86" s="187">
        <f>+HLOOKUP($B86,'parametres articles'!$C$5:$G$25,8,FALSE)</f>
        <v>0</v>
      </c>
      <c r="P86" s="193">
        <f>IF(B86="E",'parametres articles'!$C$8,HLOOKUP($B86,'parametres articles'!$C$5:$F$25,4,FALSE))</f>
        <v>2.27</v>
      </c>
      <c r="Q86" s="193">
        <f t="shared" si="16"/>
        <v>2.27</v>
      </c>
      <c r="R86" s="199">
        <f t="shared" si="24"/>
        <v>13.62</v>
      </c>
      <c r="S86" s="197">
        <f t="shared" si="17"/>
        <v>24.515999999999998</v>
      </c>
      <c r="T86" s="201">
        <f t="shared" si="18"/>
        <v>58.565999999999995</v>
      </c>
      <c r="U86" s="203">
        <f t="shared" si="25"/>
        <v>72.185999999999993</v>
      </c>
      <c r="V86" s="187">
        <f t="shared" si="19"/>
        <v>24.515999999999998</v>
      </c>
      <c r="W86" s="187">
        <f t="shared" si="20"/>
        <v>34.049999999999997</v>
      </c>
      <c r="X86" s="187">
        <f t="shared" si="21"/>
        <v>13.62</v>
      </c>
      <c r="Y86" s="193">
        <f t="shared" si="22"/>
        <v>31.325999999999997</v>
      </c>
      <c r="Z86" s="194"/>
      <c r="AA86" s="195">
        <f t="shared" ca="1" si="27"/>
        <v>86</v>
      </c>
      <c r="AB86" s="195">
        <f ca="1">+AA86+'parametres articles'!$C$9-1</f>
        <v>100</v>
      </c>
      <c r="AC86" s="195">
        <f ca="1">+AA86+'parametres articles'!$C$24-1</f>
        <v>105</v>
      </c>
      <c r="AD86" s="195">
        <f ca="1">+IF(AE86&lt;='parametres articles'!$H$8,0,AA86-'parametres articles'!$H$8+1)</f>
        <v>82</v>
      </c>
      <c r="AE86" s="195">
        <v>85</v>
      </c>
      <c r="AF86" s="187" t="str">
        <f t="shared" ca="1" si="26"/>
        <v>F101</v>
      </c>
      <c r="AG86" s="181"/>
      <c r="AH86" s="178"/>
      <c r="AI86" s="178"/>
      <c r="AJ86" s="178"/>
      <c r="AK86" s="178"/>
    </row>
    <row r="87" spans="1:37" x14ac:dyDescent="0.25">
      <c r="A87" s="186">
        <v>42090</v>
      </c>
      <c r="B87" s="188" t="s">
        <v>21</v>
      </c>
      <c r="C87" s="189">
        <f ca="1">+IF(AD87=0,P87,(SUM(INDIRECT(CONCATENATE("B",AD87,":B",AA87)))/'parametres articles'!$H$8))</f>
        <v>0</v>
      </c>
      <c r="D87" s="187">
        <f>IFERROR(VLOOKUP(A87,'Mvmt stock'!A:B,2,0),0)</f>
        <v>0</v>
      </c>
      <c r="E87" s="188">
        <f>IFERROR(VLOOKUP(A87,'Mvmt stock'!D:E,2,0),0)</f>
        <v>71</v>
      </c>
      <c r="F87" s="188">
        <f t="shared" si="23"/>
        <v>50</v>
      </c>
      <c r="G87" s="208">
        <f>IFERROR(VLOOKUP(A87,'Mvmt stock'!G:H,2,0),0)</f>
        <v>0</v>
      </c>
      <c r="H87" s="190">
        <f>IFERROR(VLOOKUP(A87,Stock!B:C,2,0),H86)</f>
        <v>50</v>
      </c>
      <c r="I87" s="188">
        <f t="shared" si="15"/>
        <v>121</v>
      </c>
      <c r="J87" s="191">
        <f t="shared" si="28"/>
        <v>50.61904761904762</v>
      </c>
      <c r="K87" s="187">
        <f>+HLOOKUP($B87,'parametres articles'!$C$5:$G$25,5,FALSE)</f>
        <v>15</v>
      </c>
      <c r="L87" s="187">
        <f>+HLOOKUP($B87,'parametres articles'!$C$5:$G$25,21,FALSE)</f>
        <v>13</v>
      </c>
      <c r="M87" s="192">
        <f>+HLOOKUP($B87,'parametres articles'!$C$5:$G$25,7,FALSE)</f>
        <v>0.8</v>
      </c>
      <c r="N87" s="192">
        <f>+HLOOKUP($B87,'parametres articles'!$C$5:$G$25,6,FALSE)</f>
        <v>0.4</v>
      </c>
      <c r="O87" s="187">
        <f>+HLOOKUP($B87,'parametres articles'!$C$5:$G$25,8,FALSE)</f>
        <v>0</v>
      </c>
      <c r="P87" s="193">
        <f>IF(B87="E",'parametres articles'!$C$8,HLOOKUP($B87,'parametres articles'!$C$5:$F$25,4,FALSE))</f>
        <v>2.27</v>
      </c>
      <c r="Q87" s="193">
        <f t="shared" si="16"/>
        <v>2.27</v>
      </c>
      <c r="R87" s="199">
        <f t="shared" si="24"/>
        <v>13.62</v>
      </c>
      <c r="S87" s="197">
        <f t="shared" si="17"/>
        <v>24.515999999999998</v>
      </c>
      <c r="T87" s="201">
        <f t="shared" si="18"/>
        <v>58.565999999999995</v>
      </c>
      <c r="U87" s="203">
        <f t="shared" si="25"/>
        <v>72.185999999999993</v>
      </c>
      <c r="V87" s="187">
        <f t="shared" si="19"/>
        <v>24.515999999999998</v>
      </c>
      <c r="W87" s="187">
        <f t="shared" si="20"/>
        <v>34.049999999999997</v>
      </c>
      <c r="X87" s="187">
        <f t="shared" si="21"/>
        <v>13.62</v>
      </c>
      <c r="Y87" s="193">
        <f t="shared" si="22"/>
        <v>31.325999999999997</v>
      </c>
      <c r="Z87" s="194"/>
      <c r="AA87" s="195">
        <f t="shared" ca="1" si="27"/>
        <v>87</v>
      </c>
      <c r="AB87" s="195">
        <f ca="1">+AA87+'parametres articles'!$C$9-1</f>
        <v>101</v>
      </c>
      <c r="AC87" s="195">
        <f ca="1">+AA87+'parametres articles'!$C$24-1</f>
        <v>106</v>
      </c>
      <c r="AD87" s="195">
        <f ca="1">+IF(AE87&lt;='parametres articles'!$H$8,0,AA87-'parametres articles'!$H$8+1)</f>
        <v>83</v>
      </c>
      <c r="AE87" s="195">
        <v>86</v>
      </c>
      <c r="AF87" s="187" t="str">
        <f t="shared" ca="1" si="26"/>
        <v>F102</v>
      </c>
      <c r="AG87" s="181"/>
      <c r="AH87" s="178"/>
      <c r="AI87" s="178"/>
      <c r="AJ87" s="178"/>
      <c r="AK87" s="178"/>
    </row>
    <row r="88" spans="1:37" x14ac:dyDescent="0.25">
      <c r="A88" s="186">
        <v>42091</v>
      </c>
      <c r="B88" s="188" t="s">
        <v>21</v>
      </c>
      <c r="C88" s="189">
        <f ca="1">+IF(AD88=0,P88,(SUM(INDIRECT(CONCATENATE("B",AD88,":B",AA88)))/'parametres articles'!$H$8))</f>
        <v>0</v>
      </c>
      <c r="D88" s="187">
        <f>IFERROR(VLOOKUP(A88,'Mvmt stock'!A:B,2,0),0)</f>
        <v>0</v>
      </c>
      <c r="E88" s="188">
        <f>IFERROR(VLOOKUP(A88,'Mvmt stock'!D:E,2,0),0)</f>
        <v>0</v>
      </c>
      <c r="F88" s="188">
        <f t="shared" si="23"/>
        <v>121</v>
      </c>
      <c r="G88" s="208">
        <f>IFERROR(VLOOKUP(A88,'Mvmt stock'!G:H,2,0),0)</f>
        <v>0</v>
      </c>
      <c r="H88" s="190">
        <f>IFERROR(VLOOKUP(A88,Stock!B:C,2,0),H87)</f>
        <v>50</v>
      </c>
      <c r="I88" s="188">
        <f t="shared" si="15"/>
        <v>121</v>
      </c>
      <c r="J88" s="191">
        <f t="shared" si="28"/>
        <v>53.80952380952381</v>
      </c>
      <c r="K88" s="187">
        <f>+HLOOKUP($B88,'parametres articles'!$C$5:$G$25,5,FALSE)</f>
        <v>15</v>
      </c>
      <c r="L88" s="187">
        <f>+HLOOKUP($B88,'parametres articles'!$C$5:$G$25,21,FALSE)</f>
        <v>13</v>
      </c>
      <c r="M88" s="192">
        <f>+HLOOKUP($B88,'parametres articles'!$C$5:$G$25,7,FALSE)</f>
        <v>0.8</v>
      </c>
      <c r="N88" s="192">
        <f>+HLOOKUP($B88,'parametres articles'!$C$5:$G$25,6,FALSE)</f>
        <v>0.4</v>
      </c>
      <c r="O88" s="187">
        <f>+HLOOKUP($B88,'parametres articles'!$C$5:$G$25,8,FALSE)</f>
        <v>0</v>
      </c>
      <c r="P88" s="193">
        <f>IF(B88="E",'parametres articles'!$C$8,HLOOKUP($B88,'parametres articles'!$C$5:$F$25,4,FALSE))</f>
        <v>2.27</v>
      </c>
      <c r="Q88" s="193">
        <f t="shared" si="16"/>
        <v>2.27</v>
      </c>
      <c r="R88" s="199">
        <f t="shared" si="24"/>
        <v>13.62</v>
      </c>
      <c r="S88" s="197">
        <f t="shared" si="17"/>
        <v>24.515999999999998</v>
      </c>
      <c r="T88" s="201">
        <f t="shared" si="18"/>
        <v>58.565999999999995</v>
      </c>
      <c r="U88" s="203">
        <f t="shared" si="25"/>
        <v>72.185999999999993</v>
      </c>
      <c r="V88" s="187">
        <f t="shared" si="19"/>
        <v>24.515999999999998</v>
      </c>
      <c r="W88" s="187">
        <f t="shared" si="20"/>
        <v>34.049999999999997</v>
      </c>
      <c r="X88" s="187">
        <f t="shared" si="21"/>
        <v>13.62</v>
      </c>
      <c r="Y88" s="193">
        <f t="shared" si="22"/>
        <v>31.325999999999997</v>
      </c>
      <c r="Z88" s="194"/>
      <c r="AA88" s="195">
        <f t="shared" ca="1" si="27"/>
        <v>88</v>
      </c>
      <c r="AB88" s="195">
        <f ca="1">+AA88+'parametres articles'!$C$9-1</f>
        <v>102</v>
      </c>
      <c r="AC88" s="195">
        <f ca="1">+AA88+'parametres articles'!$C$24-1</f>
        <v>107</v>
      </c>
      <c r="AD88" s="195">
        <f ca="1">+IF(AE88&lt;='parametres articles'!$H$8,0,AA88-'parametres articles'!$H$8+1)</f>
        <v>84</v>
      </c>
      <c r="AE88" s="195">
        <v>87</v>
      </c>
      <c r="AF88" s="187" t="str">
        <f t="shared" ca="1" si="26"/>
        <v>F103</v>
      </c>
      <c r="AH88" s="178"/>
      <c r="AI88" s="178"/>
      <c r="AJ88" s="178"/>
      <c r="AK88" s="178"/>
    </row>
    <row r="89" spans="1:37" x14ac:dyDescent="0.25">
      <c r="A89" s="186">
        <v>42092</v>
      </c>
      <c r="B89" s="188" t="s">
        <v>21</v>
      </c>
      <c r="C89" s="189">
        <f ca="1">+IF(AD89=0,P89,(SUM(INDIRECT(CONCATENATE("B",AD89,":B",AA89)))/'parametres articles'!$H$8))</f>
        <v>0</v>
      </c>
      <c r="D89" s="187">
        <f>IFERROR(VLOOKUP(A89,'Mvmt stock'!A:B,2,0),0)</f>
        <v>0</v>
      </c>
      <c r="E89" s="188">
        <f>IFERROR(VLOOKUP(A89,'Mvmt stock'!D:E,2,0),0)</f>
        <v>0</v>
      </c>
      <c r="F89" s="188">
        <f t="shared" si="23"/>
        <v>121</v>
      </c>
      <c r="G89" s="208">
        <f>IFERROR(VLOOKUP(A89,'Mvmt stock'!G:H,2,0),0)</f>
        <v>0</v>
      </c>
      <c r="H89" s="190">
        <f>IFERROR(VLOOKUP(A89,Stock!B:C,2,0),H88)</f>
        <v>50</v>
      </c>
      <c r="I89" s="188">
        <f t="shared" si="15"/>
        <v>121</v>
      </c>
      <c r="J89" s="191">
        <f t="shared" si="28"/>
        <v>57</v>
      </c>
      <c r="K89" s="187">
        <f>+HLOOKUP($B89,'parametres articles'!$C$5:$G$25,5,FALSE)</f>
        <v>15</v>
      </c>
      <c r="L89" s="187">
        <f>+HLOOKUP($B89,'parametres articles'!$C$5:$G$25,21,FALSE)</f>
        <v>13</v>
      </c>
      <c r="M89" s="192">
        <f>+HLOOKUP($B89,'parametres articles'!$C$5:$G$25,7,FALSE)</f>
        <v>0.8</v>
      </c>
      <c r="N89" s="192">
        <f>+HLOOKUP($B89,'parametres articles'!$C$5:$G$25,6,FALSE)</f>
        <v>0.4</v>
      </c>
      <c r="O89" s="187">
        <f>+HLOOKUP($B89,'parametres articles'!$C$5:$G$25,8,FALSE)</f>
        <v>0</v>
      </c>
      <c r="P89" s="193">
        <f>IF(B89="E",'parametres articles'!$C$8,HLOOKUP($B89,'parametres articles'!$C$5:$F$25,4,FALSE))</f>
        <v>2.27</v>
      </c>
      <c r="Q89" s="193">
        <f t="shared" si="16"/>
        <v>2.27</v>
      </c>
      <c r="R89" s="199">
        <f t="shared" si="24"/>
        <v>13.62</v>
      </c>
      <c r="S89" s="197">
        <f t="shared" si="17"/>
        <v>24.515999999999998</v>
      </c>
      <c r="T89" s="201">
        <f t="shared" si="18"/>
        <v>58.565999999999995</v>
      </c>
      <c r="U89" s="203">
        <f t="shared" si="25"/>
        <v>72.185999999999993</v>
      </c>
      <c r="V89" s="187">
        <f t="shared" si="19"/>
        <v>24.515999999999998</v>
      </c>
      <c r="W89" s="187">
        <f t="shared" si="20"/>
        <v>34.049999999999997</v>
      </c>
      <c r="X89" s="187">
        <f t="shared" si="21"/>
        <v>13.62</v>
      </c>
      <c r="Y89" s="193">
        <f t="shared" si="22"/>
        <v>31.325999999999997</v>
      </c>
      <c r="Z89" s="194"/>
      <c r="AA89" s="195">
        <f t="shared" ca="1" si="27"/>
        <v>89</v>
      </c>
      <c r="AB89" s="195">
        <f ca="1">+AA89+'parametres articles'!$C$9-1</f>
        <v>103</v>
      </c>
      <c r="AC89" s="195">
        <f ca="1">+AA89+'parametres articles'!$C$24-1</f>
        <v>108</v>
      </c>
      <c r="AD89" s="195">
        <f ca="1">+IF(AE89&lt;='parametres articles'!$H$8,0,AA89-'parametres articles'!$H$8+1)</f>
        <v>85</v>
      </c>
      <c r="AE89" s="195">
        <v>88</v>
      </c>
      <c r="AF89" s="187" t="str">
        <f t="shared" ca="1" si="26"/>
        <v>F104</v>
      </c>
      <c r="AH89" s="178"/>
      <c r="AI89" s="178"/>
      <c r="AJ89" s="178"/>
      <c r="AK89" s="178"/>
    </row>
    <row r="90" spans="1:37" x14ac:dyDescent="0.25">
      <c r="A90" s="186">
        <v>42093</v>
      </c>
      <c r="B90" s="188" t="s">
        <v>21</v>
      </c>
      <c r="C90" s="189">
        <f ca="1">+IF(AD90=0,P90,(SUM(INDIRECT(CONCATENATE("B",AD90,":B",AA90)))/'parametres articles'!$H$8))</f>
        <v>0</v>
      </c>
      <c r="D90" s="187">
        <f>IFERROR(VLOOKUP(A90,'Mvmt stock'!A:B,2,0),0)</f>
        <v>34</v>
      </c>
      <c r="E90" s="188">
        <f>IFERROR(VLOOKUP(A90,'Mvmt stock'!D:E,2,0),0)</f>
        <v>0</v>
      </c>
      <c r="F90" s="188">
        <f t="shared" si="23"/>
        <v>121</v>
      </c>
      <c r="G90" s="208">
        <f>IFERROR(VLOOKUP(A90,'Mvmt stock'!G:H,2,0),0)</f>
        <v>0</v>
      </c>
      <c r="H90" s="190">
        <f>IFERROR(VLOOKUP(A90,Stock!B:C,2,0),H89)</f>
        <v>121</v>
      </c>
      <c r="I90" s="188">
        <f t="shared" si="15"/>
        <v>87</v>
      </c>
      <c r="J90" s="191">
        <f t="shared" si="28"/>
        <v>60.19047619047619</v>
      </c>
      <c r="K90" s="187">
        <f>+HLOOKUP($B90,'parametres articles'!$C$5:$G$25,5,FALSE)</f>
        <v>15</v>
      </c>
      <c r="L90" s="187">
        <f>+HLOOKUP($B90,'parametres articles'!$C$5:$G$25,21,FALSE)</f>
        <v>13</v>
      </c>
      <c r="M90" s="192">
        <f>+HLOOKUP($B90,'parametres articles'!$C$5:$G$25,7,FALSE)</f>
        <v>0.8</v>
      </c>
      <c r="N90" s="192">
        <f>+HLOOKUP($B90,'parametres articles'!$C$5:$G$25,6,FALSE)</f>
        <v>0.4</v>
      </c>
      <c r="O90" s="187">
        <f>+HLOOKUP($B90,'parametres articles'!$C$5:$G$25,8,FALSE)</f>
        <v>0</v>
      </c>
      <c r="P90" s="193">
        <f>IF(B90="E",'parametres articles'!$C$8,HLOOKUP($B90,'parametres articles'!$C$5:$F$25,4,FALSE))</f>
        <v>2.27</v>
      </c>
      <c r="Q90" s="193">
        <f t="shared" si="16"/>
        <v>2.27</v>
      </c>
      <c r="R90" s="199">
        <f t="shared" si="24"/>
        <v>13.62</v>
      </c>
      <c r="S90" s="197">
        <f t="shared" si="17"/>
        <v>24.515999999999998</v>
      </c>
      <c r="T90" s="201">
        <f t="shared" si="18"/>
        <v>58.565999999999995</v>
      </c>
      <c r="U90" s="203">
        <f t="shared" si="25"/>
        <v>72.185999999999993</v>
      </c>
      <c r="V90" s="187">
        <f t="shared" si="19"/>
        <v>24.515999999999998</v>
      </c>
      <c r="W90" s="187">
        <f t="shared" si="20"/>
        <v>34.049999999999997</v>
      </c>
      <c r="X90" s="187">
        <f t="shared" si="21"/>
        <v>13.62</v>
      </c>
      <c r="Y90" s="193">
        <f t="shared" si="22"/>
        <v>31.325999999999997</v>
      </c>
      <c r="Z90" s="194"/>
      <c r="AA90" s="195">
        <f t="shared" ca="1" si="27"/>
        <v>90</v>
      </c>
      <c r="AB90" s="195">
        <f ca="1">+AA90+'parametres articles'!$C$9-1</f>
        <v>104</v>
      </c>
      <c r="AC90" s="195">
        <f ca="1">+AA90+'parametres articles'!$C$24-1</f>
        <v>109</v>
      </c>
      <c r="AD90" s="195">
        <f ca="1">+IF(AE90&lt;='parametres articles'!$H$8,0,AA90-'parametres articles'!$H$8+1)</f>
        <v>86</v>
      </c>
      <c r="AE90" s="195">
        <v>89</v>
      </c>
      <c r="AF90" s="187" t="str">
        <f t="shared" ca="1" si="26"/>
        <v>F105</v>
      </c>
      <c r="AH90" s="178"/>
      <c r="AI90" s="178"/>
      <c r="AJ90" s="178"/>
      <c r="AK90" s="178"/>
    </row>
    <row r="91" spans="1:37" x14ac:dyDescent="0.25">
      <c r="A91" s="186">
        <v>42094</v>
      </c>
      <c r="B91" s="188" t="s">
        <v>21</v>
      </c>
      <c r="C91" s="189">
        <f ca="1">+IF(AD91=0,P91,(SUM(INDIRECT(CONCATENATE("B",AD91,":B",AA91)))/'parametres articles'!$H$8))</f>
        <v>0</v>
      </c>
      <c r="D91" s="187">
        <f>IFERROR(VLOOKUP(A91,'Mvmt stock'!A:B,2,0),0)</f>
        <v>2</v>
      </c>
      <c r="E91" s="188">
        <f>IFERROR(VLOOKUP(A91,'Mvmt stock'!D:E,2,0),0)</f>
        <v>0</v>
      </c>
      <c r="F91" s="188">
        <f t="shared" si="23"/>
        <v>87</v>
      </c>
      <c r="G91" s="208">
        <f>IFERROR(VLOOKUP(A91,'Mvmt stock'!G:H,2,0),0)</f>
        <v>0</v>
      </c>
      <c r="H91" s="190">
        <f>IFERROR(VLOOKUP(A91,Stock!B:C,2,0),H90)</f>
        <v>87</v>
      </c>
      <c r="I91" s="188">
        <f t="shared" si="15"/>
        <v>85</v>
      </c>
      <c r="J91" s="191">
        <f t="shared" si="28"/>
        <v>61.80952380952381</v>
      </c>
      <c r="K91" s="187">
        <f>+HLOOKUP($B91,'parametres articles'!$C$5:$G$25,5,FALSE)</f>
        <v>15</v>
      </c>
      <c r="L91" s="187">
        <f>+HLOOKUP($B91,'parametres articles'!$C$5:$G$25,21,FALSE)</f>
        <v>13</v>
      </c>
      <c r="M91" s="192">
        <f>+HLOOKUP($B91,'parametres articles'!$C$5:$G$25,7,FALSE)</f>
        <v>0.8</v>
      </c>
      <c r="N91" s="192">
        <f>+HLOOKUP($B91,'parametres articles'!$C$5:$G$25,6,FALSE)</f>
        <v>0.4</v>
      </c>
      <c r="O91" s="187">
        <f>+HLOOKUP($B91,'parametres articles'!$C$5:$G$25,8,FALSE)</f>
        <v>0</v>
      </c>
      <c r="P91" s="193">
        <f>IF(B91="E",'parametres articles'!$C$8,HLOOKUP($B91,'parametres articles'!$C$5:$F$25,4,FALSE))</f>
        <v>2.27</v>
      </c>
      <c r="Q91" s="193">
        <f t="shared" si="16"/>
        <v>2.27</v>
      </c>
      <c r="R91" s="199">
        <f t="shared" si="24"/>
        <v>13.62</v>
      </c>
      <c r="S91" s="197">
        <f t="shared" si="17"/>
        <v>24.515999999999998</v>
      </c>
      <c r="T91" s="201">
        <f t="shared" si="18"/>
        <v>58.565999999999995</v>
      </c>
      <c r="U91" s="203">
        <f t="shared" si="25"/>
        <v>72.185999999999993</v>
      </c>
      <c r="V91" s="187">
        <f t="shared" si="19"/>
        <v>24.515999999999998</v>
      </c>
      <c r="W91" s="187">
        <f t="shared" si="20"/>
        <v>34.049999999999997</v>
      </c>
      <c r="X91" s="187">
        <f t="shared" si="21"/>
        <v>13.62</v>
      </c>
      <c r="Y91" s="193">
        <f t="shared" si="22"/>
        <v>31.325999999999997</v>
      </c>
      <c r="Z91" s="194"/>
      <c r="AA91" s="195">
        <f t="shared" ca="1" si="27"/>
        <v>91</v>
      </c>
      <c r="AB91" s="195">
        <f ca="1">+AA91+'parametres articles'!$C$9-1</f>
        <v>105</v>
      </c>
      <c r="AC91" s="195">
        <f ca="1">+AA91+'parametres articles'!$C$24-1</f>
        <v>110</v>
      </c>
      <c r="AD91" s="195">
        <f ca="1">+IF(AE91&lt;='parametres articles'!$H$8,0,AA91-'parametres articles'!$H$8+1)</f>
        <v>87</v>
      </c>
      <c r="AE91" s="195">
        <v>90</v>
      </c>
      <c r="AF91" s="187" t="str">
        <f t="shared" ca="1" si="26"/>
        <v>F106</v>
      </c>
      <c r="AH91" s="178"/>
      <c r="AI91" s="178"/>
      <c r="AJ91" s="178"/>
      <c r="AK91" s="178"/>
    </row>
    <row r="92" spans="1:37" x14ac:dyDescent="0.25">
      <c r="A92" s="186">
        <v>42095</v>
      </c>
      <c r="B92" s="188" t="s">
        <v>21</v>
      </c>
      <c r="C92" s="189">
        <f ca="1">+IF(AD92=0,P92,(SUM(INDIRECT(CONCATENATE("B",AD92,":B",AA92)))/'parametres articles'!$H$8))</f>
        <v>0</v>
      </c>
      <c r="D92" s="187">
        <f>IFERROR(VLOOKUP(A92,'Mvmt stock'!A:B,2,0),0)</f>
        <v>0</v>
      </c>
      <c r="E92" s="188">
        <f>IFERROR(VLOOKUP(A92,'Mvmt stock'!D:E,2,0),0)</f>
        <v>0</v>
      </c>
      <c r="F92" s="188">
        <f t="shared" si="23"/>
        <v>85</v>
      </c>
      <c r="G92" s="208">
        <f>IFERROR(VLOOKUP(A92,'Mvmt stock'!G:H,2,0),0)</f>
        <v>0</v>
      </c>
      <c r="H92" s="190">
        <f>IFERROR(VLOOKUP(A92,Stock!B:C,2,0),H91)</f>
        <v>85</v>
      </c>
      <c r="I92" s="188">
        <f t="shared" si="15"/>
        <v>85</v>
      </c>
      <c r="J92" s="191">
        <f t="shared" si="28"/>
        <v>63.61904761904762</v>
      </c>
      <c r="K92" s="187">
        <f>+HLOOKUP($B92,'parametres articles'!$C$5:$G$25,5,FALSE)</f>
        <v>15</v>
      </c>
      <c r="L92" s="187">
        <f>+HLOOKUP($B92,'parametres articles'!$C$5:$G$25,21,FALSE)</f>
        <v>13</v>
      </c>
      <c r="M92" s="192">
        <f>+HLOOKUP($B92,'parametres articles'!$C$5:$G$25,7,FALSE)</f>
        <v>0.8</v>
      </c>
      <c r="N92" s="192">
        <f>+HLOOKUP($B92,'parametres articles'!$C$5:$G$25,6,FALSE)</f>
        <v>0.4</v>
      </c>
      <c r="O92" s="187">
        <f>+HLOOKUP($B92,'parametres articles'!$C$5:$G$25,8,FALSE)</f>
        <v>0</v>
      </c>
      <c r="P92" s="193">
        <f>IF(B92="E",'parametres articles'!$C$8,HLOOKUP($B92,'parametres articles'!$C$5:$F$25,4,FALSE))</f>
        <v>2.27</v>
      </c>
      <c r="Q92" s="193">
        <f t="shared" si="16"/>
        <v>2.27</v>
      </c>
      <c r="R92" s="199">
        <f t="shared" si="24"/>
        <v>13.62</v>
      </c>
      <c r="S92" s="197">
        <f t="shared" si="17"/>
        <v>24.515999999999998</v>
      </c>
      <c r="T92" s="201">
        <f t="shared" si="18"/>
        <v>58.565999999999995</v>
      </c>
      <c r="U92" s="203">
        <f t="shared" si="25"/>
        <v>72.185999999999993</v>
      </c>
      <c r="V92" s="187">
        <f t="shared" si="19"/>
        <v>24.515999999999998</v>
      </c>
      <c r="W92" s="187">
        <f t="shared" si="20"/>
        <v>34.049999999999997</v>
      </c>
      <c r="X92" s="187">
        <f t="shared" si="21"/>
        <v>13.62</v>
      </c>
      <c r="Y92" s="193">
        <f t="shared" si="22"/>
        <v>31.325999999999997</v>
      </c>
      <c r="Z92" s="194"/>
      <c r="AA92" s="195">
        <f t="shared" ca="1" si="27"/>
        <v>92</v>
      </c>
      <c r="AB92" s="195">
        <f ca="1">+AA92+'parametres articles'!$C$9-1</f>
        <v>106</v>
      </c>
      <c r="AC92" s="195">
        <f ca="1">+AA92+'parametres articles'!$C$24-1</f>
        <v>111</v>
      </c>
      <c r="AD92" s="195">
        <f ca="1">+IF(AE92&lt;='parametres articles'!$H$8,0,AA92-'parametres articles'!$H$8+1)</f>
        <v>88</v>
      </c>
      <c r="AE92" s="195">
        <v>91</v>
      </c>
      <c r="AF92" s="187" t="str">
        <f t="shared" ca="1" si="26"/>
        <v>F107</v>
      </c>
      <c r="AH92" s="178"/>
      <c r="AI92" s="178"/>
      <c r="AJ92" s="178"/>
      <c r="AK92" s="178"/>
    </row>
    <row r="93" spans="1:37" x14ac:dyDescent="0.25">
      <c r="A93" s="186">
        <v>42096</v>
      </c>
      <c r="B93" s="188" t="s">
        <v>21</v>
      </c>
      <c r="C93" s="189">
        <f ca="1">+IF(AD93=0,P93,(SUM(INDIRECT(CONCATENATE("B",AD93,":B",AA93)))/'parametres articles'!$H$8))</f>
        <v>0</v>
      </c>
      <c r="D93" s="187">
        <f>IFERROR(VLOOKUP(A93,'Mvmt stock'!A:B,2,0),0)</f>
        <v>0</v>
      </c>
      <c r="E93" s="188">
        <f>IFERROR(VLOOKUP(A93,'Mvmt stock'!D:E,2,0),0)</f>
        <v>0</v>
      </c>
      <c r="F93" s="188">
        <f t="shared" si="23"/>
        <v>85</v>
      </c>
      <c r="G93" s="208">
        <f>IFERROR(VLOOKUP(A93,'Mvmt stock'!G:H,2,0),0)</f>
        <v>0</v>
      </c>
      <c r="H93" s="190">
        <f>IFERROR(VLOOKUP(A93,Stock!B:C,2,0),H92)</f>
        <v>85</v>
      </c>
      <c r="I93" s="188">
        <f t="shared" si="15"/>
        <v>85</v>
      </c>
      <c r="J93" s="191">
        <f t="shared" si="28"/>
        <v>65.428571428571431</v>
      </c>
      <c r="K93" s="187">
        <f>+HLOOKUP($B93,'parametres articles'!$C$5:$G$25,5,FALSE)</f>
        <v>15</v>
      </c>
      <c r="L93" s="187">
        <f>+HLOOKUP($B93,'parametres articles'!$C$5:$G$25,21,FALSE)</f>
        <v>13</v>
      </c>
      <c r="M93" s="192">
        <f>+HLOOKUP($B93,'parametres articles'!$C$5:$G$25,7,FALSE)</f>
        <v>0.8</v>
      </c>
      <c r="N93" s="192">
        <f>+HLOOKUP($B93,'parametres articles'!$C$5:$G$25,6,FALSE)</f>
        <v>0.4</v>
      </c>
      <c r="O93" s="187">
        <f>+HLOOKUP($B93,'parametres articles'!$C$5:$G$25,8,FALSE)</f>
        <v>0</v>
      </c>
      <c r="P93" s="193">
        <f>IF(B93="E",'parametres articles'!$C$8,HLOOKUP($B93,'parametres articles'!$C$5:$F$25,4,FALSE))</f>
        <v>2.27</v>
      </c>
      <c r="Q93" s="193">
        <f t="shared" si="16"/>
        <v>2.27</v>
      </c>
      <c r="R93" s="199">
        <f t="shared" si="24"/>
        <v>13.62</v>
      </c>
      <c r="S93" s="197">
        <f t="shared" si="17"/>
        <v>24.515999999999998</v>
      </c>
      <c r="T93" s="201">
        <f t="shared" si="18"/>
        <v>58.565999999999995</v>
      </c>
      <c r="U93" s="203">
        <f t="shared" si="25"/>
        <v>72.185999999999993</v>
      </c>
      <c r="V93" s="187">
        <f t="shared" si="19"/>
        <v>24.515999999999998</v>
      </c>
      <c r="W93" s="187">
        <f t="shared" si="20"/>
        <v>34.049999999999997</v>
      </c>
      <c r="X93" s="187">
        <f t="shared" si="21"/>
        <v>13.62</v>
      </c>
      <c r="Y93" s="193">
        <f t="shared" si="22"/>
        <v>31.325999999999997</v>
      </c>
      <c r="Z93" s="194"/>
      <c r="AA93" s="195">
        <f t="shared" ca="1" si="27"/>
        <v>93</v>
      </c>
      <c r="AB93" s="195">
        <f ca="1">+AA93+'parametres articles'!$C$9-1</f>
        <v>107</v>
      </c>
      <c r="AC93" s="195">
        <f ca="1">+AA93+'parametres articles'!$C$24-1</f>
        <v>112</v>
      </c>
      <c r="AD93" s="195">
        <f ca="1">+IF(AE93&lt;='parametres articles'!$H$8,0,AA93-'parametres articles'!$H$8+1)</f>
        <v>89</v>
      </c>
      <c r="AE93" s="195">
        <v>92</v>
      </c>
      <c r="AF93" s="187" t="str">
        <f t="shared" ca="1" si="26"/>
        <v>F108</v>
      </c>
      <c r="AH93" s="178"/>
      <c r="AI93" s="178"/>
      <c r="AJ93" s="178"/>
      <c r="AK93" s="178"/>
    </row>
    <row r="94" spans="1:37" x14ac:dyDescent="0.25">
      <c r="A94" s="186">
        <v>42097</v>
      </c>
      <c r="B94" s="188" t="s">
        <v>21</v>
      </c>
      <c r="C94" s="189">
        <f ca="1">+IF(AD94=0,P94,(SUM(INDIRECT(CONCATENATE("B",AD94,":B",AA94)))/'parametres articles'!$H$8))</f>
        <v>0</v>
      </c>
      <c r="D94" s="187">
        <f>IFERROR(VLOOKUP(A94,'Mvmt stock'!A:B,2,0),0)</f>
        <v>10</v>
      </c>
      <c r="E94" s="188">
        <f>IFERROR(VLOOKUP(A94,'Mvmt stock'!D:E,2,0),0)</f>
        <v>22</v>
      </c>
      <c r="F94" s="188">
        <f t="shared" si="23"/>
        <v>85</v>
      </c>
      <c r="G94" s="208">
        <f>IFERROR(VLOOKUP(A94,'Mvmt stock'!G:H,2,0),0)</f>
        <v>0</v>
      </c>
      <c r="H94" s="190">
        <f>IFERROR(VLOOKUP(A94,Stock!B:C,2,0),H93)</f>
        <v>85</v>
      </c>
      <c r="I94" s="188">
        <f t="shared" si="15"/>
        <v>97</v>
      </c>
      <c r="J94" s="191">
        <f t="shared" si="28"/>
        <v>67.238095238095241</v>
      </c>
      <c r="K94" s="187">
        <f>+HLOOKUP($B94,'parametres articles'!$C$5:$G$25,5,FALSE)</f>
        <v>15</v>
      </c>
      <c r="L94" s="187">
        <f>+HLOOKUP($B94,'parametres articles'!$C$5:$G$25,21,FALSE)</f>
        <v>13</v>
      </c>
      <c r="M94" s="192">
        <f>+HLOOKUP($B94,'parametres articles'!$C$5:$G$25,7,FALSE)</f>
        <v>0.8</v>
      </c>
      <c r="N94" s="192">
        <f>+HLOOKUP($B94,'parametres articles'!$C$5:$G$25,6,FALSE)</f>
        <v>0.4</v>
      </c>
      <c r="O94" s="187">
        <f>+HLOOKUP($B94,'parametres articles'!$C$5:$G$25,8,FALSE)</f>
        <v>0</v>
      </c>
      <c r="P94" s="193">
        <f>IF(B94="E",'parametres articles'!$C$8,HLOOKUP($B94,'parametres articles'!$C$5:$F$25,4,FALSE))</f>
        <v>2.27</v>
      </c>
      <c r="Q94" s="193">
        <f t="shared" si="16"/>
        <v>2.27</v>
      </c>
      <c r="R94" s="199">
        <f t="shared" si="24"/>
        <v>13.62</v>
      </c>
      <c r="S94" s="197">
        <f t="shared" si="17"/>
        <v>24.515999999999998</v>
      </c>
      <c r="T94" s="201">
        <f t="shared" si="18"/>
        <v>58.565999999999995</v>
      </c>
      <c r="U94" s="203">
        <f t="shared" si="25"/>
        <v>72.185999999999993</v>
      </c>
      <c r="V94" s="187">
        <f t="shared" si="19"/>
        <v>24.515999999999998</v>
      </c>
      <c r="W94" s="187">
        <f t="shared" si="20"/>
        <v>34.049999999999997</v>
      </c>
      <c r="X94" s="187">
        <f t="shared" si="21"/>
        <v>13.62</v>
      </c>
      <c r="Y94" s="193">
        <f t="shared" si="22"/>
        <v>31.325999999999997</v>
      </c>
      <c r="Z94" s="194"/>
      <c r="AA94" s="195">
        <f t="shared" ca="1" si="27"/>
        <v>94</v>
      </c>
      <c r="AB94" s="195">
        <f ca="1">+AA94+'parametres articles'!$C$9-1</f>
        <v>108</v>
      </c>
      <c r="AC94" s="195">
        <f ca="1">+AA94+'parametres articles'!$C$24-1</f>
        <v>113</v>
      </c>
      <c r="AD94" s="195">
        <f ca="1">+IF(AE94&lt;='parametres articles'!$H$8,0,AA94-'parametres articles'!$H$8+1)</f>
        <v>90</v>
      </c>
      <c r="AE94" s="195">
        <v>93</v>
      </c>
      <c r="AF94" s="187" t="str">
        <f t="shared" ca="1" si="26"/>
        <v>F109</v>
      </c>
      <c r="AH94" s="178"/>
      <c r="AI94" s="178"/>
      <c r="AJ94" s="178"/>
      <c r="AK94" s="178"/>
    </row>
    <row r="95" spans="1:37" x14ac:dyDescent="0.25">
      <c r="A95" s="186">
        <v>42098</v>
      </c>
      <c r="B95" s="188" t="s">
        <v>21</v>
      </c>
      <c r="C95" s="189">
        <f ca="1">+IF(AD95=0,P95,(SUM(INDIRECT(CONCATENATE("B",AD95,":B",AA95)))/'parametres articles'!$H$8))</f>
        <v>0</v>
      </c>
      <c r="D95" s="187">
        <f>IFERROR(VLOOKUP(A95,'Mvmt stock'!A:B,2,0),0)</f>
        <v>0</v>
      </c>
      <c r="E95" s="188">
        <f>IFERROR(VLOOKUP(A95,'Mvmt stock'!D:E,2,0),0)</f>
        <v>0</v>
      </c>
      <c r="F95" s="188">
        <f t="shared" si="23"/>
        <v>97</v>
      </c>
      <c r="G95" s="208">
        <f>IFERROR(VLOOKUP(A95,'Mvmt stock'!G:H,2,0),0)</f>
        <v>0</v>
      </c>
      <c r="H95" s="190">
        <f>IFERROR(VLOOKUP(A95,Stock!B:C,2,0),H94)</f>
        <v>85</v>
      </c>
      <c r="I95" s="188">
        <f t="shared" si="15"/>
        <v>97</v>
      </c>
      <c r="J95" s="191">
        <f t="shared" si="28"/>
        <v>69.428571428571431</v>
      </c>
      <c r="K95" s="187">
        <f>+HLOOKUP($B95,'parametres articles'!$C$5:$G$25,5,FALSE)</f>
        <v>15</v>
      </c>
      <c r="L95" s="187">
        <f>+HLOOKUP($B95,'parametres articles'!$C$5:$G$25,21,FALSE)</f>
        <v>13</v>
      </c>
      <c r="M95" s="192">
        <f>+HLOOKUP($B95,'parametres articles'!$C$5:$G$25,7,FALSE)</f>
        <v>0.8</v>
      </c>
      <c r="N95" s="192">
        <f>+HLOOKUP($B95,'parametres articles'!$C$5:$G$25,6,FALSE)</f>
        <v>0.4</v>
      </c>
      <c r="O95" s="187">
        <f>+HLOOKUP($B95,'parametres articles'!$C$5:$G$25,8,FALSE)</f>
        <v>0</v>
      </c>
      <c r="P95" s="193">
        <f>IF(B95="E",'parametres articles'!$C$8,HLOOKUP($B95,'parametres articles'!$C$5:$F$25,4,FALSE))</f>
        <v>2.27</v>
      </c>
      <c r="Q95" s="193">
        <f t="shared" si="16"/>
        <v>2.27</v>
      </c>
      <c r="R95" s="199">
        <f t="shared" si="24"/>
        <v>13.62</v>
      </c>
      <c r="S95" s="197">
        <f t="shared" si="17"/>
        <v>24.515999999999998</v>
      </c>
      <c r="T95" s="201">
        <f t="shared" si="18"/>
        <v>58.565999999999995</v>
      </c>
      <c r="U95" s="203">
        <f t="shared" si="25"/>
        <v>72.185999999999993</v>
      </c>
      <c r="V95" s="187">
        <f t="shared" si="19"/>
        <v>24.515999999999998</v>
      </c>
      <c r="W95" s="187">
        <f t="shared" si="20"/>
        <v>34.049999999999997</v>
      </c>
      <c r="X95" s="187">
        <f t="shared" si="21"/>
        <v>13.62</v>
      </c>
      <c r="Y95" s="193">
        <f t="shared" si="22"/>
        <v>31.325999999999997</v>
      </c>
      <c r="Z95" s="194"/>
      <c r="AA95" s="195">
        <f t="shared" ca="1" si="27"/>
        <v>95</v>
      </c>
      <c r="AB95" s="195">
        <f ca="1">+AA95+'parametres articles'!$C$9-1</f>
        <v>109</v>
      </c>
      <c r="AC95" s="195">
        <f ca="1">+AA95+'parametres articles'!$C$24-1</f>
        <v>114</v>
      </c>
      <c r="AD95" s="195">
        <f ca="1">+IF(AE95&lt;='parametres articles'!$H$8,0,AA95-'parametres articles'!$H$8+1)</f>
        <v>91</v>
      </c>
      <c r="AE95" s="195">
        <v>94</v>
      </c>
      <c r="AF95" s="187" t="str">
        <f t="shared" ca="1" si="26"/>
        <v>F110</v>
      </c>
      <c r="AH95" s="178"/>
      <c r="AI95" s="178"/>
      <c r="AJ95" s="178"/>
      <c r="AK95" s="178"/>
    </row>
    <row r="96" spans="1:37" x14ac:dyDescent="0.25">
      <c r="A96" s="186">
        <v>42099</v>
      </c>
      <c r="B96" s="188" t="s">
        <v>21</v>
      </c>
      <c r="C96" s="189">
        <f ca="1">+IF(AD96=0,P96,(SUM(INDIRECT(CONCATENATE("B",AD96,":B",AA96)))/'parametres articles'!$H$8))</f>
        <v>0</v>
      </c>
      <c r="D96" s="187">
        <f>IFERROR(VLOOKUP(A96,'Mvmt stock'!A:B,2,0),0)</f>
        <v>0</v>
      </c>
      <c r="E96" s="188">
        <f>IFERROR(VLOOKUP(A96,'Mvmt stock'!D:E,2,0),0)</f>
        <v>0</v>
      </c>
      <c r="F96" s="188">
        <f t="shared" si="23"/>
        <v>97</v>
      </c>
      <c r="G96" s="208">
        <f>IFERROR(VLOOKUP(A96,'Mvmt stock'!G:H,2,0),0)</f>
        <v>0</v>
      </c>
      <c r="H96" s="190">
        <f>IFERROR(VLOOKUP(A96,Stock!B:C,2,0),H95)</f>
        <v>85</v>
      </c>
      <c r="I96" s="188">
        <f t="shared" si="15"/>
        <v>97</v>
      </c>
      <c r="J96" s="191">
        <f t="shared" si="28"/>
        <v>71.61904761904762</v>
      </c>
      <c r="K96" s="187">
        <f>+HLOOKUP($B96,'parametres articles'!$C$5:$G$25,5,FALSE)</f>
        <v>15</v>
      </c>
      <c r="L96" s="187">
        <f>+HLOOKUP($B96,'parametres articles'!$C$5:$G$25,21,FALSE)</f>
        <v>13</v>
      </c>
      <c r="M96" s="192">
        <f>+HLOOKUP($B96,'parametres articles'!$C$5:$G$25,7,FALSE)</f>
        <v>0.8</v>
      </c>
      <c r="N96" s="192">
        <f>+HLOOKUP($B96,'parametres articles'!$C$5:$G$25,6,FALSE)</f>
        <v>0.4</v>
      </c>
      <c r="O96" s="187">
        <f>+HLOOKUP($B96,'parametres articles'!$C$5:$G$25,8,FALSE)</f>
        <v>0</v>
      </c>
      <c r="P96" s="193">
        <f>IF(B96="E",'parametres articles'!$C$8,HLOOKUP($B96,'parametres articles'!$C$5:$F$25,4,FALSE))</f>
        <v>2.27</v>
      </c>
      <c r="Q96" s="193">
        <f t="shared" si="16"/>
        <v>2.27</v>
      </c>
      <c r="R96" s="199">
        <f t="shared" si="24"/>
        <v>13.62</v>
      </c>
      <c r="S96" s="197">
        <f t="shared" si="17"/>
        <v>24.515999999999998</v>
      </c>
      <c r="T96" s="201">
        <f t="shared" si="18"/>
        <v>58.565999999999995</v>
      </c>
      <c r="U96" s="203">
        <f t="shared" si="25"/>
        <v>72.185999999999993</v>
      </c>
      <c r="V96" s="187">
        <f t="shared" si="19"/>
        <v>24.515999999999998</v>
      </c>
      <c r="W96" s="187">
        <f t="shared" si="20"/>
        <v>34.049999999999997</v>
      </c>
      <c r="X96" s="187">
        <f t="shared" si="21"/>
        <v>13.62</v>
      </c>
      <c r="Y96" s="193">
        <f t="shared" si="22"/>
        <v>31.325999999999997</v>
      </c>
      <c r="Z96" s="194"/>
      <c r="AA96" s="195">
        <f t="shared" ca="1" si="27"/>
        <v>96</v>
      </c>
      <c r="AB96" s="195">
        <f ca="1">+AA96+'parametres articles'!$C$9-1</f>
        <v>110</v>
      </c>
      <c r="AC96" s="195">
        <f ca="1">+AA96+'parametres articles'!$C$24-1</f>
        <v>115</v>
      </c>
      <c r="AD96" s="195">
        <f ca="1">+IF(AE96&lt;='parametres articles'!$H$8,0,AA96-'parametres articles'!$H$8+1)</f>
        <v>92</v>
      </c>
      <c r="AE96" s="195">
        <v>95</v>
      </c>
      <c r="AF96" s="187" t="str">
        <f t="shared" ca="1" si="26"/>
        <v>F111</v>
      </c>
      <c r="AH96" s="178"/>
      <c r="AI96" s="178"/>
      <c r="AJ96" s="178"/>
      <c r="AK96" s="178"/>
    </row>
    <row r="97" spans="1:37" x14ac:dyDescent="0.25">
      <c r="A97" s="186">
        <v>42100</v>
      </c>
      <c r="B97" s="188" t="s">
        <v>21</v>
      </c>
      <c r="C97" s="189">
        <f ca="1">+IF(AD97=0,P97,(SUM(INDIRECT(CONCATENATE("B",AD97,":B",AA97)))/'parametres articles'!$H$8))</f>
        <v>0</v>
      </c>
      <c r="D97" s="187">
        <f>IFERROR(VLOOKUP(A97,'Mvmt stock'!A:B,2,0),0)</f>
        <v>0</v>
      </c>
      <c r="E97" s="188">
        <f>IFERROR(VLOOKUP(A97,'Mvmt stock'!D:E,2,0),0)</f>
        <v>0</v>
      </c>
      <c r="F97" s="188">
        <f t="shared" si="23"/>
        <v>97</v>
      </c>
      <c r="G97" s="208">
        <f>IFERROR(VLOOKUP(A97,'Mvmt stock'!G:H,2,0),0)</f>
        <v>0</v>
      </c>
      <c r="H97" s="190">
        <f>IFERROR(VLOOKUP(A97,Stock!B:C,2,0),H96)</f>
        <v>85</v>
      </c>
      <c r="I97" s="188">
        <f t="shared" si="15"/>
        <v>97</v>
      </c>
      <c r="J97" s="191">
        <f t="shared" si="28"/>
        <v>73.80952380952381</v>
      </c>
      <c r="K97" s="187">
        <f>+HLOOKUP($B97,'parametres articles'!$C$5:$G$25,5,FALSE)</f>
        <v>15</v>
      </c>
      <c r="L97" s="187">
        <f>+HLOOKUP($B97,'parametres articles'!$C$5:$G$25,21,FALSE)</f>
        <v>13</v>
      </c>
      <c r="M97" s="192">
        <f>+HLOOKUP($B97,'parametres articles'!$C$5:$G$25,7,FALSE)</f>
        <v>0.8</v>
      </c>
      <c r="N97" s="192">
        <f>+HLOOKUP($B97,'parametres articles'!$C$5:$G$25,6,FALSE)</f>
        <v>0.4</v>
      </c>
      <c r="O97" s="187">
        <f>+HLOOKUP($B97,'parametres articles'!$C$5:$G$25,8,FALSE)</f>
        <v>0</v>
      </c>
      <c r="P97" s="193">
        <f>IF(B97="E",'parametres articles'!$C$8,HLOOKUP($B97,'parametres articles'!$C$5:$F$25,4,FALSE))</f>
        <v>2.27</v>
      </c>
      <c r="Q97" s="193">
        <f t="shared" si="16"/>
        <v>2.27</v>
      </c>
      <c r="R97" s="199">
        <f t="shared" si="24"/>
        <v>13.62</v>
      </c>
      <c r="S97" s="197">
        <f t="shared" si="17"/>
        <v>24.515999999999998</v>
      </c>
      <c r="T97" s="201">
        <f t="shared" si="18"/>
        <v>58.565999999999995</v>
      </c>
      <c r="U97" s="203">
        <f t="shared" si="25"/>
        <v>72.185999999999993</v>
      </c>
      <c r="V97" s="187">
        <f t="shared" si="19"/>
        <v>24.515999999999998</v>
      </c>
      <c r="W97" s="187">
        <f t="shared" si="20"/>
        <v>34.049999999999997</v>
      </c>
      <c r="X97" s="187">
        <f t="shared" si="21"/>
        <v>13.62</v>
      </c>
      <c r="Y97" s="193">
        <f t="shared" si="22"/>
        <v>31.325999999999997</v>
      </c>
      <c r="Z97" s="194"/>
      <c r="AA97" s="195">
        <f t="shared" ca="1" si="27"/>
        <v>97</v>
      </c>
      <c r="AB97" s="195">
        <f ca="1">+AA97+'parametres articles'!$C$9-1</f>
        <v>111</v>
      </c>
      <c r="AC97" s="195">
        <f ca="1">+AA97+'parametres articles'!$C$24-1</f>
        <v>116</v>
      </c>
      <c r="AD97" s="195">
        <f ca="1">+IF(AE97&lt;='parametres articles'!$H$8,0,AA97-'parametres articles'!$H$8+1)</f>
        <v>93</v>
      </c>
      <c r="AE97" s="195">
        <v>96</v>
      </c>
      <c r="AF97" s="187" t="str">
        <f t="shared" ca="1" si="26"/>
        <v>F112</v>
      </c>
      <c r="AH97" s="178"/>
      <c r="AI97" s="178"/>
      <c r="AJ97" s="178"/>
      <c r="AK97" s="178"/>
    </row>
    <row r="98" spans="1:37" x14ac:dyDescent="0.25">
      <c r="A98" s="186">
        <v>42101</v>
      </c>
      <c r="B98" s="188" t="s">
        <v>21</v>
      </c>
      <c r="C98" s="189">
        <f ca="1">+IF(AD98=0,P98,(SUM(INDIRECT(CONCATENATE("B",AD98,":B",AA98)))/'parametres articles'!$H$8))</f>
        <v>0</v>
      </c>
      <c r="D98" s="187">
        <f>IFERROR(VLOOKUP(A98,'Mvmt stock'!A:B,2,0),0)</f>
        <v>0</v>
      </c>
      <c r="E98" s="188">
        <f>IFERROR(VLOOKUP(A98,'Mvmt stock'!D:E,2,0),0)</f>
        <v>0</v>
      </c>
      <c r="F98" s="188">
        <f t="shared" si="23"/>
        <v>97</v>
      </c>
      <c r="G98" s="208">
        <f>IFERROR(VLOOKUP(A98,'Mvmt stock'!G:H,2,0),0)</f>
        <v>0</v>
      </c>
      <c r="H98" s="190">
        <f>IFERROR(VLOOKUP(A98,Stock!B:C,2,0),H97)</f>
        <v>97</v>
      </c>
      <c r="I98" s="188">
        <f t="shared" si="15"/>
        <v>97</v>
      </c>
      <c r="J98" s="191">
        <f t="shared" si="28"/>
        <v>76</v>
      </c>
      <c r="K98" s="187">
        <f>+HLOOKUP($B98,'parametres articles'!$C$5:$G$25,5,FALSE)</f>
        <v>15</v>
      </c>
      <c r="L98" s="187">
        <f>+HLOOKUP($B98,'parametres articles'!$C$5:$G$25,21,FALSE)</f>
        <v>13</v>
      </c>
      <c r="M98" s="192">
        <f>+HLOOKUP($B98,'parametres articles'!$C$5:$G$25,7,FALSE)</f>
        <v>0.8</v>
      </c>
      <c r="N98" s="192">
        <f>+HLOOKUP($B98,'parametres articles'!$C$5:$G$25,6,FALSE)</f>
        <v>0.4</v>
      </c>
      <c r="O98" s="187">
        <f>+HLOOKUP($B98,'parametres articles'!$C$5:$G$25,8,FALSE)</f>
        <v>0</v>
      </c>
      <c r="P98" s="193">
        <f>IF(B98="E",'parametres articles'!$C$8,HLOOKUP($B98,'parametres articles'!$C$5:$F$25,4,FALSE))</f>
        <v>2.27</v>
      </c>
      <c r="Q98" s="193">
        <f t="shared" si="16"/>
        <v>2.27</v>
      </c>
      <c r="R98" s="199">
        <f t="shared" si="24"/>
        <v>13.62</v>
      </c>
      <c r="S98" s="197">
        <f t="shared" si="17"/>
        <v>24.515999999999998</v>
      </c>
      <c r="T98" s="201">
        <f t="shared" si="18"/>
        <v>58.565999999999995</v>
      </c>
      <c r="U98" s="203">
        <f t="shared" si="25"/>
        <v>72.185999999999993</v>
      </c>
      <c r="V98" s="187">
        <f t="shared" si="19"/>
        <v>24.515999999999998</v>
      </c>
      <c r="W98" s="187">
        <f t="shared" si="20"/>
        <v>34.049999999999997</v>
      </c>
      <c r="X98" s="187">
        <f t="shared" si="21"/>
        <v>13.62</v>
      </c>
      <c r="Y98" s="193">
        <f t="shared" si="22"/>
        <v>31.325999999999997</v>
      </c>
      <c r="Z98" s="194"/>
      <c r="AA98" s="195">
        <f t="shared" ca="1" si="27"/>
        <v>98</v>
      </c>
      <c r="AB98" s="195">
        <f ca="1">+AA98+'parametres articles'!$C$9-1</f>
        <v>112</v>
      </c>
      <c r="AC98" s="195">
        <f ca="1">+AA98+'parametres articles'!$C$24-1</f>
        <v>117</v>
      </c>
      <c r="AD98" s="195">
        <f ca="1">+IF(AE98&lt;='parametres articles'!$H$8,0,AA98-'parametres articles'!$H$8+1)</f>
        <v>94</v>
      </c>
      <c r="AE98" s="195">
        <v>97</v>
      </c>
      <c r="AF98" s="187" t="str">
        <f t="shared" ca="1" si="26"/>
        <v>F113</v>
      </c>
      <c r="AH98" s="178"/>
      <c r="AI98" s="178"/>
      <c r="AJ98" s="178"/>
      <c r="AK98" s="178"/>
    </row>
    <row r="99" spans="1:37" x14ac:dyDescent="0.25">
      <c r="A99" s="186">
        <v>42102</v>
      </c>
      <c r="B99" s="188" t="s">
        <v>21</v>
      </c>
      <c r="C99" s="189">
        <f ca="1">+IF(AD99=0,P99,(SUM(INDIRECT(CONCATENATE("B",AD99,":B",AA99)))/'parametres articles'!$H$8))</f>
        <v>0</v>
      </c>
      <c r="D99" s="187">
        <f>IFERROR(VLOOKUP(A99,'Mvmt stock'!A:B,2,0),0)</f>
        <v>0</v>
      </c>
      <c r="E99" s="188">
        <f>IFERROR(VLOOKUP(A99,'Mvmt stock'!D:E,2,0),0)</f>
        <v>0</v>
      </c>
      <c r="F99" s="188">
        <f t="shared" si="23"/>
        <v>97</v>
      </c>
      <c r="G99" s="208">
        <f>IFERROR(VLOOKUP(A99,'Mvmt stock'!G:H,2,0),0)</f>
        <v>0</v>
      </c>
      <c r="H99" s="190">
        <f>IFERROR(VLOOKUP(A99,Stock!B:C,2,0),H98)</f>
        <v>97</v>
      </c>
      <c r="I99" s="188">
        <f t="shared" si="15"/>
        <v>97</v>
      </c>
      <c r="J99" s="191">
        <f t="shared" si="28"/>
        <v>78.666666666666671</v>
      </c>
      <c r="K99" s="187">
        <f>+HLOOKUP($B99,'parametres articles'!$C$5:$G$25,5,FALSE)</f>
        <v>15</v>
      </c>
      <c r="L99" s="187">
        <f>+HLOOKUP($B99,'parametres articles'!$C$5:$G$25,21,FALSE)</f>
        <v>13</v>
      </c>
      <c r="M99" s="192">
        <f>+HLOOKUP($B99,'parametres articles'!$C$5:$G$25,7,FALSE)</f>
        <v>0.8</v>
      </c>
      <c r="N99" s="192">
        <f>+HLOOKUP($B99,'parametres articles'!$C$5:$G$25,6,FALSE)</f>
        <v>0.4</v>
      </c>
      <c r="O99" s="187">
        <f>+HLOOKUP($B99,'parametres articles'!$C$5:$G$25,8,FALSE)</f>
        <v>0</v>
      </c>
      <c r="P99" s="193">
        <f>IF(B99="E",'parametres articles'!$C$8,HLOOKUP($B99,'parametres articles'!$C$5:$F$25,4,FALSE))</f>
        <v>2.27</v>
      </c>
      <c r="Q99" s="193">
        <f t="shared" si="16"/>
        <v>2.27</v>
      </c>
      <c r="R99" s="199">
        <f t="shared" si="24"/>
        <v>13.62</v>
      </c>
      <c r="S99" s="197">
        <f t="shared" si="17"/>
        <v>24.515999999999998</v>
      </c>
      <c r="T99" s="201">
        <f t="shared" si="18"/>
        <v>58.565999999999995</v>
      </c>
      <c r="U99" s="203">
        <f t="shared" si="25"/>
        <v>72.185999999999993</v>
      </c>
      <c r="V99" s="187">
        <f t="shared" si="19"/>
        <v>24.515999999999998</v>
      </c>
      <c r="W99" s="187">
        <f t="shared" si="20"/>
        <v>34.049999999999997</v>
      </c>
      <c r="X99" s="187">
        <f t="shared" si="21"/>
        <v>13.62</v>
      </c>
      <c r="Y99" s="193">
        <f t="shared" si="22"/>
        <v>31.325999999999997</v>
      </c>
      <c r="Z99" s="194"/>
      <c r="AA99" s="195">
        <f t="shared" ca="1" si="27"/>
        <v>99</v>
      </c>
      <c r="AB99" s="195">
        <f ca="1">+AA99+'parametres articles'!$C$9-1</f>
        <v>113</v>
      </c>
      <c r="AC99" s="195">
        <f ca="1">+AA99+'parametres articles'!$C$24-1</f>
        <v>118</v>
      </c>
      <c r="AD99" s="195">
        <f ca="1">+IF(AE99&lt;='parametres articles'!$H$8,0,AA99-'parametres articles'!$H$8+1)</f>
        <v>95</v>
      </c>
      <c r="AE99" s="195">
        <v>98</v>
      </c>
      <c r="AF99" s="187" t="str">
        <f t="shared" ca="1" si="26"/>
        <v>F114</v>
      </c>
      <c r="AH99" s="178"/>
      <c r="AI99" s="178"/>
      <c r="AJ99" s="178"/>
      <c r="AK99" s="178"/>
    </row>
    <row r="100" spans="1:37" x14ac:dyDescent="0.25">
      <c r="A100" s="186">
        <v>42103</v>
      </c>
      <c r="B100" s="188" t="s">
        <v>21</v>
      </c>
      <c r="C100" s="189">
        <f ca="1">+IF(AD100=0,P100,(SUM(INDIRECT(CONCATENATE("B",AD100,":B",AA100)))/'parametres articles'!$H$8))</f>
        <v>0</v>
      </c>
      <c r="D100" s="187">
        <f>IFERROR(VLOOKUP(A100,'Mvmt stock'!A:B,2,0),0)</f>
        <v>0</v>
      </c>
      <c r="E100" s="188">
        <f>IFERROR(VLOOKUP(A100,'Mvmt stock'!D:E,2,0),0)</f>
        <v>0</v>
      </c>
      <c r="F100" s="188">
        <f t="shared" si="23"/>
        <v>96</v>
      </c>
      <c r="G100" s="208">
        <f>IFERROR(VLOOKUP(A100,'Mvmt stock'!G:H,2,0),0)</f>
        <v>-1</v>
      </c>
      <c r="H100" s="190">
        <f>IFERROR(VLOOKUP(A100,Stock!B:C,2,0),H99)</f>
        <v>96</v>
      </c>
      <c r="I100" s="188">
        <f t="shared" si="15"/>
        <v>96</v>
      </c>
      <c r="J100" s="191">
        <f t="shared" si="28"/>
        <v>81.428571428571431</v>
      </c>
      <c r="K100" s="187">
        <f>+HLOOKUP($B100,'parametres articles'!$C$5:$G$25,5,FALSE)</f>
        <v>15</v>
      </c>
      <c r="L100" s="187">
        <f>+HLOOKUP($B100,'parametres articles'!$C$5:$G$25,21,FALSE)</f>
        <v>13</v>
      </c>
      <c r="M100" s="192">
        <f>+HLOOKUP($B100,'parametres articles'!$C$5:$G$25,7,FALSE)</f>
        <v>0.8</v>
      </c>
      <c r="N100" s="192">
        <f>+HLOOKUP($B100,'parametres articles'!$C$5:$G$25,6,FALSE)</f>
        <v>0.4</v>
      </c>
      <c r="O100" s="187">
        <f>+HLOOKUP($B100,'parametres articles'!$C$5:$G$25,8,FALSE)</f>
        <v>0</v>
      </c>
      <c r="P100" s="193">
        <f>IF(B100="E",'parametres articles'!$C$8,HLOOKUP($B100,'parametres articles'!$C$5:$F$25,4,FALSE))</f>
        <v>2.27</v>
      </c>
      <c r="Q100" s="193">
        <f t="shared" si="16"/>
        <v>2.27</v>
      </c>
      <c r="R100" s="199">
        <f t="shared" si="24"/>
        <v>13.62</v>
      </c>
      <c r="S100" s="197">
        <f t="shared" si="17"/>
        <v>24.515999999999998</v>
      </c>
      <c r="T100" s="201">
        <f t="shared" si="18"/>
        <v>58.565999999999995</v>
      </c>
      <c r="U100" s="203">
        <f t="shared" si="25"/>
        <v>72.185999999999993</v>
      </c>
      <c r="V100" s="187">
        <f t="shared" si="19"/>
        <v>24.515999999999998</v>
      </c>
      <c r="W100" s="187">
        <f t="shared" si="20"/>
        <v>34.049999999999997</v>
      </c>
      <c r="X100" s="187">
        <f t="shared" si="21"/>
        <v>13.62</v>
      </c>
      <c r="Y100" s="193">
        <f t="shared" si="22"/>
        <v>31.325999999999997</v>
      </c>
      <c r="Z100" s="194"/>
      <c r="AA100" s="195">
        <f t="shared" ca="1" si="27"/>
        <v>100</v>
      </c>
      <c r="AB100" s="195">
        <f ca="1">+AA100+'parametres articles'!$C$9-1</f>
        <v>114</v>
      </c>
      <c r="AC100" s="195">
        <f ca="1">+AA100+'parametres articles'!$C$24-1</f>
        <v>119</v>
      </c>
      <c r="AD100" s="195">
        <f ca="1">+IF(AE100&lt;='parametres articles'!$H$8,0,AA100-'parametres articles'!$H$8+1)</f>
        <v>96</v>
      </c>
      <c r="AE100" s="195">
        <v>99</v>
      </c>
      <c r="AF100" s="187" t="str">
        <f t="shared" ca="1" si="26"/>
        <v>F115</v>
      </c>
      <c r="AG100" s="178"/>
      <c r="AH100" s="178"/>
      <c r="AI100" s="178"/>
      <c r="AJ100" s="178"/>
      <c r="AK100" s="178"/>
    </row>
    <row r="101" spans="1:37" x14ac:dyDescent="0.25">
      <c r="A101" s="186">
        <v>42104</v>
      </c>
      <c r="B101" s="188" t="s">
        <v>21</v>
      </c>
      <c r="C101" s="189">
        <f ca="1">+IF(AD101=0,P101,(SUM(INDIRECT(CONCATENATE("B",AD101,":B",AA101)))/'parametres articles'!$H$8))</f>
        <v>0</v>
      </c>
      <c r="D101" s="187">
        <f>IFERROR(VLOOKUP(A101,'Mvmt stock'!A:B,2,0),0)</f>
        <v>1</v>
      </c>
      <c r="E101" s="188">
        <f>IFERROR(VLOOKUP(A101,'Mvmt stock'!D:E,2,0),0)</f>
        <v>0</v>
      </c>
      <c r="F101" s="188">
        <f t="shared" si="23"/>
        <v>96</v>
      </c>
      <c r="G101" s="208">
        <f>IFERROR(VLOOKUP(A101,'Mvmt stock'!G:H,2,0),0)</f>
        <v>0</v>
      </c>
      <c r="H101" s="190">
        <f>IFERROR(VLOOKUP(A101,Stock!B:C,2,0),H100)</f>
        <v>96</v>
      </c>
      <c r="I101" s="188">
        <f t="shared" si="15"/>
        <v>95</v>
      </c>
      <c r="J101" s="191">
        <f t="shared" si="28"/>
        <v>84.19047619047619</v>
      </c>
      <c r="K101" s="187">
        <f>+HLOOKUP($B101,'parametres articles'!$C$5:$G$25,5,FALSE)</f>
        <v>15</v>
      </c>
      <c r="L101" s="187">
        <f>+HLOOKUP($B101,'parametres articles'!$C$5:$G$25,21,FALSE)</f>
        <v>13</v>
      </c>
      <c r="M101" s="192">
        <f>+HLOOKUP($B101,'parametres articles'!$C$5:$G$25,7,FALSE)</f>
        <v>0.8</v>
      </c>
      <c r="N101" s="192">
        <f>+HLOOKUP($B101,'parametres articles'!$C$5:$G$25,6,FALSE)</f>
        <v>0.4</v>
      </c>
      <c r="O101" s="187">
        <f>+HLOOKUP($B101,'parametres articles'!$C$5:$G$25,8,FALSE)</f>
        <v>0</v>
      </c>
      <c r="P101" s="193">
        <f>IF(B101="E",'parametres articles'!$C$8,HLOOKUP($B101,'parametres articles'!$C$5:$F$25,4,FALSE))</f>
        <v>2.27</v>
      </c>
      <c r="Q101" s="193">
        <f t="shared" si="16"/>
        <v>2.27</v>
      </c>
      <c r="R101" s="199">
        <f t="shared" si="24"/>
        <v>13.62</v>
      </c>
      <c r="S101" s="197">
        <f t="shared" si="17"/>
        <v>24.515999999999998</v>
      </c>
      <c r="T101" s="201">
        <f t="shared" si="18"/>
        <v>58.565999999999995</v>
      </c>
      <c r="U101" s="203">
        <f t="shared" si="25"/>
        <v>72.185999999999993</v>
      </c>
      <c r="V101" s="187">
        <f t="shared" si="19"/>
        <v>24.515999999999998</v>
      </c>
      <c r="W101" s="187">
        <f t="shared" si="20"/>
        <v>34.049999999999997</v>
      </c>
      <c r="X101" s="187">
        <f t="shared" si="21"/>
        <v>13.62</v>
      </c>
      <c r="Y101" s="193">
        <f t="shared" si="22"/>
        <v>31.325999999999997</v>
      </c>
      <c r="Z101" s="194"/>
      <c r="AA101" s="195">
        <f t="shared" ca="1" si="27"/>
        <v>101</v>
      </c>
      <c r="AB101" s="195">
        <f ca="1">+AA101+'parametres articles'!$C$9-1</f>
        <v>115</v>
      </c>
      <c r="AC101" s="195">
        <f ca="1">+AA101+'parametres articles'!$C$24-1</f>
        <v>120</v>
      </c>
      <c r="AD101" s="195">
        <f ca="1">+IF(AE101&lt;='parametres articles'!$H$8,0,AA101-'parametres articles'!$H$8+1)</f>
        <v>97</v>
      </c>
      <c r="AE101" s="195">
        <v>100</v>
      </c>
      <c r="AF101" s="187" t="str">
        <f t="shared" ca="1" si="26"/>
        <v>F116</v>
      </c>
      <c r="AG101" s="178"/>
      <c r="AH101" s="178"/>
      <c r="AI101" s="178"/>
      <c r="AJ101" s="178"/>
      <c r="AK101" s="178"/>
    </row>
    <row r="102" spans="1:37" x14ac:dyDescent="0.25">
      <c r="A102" s="186">
        <v>42105</v>
      </c>
      <c r="B102" s="188" t="s">
        <v>21</v>
      </c>
      <c r="C102" s="189">
        <f ca="1">+IF(AD102=0,P102,(SUM(INDIRECT(CONCATENATE("B",AD102,":B",AA102)))/'parametres articles'!$H$8))</f>
        <v>0</v>
      </c>
      <c r="D102" s="187">
        <f>IFERROR(VLOOKUP(A102,'Mvmt stock'!A:B,2,0),0)</f>
        <v>0</v>
      </c>
      <c r="E102" s="188">
        <f>IFERROR(VLOOKUP(A102,'Mvmt stock'!D:E,2,0),0)</f>
        <v>0</v>
      </c>
      <c r="F102" s="188">
        <f t="shared" si="23"/>
        <v>95</v>
      </c>
      <c r="G102" s="208">
        <f>IFERROR(VLOOKUP(A102,'Mvmt stock'!G:H,2,0),0)</f>
        <v>0</v>
      </c>
      <c r="H102" s="190">
        <f>IFERROR(VLOOKUP(A102,Stock!B:C,2,0),H101)</f>
        <v>96</v>
      </c>
      <c r="I102" s="188">
        <f t="shared" si="15"/>
        <v>95</v>
      </c>
      <c r="J102" s="191">
        <f t="shared" si="28"/>
        <v>85.952380952380949</v>
      </c>
      <c r="K102" s="187">
        <f>+HLOOKUP($B102,'parametres articles'!$C$5:$G$25,5,FALSE)</f>
        <v>15</v>
      </c>
      <c r="L102" s="187">
        <f>+HLOOKUP($B102,'parametres articles'!$C$5:$G$25,21,FALSE)</f>
        <v>13</v>
      </c>
      <c r="M102" s="192">
        <f>+HLOOKUP($B102,'parametres articles'!$C$5:$G$25,7,FALSE)</f>
        <v>0.8</v>
      </c>
      <c r="N102" s="192">
        <f>+HLOOKUP($B102,'parametres articles'!$C$5:$G$25,6,FALSE)</f>
        <v>0.4</v>
      </c>
      <c r="O102" s="187">
        <f>+HLOOKUP($B102,'parametres articles'!$C$5:$G$25,8,FALSE)</f>
        <v>0</v>
      </c>
      <c r="P102" s="193">
        <f>IF(B102="E",'parametres articles'!$C$8,HLOOKUP($B102,'parametres articles'!$C$5:$F$25,4,FALSE))</f>
        <v>2.27</v>
      </c>
      <c r="Q102" s="193">
        <f t="shared" si="16"/>
        <v>2.27</v>
      </c>
      <c r="R102" s="199">
        <f t="shared" si="24"/>
        <v>13.62</v>
      </c>
      <c r="S102" s="197">
        <f t="shared" si="17"/>
        <v>24.515999999999998</v>
      </c>
      <c r="T102" s="201">
        <f t="shared" si="18"/>
        <v>58.565999999999995</v>
      </c>
      <c r="U102" s="203">
        <f t="shared" si="25"/>
        <v>72.185999999999993</v>
      </c>
      <c r="V102" s="187">
        <f t="shared" si="19"/>
        <v>24.515999999999998</v>
      </c>
      <c r="W102" s="187">
        <f t="shared" si="20"/>
        <v>34.049999999999997</v>
      </c>
      <c r="X102" s="187">
        <f t="shared" si="21"/>
        <v>13.62</v>
      </c>
      <c r="Y102" s="193">
        <f t="shared" si="22"/>
        <v>31.325999999999997</v>
      </c>
      <c r="Z102" s="194"/>
      <c r="AA102" s="195">
        <f t="shared" ca="1" si="27"/>
        <v>102</v>
      </c>
      <c r="AB102" s="195">
        <f ca="1">+AA102+'parametres articles'!$C$9-1</f>
        <v>116</v>
      </c>
      <c r="AC102" s="195">
        <f ca="1">+AA102+'parametres articles'!$C$24-1</f>
        <v>121</v>
      </c>
      <c r="AD102" s="195">
        <f ca="1">+IF(AE102&lt;='parametres articles'!$H$8,0,AA102-'parametres articles'!$H$8+1)</f>
        <v>98</v>
      </c>
      <c r="AE102" s="195">
        <v>101</v>
      </c>
      <c r="AF102" s="187" t="str">
        <f t="shared" ca="1" si="26"/>
        <v>F117</v>
      </c>
      <c r="AG102" s="178"/>
      <c r="AH102" s="178"/>
      <c r="AI102" s="178"/>
      <c r="AJ102" s="178"/>
      <c r="AK102" s="178"/>
    </row>
    <row r="103" spans="1:37" x14ac:dyDescent="0.25">
      <c r="A103" s="186">
        <v>42106</v>
      </c>
      <c r="B103" s="188" t="s">
        <v>21</v>
      </c>
      <c r="C103" s="189">
        <f ca="1">+IF(AD103=0,P103,(SUM(INDIRECT(CONCATENATE("B",AD103,":B",AA103)))/'parametres articles'!$H$8))</f>
        <v>0</v>
      </c>
      <c r="D103" s="187">
        <f>IFERROR(VLOOKUP(A103,'Mvmt stock'!A:B,2,0),0)</f>
        <v>0</v>
      </c>
      <c r="E103" s="188">
        <f>IFERROR(VLOOKUP(A103,'Mvmt stock'!D:E,2,0),0)</f>
        <v>0</v>
      </c>
      <c r="F103" s="188">
        <f t="shared" si="23"/>
        <v>95</v>
      </c>
      <c r="G103" s="208">
        <f>IFERROR(VLOOKUP(A103,'Mvmt stock'!G:H,2,0),0)</f>
        <v>0</v>
      </c>
      <c r="H103" s="190">
        <f>IFERROR(VLOOKUP(A103,Stock!B:C,2,0),H102)</f>
        <v>96</v>
      </c>
      <c r="I103" s="188">
        <f t="shared" si="15"/>
        <v>95</v>
      </c>
      <c r="J103" s="191">
        <f t="shared" si="28"/>
        <v>87.714285714285708</v>
      </c>
      <c r="K103" s="187">
        <f>+HLOOKUP($B103,'parametres articles'!$C$5:$G$25,5,FALSE)</f>
        <v>15</v>
      </c>
      <c r="L103" s="187">
        <f>+HLOOKUP($B103,'parametres articles'!$C$5:$G$25,21,FALSE)</f>
        <v>13</v>
      </c>
      <c r="M103" s="192">
        <f>+HLOOKUP($B103,'parametres articles'!$C$5:$G$25,7,FALSE)</f>
        <v>0.8</v>
      </c>
      <c r="N103" s="192">
        <f>+HLOOKUP($B103,'parametres articles'!$C$5:$G$25,6,FALSE)</f>
        <v>0.4</v>
      </c>
      <c r="O103" s="187">
        <f>+HLOOKUP($B103,'parametres articles'!$C$5:$G$25,8,FALSE)</f>
        <v>0</v>
      </c>
      <c r="P103" s="193">
        <f>IF(B103="E",'parametres articles'!$C$8,HLOOKUP($B103,'parametres articles'!$C$5:$F$25,4,FALSE))</f>
        <v>2.27</v>
      </c>
      <c r="Q103" s="193">
        <f t="shared" si="16"/>
        <v>2.27</v>
      </c>
      <c r="R103" s="199">
        <f t="shared" si="24"/>
        <v>13.62</v>
      </c>
      <c r="S103" s="197">
        <f t="shared" si="17"/>
        <v>24.515999999999998</v>
      </c>
      <c r="T103" s="201">
        <f t="shared" si="18"/>
        <v>58.565999999999995</v>
      </c>
      <c r="U103" s="203">
        <f t="shared" si="25"/>
        <v>72.185999999999993</v>
      </c>
      <c r="V103" s="187">
        <f t="shared" si="19"/>
        <v>24.515999999999998</v>
      </c>
      <c r="W103" s="187">
        <f t="shared" si="20"/>
        <v>34.049999999999997</v>
      </c>
      <c r="X103" s="187">
        <f t="shared" si="21"/>
        <v>13.62</v>
      </c>
      <c r="Y103" s="193">
        <f t="shared" si="22"/>
        <v>31.325999999999997</v>
      </c>
      <c r="Z103" s="194"/>
      <c r="AA103" s="195">
        <f t="shared" ca="1" si="27"/>
        <v>103</v>
      </c>
      <c r="AB103" s="195">
        <f ca="1">+AA103+'parametres articles'!$C$9-1</f>
        <v>117</v>
      </c>
      <c r="AC103" s="195">
        <f ca="1">+AA103+'parametres articles'!$C$24-1</f>
        <v>122</v>
      </c>
      <c r="AD103" s="195">
        <f ca="1">+IF(AE103&lt;='parametres articles'!$H$8,0,AA103-'parametres articles'!$H$8+1)</f>
        <v>99</v>
      </c>
      <c r="AE103" s="195">
        <v>102</v>
      </c>
      <c r="AF103" s="187" t="str">
        <f t="shared" ca="1" si="26"/>
        <v>F118</v>
      </c>
      <c r="AG103" s="178"/>
      <c r="AH103" s="178"/>
      <c r="AI103" s="178"/>
      <c r="AJ103" s="178"/>
      <c r="AK103" s="178"/>
    </row>
    <row r="104" spans="1:37" x14ac:dyDescent="0.25">
      <c r="A104" s="186">
        <v>42107</v>
      </c>
      <c r="B104" s="188" t="s">
        <v>21</v>
      </c>
      <c r="C104" s="189">
        <f ca="1">+IF(AD104=0,P104,(SUM(INDIRECT(CONCATENATE("B",AD104,":B",AA104)))/'parametres articles'!$H$8))</f>
        <v>0</v>
      </c>
      <c r="D104" s="187">
        <f>IFERROR(VLOOKUP(A104,'Mvmt stock'!A:B,2,0),0)</f>
        <v>2</v>
      </c>
      <c r="E104" s="188">
        <f>IFERROR(VLOOKUP(A104,'Mvmt stock'!D:E,2,0),0)</f>
        <v>0</v>
      </c>
      <c r="F104" s="188">
        <f t="shared" si="23"/>
        <v>95</v>
      </c>
      <c r="G104" s="208">
        <f>IFERROR(VLOOKUP(A104,'Mvmt stock'!G:H,2,0),0)</f>
        <v>0</v>
      </c>
      <c r="H104" s="190">
        <f>IFERROR(VLOOKUP(A104,Stock!B:C,2,0),H103)</f>
        <v>95</v>
      </c>
      <c r="I104" s="188">
        <f t="shared" si="15"/>
        <v>93</v>
      </c>
      <c r="J104" s="191">
        <f t="shared" si="28"/>
        <v>89.476190476190482</v>
      </c>
      <c r="K104" s="187">
        <f>+HLOOKUP($B104,'parametres articles'!$C$5:$G$25,5,FALSE)</f>
        <v>15</v>
      </c>
      <c r="L104" s="187">
        <f>+HLOOKUP($B104,'parametres articles'!$C$5:$G$25,21,FALSE)</f>
        <v>13</v>
      </c>
      <c r="M104" s="192">
        <f>+HLOOKUP($B104,'parametres articles'!$C$5:$G$25,7,FALSE)</f>
        <v>0.8</v>
      </c>
      <c r="N104" s="192">
        <f>+HLOOKUP($B104,'parametres articles'!$C$5:$G$25,6,FALSE)</f>
        <v>0.4</v>
      </c>
      <c r="O104" s="187">
        <f>+HLOOKUP($B104,'parametres articles'!$C$5:$G$25,8,FALSE)</f>
        <v>0</v>
      </c>
      <c r="P104" s="193">
        <f>IF(B104="E",'parametres articles'!$C$8,HLOOKUP($B104,'parametres articles'!$C$5:$F$25,4,FALSE))</f>
        <v>2.27</v>
      </c>
      <c r="Q104" s="193">
        <f t="shared" si="16"/>
        <v>2.27</v>
      </c>
      <c r="R104" s="199">
        <f t="shared" si="24"/>
        <v>13.62</v>
      </c>
      <c r="S104" s="197">
        <f t="shared" si="17"/>
        <v>24.515999999999998</v>
      </c>
      <c r="T104" s="201">
        <f t="shared" si="18"/>
        <v>58.565999999999995</v>
      </c>
      <c r="U104" s="203">
        <f t="shared" si="25"/>
        <v>72.185999999999993</v>
      </c>
      <c r="V104" s="187">
        <f t="shared" si="19"/>
        <v>24.515999999999998</v>
      </c>
      <c r="W104" s="187">
        <f t="shared" si="20"/>
        <v>34.049999999999997</v>
      </c>
      <c r="X104" s="187">
        <f t="shared" si="21"/>
        <v>13.62</v>
      </c>
      <c r="Y104" s="193">
        <f t="shared" si="22"/>
        <v>31.325999999999997</v>
      </c>
      <c r="Z104" s="194"/>
      <c r="AA104" s="195">
        <f t="shared" ca="1" si="27"/>
        <v>104</v>
      </c>
      <c r="AB104" s="195">
        <f ca="1">+AA104+'parametres articles'!$C$9-1</f>
        <v>118</v>
      </c>
      <c r="AC104" s="195">
        <f ca="1">+AA104+'parametres articles'!$C$24-1</f>
        <v>123</v>
      </c>
      <c r="AD104" s="195">
        <f ca="1">+IF(AE104&lt;='parametres articles'!$H$8,0,AA104-'parametres articles'!$H$8+1)</f>
        <v>100</v>
      </c>
      <c r="AE104" s="195">
        <v>103</v>
      </c>
      <c r="AF104" s="187" t="str">
        <f t="shared" ca="1" si="26"/>
        <v>F119</v>
      </c>
      <c r="AG104" s="181"/>
      <c r="AH104" s="178"/>
      <c r="AI104" s="178"/>
      <c r="AJ104" s="178"/>
      <c r="AK104" s="178"/>
    </row>
    <row r="105" spans="1:37" x14ac:dyDescent="0.25">
      <c r="A105" s="186">
        <v>42108</v>
      </c>
      <c r="B105" s="188" t="s">
        <v>21</v>
      </c>
      <c r="C105" s="189">
        <f ca="1">+IF(AD105=0,P105,(SUM(INDIRECT(CONCATENATE("B",AD105,":B",AA105)))/'parametres articles'!$H$8))</f>
        <v>0</v>
      </c>
      <c r="D105" s="187">
        <f>IFERROR(VLOOKUP(A105,'Mvmt stock'!A:B,2,0),0)</f>
        <v>0</v>
      </c>
      <c r="E105" s="188">
        <f>IFERROR(VLOOKUP(A105,'Mvmt stock'!D:E,2,0),0)</f>
        <v>0</v>
      </c>
      <c r="F105" s="188">
        <f t="shared" si="23"/>
        <v>93</v>
      </c>
      <c r="G105" s="208">
        <f>IFERROR(VLOOKUP(A105,'Mvmt stock'!G:H,2,0),0)</f>
        <v>0</v>
      </c>
      <c r="H105" s="190">
        <f>IFERROR(VLOOKUP(A105,Stock!B:C,2,0),H104)</f>
        <v>93</v>
      </c>
      <c r="I105" s="188">
        <f t="shared" si="15"/>
        <v>93</v>
      </c>
      <c r="J105" s="191">
        <f t="shared" si="28"/>
        <v>91.238095238095241</v>
      </c>
      <c r="K105" s="187">
        <f>+HLOOKUP($B105,'parametres articles'!$C$5:$G$25,5,FALSE)</f>
        <v>15</v>
      </c>
      <c r="L105" s="187">
        <f>+HLOOKUP($B105,'parametres articles'!$C$5:$G$25,21,FALSE)</f>
        <v>13</v>
      </c>
      <c r="M105" s="192">
        <f>+HLOOKUP($B105,'parametres articles'!$C$5:$G$25,7,FALSE)</f>
        <v>0.8</v>
      </c>
      <c r="N105" s="192">
        <f>+HLOOKUP($B105,'parametres articles'!$C$5:$G$25,6,FALSE)</f>
        <v>0.4</v>
      </c>
      <c r="O105" s="187">
        <f>+HLOOKUP($B105,'parametres articles'!$C$5:$G$25,8,FALSE)</f>
        <v>0</v>
      </c>
      <c r="P105" s="193">
        <f>IF(B105="E",'parametres articles'!$C$8,HLOOKUP($B105,'parametres articles'!$C$5:$F$25,4,FALSE))</f>
        <v>2.27</v>
      </c>
      <c r="Q105" s="193">
        <f t="shared" si="16"/>
        <v>2.27</v>
      </c>
      <c r="R105" s="199">
        <f t="shared" si="24"/>
        <v>13.62</v>
      </c>
      <c r="S105" s="197">
        <f t="shared" si="17"/>
        <v>24.515999999999998</v>
      </c>
      <c r="T105" s="201">
        <f t="shared" si="18"/>
        <v>58.565999999999995</v>
      </c>
      <c r="U105" s="203">
        <f t="shared" si="25"/>
        <v>72.185999999999993</v>
      </c>
      <c r="V105" s="187">
        <f t="shared" si="19"/>
        <v>24.515999999999998</v>
      </c>
      <c r="W105" s="187">
        <f t="shared" si="20"/>
        <v>34.049999999999997</v>
      </c>
      <c r="X105" s="187">
        <f t="shared" si="21"/>
        <v>13.62</v>
      </c>
      <c r="Y105" s="193">
        <f t="shared" si="22"/>
        <v>31.325999999999997</v>
      </c>
      <c r="Z105" s="194"/>
      <c r="AA105" s="195">
        <f t="shared" ca="1" si="27"/>
        <v>105</v>
      </c>
      <c r="AB105" s="195">
        <f ca="1">+AA105+'parametres articles'!$C$9-1</f>
        <v>119</v>
      </c>
      <c r="AC105" s="195">
        <f ca="1">+AA105+'parametres articles'!$C$24-1</f>
        <v>124</v>
      </c>
      <c r="AD105" s="195">
        <f ca="1">+IF(AE105&lt;='parametres articles'!$H$8,0,AA105-'parametres articles'!$H$8+1)</f>
        <v>101</v>
      </c>
      <c r="AE105" s="195">
        <v>104</v>
      </c>
      <c r="AF105" s="187" t="str">
        <f t="shared" ca="1" si="26"/>
        <v>F120</v>
      </c>
      <c r="AG105" s="181"/>
      <c r="AH105" s="178"/>
      <c r="AI105" s="178"/>
      <c r="AJ105" s="178"/>
      <c r="AK105" s="178"/>
    </row>
    <row r="106" spans="1:37" x14ac:dyDescent="0.25">
      <c r="A106" s="186">
        <v>42109</v>
      </c>
      <c r="B106" s="188" t="s">
        <v>21</v>
      </c>
      <c r="C106" s="189">
        <f ca="1">+IF(AD106=0,P106,(SUM(INDIRECT(CONCATENATE("B",AD106,":B",AA106)))/'parametres articles'!$H$8))</f>
        <v>0</v>
      </c>
      <c r="D106" s="187">
        <f>IFERROR(VLOOKUP(A106,'Mvmt stock'!A:B,2,0),0)</f>
        <v>0</v>
      </c>
      <c r="E106" s="188">
        <f>IFERROR(VLOOKUP(A106,'Mvmt stock'!D:E,2,0),0)</f>
        <v>0</v>
      </c>
      <c r="F106" s="188">
        <f t="shared" si="23"/>
        <v>93</v>
      </c>
      <c r="G106" s="208">
        <f>IFERROR(VLOOKUP(A106,'Mvmt stock'!G:H,2,0),0)</f>
        <v>0</v>
      </c>
      <c r="H106" s="190">
        <f>IFERROR(VLOOKUP(A106,Stock!B:C,2,0),H105)</f>
        <v>93</v>
      </c>
      <c r="I106" s="188">
        <f t="shared" si="15"/>
        <v>93</v>
      </c>
      <c r="J106" s="191">
        <f t="shared" si="28"/>
        <v>93</v>
      </c>
      <c r="K106" s="187">
        <f>+HLOOKUP($B106,'parametres articles'!$C$5:$G$25,5,FALSE)</f>
        <v>15</v>
      </c>
      <c r="L106" s="187">
        <f>+HLOOKUP($B106,'parametres articles'!$C$5:$G$25,21,FALSE)</f>
        <v>13</v>
      </c>
      <c r="M106" s="192">
        <f>+HLOOKUP($B106,'parametres articles'!$C$5:$G$25,7,FALSE)</f>
        <v>0.8</v>
      </c>
      <c r="N106" s="192">
        <f>+HLOOKUP($B106,'parametres articles'!$C$5:$G$25,6,FALSE)</f>
        <v>0.4</v>
      </c>
      <c r="O106" s="187">
        <f>+HLOOKUP($B106,'parametres articles'!$C$5:$G$25,8,FALSE)</f>
        <v>0</v>
      </c>
      <c r="P106" s="193">
        <f>IF(B106="E",'parametres articles'!$C$8,HLOOKUP($B106,'parametres articles'!$C$5:$F$25,4,FALSE))</f>
        <v>2.27</v>
      </c>
      <c r="Q106" s="193">
        <f t="shared" si="16"/>
        <v>2.27</v>
      </c>
      <c r="R106" s="199">
        <f t="shared" si="24"/>
        <v>13.62</v>
      </c>
      <c r="S106" s="197">
        <f t="shared" si="17"/>
        <v>24.515999999999998</v>
      </c>
      <c r="T106" s="201">
        <f t="shared" si="18"/>
        <v>58.565999999999995</v>
      </c>
      <c r="U106" s="203">
        <f t="shared" si="25"/>
        <v>72.185999999999993</v>
      </c>
      <c r="V106" s="187">
        <f t="shared" si="19"/>
        <v>24.515999999999998</v>
      </c>
      <c r="W106" s="187">
        <f t="shared" si="20"/>
        <v>34.049999999999997</v>
      </c>
      <c r="X106" s="187">
        <f t="shared" si="21"/>
        <v>13.62</v>
      </c>
      <c r="Y106" s="193">
        <f t="shared" si="22"/>
        <v>31.325999999999997</v>
      </c>
      <c r="Z106" s="194"/>
      <c r="AA106" s="195">
        <f t="shared" ca="1" si="27"/>
        <v>106</v>
      </c>
      <c r="AB106" s="195">
        <f ca="1">+AA106+'parametres articles'!$C$9-1</f>
        <v>120</v>
      </c>
      <c r="AC106" s="195">
        <f ca="1">+AA106+'parametres articles'!$C$24-1</f>
        <v>125</v>
      </c>
      <c r="AD106" s="195">
        <f ca="1">+IF(AE106&lt;='parametres articles'!$H$8,0,AA106-'parametres articles'!$H$8+1)</f>
        <v>102</v>
      </c>
      <c r="AE106" s="195">
        <v>105</v>
      </c>
      <c r="AF106" s="187" t="str">
        <f t="shared" ca="1" si="26"/>
        <v>F121</v>
      </c>
      <c r="AH106" s="178"/>
      <c r="AI106" s="178"/>
      <c r="AJ106" s="178"/>
      <c r="AK106" s="178"/>
    </row>
    <row r="107" spans="1:37" x14ac:dyDescent="0.25">
      <c r="A107" s="186">
        <v>42110</v>
      </c>
      <c r="B107" s="188" t="s">
        <v>21</v>
      </c>
      <c r="C107" s="189">
        <f ca="1">+IF(AD107=0,P107,(SUM(INDIRECT(CONCATENATE("B",AD107,":B",AA107)))/'parametres articles'!$H$8))</f>
        <v>0</v>
      </c>
      <c r="D107" s="187">
        <f>IFERROR(VLOOKUP(A107,'Mvmt stock'!A:B,2,0),0)</f>
        <v>1</v>
      </c>
      <c r="E107" s="188">
        <f>IFERROR(VLOOKUP(A107,'Mvmt stock'!D:E,2,0),0)</f>
        <v>0</v>
      </c>
      <c r="F107" s="188">
        <f t="shared" si="23"/>
        <v>89</v>
      </c>
      <c r="G107" s="208">
        <f>IFERROR(VLOOKUP(A107,'Mvmt stock'!G:H,2,0),0)</f>
        <v>-4</v>
      </c>
      <c r="H107" s="190">
        <f>IFERROR(VLOOKUP(A107,Stock!B:C,2,0),H106)</f>
        <v>89</v>
      </c>
      <c r="I107" s="188">
        <f t="shared" si="15"/>
        <v>88</v>
      </c>
      <c r="J107" s="191">
        <f t="shared" si="28"/>
        <v>94.857142857142861</v>
      </c>
      <c r="K107" s="187">
        <f>+HLOOKUP($B107,'parametres articles'!$C$5:$G$25,5,FALSE)</f>
        <v>15</v>
      </c>
      <c r="L107" s="187">
        <f>+HLOOKUP($B107,'parametres articles'!$C$5:$G$25,21,FALSE)</f>
        <v>13</v>
      </c>
      <c r="M107" s="192">
        <f>+HLOOKUP($B107,'parametres articles'!$C$5:$G$25,7,FALSE)</f>
        <v>0.8</v>
      </c>
      <c r="N107" s="192">
        <f>+HLOOKUP($B107,'parametres articles'!$C$5:$G$25,6,FALSE)</f>
        <v>0.4</v>
      </c>
      <c r="O107" s="187">
        <f>+HLOOKUP($B107,'parametres articles'!$C$5:$G$25,8,FALSE)</f>
        <v>0</v>
      </c>
      <c r="P107" s="193">
        <f>IF(B107="E",'parametres articles'!$C$8,HLOOKUP($B107,'parametres articles'!$C$5:$F$25,4,FALSE))</f>
        <v>2.27</v>
      </c>
      <c r="Q107" s="193">
        <f t="shared" si="16"/>
        <v>2.27</v>
      </c>
      <c r="R107" s="199">
        <f t="shared" si="24"/>
        <v>13.62</v>
      </c>
      <c r="S107" s="197">
        <f t="shared" si="17"/>
        <v>24.515999999999998</v>
      </c>
      <c r="T107" s="201">
        <f t="shared" si="18"/>
        <v>58.565999999999995</v>
      </c>
      <c r="U107" s="203">
        <f t="shared" si="25"/>
        <v>72.185999999999993</v>
      </c>
      <c r="V107" s="187">
        <f t="shared" si="19"/>
        <v>24.515999999999998</v>
      </c>
      <c r="W107" s="187">
        <f t="shared" si="20"/>
        <v>34.049999999999997</v>
      </c>
      <c r="X107" s="187">
        <f t="shared" si="21"/>
        <v>13.62</v>
      </c>
      <c r="Y107" s="193">
        <f t="shared" si="22"/>
        <v>31.325999999999997</v>
      </c>
      <c r="Z107" s="194"/>
      <c r="AA107" s="195">
        <f t="shared" ca="1" si="27"/>
        <v>107</v>
      </c>
      <c r="AB107" s="195">
        <f ca="1">+AA107+'parametres articles'!$C$9-1</f>
        <v>121</v>
      </c>
      <c r="AC107" s="195">
        <f ca="1">+AA107+'parametres articles'!$C$24-1</f>
        <v>126</v>
      </c>
      <c r="AD107" s="195">
        <f ca="1">+IF(AE107&lt;='parametres articles'!$H$8,0,AA107-'parametres articles'!$H$8+1)</f>
        <v>103</v>
      </c>
      <c r="AE107" s="195">
        <v>106</v>
      </c>
      <c r="AF107" s="187" t="str">
        <f t="shared" ca="1" si="26"/>
        <v>F122</v>
      </c>
      <c r="AH107" s="178"/>
      <c r="AI107" s="178"/>
      <c r="AJ107" s="178"/>
      <c r="AK107" s="178"/>
    </row>
    <row r="108" spans="1:37" x14ac:dyDescent="0.25">
      <c r="A108" s="186">
        <v>42111</v>
      </c>
      <c r="B108" s="188" t="s">
        <v>21</v>
      </c>
      <c r="C108" s="189">
        <f ca="1">+IF(AD108=0,P108,(SUM(INDIRECT(CONCATENATE("B",AD108,":B",AA108)))/'parametres articles'!$H$8))</f>
        <v>0</v>
      </c>
      <c r="D108" s="187">
        <f>IFERROR(VLOOKUP(A108,'Mvmt stock'!A:B,2,0),0)</f>
        <v>1</v>
      </c>
      <c r="E108" s="188">
        <f>IFERROR(VLOOKUP(A108,'Mvmt stock'!D:E,2,0),0)</f>
        <v>11</v>
      </c>
      <c r="F108" s="188">
        <f t="shared" si="23"/>
        <v>82</v>
      </c>
      <c r="G108" s="208">
        <f>IFERROR(VLOOKUP(A108,'Mvmt stock'!G:H,2,0),0)</f>
        <v>-6</v>
      </c>
      <c r="H108" s="190">
        <f>IFERROR(VLOOKUP(A108,Stock!B:C,2,0),H107)</f>
        <v>84</v>
      </c>
      <c r="I108" s="188">
        <f t="shared" si="15"/>
        <v>92</v>
      </c>
      <c r="J108" s="191">
        <f t="shared" si="28"/>
        <v>96.38095238095238</v>
      </c>
      <c r="K108" s="187">
        <f>+HLOOKUP($B108,'parametres articles'!$C$5:$G$25,5,FALSE)</f>
        <v>15</v>
      </c>
      <c r="L108" s="187">
        <f>+HLOOKUP($B108,'parametres articles'!$C$5:$G$25,21,FALSE)</f>
        <v>13</v>
      </c>
      <c r="M108" s="192">
        <f>+HLOOKUP($B108,'parametres articles'!$C$5:$G$25,7,FALSE)</f>
        <v>0.8</v>
      </c>
      <c r="N108" s="192">
        <f>+HLOOKUP($B108,'parametres articles'!$C$5:$G$25,6,FALSE)</f>
        <v>0.4</v>
      </c>
      <c r="O108" s="187">
        <f>+HLOOKUP($B108,'parametres articles'!$C$5:$G$25,8,FALSE)</f>
        <v>0</v>
      </c>
      <c r="P108" s="193">
        <f>IF(B108="E",'parametres articles'!$C$8,HLOOKUP($B108,'parametres articles'!$C$5:$F$25,4,FALSE))</f>
        <v>2.27</v>
      </c>
      <c r="Q108" s="193">
        <f t="shared" si="16"/>
        <v>2.27</v>
      </c>
      <c r="R108" s="199">
        <f t="shared" si="24"/>
        <v>13.62</v>
      </c>
      <c r="S108" s="197">
        <f t="shared" si="17"/>
        <v>24.515999999999998</v>
      </c>
      <c r="T108" s="201">
        <f t="shared" si="18"/>
        <v>58.565999999999995</v>
      </c>
      <c r="U108" s="203">
        <f t="shared" si="25"/>
        <v>72.185999999999993</v>
      </c>
      <c r="V108" s="187">
        <f t="shared" si="19"/>
        <v>24.515999999999998</v>
      </c>
      <c r="W108" s="187">
        <f t="shared" si="20"/>
        <v>34.049999999999997</v>
      </c>
      <c r="X108" s="187">
        <f t="shared" si="21"/>
        <v>13.62</v>
      </c>
      <c r="Y108" s="193">
        <f t="shared" si="22"/>
        <v>31.325999999999997</v>
      </c>
      <c r="Z108" s="194"/>
      <c r="AA108" s="195">
        <f t="shared" ca="1" si="27"/>
        <v>108</v>
      </c>
      <c r="AB108" s="195">
        <f ca="1">+AA108+'parametres articles'!$C$9-1</f>
        <v>122</v>
      </c>
      <c r="AC108" s="195">
        <f ca="1">+AA108+'parametres articles'!$C$24-1</f>
        <v>127</v>
      </c>
      <c r="AD108" s="195">
        <f ca="1">+IF(AE108&lt;='parametres articles'!$H$8,0,AA108-'parametres articles'!$H$8+1)</f>
        <v>104</v>
      </c>
      <c r="AE108" s="195">
        <v>107</v>
      </c>
      <c r="AF108" s="187" t="str">
        <f t="shared" ca="1" si="26"/>
        <v>F123</v>
      </c>
      <c r="AH108" s="178"/>
      <c r="AI108" s="178"/>
      <c r="AJ108" s="178"/>
      <c r="AK108" s="178"/>
    </row>
    <row r="109" spans="1:37" x14ac:dyDescent="0.25">
      <c r="A109" s="186">
        <v>42112</v>
      </c>
      <c r="B109" s="188" t="s">
        <v>21</v>
      </c>
      <c r="C109" s="189">
        <f ca="1">+IF(AD109=0,P109,(SUM(INDIRECT(CONCATENATE("B",AD109,":B",AA109)))/'parametres articles'!$H$8))</f>
        <v>0</v>
      </c>
      <c r="D109" s="187">
        <f>IFERROR(VLOOKUP(A109,'Mvmt stock'!A:B,2,0),0)</f>
        <v>0</v>
      </c>
      <c r="E109" s="188">
        <f>IFERROR(VLOOKUP(A109,'Mvmt stock'!D:E,2,0),0)</f>
        <v>0</v>
      </c>
      <c r="F109" s="188">
        <f t="shared" si="23"/>
        <v>92</v>
      </c>
      <c r="G109" s="208">
        <f>IFERROR(VLOOKUP(A109,'Mvmt stock'!G:H,2,0),0)</f>
        <v>0</v>
      </c>
      <c r="H109" s="190">
        <f>IFERROR(VLOOKUP(A109,Stock!B:C,2,0),H108)</f>
        <v>84</v>
      </c>
      <c r="I109" s="188">
        <f t="shared" si="15"/>
        <v>92</v>
      </c>
      <c r="J109" s="191">
        <f t="shared" si="28"/>
        <v>95</v>
      </c>
      <c r="K109" s="187">
        <f>+HLOOKUP($B109,'parametres articles'!$C$5:$G$25,5,FALSE)</f>
        <v>15</v>
      </c>
      <c r="L109" s="187">
        <f>+HLOOKUP($B109,'parametres articles'!$C$5:$G$25,21,FALSE)</f>
        <v>13</v>
      </c>
      <c r="M109" s="192">
        <f>+HLOOKUP($B109,'parametres articles'!$C$5:$G$25,7,FALSE)</f>
        <v>0.8</v>
      </c>
      <c r="N109" s="192">
        <f>+HLOOKUP($B109,'parametres articles'!$C$5:$G$25,6,FALSE)</f>
        <v>0.4</v>
      </c>
      <c r="O109" s="187">
        <f>+HLOOKUP($B109,'parametres articles'!$C$5:$G$25,8,FALSE)</f>
        <v>0</v>
      </c>
      <c r="P109" s="193">
        <f>IF(B109="E",'parametres articles'!$C$8,HLOOKUP($B109,'parametres articles'!$C$5:$F$25,4,FALSE))</f>
        <v>2.27</v>
      </c>
      <c r="Q109" s="193">
        <f t="shared" si="16"/>
        <v>2.27</v>
      </c>
      <c r="R109" s="199">
        <f t="shared" si="24"/>
        <v>13.62</v>
      </c>
      <c r="S109" s="197">
        <f t="shared" si="17"/>
        <v>24.515999999999998</v>
      </c>
      <c r="T109" s="201">
        <f t="shared" si="18"/>
        <v>58.565999999999995</v>
      </c>
      <c r="U109" s="203">
        <f t="shared" si="25"/>
        <v>72.185999999999993</v>
      </c>
      <c r="V109" s="187">
        <f t="shared" si="19"/>
        <v>24.515999999999998</v>
      </c>
      <c r="W109" s="187">
        <f t="shared" si="20"/>
        <v>34.049999999999997</v>
      </c>
      <c r="X109" s="187">
        <f t="shared" si="21"/>
        <v>13.62</v>
      </c>
      <c r="Y109" s="193">
        <f t="shared" si="22"/>
        <v>31.325999999999997</v>
      </c>
      <c r="Z109" s="194"/>
      <c r="AA109" s="195">
        <f t="shared" ca="1" si="27"/>
        <v>109</v>
      </c>
      <c r="AB109" s="195">
        <f ca="1">+AA109+'parametres articles'!$C$9-1</f>
        <v>123</v>
      </c>
      <c r="AC109" s="195">
        <f ca="1">+AA109+'parametres articles'!$C$24-1</f>
        <v>128</v>
      </c>
      <c r="AD109" s="195">
        <f ca="1">+IF(AE109&lt;='parametres articles'!$H$8,0,AA109-'parametres articles'!$H$8+1)</f>
        <v>105</v>
      </c>
      <c r="AE109" s="195">
        <v>108</v>
      </c>
      <c r="AF109" s="187" t="str">
        <f t="shared" ca="1" si="26"/>
        <v>F124</v>
      </c>
      <c r="AH109" s="178"/>
      <c r="AI109" s="178"/>
      <c r="AJ109" s="178"/>
      <c r="AK109" s="178"/>
    </row>
    <row r="110" spans="1:37" x14ac:dyDescent="0.25">
      <c r="A110" s="186">
        <v>42113</v>
      </c>
      <c r="B110" s="188" t="s">
        <v>21</v>
      </c>
      <c r="C110" s="189">
        <f ca="1">+IF(AD110=0,P110,(SUM(INDIRECT(CONCATENATE("B",AD110,":B",AA110)))/'parametres articles'!$H$8))</f>
        <v>0</v>
      </c>
      <c r="D110" s="187">
        <f>IFERROR(VLOOKUP(A110,'Mvmt stock'!A:B,2,0),0)</f>
        <v>0</v>
      </c>
      <c r="E110" s="188">
        <f>IFERROR(VLOOKUP(A110,'Mvmt stock'!D:E,2,0),0)</f>
        <v>0</v>
      </c>
      <c r="F110" s="188">
        <f t="shared" si="23"/>
        <v>92</v>
      </c>
      <c r="G110" s="208">
        <f>IFERROR(VLOOKUP(A110,'Mvmt stock'!G:H,2,0),0)</f>
        <v>0</v>
      </c>
      <c r="H110" s="190">
        <f>IFERROR(VLOOKUP(A110,Stock!B:C,2,0),H109)</f>
        <v>84</v>
      </c>
      <c r="I110" s="188">
        <f t="shared" si="15"/>
        <v>92</v>
      </c>
      <c r="J110" s="191">
        <f t="shared" si="28"/>
        <v>93.61904761904762</v>
      </c>
      <c r="K110" s="187">
        <f>+HLOOKUP($B110,'parametres articles'!$C$5:$G$25,5,FALSE)</f>
        <v>15</v>
      </c>
      <c r="L110" s="187">
        <f>+HLOOKUP($B110,'parametres articles'!$C$5:$G$25,21,FALSE)</f>
        <v>13</v>
      </c>
      <c r="M110" s="192">
        <f>+HLOOKUP($B110,'parametres articles'!$C$5:$G$25,7,FALSE)</f>
        <v>0.8</v>
      </c>
      <c r="N110" s="192">
        <f>+HLOOKUP($B110,'parametres articles'!$C$5:$G$25,6,FALSE)</f>
        <v>0.4</v>
      </c>
      <c r="O110" s="187">
        <f>+HLOOKUP($B110,'parametres articles'!$C$5:$G$25,8,FALSE)</f>
        <v>0</v>
      </c>
      <c r="P110" s="193">
        <f>IF(B110="E",'parametres articles'!$C$8,HLOOKUP($B110,'parametres articles'!$C$5:$F$25,4,FALSE))</f>
        <v>2.27</v>
      </c>
      <c r="Q110" s="193">
        <f t="shared" si="16"/>
        <v>2.27</v>
      </c>
      <c r="R110" s="199">
        <f t="shared" si="24"/>
        <v>13.62</v>
      </c>
      <c r="S110" s="197">
        <f t="shared" si="17"/>
        <v>24.515999999999998</v>
      </c>
      <c r="T110" s="201">
        <f t="shared" si="18"/>
        <v>58.565999999999995</v>
      </c>
      <c r="U110" s="203">
        <f t="shared" si="25"/>
        <v>72.185999999999993</v>
      </c>
      <c r="V110" s="187">
        <f t="shared" si="19"/>
        <v>24.515999999999998</v>
      </c>
      <c r="W110" s="187">
        <f t="shared" si="20"/>
        <v>34.049999999999997</v>
      </c>
      <c r="X110" s="187">
        <f t="shared" si="21"/>
        <v>13.62</v>
      </c>
      <c r="Y110" s="193">
        <f t="shared" si="22"/>
        <v>31.325999999999997</v>
      </c>
      <c r="Z110" s="194"/>
      <c r="AA110" s="195">
        <f t="shared" ca="1" si="27"/>
        <v>110</v>
      </c>
      <c r="AB110" s="195">
        <f ca="1">+AA110+'parametres articles'!$C$9-1</f>
        <v>124</v>
      </c>
      <c r="AC110" s="195">
        <f ca="1">+AA110+'parametres articles'!$C$24-1</f>
        <v>129</v>
      </c>
      <c r="AD110" s="195">
        <f ca="1">+IF(AE110&lt;='parametres articles'!$H$8,0,AA110-'parametres articles'!$H$8+1)</f>
        <v>106</v>
      </c>
      <c r="AE110" s="195">
        <v>109</v>
      </c>
      <c r="AF110" s="187" t="str">
        <f t="shared" ca="1" si="26"/>
        <v>F125</v>
      </c>
      <c r="AH110" s="178"/>
      <c r="AI110" s="178"/>
      <c r="AJ110" s="178"/>
      <c r="AK110" s="178"/>
    </row>
    <row r="111" spans="1:37" x14ac:dyDescent="0.25">
      <c r="A111" s="186">
        <v>42114</v>
      </c>
      <c r="B111" s="188" t="s">
        <v>21</v>
      </c>
      <c r="C111" s="189">
        <f ca="1">+IF(AD111=0,P111,(SUM(INDIRECT(CONCATENATE("B",AD111,":B",AA111)))/'parametres articles'!$H$8))</f>
        <v>0</v>
      </c>
      <c r="D111" s="187">
        <f>IFERROR(VLOOKUP(A111,'Mvmt stock'!A:B,2,0),0)</f>
        <v>0</v>
      </c>
      <c r="E111" s="188">
        <f>IFERROR(VLOOKUP(A111,'Mvmt stock'!D:E,2,0),0)</f>
        <v>0</v>
      </c>
      <c r="F111" s="188">
        <f t="shared" si="23"/>
        <v>92</v>
      </c>
      <c r="G111" s="208">
        <f>IFERROR(VLOOKUP(A111,'Mvmt stock'!G:H,2,0),0)</f>
        <v>0</v>
      </c>
      <c r="H111" s="190">
        <f>IFERROR(VLOOKUP(A111,Stock!B:C,2,0),H110)</f>
        <v>94</v>
      </c>
      <c r="I111" s="188">
        <f t="shared" si="15"/>
        <v>92</v>
      </c>
      <c r="J111" s="191">
        <f t="shared" si="28"/>
        <v>92.238095238095241</v>
      </c>
      <c r="K111" s="187">
        <f>+HLOOKUP($B111,'parametres articles'!$C$5:$G$25,5,FALSE)</f>
        <v>15</v>
      </c>
      <c r="L111" s="187">
        <f>+HLOOKUP($B111,'parametres articles'!$C$5:$G$25,21,FALSE)</f>
        <v>13</v>
      </c>
      <c r="M111" s="192">
        <f>+HLOOKUP($B111,'parametres articles'!$C$5:$G$25,7,FALSE)</f>
        <v>0.8</v>
      </c>
      <c r="N111" s="192">
        <f>+HLOOKUP($B111,'parametres articles'!$C$5:$G$25,6,FALSE)</f>
        <v>0.4</v>
      </c>
      <c r="O111" s="187">
        <f>+HLOOKUP($B111,'parametres articles'!$C$5:$G$25,8,FALSE)</f>
        <v>0</v>
      </c>
      <c r="P111" s="193">
        <f>IF(B111="E",'parametres articles'!$C$8,HLOOKUP($B111,'parametres articles'!$C$5:$F$25,4,FALSE))</f>
        <v>2.27</v>
      </c>
      <c r="Q111" s="193">
        <f t="shared" si="16"/>
        <v>2.27</v>
      </c>
      <c r="R111" s="199">
        <f t="shared" si="24"/>
        <v>13.62</v>
      </c>
      <c r="S111" s="197">
        <f t="shared" si="17"/>
        <v>24.515999999999998</v>
      </c>
      <c r="T111" s="201">
        <f t="shared" si="18"/>
        <v>58.565999999999995</v>
      </c>
      <c r="U111" s="203">
        <f t="shared" si="25"/>
        <v>72.185999999999993</v>
      </c>
      <c r="V111" s="187">
        <f t="shared" si="19"/>
        <v>24.515999999999998</v>
      </c>
      <c r="W111" s="187">
        <f t="shared" si="20"/>
        <v>34.049999999999997</v>
      </c>
      <c r="X111" s="187">
        <f t="shared" si="21"/>
        <v>13.62</v>
      </c>
      <c r="Y111" s="193">
        <f t="shared" si="22"/>
        <v>31.325999999999997</v>
      </c>
      <c r="Z111" s="194"/>
      <c r="AA111" s="195">
        <f t="shared" ca="1" si="27"/>
        <v>111</v>
      </c>
      <c r="AB111" s="195">
        <f ca="1">+AA111+'parametres articles'!$C$9-1</f>
        <v>125</v>
      </c>
      <c r="AC111" s="195">
        <f ca="1">+AA111+'parametres articles'!$C$24-1</f>
        <v>130</v>
      </c>
      <c r="AD111" s="195">
        <f ca="1">+IF(AE111&lt;='parametres articles'!$H$8,0,AA111-'parametres articles'!$H$8+1)</f>
        <v>107</v>
      </c>
      <c r="AE111" s="195">
        <v>110</v>
      </c>
      <c r="AF111" s="187" t="str">
        <f t="shared" ca="1" si="26"/>
        <v>F126</v>
      </c>
      <c r="AH111" s="178"/>
      <c r="AI111" s="178"/>
      <c r="AJ111" s="178"/>
      <c r="AK111" s="178"/>
    </row>
    <row r="112" spans="1:37" x14ac:dyDescent="0.25">
      <c r="A112" s="186">
        <v>42115</v>
      </c>
      <c r="B112" s="188" t="s">
        <v>21</v>
      </c>
      <c r="C112" s="189">
        <f ca="1">+IF(AD112=0,P112,(SUM(INDIRECT(CONCATENATE("B",AD112,":B",AA112)))/'parametres articles'!$H$8))</f>
        <v>0</v>
      </c>
      <c r="D112" s="187">
        <f>IFERROR(VLOOKUP(A112,'Mvmt stock'!A:B,2,0),0)</f>
        <v>0</v>
      </c>
      <c r="E112" s="188">
        <f>IFERROR(VLOOKUP(A112,'Mvmt stock'!D:E,2,0),0)</f>
        <v>0</v>
      </c>
      <c r="F112" s="188">
        <f t="shared" si="23"/>
        <v>92</v>
      </c>
      <c r="G112" s="208">
        <f>IFERROR(VLOOKUP(A112,'Mvmt stock'!G:H,2,0),0)</f>
        <v>0</v>
      </c>
      <c r="H112" s="190">
        <f>IFERROR(VLOOKUP(A112,Stock!B:C,2,0),H111)</f>
        <v>94</v>
      </c>
      <c r="I112" s="188">
        <f t="shared" si="15"/>
        <v>92</v>
      </c>
      <c r="J112" s="191">
        <f t="shared" si="28"/>
        <v>92.476190476190482</v>
      </c>
      <c r="K112" s="187">
        <f>+HLOOKUP($B112,'parametres articles'!$C$5:$G$25,5,FALSE)</f>
        <v>15</v>
      </c>
      <c r="L112" s="187">
        <f>+HLOOKUP($B112,'parametres articles'!$C$5:$G$25,21,FALSE)</f>
        <v>13</v>
      </c>
      <c r="M112" s="192">
        <f>+HLOOKUP($B112,'parametres articles'!$C$5:$G$25,7,FALSE)</f>
        <v>0.8</v>
      </c>
      <c r="N112" s="192">
        <f>+HLOOKUP($B112,'parametres articles'!$C$5:$G$25,6,FALSE)</f>
        <v>0.4</v>
      </c>
      <c r="O112" s="187">
        <f>+HLOOKUP($B112,'parametres articles'!$C$5:$G$25,8,FALSE)</f>
        <v>0</v>
      </c>
      <c r="P112" s="193">
        <f>IF(B112="E",'parametres articles'!$C$8,HLOOKUP($B112,'parametres articles'!$C$5:$F$25,4,FALSE))</f>
        <v>2.27</v>
      </c>
      <c r="Q112" s="193">
        <f t="shared" si="16"/>
        <v>2.27</v>
      </c>
      <c r="R112" s="199">
        <f t="shared" si="24"/>
        <v>13.62</v>
      </c>
      <c r="S112" s="197">
        <f t="shared" si="17"/>
        <v>24.515999999999998</v>
      </c>
      <c r="T112" s="201">
        <f t="shared" si="18"/>
        <v>58.565999999999995</v>
      </c>
      <c r="U112" s="203">
        <f t="shared" si="25"/>
        <v>72.185999999999993</v>
      </c>
      <c r="V112" s="187">
        <f t="shared" si="19"/>
        <v>24.515999999999998</v>
      </c>
      <c r="W112" s="187">
        <f t="shared" si="20"/>
        <v>34.049999999999997</v>
      </c>
      <c r="X112" s="187">
        <f t="shared" si="21"/>
        <v>13.62</v>
      </c>
      <c r="Y112" s="193">
        <f t="shared" si="22"/>
        <v>31.325999999999997</v>
      </c>
      <c r="Z112" s="194"/>
      <c r="AA112" s="195">
        <f t="shared" ca="1" si="27"/>
        <v>112</v>
      </c>
      <c r="AB112" s="195">
        <f ca="1">+AA112+'parametres articles'!$C$9-1</f>
        <v>126</v>
      </c>
      <c r="AC112" s="195">
        <f ca="1">+AA112+'parametres articles'!$C$24-1</f>
        <v>131</v>
      </c>
      <c r="AD112" s="195">
        <f ca="1">+IF(AE112&lt;='parametres articles'!$H$8,0,AA112-'parametres articles'!$H$8+1)</f>
        <v>108</v>
      </c>
      <c r="AE112" s="195">
        <v>111</v>
      </c>
      <c r="AF112" s="187" t="str">
        <f t="shared" ca="1" si="26"/>
        <v>F127</v>
      </c>
      <c r="AH112" s="178"/>
      <c r="AI112" s="178"/>
      <c r="AJ112" s="178"/>
      <c r="AK112" s="178"/>
    </row>
    <row r="113" spans="1:37" x14ac:dyDescent="0.25">
      <c r="A113" s="186">
        <v>42116</v>
      </c>
      <c r="B113" s="188" t="s">
        <v>21</v>
      </c>
      <c r="C113" s="189">
        <f ca="1">+IF(AD113=0,P113,(SUM(INDIRECT(CONCATENATE("B",AD113,":B",AA113)))/'parametres articles'!$H$8))</f>
        <v>0</v>
      </c>
      <c r="D113" s="187">
        <f>IFERROR(VLOOKUP(A113,'Mvmt stock'!A:B,2,0),0)</f>
        <v>1</v>
      </c>
      <c r="E113" s="188">
        <f>IFERROR(VLOOKUP(A113,'Mvmt stock'!D:E,2,0),0)</f>
        <v>0</v>
      </c>
      <c r="F113" s="188">
        <f t="shared" si="23"/>
        <v>92</v>
      </c>
      <c r="G113" s="208">
        <f>IFERROR(VLOOKUP(A113,'Mvmt stock'!G:H,2,0),0)</f>
        <v>0</v>
      </c>
      <c r="H113" s="190">
        <f>IFERROR(VLOOKUP(A113,Stock!B:C,2,0),H112)</f>
        <v>94</v>
      </c>
      <c r="I113" s="188">
        <f t="shared" si="15"/>
        <v>91</v>
      </c>
      <c r="J113" s="191">
        <f t="shared" si="28"/>
        <v>92.80952380952381</v>
      </c>
      <c r="K113" s="187">
        <f>+HLOOKUP($B113,'parametres articles'!$C$5:$G$25,5,FALSE)</f>
        <v>15</v>
      </c>
      <c r="L113" s="187">
        <f>+HLOOKUP($B113,'parametres articles'!$C$5:$G$25,21,FALSE)</f>
        <v>13</v>
      </c>
      <c r="M113" s="192">
        <f>+HLOOKUP($B113,'parametres articles'!$C$5:$G$25,7,FALSE)</f>
        <v>0.8</v>
      </c>
      <c r="N113" s="192">
        <f>+HLOOKUP($B113,'parametres articles'!$C$5:$G$25,6,FALSE)</f>
        <v>0.4</v>
      </c>
      <c r="O113" s="187">
        <f>+HLOOKUP($B113,'parametres articles'!$C$5:$G$25,8,FALSE)</f>
        <v>0</v>
      </c>
      <c r="P113" s="193">
        <f>IF(B113="E",'parametres articles'!$C$8,HLOOKUP($B113,'parametres articles'!$C$5:$F$25,4,FALSE))</f>
        <v>2.27</v>
      </c>
      <c r="Q113" s="193">
        <f t="shared" si="16"/>
        <v>2.27</v>
      </c>
      <c r="R113" s="199">
        <f t="shared" si="24"/>
        <v>13.62</v>
      </c>
      <c r="S113" s="197">
        <f t="shared" si="17"/>
        <v>24.515999999999998</v>
      </c>
      <c r="T113" s="201">
        <f t="shared" si="18"/>
        <v>58.565999999999995</v>
      </c>
      <c r="U113" s="203">
        <f t="shared" si="25"/>
        <v>72.185999999999993</v>
      </c>
      <c r="V113" s="187">
        <f t="shared" si="19"/>
        <v>24.515999999999998</v>
      </c>
      <c r="W113" s="187">
        <f t="shared" si="20"/>
        <v>34.049999999999997</v>
      </c>
      <c r="X113" s="187">
        <f t="shared" si="21"/>
        <v>13.62</v>
      </c>
      <c r="Y113" s="193">
        <f t="shared" si="22"/>
        <v>31.325999999999997</v>
      </c>
      <c r="Z113" s="194"/>
      <c r="AA113" s="195">
        <f t="shared" ca="1" si="27"/>
        <v>113</v>
      </c>
      <c r="AB113" s="195">
        <f ca="1">+AA113+'parametres articles'!$C$9-1</f>
        <v>127</v>
      </c>
      <c r="AC113" s="195">
        <f ca="1">+AA113+'parametres articles'!$C$24-1</f>
        <v>132</v>
      </c>
      <c r="AD113" s="195">
        <f ca="1">+IF(AE113&lt;='parametres articles'!$H$8,0,AA113-'parametres articles'!$H$8+1)</f>
        <v>109</v>
      </c>
      <c r="AE113" s="195">
        <v>112</v>
      </c>
      <c r="AF113" s="187" t="str">
        <f t="shared" ca="1" si="26"/>
        <v>F128</v>
      </c>
      <c r="AH113" s="178"/>
      <c r="AI113" s="178"/>
      <c r="AJ113" s="178"/>
      <c r="AK113" s="178"/>
    </row>
    <row r="114" spans="1:37" x14ac:dyDescent="0.25">
      <c r="A114" s="186">
        <v>42117</v>
      </c>
      <c r="B114" s="188" t="s">
        <v>21</v>
      </c>
      <c r="C114" s="189">
        <f ca="1">+IF(AD114=0,P114,(SUM(INDIRECT(CONCATENATE("B",AD114,":B",AA114)))/'parametres articles'!$H$8))</f>
        <v>0</v>
      </c>
      <c r="D114" s="187">
        <f>IFERROR(VLOOKUP(A114,'Mvmt stock'!A:B,2,0),0)</f>
        <v>14</v>
      </c>
      <c r="E114" s="188">
        <f>IFERROR(VLOOKUP(A114,'Mvmt stock'!D:E,2,0),0)</f>
        <v>0</v>
      </c>
      <c r="F114" s="188">
        <f t="shared" si="23"/>
        <v>91</v>
      </c>
      <c r="G114" s="208">
        <f>IFERROR(VLOOKUP(A114,'Mvmt stock'!G:H,2,0),0)</f>
        <v>0</v>
      </c>
      <c r="H114" s="190">
        <f>IFERROR(VLOOKUP(A114,Stock!B:C,2,0),H113)</f>
        <v>93</v>
      </c>
      <c r="I114" s="188">
        <f t="shared" si="15"/>
        <v>77</v>
      </c>
      <c r="J114" s="191">
        <f t="shared" si="28"/>
        <v>93.095238095238102</v>
      </c>
      <c r="K114" s="187">
        <f>+HLOOKUP($B114,'parametres articles'!$C$5:$G$25,5,FALSE)</f>
        <v>15</v>
      </c>
      <c r="L114" s="187">
        <f>+HLOOKUP($B114,'parametres articles'!$C$5:$G$25,21,FALSE)</f>
        <v>13</v>
      </c>
      <c r="M114" s="192">
        <f>+HLOOKUP($B114,'parametres articles'!$C$5:$G$25,7,FALSE)</f>
        <v>0.8</v>
      </c>
      <c r="N114" s="192">
        <f>+HLOOKUP($B114,'parametres articles'!$C$5:$G$25,6,FALSE)</f>
        <v>0.4</v>
      </c>
      <c r="O114" s="187">
        <f>+HLOOKUP($B114,'parametres articles'!$C$5:$G$25,8,FALSE)</f>
        <v>0</v>
      </c>
      <c r="P114" s="193">
        <f>IF(B114="E",'parametres articles'!$C$8,HLOOKUP($B114,'parametres articles'!$C$5:$F$25,4,FALSE))</f>
        <v>2.27</v>
      </c>
      <c r="Q114" s="193">
        <f t="shared" si="16"/>
        <v>2.27</v>
      </c>
      <c r="R114" s="199">
        <f t="shared" si="24"/>
        <v>13.62</v>
      </c>
      <c r="S114" s="197">
        <f t="shared" si="17"/>
        <v>24.515999999999998</v>
      </c>
      <c r="T114" s="201">
        <f t="shared" si="18"/>
        <v>58.565999999999995</v>
      </c>
      <c r="U114" s="203">
        <f t="shared" si="25"/>
        <v>72.185999999999993</v>
      </c>
      <c r="V114" s="187">
        <f t="shared" si="19"/>
        <v>24.515999999999998</v>
      </c>
      <c r="W114" s="187">
        <f t="shared" si="20"/>
        <v>34.049999999999997</v>
      </c>
      <c r="X114" s="187">
        <f t="shared" si="21"/>
        <v>13.62</v>
      </c>
      <c r="Y114" s="193">
        <f t="shared" si="22"/>
        <v>31.325999999999997</v>
      </c>
      <c r="Z114" s="194"/>
      <c r="AA114" s="195">
        <f t="shared" ca="1" si="27"/>
        <v>114</v>
      </c>
      <c r="AB114" s="195">
        <f ca="1">+AA114+'parametres articles'!$C$9-1</f>
        <v>128</v>
      </c>
      <c r="AC114" s="195">
        <f ca="1">+AA114+'parametres articles'!$C$24-1</f>
        <v>133</v>
      </c>
      <c r="AD114" s="195">
        <f ca="1">+IF(AE114&lt;='parametres articles'!$H$8,0,AA114-'parametres articles'!$H$8+1)</f>
        <v>110</v>
      </c>
      <c r="AE114" s="195">
        <v>113</v>
      </c>
      <c r="AF114" s="187" t="str">
        <f t="shared" ca="1" si="26"/>
        <v>F129</v>
      </c>
      <c r="AH114" s="178"/>
      <c r="AI114" s="178"/>
      <c r="AJ114" s="178"/>
      <c r="AK114" s="178"/>
    </row>
    <row r="115" spans="1:37" x14ac:dyDescent="0.25">
      <c r="A115" s="186">
        <v>42118</v>
      </c>
      <c r="B115" s="188" t="s">
        <v>21</v>
      </c>
      <c r="C115" s="189">
        <f ca="1">+IF(AD115=0,P115,(SUM(INDIRECT(CONCATENATE("B",AD115,":B",AA115)))/'parametres articles'!$H$8))</f>
        <v>0</v>
      </c>
      <c r="D115" s="187">
        <f>IFERROR(VLOOKUP(A115,'Mvmt stock'!A:B,2,0),0)</f>
        <v>0</v>
      </c>
      <c r="E115" s="188">
        <f>IFERROR(VLOOKUP(A115,'Mvmt stock'!D:E,2,0),0)</f>
        <v>50</v>
      </c>
      <c r="F115" s="188">
        <f t="shared" si="23"/>
        <v>72</v>
      </c>
      <c r="G115" s="208">
        <f>IFERROR(VLOOKUP(A115,'Mvmt stock'!G:H,2,0),0)</f>
        <v>-5</v>
      </c>
      <c r="H115" s="190">
        <f>IFERROR(VLOOKUP(A115,Stock!B:C,2,0),H114)</f>
        <v>74</v>
      </c>
      <c r="I115" s="188">
        <f t="shared" si="15"/>
        <v>122</v>
      </c>
      <c r="J115" s="191">
        <f t="shared" si="28"/>
        <v>92.476190476190482</v>
      </c>
      <c r="K115" s="187">
        <f>+HLOOKUP($B115,'parametres articles'!$C$5:$G$25,5,FALSE)</f>
        <v>15</v>
      </c>
      <c r="L115" s="187">
        <f>+HLOOKUP($B115,'parametres articles'!$C$5:$G$25,21,FALSE)</f>
        <v>13</v>
      </c>
      <c r="M115" s="192">
        <f>+HLOOKUP($B115,'parametres articles'!$C$5:$G$25,7,FALSE)</f>
        <v>0.8</v>
      </c>
      <c r="N115" s="192">
        <f>+HLOOKUP($B115,'parametres articles'!$C$5:$G$25,6,FALSE)</f>
        <v>0.4</v>
      </c>
      <c r="O115" s="187">
        <f>+HLOOKUP($B115,'parametres articles'!$C$5:$G$25,8,FALSE)</f>
        <v>0</v>
      </c>
      <c r="P115" s="193">
        <f>IF(B115="E",'parametres articles'!$C$8,HLOOKUP($B115,'parametres articles'!$C$5:$F$25,4,FALSE))</f>
        <v>2.27</v>
      </c>
      <c r="Q115" s="193">
        <f t="shared" si="16"/>
        <v>2.27</v>
      </c>
      <c r="R115" s="199">
        <f t="shared" si="24"/>
        <v>13.62</v>
      </c>
      <c r="S115" s="197">
        <f t="shared" si="17"/>
        <v>24.515999999999998</v>
      </c>
      <c r="T115" s="201">
        <f t="shared" si="18"/>
        <v>58.565999999999995</v>
      </c>
      <c r="U115" s="203">
        <f t="shared" si="25"/>
        <v>72.185999999999993</v>
      </c>
      <c r="V115" s="187">
        <f t="shared" si="19"/>
        <v>24.515999999999998</v>
      </c>
      <c r="W115" s="187">
        <f t="shared" si="20"/>
        <v>34.049999999999997</v>
      </c>
      <c r="X115" s="187">
        <f t="shared" si="21"/>
        <v>13.62</v>
      </c>
      <c r="Y115" s="193">
        <f t="shared" si="22"/>
        <v>31.325999999999997</v>
      </c>
      <c r="Z115" s="194"/>
      <c r="AA115" s="195">
        <f t="shared" ca="1" si="27"/>
        <v>115</v>
      </c>
      <c r="AB115" s="195">
        <f ca="1">+AA115+'parametres articles'!$C$9-1</f>
        <v>129</v>
      </c>
      <c r="AC115" s="195">
        <f ca="1">+AA115+'parametres articles'!$C$24-1</f>
        <v>134</v>
      </c>
      <c r="AD115" s="195">
        <f ca="1">+IF(AE115&lt;='parametres articles'!$H$8,0,AA115-'parametres articles'!$H$8+1)</f>
        <v>111</v>
      </c>
      <c r="AE115" s="195">
        <v>114</v>
      </c>
      <c r="AF115" s="187" t="str">
        <f t="shared" ca="1" si="26"/>
        <v>F130</v>
      </c>
      <c r="AH115" s="178"/>
      <c r="AI115" s="178"/>
      <c r="AJ115" s="178"/>
      <c r="AK115" s="178"/>
    </row>
    <row r="116" spans="1:37" x14ac:dyDescent="0.25">
      <c r="A116" s="186">
        <v>42119</v>
      </c>
      <c r="B116" s="188" t="s">
        <v>21</v>
      </c>
      <c r="C116" s="189">
        <f ca="1">+IF(AD116=0,P116,(SUM(INDIRECT(CONCATENATE("B",AD116,":B",AA116)))/'parametres articles'!$H$8))</f>
        <v>0</v>
      </c>
      <c r="D116" s="187">
        <f>IFERROR(VLOOKUP(A116,'Mvmt stock'!A:B,2,0),0)</f>
        <v>0</v>
      </c>
      <c r="E116" s="188">
        <f>IFERROR(VLOOKUP(A116,'Mvmt stock'!D:E,2,0),0)</f>
        <v>0</v>
      </c>
      <c r="F116" s="188">
        <f t="shared" si="23"/>
        <v>122</v>
      </c>
      <c r="G116" s="208">
        <f>IFERROR(VLOOKUP(A116,'Mvmt stock'!G:H,2,0),0)</f>
        <v>0</v>
      </c>
      <c r="H116" s="190">
        <f>IFERROR(VLOOKUP(A116,Stock!B:C,2,0),H115)</f>
        <v>74</v>
      </c>
      <c r="I116" s="188">
        <f t="shared" si="15"/>
        <v>122</v>
      </c>
      <c r="J116" s="191">
        <f t="shared" si="28"/>
        <v>93.666666666666671</v>
      </c>
      <c r="K116" s="187">
        <f>+HLOOKUP($B116,'parametres articles'!$C$5:$G$25,5,FALSE)</f>
        <v>15</v>
      </c>
      <c r="L116" s="187">
        <f>+HLOOKUP($B116,'parametres articles'!$C$5:$G$25,21,FALSE)</f>
        <v>13</v>
      </c>
      <c r="M116" s="192">
        <f>+HLOOKUP($B116,'parametres articles'!$C$5:$G$25,7,FALSE)</f>
        <v>0.8</v>
      </c>
      <c r="N116" s="192">
        <f>+HLOOKUP($B116,'parametres articles'!$C$5:$G$25,6,FALSE)</f>
        <v>0.4</v>
      </c>
      <c r="O116" s="187">
        <f>+HLOOKUP($B116,'parametres articles'!$C$5:$G$25,8,FALSE)</f>
        <v>0</v>
      </c>
      <c r="P116" s="193">
        <f>IF(B116="E",'parametres articles'!$C$8,HLOOKUP($B116,'parametres articles'!$C$5:$F$25,4,FALSE))</f>
        <v>2.27</v>
      </c>
      <c r="Q116" s="193">
        <f t="shared" si="16"/>
        <v>2.27</v>
      </c>
      <c r="R116" s="199">
        <f t="shared" si="24"/>
        <v>13.62</v>
      </c>
      <c r="S116" s="197">
        <f t="shared" si="17"/>
        <v>24.515999999999998</v>
      </c>
      <c r="T116" s="201">
        <f t="shared" si="18"/>
        <v>58.565999999999995</v>
      </c>
      <c r="U116" s="203">
        <f t="shared" si="25"/>
        <v>72.185999999999993</v>
      </c>
      <c r="V116" s="187">
        <f t="shared" si="19"/>
        <v>24.515999999999998</v>
      </c>
      <c r="W116" s="187">
        <f t="shared" si="20"/>
        <v>34.049999999999997</v>
      </c>
      <c r="X116" s="187">
        <f t="shared" si="21"/>
        <v>13.62</v>
      </c>
      <c r="Y116" s="193">
        <f t="shared" si="22"/>
        <v>31.325999999999997</v>
      </c>
      <c r="Z116" s="194"/>
      <c r="AA116" s="195">
        <f t="shared" ca="1" si="27"/>
        <v>116</v>
      </c>
      <c r="AB116" s="195">
        <f ca="1">+AA116+'parametres articles'!$C$9-1</f>
        <v>130</v>
      </c>
      <c r="AC116" s="195">
        <f ca="1">+AA116+'parametres articles'!$C$24-1</f>
        <v>135</v>
      </c>
      <c r="AD116" s="195">
        <f ca="1">+IF(AE116&lt;='parametres articles'!$H$8,0,AA116-'parametres articles'!$H$8+1)</f>
        <v>112</v>
      </c>
      <c r="AE116" s="195">
        <v>115</v>
      </c>
      <c r="AF116" s="187" t="str">
        <f t="shared" ca="1" si="26"/>
        <v>F131</v>
      </c>
      <c r="AG116" s="178"/>
      <c r="AH116" s="178"/>
      <c r="AI116" s="178"/>
      <c r="AJ116" s="178"/>
      <c r="AK116" s="178"/>
    </row>
    <row r="117" spans="1:37" x14ac:dyDescent="0.25">
      <c r="A117" s="186">
        <v>42120</v>
      </c>
      <c r="B117" s="188" t="s">
        <v>21</v>
      </c>
      <c r="C117" s="189">
        <f ca="1">+IF(AD117=0,P117,(SUM(INDIRECT(CONCATENATE("B",AD117,":B",AA117)))/'parametres articles'!$H$8))</f>
        <v>0</v>
      </c>
      <c r="D117" s="187">
        <f>IFERROR(VLOOKUP(A117,'Mvmt stock'!A:B,2,0),0)</f>
        <v>0</v>
      </c>
      <c r="E117" s="188">
        <f>IFERROR(VLOOKUP(A117,'Mvmt stock'!D:E,2,0),0)</f>
        <v>0</v>
      </c>
      <c r="F117" s="188">
        <f t="shared" si="23"/>
        <v>122</v>
      </c>
      <c r="G117" s="208">
        <f>IFERROR(VLOOKUP(A117,'Mvmt stock'!G:H,2,0),0)</f>
        <v>0</v>
      </c>
      <c r="H117" s="190">
        <f>IFERROR(VLOOKUP(A117,Stock!B:C,2,0),H116)</f>
        <v>74</v>
      </c>
      <c r="I117" s="188">
        <f t="shared" si="15"/>
        <v>122</v>
      </c>
      <c r="J117" s="191">
        <f t="shared" si="28"/>
        <v>94.857142857142861</v>
      </c>
      <c r="K117" s="187">
        <f>+HLOOKUP($B117,'parametres articles'!$C$5:$G$25,5,FALSE)</f>
        <v>15</v>
      </c>
      <c r="L117" s="187">
        <f>+HLOOKUP($B117,'parametres articles'!$C$5:$G$25,21,FALSE)</f>
        <v>13</v>
      </c>
      <c r="M117" s="192">
        <f>+HLOOKUP($B117,'parametres articles'!$C$5:$G$25,7,FALSE)</f>
        <v>0.8</v>
      </c>
      <c r="N117" s="192">
        <f>+HLOOKUP($B117,'parametres articles'!$C$5:$G$25,6,FALSE)</f>
        <v>0.4</v>
      </c>
      <c r="O117" s="187">
        <f>+HLOOKUP($B117,'parametres articles'!$C$5:$G$25,8,FALSE)</f>
        <v>0</v>
      </c>
      <c r="P117" s="193">
        <f>IF(B117="E",'parametres articles'!$C$8,HLOOKUP($B117,'parametres articles'!$C$5:$F$25,4,FALSE))</f>
        <v>2.27</v>
      </c>
      <c r="Q117" s="193">
        <f t="shared" si="16"/>
        <v>2.27</v>
      </c>
      <c r="R117" s="199">
        <f t="shared" si="24"/>
        <v>13.62</v>
      </c>
      <c r="S117" s="197">
        <f t="shared" si="17"/>
        <v>24.515999999999998</v>
      </c>
      <c r="T117" s="201">
        <f t="shared" si="18"/>
        <v>58.565999999999995</v>
      </c>
      <c r="U117" s="203">
        <f t="shared" si="25"/>
        <v>72.185999999999993</v>
      </c>
      <c r="V117" s="187">
        <f t="shared" si="19"/>
        <v>24.515999999999998</v>
      </c>
      <c r="W117" s="187">
        <f t="shared" si="20"/>
        <v>34.049999999999997</v>
      </c>
      <c r="X117" s="187">
        <f t="shared" si="21"/>
        <v>13.62</v>
      </c>
      <c r="Y117" s="193">
        <f t="shared" si="22"/>
        <v>31.325999999999997</v>
      </c>
      <c r="Z117" s="194"/>
      <c r="AA117" s="195">
        <f t="shared" ca="1" si="27"/>
        <v>117</v>
      </c>
      <c r="AB117" s="195">
        <f ca="1">+AA117+'parametres articles'!$C$9-1</f>
        <v>131</v>
      </c>
      <c r="AC117" s="195">
        <f ca="1">+AA117+'parametres articles'!$C$24-1</f>
        <v>136</v>
      </c>
      <c r="AD117" s="195">
        <f ca="1">+IF(AE117&lt;='parametres articles'!$H$8,0,AA117-'parametres articles'!$H$8+1)</f>
        <v>113</v>
      </c>
      <c r="AE117" s="195">
        <v>116</v>
      </c>
      <c r="AF117" s="187" t="str">
        <f t="shared" ca="1" si="26"/>
        <v>F132</v>
      </c>
      <c r="AG117" s="178"/>
      <c r="AH117" s="178"/>
      <c r="AI117" s="178"/>
      <c r="AJ117" s="178"/>
      <c r="AK117" s="178"/>
    </row>
    <row r="118" spans="1:37" x14ac:dyDescent="0.25">
      <c r="A118" s="186">
        <v>42121</v>
      </c>
      <c r="B118" s="188" t="s">
        <v>21</v>
      </c>
      <c r="C118" s="189">
        <f ca="1">+IF(AD118=0,P118,(SUM(INDIRECT(CONCATENATE("B",AD118,":B",AA118)))/'parametres articles'!$H$8))</f>
        <v>0</v>
      </c>
      <c r="D118" s="187">
        <f>IFERROR(VLOOKUP(A118,'Mvmt stock'!A:B,2,0),0)</f>
        <v>7</v>
      </c>
      <c r="E118" s="188">
        <f>IFERROR(VLOOKUP(A118,'Mvmt stock'!D:E,2,0),0)</f>
        <v>0</v>
      </c>
      <c r="F118" s="188">
        <f t="shared" si="23"/>
        <v>122</v>
      </c>
      <c r="G118" s="208">
        <f>IFERROR(VLOOKUP(A118,'Mvmt stock'!G:H,2,0),0)</f>
        <v>0</v>
      </c>
      <c r="H118" s="190">
        <f>IFERROR(VLOOKUP(A118,Stock!B:C,2,0),H117)</f>
        <v>124</v>
      </c>
      <c r="I118" s="188">
        <f t="shared" si="15"/>
        <v>115</v>
      </c>
      <c r="J118" s="191">
        <f t="shared" ref="J118:J149" si="29">+AVERAGE(F98:F118)</f>
        <v>96.047619047619051</v>
      </c>
      <c r="K118" s="187">
        <f>+HLOOKUP($B118,'parametres articles'!$C$5:$G$25,5,FALSE)</f>
        <v>15</v>
      </c>
      <c r="L118" s="187">
        <f>+HLOOKUP($B118,'parametres articles'!$C$5:$G$25,21,FALSE)</f>
        <v>13</v>
      </c>
      <c r="M118" s="192">
        <f>+HLOOKUP($B118,'parametres articles'!$C$5:$G$25,7,FALSE)</f>
        <v>0.8</v>
      </c>
      <c r="N118" s="192">
        <f>+HLOOKUP($B118,'parametres articles'!$C$5:$G$25,6,FALSE)</f>
        <v>0.4</v>
      </c>
      <c r="O118" s="187">
        <f>+HLOOKUP($B118,'parametres articles'!$C$5:$G$25,8,FALSE)</f>
        <v>0</v>
      </c>
      <c r="P118" s="193">
        <f>IF(B118="E",'parametres articles'!$C$8,HLOOKUP($B118,'parametres articles'!$C$5:$F$25,4,FALSE))</f>
        <v>2.27</v>
      </c>
      <c r="Q118" s="193">
        <f t="shared" si="16"/>
        <v>2.27</v>
      </c>
      <c r="R118" s="199">
        <f t="shared" si="24"/>
        <v>13.62</v>
      </c>
      <c r="S118" s="197">
        <f t="shared" si="17"/>
        <v>24.515999999999998</v>
      </c>
      <c r="T118" s="201">
        <f t="shared" si="18"/>
        <v>58.565999999999995</v>
      </c>
      <c r="U118" s="203">
        <f t="shared" si="25"/>
        <v>72.185999999999993</v>
      </c>
      <c r="V118" s="187">
        <f t="shared" si="19"/>
        <v>24.515999999999998</v>
      </c>
      <c r="W118" s="187">
        <f t="shared" si="20"/>
        <v>34.049999999999997</v>
      </c>
      <c r="X118" s="187">
        <f t="shared" si="21"/>
        <v>13.62</v>
      </c>
      <c r="Y118" s="193">
        <f t="shared" si="22"/>
        <v>31.325999999999997</v>
      </c>
      <c r="Z118" s="194"/>
      <c r="AA118" s="195">
        <f t="shared" ca="1" si="27"/>
        <v>118</v>
      </c>
      <c r="AB118" s="195">
        <f ca="1">+AA118+'parametres articles'!$C$9-1</f>
        <v>132</v>
      </c>
      <c r="AC118" s="195">
        <f ca="1">+AA118+'parametres articles'!$C$24-1</f>
        <v>137</v>
      </c>
      <c r="AD118" s="195">
        <f ca="1">+IF(AE118&lt;='parametres articles'!$H$8,0,AA118-'parametres articles'!$H$8+1)</f>
        <v>114</v>
      </c>
      <c r="AE118" s="195">
        <v>117</v>
      </c>
      <c r="AF118" s="187" t="str">
        <f t="shared" ca="1" si="26"/>
        <v>F133</v>
      </c>
      <c r="AG118" s="178"/>
      <c r="AH118" s="178"/>
      <c r="AI118" s="178"/>
      <c r="AJ118" s="178"/>
      <c r="AK118" s="178"/>
    </row>
    <row r="119" spans="1:37" x14ac:dyDescent="0.25">
      <c r="A119" s="186">
        <v>42122</v>
      </c>
      <c r="B119" s="188" t="s">
        <v>21</v>
      </c>
      <c r="C119" s="189">
        <f ca="1">+IF(AD119=0,P119,(SUM(INDIRECT(CONCATENATE("B",AD119,":B",AA119)))/'parametres articles'!$H$8))</f>
        <v>0</v>
      </c>
      <c r="D119" s="187">
        <f>IFERROR(VLOOKUP(A119,'Mvmt stock'!A:B,2,0),0)</f>
        <v>3</v>
      </c>
      <c r="E119" s="188">
        <f>IFERROR(VLOOKUP(A119,'Mvmt stock'!D:E,2,0),0)</f>
        <v>0</v>
      </c>
      <c r="F119" s="188">
        <f t="shared" si="23"/>
        <v>114</v>
      </c>
      <c r="G119" s="208">
        <f>IFERROR(VLOOKUP(A119,'Mvmt stock'!G:H,2,0),0)</f>
        <v>-1</v>
      </c>
      <c r="H119" s="190">
        <f>IFERROR(VLOOKUP(A119,Stock!B:C,2,0),H118)</f>
        <v>116</v>
      </c>
      <c r="I119" s="188">
        <f t="shared" si="15"/>
        <v>111</v>
      </c>
      <c r="J119" s="191">
        <f t="shared" si="29"/>
        <v>96.857142857142861</v>
      </c>
      <c r="K119" s="187">
        <f>+HLOOKUP($B119,'parametres articles'!$C$5:$G$25,5,FALSE)</f>
        <v>15</v>
      </c>
      <c r="L119" s="187">
        <f>+HLOOKUP($B119,'parametres articles'!$C$5:$G$25,21,FALSE)</f>
        <v>13</v>
      </c>
      <c r="M119" s="192">
        <f>+HLOOKUP($B119,'parametres articles'!$C$5:$G$25,7,FALSE)</f>
        <v>0.8</v>
      </c>
      <c r="N119" s="192">
        <f>+HLOOKUP($B119,'parametres articles'!$C$5:$G$25,6,FALSE)</f>
        <v>0.4</v>
      </c>
      <c r="O119" s="187">
        <f>+HLOOKUP($B119,'parametres articles'!$C$5:$G$25,8,FALSE)</f>
        <v>0</v>
      </c>
      <c r="P119" s="193">
        <f>IF(B119="E",'parametres articles'!$C$8,HLOOKUP($B119,'parametres articles'!$C$5:$F$25,4,FALSE))</f>
        <v>2.27</v>
      </c>
      <c r="Q119" s="193">
        <f t="shared" si="16"/>
        <v>2.27</v>
      </c>
      <c r="R119" s="199">
        <f t="shared" si="24"/>
        <v>13.62</v>
      </c>
      <c r="S119" s="197">
        <f t="shared" si="17"/>
        <v>24.515999999999998</v>
      </c>
      <c r="T119" s="201">
        <f t="shared" si="18"/>
        <v>58.565999999999995</v>
      </c>
      <c r="U119" s="203">
        <f t="shared" si="25"/>
        <v>72.185999999999993</v>
      </c>
      <c r="V119" s="187">
        <f t="shared" si="19"/>
        <v>24.515999999999998</v>
      </c>
      <c r="W119" s="187">
        <f t="shared" si="20"/>
        <v>34.049999999999997</v>
      </c>
      <c r="X119" s="187">
        <f t="shared" si="21"/>
        <v>13.62</v>
      </c>
      <c r="Y119" s="193">
        <f t="shared" si="22"/>
        <v>31.325999999999997</v>
      </c>
      <c r="Z119" s="194"/>
      <c r="AA119" s="195">
        <f t="shared" ca="1" si="27"/>
        <v>119</v>
      </c>
      <c r="AB119" s="195">
        <f ca="1">+AA119+'parametres articles'!$C$9-1</f>
        <v>133</v>
      </c>
      <c r="AC119" s="195">
        <f ca="1">+AA119+'parametres articles'!$C$24-1</f>
        <v>138</v>
      </c>
      <c r="AD119" s="195">
        <f ca="1">+IF(AE119&lt;='parametres articles'!$H$8,0,AA119-'parametres articles'!$H$8+1)</f>
        <v>115</v>
      </c>
      <c r="AE119" s="195">
        <v>118</v>
      </c>
      <c r="AF119" s="187" t="str">
        <f t="shared" ca="1" si="26"/>
        <v>F134</v>
      </c>
      <c r="AG119" s="178"/>
      <c r="AH119" s="178"/>
      <c r="AI119" s="178"/>
      <c r="AJ119" s="178"/>
      <c r="AK119" s="178"/>
    </row>
    <row r="120" spans="1:37" x14ac:dyDescent="0.25">
      <c r="A120" s="186">
        <v>42123</v>
      </c>
      <c r="B120" s="188" t="s">
        <v>21</v>
      </c>
      <c r="C120" s="189">
        <f ca="1">+IF(AD120=0,P120,(SUM(INDIRECT(CONCATENATE("B",AD120,":B",AA120)))/'parametres articles'!$H$8))</f>
        <v>0</v>
      </c>
      <c r="D120" s="187">
        <f>IFERROR(VLOOKUP(A120,'Mvmt stock'!A:B,2,0),0)</f>
        <v>1</v>
      </c>
      <c r="E120" s="188">
        <f>IFERROR(VLOOKUP(A120,'Mvmt stock'!D:E,2,0),0)</f>
        <v>0</v>
      </c>
      <c r="F120" s="188">
        <f t="shared" si="23"/>
        <v>111</v>
      </c>
      <c r="G120" s="208">
        <f>IFERROR(VLOOKUP(A120,'Mvmt stock'!G:H,2,0),0)</f>
        <v>0</v>
      </c>
      <c r="H120" s="190">
        <f>IFERROR(VLOOKUP(A120,Stock!B:C,2,0),H119)</f>
        <v>113</v>
      </c>
      <c r="I120" s="188">
        <f t="shared" si="15"/>
        <v>110</v>
      </c>
      <c r="J120" s="191">
        <f t="shared" si="29"/>
        <v>97.523809523809518</v>
      </c>
      <c r="K120" s="187">
        <f>+HLOOKUP($B120,'parametres articles'!$C$5:$G$25,5,FALSE)</f>
        <v>15</v>
      </c>
      <c r="L120" s="187">
        <f>+HLOOKUP($B120,'parametres articles'!$C$5:$G$25,21,FALSE)</f>
        <v>13</v>
      </c>
      <c r="M120" s="192">
        <f>+HLOOKUP($B120,'parametres articles'!$C$5:$G$25,7,FALSE)</f>
        <v>0.8</v>
      </c>
      <c r="N120" s="192">
        <f>+HLOOKUP($B120,'parametres articles'!$C$5:$G$25,6,FALSE)</f>
        <v>0.4</v>
      </c>
      <c r="O120" s="187">
        <f>+HLOOKUP($B120,'parametres articles'!$C$5:$G$25,8,FALSE)</f>
        <v>0</v>
      </c>
      <c r="P120" s="193">
        <f>IF(B120="E",'parametres articles'!$C$8,HLOOKUP($B120,'parametres articles'!$C$5:$F$25,4,FALSE))</f>
        <v>2.27</v>
      </c>
      <c r="Q120" s="193">
        <f t="shared" si="16"/>
        <v>2.27</v>
      </c>
      <c r="R120" s="199">
        <f t="shared" si="24"/>
        <v>13.62</v>
      </c>
      <c r="S120" s="197">
        <f t="shared" si="17"/>
        <v>24.515999999999998</v>
      </c>
      <c r="T120" s="201">
        <f t="shared" si="18"/>
        <v>58.565999999999995</v>
      </c>
      <c r="U120" s="203">
        <f t="shared" si="25"/>
        <v>72.185999999999993</v>
      </c>
      <c r="V120" s="187">
        <f t="shared" si="19"/>
        <v>24.515999999999998</v>
      </c>
      <c r="W120" s="187">
        <f t="shared" si="20"/>
        <v>34.049999999999997</v>
      </c>
      <c r="X120" s="187">
        <f t="shared" si="21"/>
        <v>13.62</v>
      </c>
      <c r="Y120" s="193">
        <f t="shared" si="22"/>
        <v>31.325999999999997</v>
      </c>
      <c r="Z120" s="194"/>
      <c r="AA120" s="195">
        <f t="shared" ca="1" si="27"/>
        <v>120</v>
      </c>
      <c r="AB120" s="195">
        <f ca="1">+AA120+'parametres articles'!$C$9-1</f>
        <v>134</v>
      </c>
      <c r="AC120" s="195">
        <f ca="1">+AA120+'parametres articles'!$C$24-1</f>
        <v>139</v>
      </c>
      <c r="AD120" s="195">
        <f ca="1">+IF(AE120&lt;='parametres articles'!$H$8,0,AA120-'parametres articles'!$H$8+1)</f>
        <v>116</v>
      </c>
      <c r="AE120" s="195">
        <v>119</v>
      </c>
      <c r="AF120" s="187" t="str">
        <f t="shared" ca="1" si="26"/>
        <v>F135</v>
      </c>
      <c r="AG120" s="178"/>
      <c r="AH120" s="178"/>
      <c r="AI120" s="178"/>
      <c r="AJ120" s="178"/>
      <c r="AK120" s="178"/>
    </row>
    <row r="121" spans="1:37" x14ac:dyDescent="0.25">
      <c r="A121" s="186">
        <v>42124</v>
      </c>
      <c r="B121" s="188" t="s">
        <v>21</v>
      </c>
      <c r="C121" s="189">
        <f ca="1">+IF(AD121=0,P121,(SUM(INDIRECT(CONCATENATE("B",AD121,":B",AA121)))/'parametres articles'!$H$8))</f>
        <v>0</v>
      </c>
      <c r="D121" s="187">
        <f>IFERROR(VLOOKUP(A121,'Mvmt stock'!A:B,2,0),0)</f>
        <v>26</v>
      </c>
      <c r="E121" s="188">
        <f>IFERROR(VLOOKUP(A121,'Mvmt stock'!D:E,2,0),0)</f>
        <v>0</v>
      </c>
      <c r="F121" s="188">
        <f t="shared" si="23"/>
        <v>110</v>
      </c>
      <c r="G121" s="208">
        <f>IFERROR(VLOOKUP(A121,'Mvmt stock'!G:H,2,0),0)</f>
        <v>0</v>
      </c>
      <c r="H121" s="190">
        <f>IFERROR(VLOOKUP(A121,Stock!B:C,2,0),H120)</f>
        <v>112</v>
      </c>
      <c r="I121" s="188">
        <f t="shared" si="15"/>
        <v>84</v>
      </c>
      <c r="J121" s="191">
        <f t="shared" si="29"/>
        <v>98.19047619047619</v>
      </c>
      <c r="K121" s="187">
        <f>+HLOOKUP($B121,'parametres articles'!$C$5:$G$25,5,FALSE)</f>
        <v>15</v>
      </c>
      <c r="L121" s="187">
        <f>+HLOOKUP($B121,'parametres articles'!$C$5:$G$25,21,FALSE)</f>
        <v>13</v>
      </c>
      <c r="M121" s="192">
        <f>+HLOOKUP($B121,'parametres articles'!$C$5:$G$25,7,FALSE)</f>
        <v>0.8</v>
      </c>
      <c r="N121" s="192">
        <f>+HLOOKUP($B121,'parametres articles'!$C$5:$G$25,6,FALSE)</f>
        <v>0.4</v>
      </c>
      <c r="O121" s="187">
        <f>+HLOOKUP($B121,'parametres articles'!$C$5:$G$25,8,FALSE)</f>
        <v>0</v>
      </c>
      <c r="P121" s="193">
        <f>IF(B121="E",'parametres articles'!$C$8,HLOOKUP($B121,'parametres articles'!$C$5:$F$25,4,FALSE))</f>
        <v>2.27</v>
      </c>
      <c r="Q121" s="193">
        <f t="shared" si="16"/>
        <v>2.27</v>
      </c>
      <c r="R121" s="199">
        <f t="shared" si="24"/>
        <v>13.62</v>
      </c>
      <c r="S121" s="197">
        <f t="shared" si="17"/>
        <v>24.515999999999998</v>
      </c>
      <c r="T121" s="201">
        <f t="shared" si="18"/>
        <v>58.565999999999995</v>
      </c>
      <c r="U121" s="203">
        <f t="shared" si="25"/>
        <v>72.185999999999993</v>
      </c>
      <c r="V121" s="187">
        <f t="shared" si="19"/>
        <v>24.515999999999998</v>
      </c>
      <c r="W121" s="187">
        <f t="shared" si="20"/>
        <v>34.049999999999997</v>
      </c>
      <c r="X121" s="187">
        <f t="shared" si="21"/>
        <v>13.62</v>
      </c>
      <c r="Y121" s="193">
        <f t="shared" si="22"/>
        <v>31.325999999999997</v>
      </c>
      <c r="Z121" s="194"/>
      <c r="AA121" s="195">
        <f t="shared" ca="1" si="27"/>
        <v>121</v>
      </c>
      <c r="AB121" s="195">
        <f ca="1">+AA121+'parametres articles'!$C$9-1</f>
        <v>135</v>
      </c>
      <c r="AC121" s="195">
        <f ca="1">+AA121+'parametres articles'!$C$24-1</f>
        <v>140</v>
      </c>
      <c r="AD121" s="195">
        <f ca="1">+IF(AE121&lt;='parametres articles'!$H$8,0,AA121-'parametres articles'!$H$8+1)</f>
        <v>117</v>
      </c>
      <c r="AE121" s="195">
        <v>120</v>
      </c>
      <c r="AF121" s="187" t="str">
        <f t="shared" ca="1" si="26"/>
        <v>F136</v>
      </c>
      <c r="AG121" s="178"/>
      <c r="AH121" s="178"/>
      <c r="AI121" s="178"/>
      <c r="AJ121" s="178"/>
      <c r="AK121" s="178"/>
    </row>
    <row r="122" spans="1:37" x14ac:dyDescent="0.25">
      <c r="A122" s="186">
        <v>42125</v>
      </c>
      <c r="B122" s="188" t="s">
        <v>21</v>
      </c>
      <c r="C122" s="189">
        <f ca="1">+IF(AD122=0,P122,(SUM(INDIRECT(CONCATENATE("B",AD122,":B",AA122)))/'parametres articles'!$H$8))</f>
        <v>0</v>
      </c>
      <c r="D122" s="187">
        <f>IFERROR(VLOOKUP(A122,'Mvmt stock'!A:B,2,0),0)</f>
        <v>0</v>
      </c>
      <c r="E122" s="188">
        <f>IFERROR(VLOOKUP(A122,'Mvmt stock'!D:E,2,0),0)</f>
        <v>0</v>
      </c>
      <c r="F122" s="188">
        <f t="shared" si="23"/>
        <v>84</v>
      </c>
      <c r="G122" s="208">
        <f>IFERROR(VLOOKUP(A122,'Mvmt stock'!G:H,2,0),0)</f>
        <v>0</v>
      </c>
      <c r="H122" s="190">
        <f>IFERROR(VLOOKUP(A122,Stock!B:C,2,0),H121)</f>
        <v>112</v>
      </c>
      <c r="I122" s="188">
        <f t="shared" si="15"/>
        <v>84</v>
      </c>
      <c r="J122" s="191">
        <f t="shared" si="29"/>
        <v>97.61904761904762</v>
      </c>
      <c r="K122" s="187">
        <f>+HLOOKUP($B122,'parametres articles'!$C$5:$G$25,5,FALSE)</f>
        <v>15</v>
      </c>
      <c r="L122" s="187">
        <f>+HLOOKUP($B122,'parametres articles'!$C$5:$G$25,21,FALSE)</f>
        <v>13</v>
      </c>
      <c r="M122" s="192">
        <f>+HLOOKUP($B122,'parametres articles'!$C$5:$G$25,7,FALSE)</f>
        <v>0.8</v>
      </c>
      <c r="N122" s="192">
        <f>+HLOOKUP($B122,'parametres articles'!$C$5:$G$25,6,FALSE)</f>
        <v>0.4</v>
      </c>
      <c r="O122" s="187">
        <f>+HLOOKUP($B122,'parametres articles'!$C$5:$G$25,8,FALSE)</f>
        <v>0</v>
      </c>
      <c r="P122" s="193">
        <f>IF(B122="E",'parametres articles'!$C$8,HLOOKUP($B122,'parametres articles'!$C$5:$F$25,4,FALSE))</f>
        <v>2.27</v>
      </c>
      <c r="Q122" s="193">
        <f t="shared" si="16"/>
        <v>2.27</v>
      </c>
      <c r="R122" s="199">
        <f t="shared" si="24"/>
        <v>13.62</v>
      </c>
      <c r="S122" s="197">
        <f t="shared" si="17"/>
        <v>24.515999999999998</v>
      </c>
      <c r="T122" s="201">
        <f t="shared" si="18"/>
        <v>58.565999999999995</v>
      </c>
      <c r="U122" s="203">
        <f t="shared" si="25"/>
        <v>72.185999999999993</v>
      </c>
      <c r="V122" s="187">
        <f t="shared" si="19"/>
        <v>24.515999999999998</v>
      </c>
      <c r="W122" s="187">
        <f t="shared" si="20"/>
        <v>34.049999999999997</v>
      </c>
      <c r="X122" s="187">
        <f t="shared" si="21"/>
        <v>13.62</v>
      </c>
      <c r="Y122" s="193">
        <f t="shared" si="22"/>
        <v>31.325999999999997</v>
      </c>
      <c r="Z122" s="194"/>
      <c r="AA122" s="195">
        <f t="shared" ca="1" si="27"/>
        <v>122</v>
      </c>
      <c r="AB122" s="195">
        <f ca="1">+AA122+'parametres articles'!$C$9-1</f>
        <v>136</v>
      </c>
      <c r="AC122" s="195">
        <f ca="1">+AA122+'parametres articles'!$C$24-1</f>
        <v>141</v>
      </c>
      <c r="AD122" s="195">
        <f ca="1">+IF(AE122&lt;='parametres articles'!$H$8,0,AA122-'parametres articles'!$H$8+1)</f>
        <v>118</v>
      </c>
      <c r="AE122" s="195">
        <v>121</v>
      </c>
      <c r="AF122" s="187" t="str">
        <f t="shared" ca="1" si="26"/>
        <v>F137</v>
      </c>
      <c r="AG122" s="178"/>
      <c r="AH122" s="178"/>
      <c r="AI122" s="178"/>
      <c r="AJ122" s="178"/>
      <c r="AK122" s="178"/>
    </row>
    <row r="123" spans="1:37" x14ac:dyDescent="0.25">
      <c r="A123" s="186">
        <v>42126</v>
      </c>
      <c r="B123" s="188" t="s">
        <v>21</v>
      </c>
      <c r="C123" s="189">
        <f ca="1">+IF(AD123=0,P123,(SUM(INDIRECT(CONCATENATE("B",AD123,":B",AA123)))/'parametres articles'!$H$8))</f>
        <v>0</v>
      </c>
      <c r="D123" s="187">
        <f>IFERROR(VLOOKUP(A123,'Mvmt stock'!A:B,2,0),0)</f>
        <v>0</v>
      </c>
      <c r="E123" s="188">
        <f>IFERROR(VLOOKUP(A123,'Mvmt stock'!D:E,2,0),0)</f>
        <v>0</v>
      </c>
      <c r="F123" s="188">
        <f t="shared" si="23"/>
        <v>84</v>
      </c>
      <c r="G123" s="208">
        <f>IFERROR(VLOOKUP(A123,'Mvmt stock'!G:H,2,0),0)</f>
        <v>0</v>
      </c>
      <c r="H123" s="190">
        <f>IFERROR(VLOOKUP(A123,Stock!B:C,2,0),H122)</f>
        <v>112</v>
      </c>
      <c r="I123" s="188">
        <f t="shared" si="15"/>
        <v>84</v>
      </c>
      <c r="J123" s="191">
        <f t="shared" si="29"/>
        <v>97.095238095238102</v>
      </c>
      <c r="K123" s="187">
        <f>+HLOOKUP($B123,'parametres articles'!$C$5:$G$25,5,FALSE)</f>
        <v>15</v>
      </c>
      <c r="L123" s="187">
        <f>+HLOOKUP($B123,'parametres articles'!$C$5:$G$25,21,FALSE)</f>
        <v>13</v>
      </c>
      <c r="M123" s="192">
        <f>+HLOOKUP($B123,'parametres articles'!$C$5:$G$25,7,FALSE)</f>
        <v>0.8</v>
      </c>
      <c r="N123" s="192">
        <f>+HLOOKUP($B123,'parametres articles'!$C$5:$G$25,6,FALSE)</f>
        <v>0.4</v>
      </c>
      <c r="O123" s="187">
        <f>+HLOOKUP($B123,'parametres articles'!$C$5:$G$25,8,FALSE)</f>
        <v>0</v>
      </c>
      <c r="P123" s="193">
        <f>IF(B123="E",'parametres articles'!$C$8,HLOOKUP($B123,'parametres articles'!$C$5:$F$25,4,FALSE))</f>
        <v>2.27</v>
      </c>
      <c r="Q123" s="193">
        <f t="shared" si="16"/>
        <v>2.27</v>
      </c>
      <c r="R123" s="199">
        <f t="shared" si="24"/>
        <v>13.62</v>
      </c>
      <c r="S123" s="197">
        <f t="shared" si="17"/>
        <v>24.515999999999998</v>
      </c>
      <c r="T123" s="201">
        <f t="shared" si="18"/>
        <v>58.565999999999995</v>
      </c>
      <c r="U123" s="203">
        <f t="shared" si="25"/>
        <v>72.185999999999993</v>
      </c>
      <c r="V123" s="187">
        <f t="shared" si="19"/>
        <v>24.515999999999998</v>
      </c>
      <c r="W123" s="187">
        <f t="shared" si="20"/>
        <v>34.049999999999997</v>
      </c>
      <c r="X123" s="187">
        <f t="shared" si="21"/>
        <v>13.62</v>
      </c>
      <c r="Y123" s="193">
        <f t="shared" si="22"/>
        <v>31.325999999999997</v>
      </c>
      <c r="Z123" s="194"/>
      <c r="AA123" s="195">
        <f t="shared" ca="1" si="27"/>
        <v>123</v>
      </c>
      <c r="AB123" s="195">
        <f ca="1">+AA123+'parametres articles'!$C$9-1</f>
        <v>137</v>
      </c>
      <c r="AC123" s="195">
        <f ca="1">+AA123+'parametres articles'!$C$24-1</f>
        <v>142</v>
      </c>
      <c r="AD123" s="195">
        <f ca="1">+IF(AE123&lt;='parametres articles'!$H$8,0,AA123-'parametres articles'!$H$8+1)</f>
        <v>119</v>
      </c>
      <c r="AE123" s="195">
        <v>122</v>
      </c>
      <c r="AF123" s="187" t="str">
        <f t="shared" ca="1" si="26"/>
        <v>F138</v>
      </c>
      <c r="AG123" s="178"/>
      <c r="AH123" s="178"/>
      <c r="AI123" s="178"/>
      <c r="AJ123" s="178"/>
      <c r="AK123" s="178"/>
    </row>
    <row r="124" spans="1:37" x14ac:dyDescent="0.25">
      <c r="A124" s="186">
        <v>42127</v>
      </c>
      <c r="B124" s="188" t="s">
        <v>21</v>
      </c>
      <c r="C124" s="189">
        <f ca="1">+IF(AD124=0,P124,(SUM(INDIRECT(CONCATENATE("B",AD124,":B",AA124)))/'parametres articles'!$H$8))</f>
        <v>0</v>
      </c>
      <c r="D124" s="187">
        <f>IFERROR(VLOOKUP(A124,'Mvmt stock'!A:B,2,0),0)</f>
        <v>0</v>
      </c>
      <c r="E124" s="188">
        <f>IFERROR(VLOOKUP(A124,'Mvmt stock'!D:E,2,0),0)</f>
        <v>0</v>
      </c>
      <c r="F124" s="188">
        <f t="shared" si="23"/>
        <v>84</v>
      </c>
      <c r="G124" s="208">
        <f>IFERROR(VLOOKUP(A124,'Mvmt stock'!G:H,2,0),0)</f>
        <v>0</v>
      </c>
      <c r="H124" s="190">
        <f>IFERROR(VLOOKUP(A124,Stock!B:C,2,0),H123)</f>
        <v>112</v>
      </c>
      <c r="I124" s="188">
        <f t="shared" si="15"/>
        <v>84</v>
      </c>
      <c r="J124" s="191">
        <f t="shared" si="29"/>
        <v>96.571428571428569</v>
      </c>
      <c r="K124" s="187">
        <f>+HLOOKUP($B124,'parametres articles'!$C$5:$G$25,5,FALSE)</f>
        <v>15</v>
      </c>
      <c r="L124" s="187">
        <f>+HLOOKUP($B124,'parametres articles'!$C$5:$G$25,21,FALSE)</f>
        <v>13</v>
      </c>
      <c r="M124" s="192">
        <f>+HLOOKUP($B124,'parametres articles'!$C$5:$G$25,7,FALSE)</f>
        <v>0.8</v>
      </c>
      <c r="N124" s="192">
        <f>+HLOOKUP($B124,'parametres articles'!$C$5:$G$25,6,FALSE)</f>
        <v>0.4</v>
      </c>
      <c r="O124" s="187">
        <f>+HLOOKUP($B124,'parametres articles'!$C$5:$G$25,8,FALSE)</f>
        <v>0</v>
      </c>
      <c r="P124" s="193">
        <f>IF(B124="E",'parametres articles'!$C$8,HLOOKUP($B124,'parametres articles'!$C$5:$F$25,4,FALSE))</f>
        <v>2.27</v>
      </c>
      <c r="Q124" s="193">
        <f t="shared" si="16"/>
        <v>2.27</v>
      </c>
      <c r="R124" s="199">
        <f t="shared" si="24"/>
        <v>13.62</v>
      </c>
      <c r="S124" s="197">
        <f t="shared" si="17"/>
        <v>24.515999999999998</v>
      </c>
      <c r="T124" s="201">
        <f t="shared" si="18"/>
        <v>58.565999999999995</v>
      </c>
      <c r="U124" s="203">
        <f t="shared" si="25"/>
        <v>72.185999999999993</v>
      </c>
      <c r="V124" s="187">
        <f t="shared" si="19"/>
        <v>24.515999999999998</v>
      </c>
      <c r="W124" s="187">
        <f t="shared" si="20"/>
        <v>34.049999999999997</v>
      </c>
      <c r="X124" s="187">
        <f t="shared" si="21"/>
        <v>13.62</v>
      </c>
      <c r="Y124" s="193">
        <f t="shared" si="22"/>
        <v>31.325999999999997</v>
      </c>
      <c r="Z124" s="194"/>
      <c r="AA124" s="195">
        <f t="shared" ca="1" si="27"/>
        <v>124</v>
      </c>
      <c r="AB124" s="195">
        <f ca="1">+AA124+'parametres articles'!$C$9-1</f>
        <v>138</v>
      </c>
      <c r="AC124" s="195">
        <f ca="1">+AA124+'parametres articles'!$C$24-1</f>
        <v>143</v>
      </c>
      <c r="AD124" s="195">
        <f ca="1">+IF(AE124&lt;='parametres articles'!$H$8,0,AA124-'parametres articles'!$H$8+1)</f>
        <v>120</v>
      </c>
      <c r="AE124" s="195">
        <v>123</v>
      </c>
      <c r="AF124" s="187" t="str">
        <f t="shared" ca="1" si="26"/>
        <v>F139</v>
      </c>
      <c r="AG124" s="178"/>
      <c r="AH124" s="178"/>
      <c r="AI124" s="178"/>
      <c r="AJ124" s="178"/>
      <c r="AK124" s="178"/>
    </row>
    <row r="125" spans="1:37" x14ac:dyDescent="0.25">
      <c r="A125" s="186">
        <v>42128</v>
      </c>
      <c r="B125" s="188" t="s">
        <v>21</v>
      </c>
      <c r="C125" s="189">
        <f ca="1">+IF(AD125=0,P125,(SUM(INDIRECT(CONCATENATE("B",AD125,":B",AA125)))/'parametres articles'!$H$8))</f>
        <v>0</v>
      </c>
      <c r="D125" s="187">
        <f>IFERROR(VLOOKUP(A125,'Mvmt stock'!A:B,2,0),0)</f>
        <v>0</v>
      </c>
      <c r="E125" s="188">
        <f>IFERROR(VLOOKUP(A125,'Mvmt stock'!D:E,2,0),0)</f>
        <v>3</v>
      </c>
      <c r="F125" s="188">
        <f t="shared" si="23"/>
        <v>84</v>
      </c>
      <c r="G125" s="208">
        <f>IFERROR(VLOOKUP(A125,'Mvmt stock'!G:H,2,0),0)</f>
        <v>0</v>
      </c>
      <c r="H125" s="190">
        <f>IFERROR(VLOOKUP(A125,Stock!B:C,2,0),H124)</f>
        <v>86</v>
      </c>
      <c r="I125" s="188">
        <f t="shared" si="15"/>
        <v>87</v>
      </c>
      <c r="J125" s="191">
        <f t="shared" si="29"/>
        <v>96.047619047619051</v>
      </c>
      <c r="K125" s="187">
        <f>+HLOOKUP($B125,'parametres articles'!$C$5:$G$25,5,FALSE)</f>
        <v>15</v>
      </c>
      <c r="L125" s="187">
        <f>+HLOOKUP($B125,'parametres articles'!$C$5:$G$25,21,FALSE)</f>
        <v>13</v>
      </c>
      <c r="M125" s="192">
        <f>+HLOOKUP($B125,'parametres articles'!$C$5:$G$25,7,FALSE)</f>
        <v>0.8</v>
      </c>
      <c r="N125" s="192">
        <f>+HLOOKUP($B125,'parametres articles'!$C$5:$G$25,6,FALSE)</f>
        <v>0.4</v>
      </c>
      <c r="O125" s="187">
        <f>+HLOOKUP($B125,'parametres articles'!$C$5:$G$25,8,FALSE)</f>
        <v>0</v>
      </c>
      <c r="P125" s="193">
        <f>IF(B125="E",'parametres articles'!$C$8,HLOOKUP($B125,'parametres articles'!$C$5:$F$25,4,FALSE))</f>
        <v>2.27</v>
      </c>
      <c r="Q125" s="193">
        <f t="shared" si="16"/>
        <v>2.27</v>
      </c>
      <c r="R125" s="199">
        <f t="shared" si="24"/>
        <v>13.62</v>
      </c>
      <c r="S125" s="197">
        <f t="shared" si="17"/>
        <v>24.515999999999998</v>
      </c>
      <c r="T125" s="201">
        <f t="shared" si="18"/>
        <v>58.565999999999995</v>
      </c>
      <c r="U125" s="203">
        <f t="shared" si="25"/>
        <v>72.185999999999993</v>
      </c>
      <c r="V125" s="187">
        <f t="shared" si="19"/>
        <v>24.515999999999998</v>
      </c>
      <c r="W125" s="187">
        <f t="shared" si="20"/>
        <v>34.049999999999997</v>
      </c>
      <c r="X125" s="187">
        <f t="shared" si="21"/>
        <v>13.62</v>
      </c>
      <c r="Y125" s="193">
        <f t="shared" si="22"/>
        <v>31.325999999999997</v>
      </c>
      <c r="Z125" s="194"/>
      <c r="AA125" s="195">
        <f t="shared" ca="1" si="27"/>
        <v>125</v>
      </c>
      <c r="AB125" s="195">
        <f ca="1">+AA125+'parametres articles'!$C$9-1</f>
        <v>139</v>
      </c>
      <c r="AC125" s="195">
        <f ca="1">+AA125+'parametres articles'!$C$24-1</f>
        <v>144</v>
      </c>
      <c r="AD125" s="195">
        <f ca="1">+IF(AE125&lt;='parametres articles'!$H$8,0,AA125-'parametres articles'!$H$8+1)</f>
        <v>121</v>
      </c>
      <c r="AE125" s="195">
        <v>124</v>
      </c>
      <c r="AF125" s="187" t="str">
        <f t="shared" ca="1" si="26"/>
        <v>F140</v>
      </c>
      <c r="AG125" s="181"/>
      <c r="AH125" s="178"/>
      <c r="AI125" s="178"/>
      <c r="AJ125" s="178"/>
      <c r="AK125" s="178"/>
    </row>
    <row r="126" spans="1:37" x14ac:dyDescent="0.25">
      <c r="A126" s="186">
        <v>42129</v>
      </c>
      <c r="B126" s="188" t="s">
        <v>21</v>
      </c>
      <c r="C126" s="189">
        <f ca="1">+IF(AD126=0,P126,(SUM(INDIRECT(CONCATENATE("B",AD126,":B",AA126)))/'parametres articles'!$H$8))</f>
        <v>0</v>
      </c>
      <c r="D126" s="187">
        <f>IFERROR(VLOOKUP(A126,'Mvmt stock'!A:B,2,0),0)</f>
        <v>0</v>
      </c>
      <c r="E126" s="188">
        <f>IFERROR(VLOOKUP(A126,'Mvmt stock'!D:E,2,0),0)</f>
        <v>0</v>
      </c>
      <c r="F126" s="188">
        <f t="shared" si="23"/>
        <v>87</v>
      </c>
      <c r="G126" s="208">
        <f>IFERROR(VLOOKUP(A126,'Mvmt stock'!G:H,2,0),0)</f>
        <v>0</v>
      </c>
      <c r="H126" s="190">
        <f>IFERROR(VLOOKUP(A126,Stock!B:C,2,0),H125)</f>
        <v>89</v>
      </c>
      <c r="I126" s="188">
        <f t="shared" si="15"/>
        <v>87</v>
      </c>
      <c r="J126" s="191">
        <f t="shared" si="29"/>
        <v>95.761904761904759</v>
      </c>
      <c r="K126" s="187">
        <f>+HLOOKUP($B126,'parametres articles'!$C$5:$G$25,5,FALSE)</f>
        <v>15</v>
      </c>
      <c r="L126" s="187">
        <f>+HLOOKUP($B126,'parametres articles'!$C$5:$G$25,21,FALSE)</f>
        <v>13</v>
      </c>
      <c r="M126" s="192">
        <f>+HLOOKUP($B126,'parametres articles'!$C$5:$G$25,7,FALSE)</f>
        <v>0.8</v>
      </c>
      <c r="N126" s="192">
        <f>+HLOOKUP($B126,'parametres articles'!$C$5:$G$25,6,FALSE)</f>
        <v>0.4</v>
      </c>
      <c r="O126" s="187">
        <f>+HLOOKUP($B126,'parametres articles'!$C$5:$G$25,8,FALSE)</f>
        <v>0</v>
      </c>
      <c r="P126" s="193">
        <f>IF(B126="E",'parametres articles'!$C$8,HLOOKUP($B126,'parametres articles'!$C$5:$F$25,4,FALSE))</f>
        <v>2.27</v>
      </c>
      <c r="Q126" s="193">
        <f t="shared" si="16"/>
        <v>2.27</v>
      </c>
      <c r="R126" s="199">
        <f t="shared" si="24"/>
        <v>13.62</v>
      </c>
      <c r="S126" s="197">
        <f t="shared" si="17"/>
        <v>24.515999999999998</v>
      </c>
      <c r="T126" s="201">
        <f t="shared" si="18"/>
        <v>58.565999999999995</v>
      </c>
      <c r="U126" s="203">
        <f t="shared" si="25"/>
        <v>72.185999999999993</v>
      </c>
      <c r="V126" s="187">
        <f t="shared" si="19"/>
        <v>24.515999999999998</v>
      </c>
      <c r="W126" s="187">
        <f t="shared" si="20"/>
        <v>34.049999999999997</v>
      </c>
      <c r="X126" s="187">
        <f t="shared" si="21"/>
        <v>13.62</v>
      </c>
      <c r="Y126" s="193">
        <f t="shared" si="22"/>
        <v>31.325999999999997</v>
      </c>
      <c r="Z126" s="194"/>
      <c r="AA126" s="195">
        <f t="shared" ca="1" si="27"/>
        <v>126</v>
      </c>
      <c r="AB126" s="195">
        <f ca="1">+AA126+'parametres articles'!$C$9-1</f>
        <v>140</v>
      </c>
      <c r="AC126" s="195">
        <f ca="1">+AA126+'parametres articles'!$C$24-1</f>
        <v>145</v>
      </c>
      <c r="AD126" s="195">
        <f ca="1">+IF(AE126&lt;='parametres articles'!$H$8,0,AA126-'parametres articles'!$H$8+1)</f>
        <v>122</v>
      </c>
      <c r="AE126" s="195">
        <v>125</v>
      </c>
      <c r="AF126" s="187" t="str">
        <f t="shared" ca="1" si="26"/>
        <v>F141</v>
      </c>
      <c r="AG126" s="181"/>
      <c r="AH126" s="178"/>
      <c r="AI126" s="178"/>
      <c r="AJ126" s="178"/>
      <c r="AK126" s="178"/>
    </row>
    <row r="127" spans="1:37" x14ac:dyDescent="0.25">
      <c r="A127" s="186">
        <v>42130</v>
      </c>
      <c r="B127" s="188" t="s">
        <v>21</v>
      </c>
      <c r="C127" s="189">
        <f ca="1">+IF(AD127=0,P127,(SUM(INDIRECT(CONCATENATE("B",AD127,":B",AA127)))/'parametres articles'!$H$8))</f>
        <v>0</v>
      </c>
      <c r="D127" s="187">
        <f>IFERROR(VLOOKUP(A127,'Mvmt stock'!A:B,2,0),0)</f>
        <v>10</v>
      </c>
      <c r="E127" s="188">
        <f>IFERROR(VLOOKUP(A127,'Mvmt stock'!D:E,2,0),0)</f>
        <v>0</v>
      </c>
      <c r="F127" s="188">
        <f t="shared" si="23"/>
        <v>87</v>
      </c>
      <c r="G127" s="208">
        <f>IFERROR(VLOOKUP(A127,'Mvmt stock'!G:H,2,0),0)</f>
        <v>0</v>
      </c>
      <c r="H127" s="190">
        <f>IFERROR(VLOOKUP(A127,Stock!B:C,2,0),H126)</f>
        <v>89</v>
      </c>
      <c r="I127" s="188">
        <f t="shared" si="15"/>
        <v>77</v>
      </c>
      <c r="J127" s="191">
        <f t="shared" si="29"/>
        <v>95.476190476190482</v>
      </c>
      <c r="K127" s="187">
        <f>+HLOOKUP($B127,'parametres articles'!$C$5:$G$25,5,FALSE)</f>
        <v>15</v>
      </c>
      <c r="L127" s="187">
        <f>+HLOOKUP($B127,'parametres articles'!$C$5:$G$25,21,FALSE)</f>
        <v>13</v>
      </c>
      <c r="M127" s="192">
        <f>+HLOOKUP($B127,'parametres articles'!$C$5:$G$25,7,FALSE)</f>
        <v>0.8</v>
      </c>
      <c r="N127" s="192">
        <f>+HLOOKUP($B127,'parametres articles'!$C$5:$G$25,6,FALSE)</f>
        <v>0.4</v>
      </c>
      <c r="O127" s="187">
        <f>+HLOOKUP($B127,'parametres articles'!$C$5:$G$25,8,FALSE)</f>
        <v>0</v>
      </c>
      <c r="P127" s="193">
        <f>IF(B127="E",'parametres articles'!$C$8,HLOOKUP($B127,'parametres articles'!$C$5:$F$25,4,FALSE))</f>
        <v>2.27</v>
      </c>
      <c r="Q127" s="193">
        <f t="shared" si="16"/>
        <v>2.27</v>
      </c>
      <c r="R127" s="199">
        <f t="shared" si="24"/>
        <v>13.62</v>
      </c>
      <c r="S127" s="197">
        <f t="shared" si="17"/>
        <v>24.515999999999998</v>
      </c>
      <c r="T127" s="201">
        <f t="shared" si="18"/>
        <v>58.565999999999995</v>
      </c>
      <c r="U127" s="203">
        <f t="shared" si="25"/>
        <v>72.185999999999993</v>
      </c>
      <c r="V127" s="187">
        <f t="shared" si="19"/>
        <v>24.515999999999998</v>
      </c>
      <c r="W127" s="187">
        <f t="shared" si="20"/>
        <v>34.049999999999997</v>
      </c>
      <c r="X127" s="187">
        <f t="shared" si="21"/>
        <v>13.62</v>
      </c>
      <c r="Y127" s="193">
        <f t="shared" si="22"/>
        <v>31.325999999999997</v>
      </c>
      <c r="Z127" s="194"/>
      <c r="AA127" s="195">
        <f t="shared" ca="1" si="27"/>
        <v>127</v>
      </c>
      <c r="AB127" s="195">
        <f ca="1">+AA127+'parametres articles'!$C$9-1</f>
        <v>141</v>
      </c>
      <c r="AC127" s="195">
        <f ca="1">+AA127+'parametres articles'!$C$24-1</f>
        <v>146</v>
      </c>
      <c r="AD127" s="195">
        <f ca="1">+IF(AE127&lt;='parametres articles'!$H$8,0,AA127-'parametres articles'!$H$8+1)</f>
        <v>123</v>
      </c>
      <c r="AE127" s="195">
        <v>126</v>
      </c>
      <c r="AF127" s="187" t="str">
        <f t="shared" ca="1" si="26"/>
        <v>F142</v>
      </c>
      <c r="AH127" s="178"/>
      <c r="AI127" s="178"/>
      <c r="AJ127" s="178"/>
      <c r="AK127" s="178"/>
    </row>
    <row r="128" spans="1:37" x14ac:dyDescent="0.25">
      <c r="A128" s="186">
        <v>42131</v>
      </c>
      <c r="B128" s="188" t="s">
        <v>21</v>
      </c>
      <c r="C128" s="189">
        <f ca="1">+IF(AD128=0,P128,(SUM(INDIRECT(CONCATENATE("B",AD128,":B",AA128)))/'parametres articles'!$H$8))</f>
        <v>0</v>
      </c>
      <c r="D128" s="187">
        <f>IFERROR(VLOOKUP(A128,'Mvmt stock'!A:B,2,0),0)</f>
        <v>0</v>
      </c>
      <c r="E128" s="188">
        <f>IFERROR(VLOOKUP(A128,'Mvmt stock'!D:E,2,0),0)</f>
        <v>0</v>
      </c>
      <c r="F128" s="188">
        <f t="shared" si="23"/>
        <v>77</v>
      </c>
      <c r="G128" s="208">
        <f>IFERROR(VLOOKUP(A128,'Mvmt stock'!G:H,2,0),0)</f>
        <v>0</v>
      </c>
      <c r="H128" s="190">
        <f>IFERROR(VLOOKUP(A128,Stock!B:C,2,0),H127)</f>
        <v>79</v>
      </c>
      <c r="I128" s="188">
        <f t="shared" si="15"/>
        <v>77</v>
      </c>
      <c r="J128" s="191">
        <f t="shared" si="29"/>
        <v>94.904761904761898</v>
      </c>
      <c r="K128" s="187">
        <f>+HLOOKUP($B128,'parametres articles'!$C$5:$G$25,5,FALSE)</f>
        <v>15</v>
      </c>
      <c r="L128" s="187">
        <f>+HLOOKUP($B128,'parametres articles'!$C$5:$G$25,21,FALSE)</f>
        <v>13</v>
      </c>
      <c r="M128" s="192">
        <f>+HLOOKUP($B128,'parametres articles'!$C$5:$G$25,7,FALSE)</f>
        <v>0.8</v>
      </c>
      <c r="N128" s="192">
        <f>+HLOOKUP($B128,'parametres articles'!$C$5:$G$25,6,FALSE)</f>
        <v>0.4</v>
      </c>
      <c r="O128" s="187">
        <f>+HLOOKUP($B128,'parametres articles'!$C$5:$G$25,8,FALSE)</f>
        <v>0</v>
      </c>
      <c r="P128" s="193">
        <f>IF(B128="E",'parametres articles'!$C$8,HLOOKUP($B128,'parametres articles'!$C$5:$F$25,4,FALSE))</f>
        <v>2.27</v>
      </c>
      <c r="Q128" s="193">
        <f t="shared" si="16"/>
        <v>2.27</v>
      </c>
      <c r="R128" s="199">
        <f t="shared" si="24"/>
        <v>13.62</v>
      </c>
      <c r="S128" s="197">
        <f t="shared" si="17"/>
        <v>24.515999999999998</v>
      </c>
      <c r="T128" s="201">
        <f t="shared" si="18"/>
        <v>58.565999999999995</v>
      </c>
      <c r="U128" s="203">
        <f t="shared" si="25"/>
        <v>72.185999999999993</v>
      </c>
      <c r="V128" s="187">
        <f t="shared" si="19"/>
        <v>24.515999999999998</v>
      </c>
      <c r="W128" s="187">
        <f t="shared" si="20"/>
        <v>34.049999999999997</v>
      </c>
      <c r="X128" s="187">
        <f t="shared" si="21"/>
        <v>13.62</v>
      </c>
      <c r="Y128" s="193">
        <f t="shared" si="22"/>
        <v>31.325999999999997</v>
      </c>
      <c r="Z128" s="194"/>
      <c r="AA128" s="195">
        <f t="shared" ca="1" si="27"/>
        <v>128</v>
      </c>
      <c r="AB128" s="195">
        <f ca="1">+AA128+'parametres articles'!$C$9-1</f>
        <v>142</v>
      </c>
      <c r="AC128" s="195">
        <f ca="1">+AA128+'parametres articles'!$C$24-1</f>
        <v>147</v>
      </c>
      <c r="AD128" s="195">
        <f ca="1">+IF(AE128&lt;='parametres articles'!$H$8,0,AA128-'parametres articles'!$H$8+1)</f>
        <v>124</v>
      </c>
      <c r="AE128" s="195">
        <v>127</v>
      </c>
      <c r="AF128" s="187" t="str">
        <f t="shared" ca="1" si="26"/>
        <v>F143</v>
      </c>
      <c r="AH128" s="178"/>
      <c r="AI128" s="178"/>
      <c r="AJ128" s="178"/>
      <c r="AK128" s="178"/>
    </row>
    <row r="129" spans="1:37" x14ac:dyDescent="0.25">
      <c r="A129" s="186">
        <v>42132</v>
      </c>
      <c r="B129" s="188" t="s">
        <v>21</v>
      </c>
      <c r="C129" s="189">
        <f ca="1">+IF(AD129=0,P129,(SUM(INDIRECT(CONCATENATE("B",AD129,":B",AA129)))/'parametres articles'!$H$8))</f>
        <v>0</v>
      </c>
      <c r="D129" s="187">
        <f>IFERROR(VLOOKUP(A129,'Mvmt stock'!A:B,2,0),0)</f>
        <v>0</v>
      </c>
      <c r="E129" s="188">
        <f>IFERROR(VLOOKUP(A129,'Mvmt stock'!D:E,2,0),0)</f>
        <v>0</v>
      </c>
      <c r="F129" s="188">
        <f t="shared" si="23"/>
        <v>77</v>
      </c>
      <c r="G129" s="208">
        <f>IFERROR(VLOOKUP(A129,'Mvmt stock'!G:H,2,0),0)</f>
        <v>0</v>
      </c>
      <c r="H129" s="190">
        <f>IFERROR(VLOOKUP(A129,Stock!B:C,2,0),H128)</f>
        <v>79</v>
      </c>
      <c r="I129" s="188">
        <f t="shared" si="15"/>
        <v>77</v>
      </c>
      <c r="J129" s="191">
        <f t="shared" si="29"/>
        <v>94.666666666666671</v>
      </c>
      <c r="K129" s="187">
        <f>+HLOOKUP($B129,'parametres articles'!$C$5:$G$25,5,FALSE)</f>
        <v>15</v>
      </c>
      <c r="L129" s="187">
        <f>+HLOOKUP($B129,'parametres articles'!$C$5:$G$25,21,FALSE)</f>
        <v>13</v>
      </c>
      <c r="M129" s="192">
        <f>+HLOOKUP($B129,'parametres articles'!$C$5:$G$25,7,FALSE)</f>
        <v>0.8</v>
      </c>
      <c r="N129" s="192">
        <f>+HLOOKUP($B129,'parametres articles'!$C$5:$G$25,6,FALSE)</f>
        <v>0.4</v>
      </c>
      <c r="O129" s="187">
        <f>+HLOOKUP($B129,'parametres articles'!$C$5:$G$25,8,FALSE)</f>
        <v>0</v>
      </c>
      <c r="P129" s="193">
        <f>IF(B129="E",'parametres articles'!$C$8,HLOOKUP($B129,'parametres articles'!$C$5:$F$25,4,FALSE))</f>
        <v>2.27</v>
      </c>
      <c r="Q129" s="193">
        <f t="shared" si="16"/>
        <v>2.27</v>
      </c>
      <c r="R129" s="199">
        <f t="shared" si="24"/>
        <v>13.62</v>
      </c>
      <c r="S129" s="197">
        <f t="shared" si="17"/>
        <v>24.515999999999998</v>
      </c>
      <c r="T129" s="201">
        <f t="shared" si="18"/>
        <v>58.565999999999995</v>
      </c>
      <c r="U129" s="203">
        <f t="shared" si="25"/>
        <v>72.185999999999993</v>
      </c>
      <c r="V129" s="187">
        <f t="shared" si="19"/>
        <v>24.515999999999998</v>
      </c>
      <c r="W129" s="187">
        <f t="shared" si="20"/>
        <v>34.049999999999997</v>
      </c>
      <c r="X129" s="187">
        <f t="shared" si="21"/>
        <v>13.62</v>
      </c>
      <c r="Y129" s="193">
        <f t="shared" si="22"/>
        <v>31.325999999999997</v>
      </c>
      <c r="Z129" s="194"/>
      <c r="AA129" s="195">
        <f t="shared" ca="1" si="27"/>
        <v>129</v>
      </c>
      <c r="AB129" s="195">
        <f ca="1">+AA129+'parametres articles'!$C$9-1</f>
        <v>143</v>
      </c>
      <c r="AC129" s="195">
        <f ca="1">+AA129+'parametres articles'!$C$24-1</f>
        <v>148</v>
      </c>
      <c r="AD129" s="195">
        <f ca="1">+IF(AE129&lt;='parametres articles'!$H$8,0,AA129-'parametres articles'!$H$8+1)</f>
        <v>125</v>
      </c>
      <c r="AE129" s="195">
        <v>128</v>
      </c>
      <c r="AF129" s="187" t="str">
        <f t="shared" ca="1" si="26"/>
        <v>F144</v>
      </c>
      <c r="AH129" s="178"/>
      <c r="AI129" s="178"/>
      <c r="AJ129" s="178"/>
      <c r="AK129" s="178"/>
    </row>
    <row r="130" spans="1:37" x14ac:dyDescent="0.25">
      <c r="A130" s="186">
        <v>42133</v>
      </c>
      <c r="B130" s="188" t="s">
        <v>21</v>
      </c>
      <c r="C130" s="189">
        <f ca="1">+IF(AD130=0,P130,(SUM(INDIRECT(CONCATENATE("B",AD130,":B",AA130)))/'parametres articles'!$H$8))</f>
        <v>0</v>
      </c>
      <c r="D130" s="187">
        <f>IFERROR(VLOOKUP(A130,'Mvmt stock'!A:B,2,0),0)</f>
        <v>0</v>
      </c>
      <c r="E130" s="188">
        <f>IFERROR(VLOOKUP(A130,'Mvmt stock'!D:E,2,0),0)</f>
        <v>0</v>
      </c>
      <c r="F130" s="188">
        <f t="shared" si="23"/>
        <v>77</v>
      </c>
      <c r="G130" s="208">
        <f>IFERROR(VLOOKUP(A130,'Mvmt stock'!G:H,2,0),0)</f>
        <v>0</v>
      </c>
      <c r="H130" s="190">
        <f>IFERROR(VLOOKUP(A130,Stock!B:C,2,0),H129)</f>
        <v>79</v>
      </c>
      <c r="I130" s="188">
        <f t="shared" ref="I130:I193" si="30">+F130-D130+E130</f>
        <v>77</v>
      </c>
      <c r="J130" s="191">
        <f t="shared" si="29"/>
        <v>93.952380952380949</v>
      </c>
      <c r="K130" s="187">
        <f>+HLOOKUP($B130,'parametres articles'!$C$5:$G$25,5,FALSE)</f>
        <v>15</v>
      </c>
      <c r="L130" s="187">
        <f>+HLOOKUP($B130,'parametres articles'!$C$5:$G$25,21,FALSE)</f>
        <v>13</v>
      </c>
      <c r="M130" s="192">
        <f>+HLOOKUP($B130,'parametres articles'!$C$5:$G$25,7,FALSE)</f>
        <v>0.8</v>
      </c>
      <c r="N130" s="192">
        <f>+HLOOKUP($B130,'parametres articles'!$C$5:$G$25,6,FALSE)</f>
        <v>0.4</v>
      </c>
      <c r="O130" s="187">
        <f>+HLOOKUP($B130,'parametres articles'!$C$5:$G$25,8,FALSE)</f>
        <v>0</v>
      </c>
      <c r="P130" s="193">
        <f>IF(B130="E",'parametres articles'!$C$8,HLOOKUP($B130,'parametres articles'!$C$5:$F$25,4,FALSE))</f>
        <v>2.27</v>
      </c>
      <c r="Q130" s="193">
        <f t="shared" ref="Q130:Q193" si="31">+IF(B130="E",C130,P130)</f>
        <v>2.27</v>
      </c>
      <c r="R130" s="199">
        <f t="shared" si="24"/>
        <v>13.62</v>
      </c>
      <c r="S130" s="197">
        <f t="shared" ref="S130:S193" si="32">(Q130*K130*N130)*(1+M130)</f>
        <v>24.515999999999998</v>
      </c>
      <c r="T130" s="201">
        <f t="shared" ref="T130:T193" si="33">+S130+Q130*K130</f>
        <v>58.565999999999995</v>
      </c>
      <c r="U130" s="203">
        <f t="shared" si="25"/>
        <v>72.185999999999993</v>
      </c>
      <c r="V130" s="187">
        <f t="shared" ref="V130:V193" si="34">+(Q130*K130*N130)*(1+M130)</f>
        <v>24.515999999999998</v>
      </c>
      <c r="W130" s="187">
        <f t="shared" ref="W130:W193" si="35">+Q130*K130</f>
        <v>34.049999999999997</v>
      </c>
      <c r="X130" s="187">
        <f t="shared" ref="X130:X193" si="36">+IF(O130&gt;K130*Q130*N130,O130,K130*Q130*N130)</f>
        <v>13.62</v>
      </c>
      <c r="Y130" s="193">
        <f t="shared" ref="Y130:Y193" si="37">+V130+X130/2</f>
        <v>31.325999999999997</v>
      </c>
      <c r="Z130" s="194"/>
      <c r="AA130" s="195">
        <f t="shared" ca="1" si="27"/>
        <v>130</v>
      </c>
      <c r="AB130" s="195">
        <f ca="1">+AA130+'parametres articles'!$C$9-1</f>
        <v>144</v>
      </c>
      <c r="AC130" s="195">
        <f ca="1">+AA130+'parametres articles'!$C$24-1</f>
        <v>149</v>
      </c>
      <c r="AD130" s="195">
        <f ca="1">+IF(AE130&lt;='parametres articles'!$H$8,0,AA130-'parametres articles'!$H$8+1)</f>
        <v>126</v>
      </c>
      <c r="AE130" s="195">
        <v>129</v>
      </c>
      <c r="AF130" s="187" t="str">
        <f t="shared" ca="1" si="26"/>
        <v>F145</v>
      </c>
      <c r="AH130" s="178"/>
      <c r="AI130" s="178"/>
      <c r="AJ130" s="178"/>
      <c r="AK130" s="178"/>
    </row>
    <row r="131" spans="1:37" x14ac:dyDescent="0.25">
      <c r="A131" s="186">
        <v>42134</v>
      </c>
      <c r="B131" s="188" t="s">
        <v>21</v>
      </c>
      <c r="C131" s="189">
        <f ca="1">+IF(AD131=0,P131,(SUM(INDIRECT(CONCATENATE("B",AD131,":B",AA131)))/'parametres articles'!$H$8))</f>
        <v>0</v>
      </c>
      <c r="D131" s="187">
        <f>IFERROR(VLOOKUP(A131,'Mvmt stock'!A:B,2,0),0)</f>
        <v>0</v>
      </c>
      <c r="E131" s="188">
        <f>IFERROR(VLOOKUP(A131,'Mvmt stock'!D:E,2,0),0)</f>
        <v>0</v>
      </c>
      <c r="F131" s="188">
        <f t="shared" ref="F131:F194" si="38">+I130+G131</f>
        <v>77</v>
      </c>
      <c r="G131" s="208">
        <f>IFERROR(VLOOKUP(A131,'Mvmt stock'!G:H,2,0),0)</f>
        <v>0</v>
      </c>
      <c r="H131" s="190">
        <f>IFERROR(VLOOKUP(A131,Stock!B:C,2,0),H130)</f>
        <v>79</v>
      </c>
      <c r="I131" s="188">
        <f t="shared" si="30"/>
        <v>77</v>
      </c>
      <c r="J131" s="191">
        <f t="shared" si="29"/>
        <v>93.238095238095241</v>
      </c>
      <c r="K131" s="187">
        <f>+HLOOKUP($B131,'parametres articles'!$C$5:$G$25,5,FALSE)</f>
        <v>15</v>
      </c>
      <c r="L131" s="187">
        <f>+HLOOKUP($B131,'parametres articles'!$C$5:$G$25,21,FALSE)</f>
        <v>13</v>
      </c>
      <c r="M131" s="192">
        <f>+HLOOKUP($B131,'parametres articles'!$C$5:$G$25,7,FALSE)</f>
        <v>0.8</v>
      </c>
      <c r="N131" s="192">
        <f>+HLOOKUP($B131,'parametres articles'!$C$5:$G$25,6,FALSE)</f>
        <v>0.4</v>
      </c>
      <c r="O131" s="187">
        <f>+HLOOKUP($B131,'parametres articles'!$C$5:$G$25,8,FALSE)</f>
        <v>0</v>
      </c>
      <c r="P131" s="193">
        <f>IF(B131="E",'parametres articles'!$C$8,HLOOKUP($B131,'parametres articles'!$C$5:$F$25,4,FALSE))</f>
        <v>2.27</v>
      </c>
      <c r="Q131" s="193">
        <f t="shared" si="31"/>
        <v>2.27</v>
      </c>
      <c r="R131" s="199">
        <f t="shared" ref="R131:R194" si="39">+Q131*K131*N131</f>
        <v>13.62</v>
      </c>
      <c r="S131" s="197">
        <f t="shared" si="32"/>
        <v>24.515999999999998</v>
      </c>
      <c r="T131" s="201">
        <f t="shared" si="33"/>
        <v>58.565999999999995</v>
      </c>
      <c r="U131" s="203">
        <f t="shared" ref="U131:U194" si="40">+T131+X131</f>
        <v>72.185999999999993</v>
      </c>
      <c r="V131" s="187">
        <f t="shared" si="34"/>
        <v>24.515999999999998</v>
      </c>
      <c r="W131" s="187">
        <f t="shared" si="35"/>
        <v>34.049999999999997</v>
      </c>
      <c r="X131" s="187">
        <f t="shared" si="36"/>
        <v>13.62</v>
      </c>
      <c r="Y131" s="193">
        <f t="shared" si="37"/>
        <v>31.325999999999997</v>
      </c>
      <c r="Z131" s="194"/>
      <c r="AA131" s="195">
        <f t="shared" ca="1" si="27"/>
        <v>131</v>
      </c>
      <c r="AB131" s="195">
        <f ca="1">+AA131+'parametres articles'!$C$9-1</f>
        <v>145</v>
      </c>
      <c r="AC131" s="195">
        <f ca="1">+AA131+'parametres articles'!$C$24-1</f>
        <v>150</v>
      </c>
      <c r="AD131" s="195">
        <f ca="1">+IF(AE131&lt;='parametres articles'!$H$8,0,AA131-'parametres articles'!$H$8+1)</f>
        <v>127</v>
      </c>
      <c r="AE131" s="195">
        <v>130</v>
      </c>
      <c r="AF131" s="187" t="str">
        <f t="shared" ref="AF131:AF194" ca="1" si="41">CONCATENATE("F",AA131+K130)</f>
        <v>F146</v>
      </c>
      <c r="AH131" s="178"/>
      <c r="AI131" s="178"/>
      <c r="AJ131" s="178"/>
      <c r="AK131" s="178"/>
    </row>
    <row r="132" spans="1:37" x14ac:dyDescent="0.25">
      <c r="A132" s="186">
        <v>42135</v>
      </c>
      <c r="B132" s="188" t="s">
        <v>21</v>
      </c>
      <c r="C132" s="189">
        <f ca="1">+IF(AD132=0,P132,(SUM(INDIRECT(CONCATENATE("B",AD132,":B",AA132)))/'parametres articles'!$H$8))</f>
        <v>0</v>
      </c>
      <c r="D132" s="187">
        <f>IFERROR(VLOOKUP(A132,'Mvmt stock'!A:B,2,0),0)</f>
        <v>0</v>
      </c>
      <c r="E132" s="188">
        <f>IFERROR(VLOOKUP(A132,'Mvmt stock'!D:E,2,0),0)</f>
        <v>20</v>
      </c>
      <c r="F132" s="188">
        <f t="shared" si="38"/>
        <v>76</v>
      </c>
      <c r="G132" s="208">
        <f>IFERROR(VLOOKUP(A132,'Mvmt stock'!G:H,2,0),0)</f>
        <v>-1</v>
      </c>
      <c r="H132" s="190">
        <f>IFERROR(VLOOKUP(A132,Stock!B:C,2,0),H131)</f>
        <v>78</v>
      </c>
      <c r="I132" s="188">
        <f t="shared" si="30"/>
        <v>96</v>
      </c>
      <c r="J132" s="191">
        <f t="shared" si="29"/>
        <v>92.476190476190482</v>
      </c>
      <c r="K132" s="187">
        <f>+HLOOKUP($B132,'parametres articles'!$C$5:$G$25,5,FALSE)</f>
        <v>15</v>
      </c>
      <c r="L132" s="187">
        <f>+HLOOKUP($B132,'parametres articles'!$C$5:$G$25,21,FALSE)</f>
        <v>13</v>
      </c>
      <c r="M132" s="192">
        <f>+HLOOKUP($B132,'parametres articles'!$C$5:$G$25,7,FALSE)</f>
        <v>0.8</v>
      </c>
      <c r="N132" s="192">
        <f>+HLOOKUP($B132,'parametres articles'!$C$5:$G$25,6,FALSE)</f>
        <v>0.4</v>
      </c>
      <c r="O132" s="187">
        <f>+HLOOKUP($B132,'parametres articles'!$C$5:$G$25,8,FALSE)</f>
        <v>0</v>
      </c>
      <c r="P132" s="193">
        <f>IF(B132="E",'parametres articles'!$C$8,HLOOKUP($B132,'parametres articles'!$C$5:$F$25,4,FALSE))</f>
        <v>2.27</v>
      </c>
      <c r="Q132" s="193">
        <f t="shared" si="31"/>
        <v>2.27</v>
      </c>
      <c r="R132" s="199">
        <f t="shared" si="39"/>
        <v>13.62</v>
      </c>
      <c r="S132" s="197">
        <f t="shared" si="32"/>
        <v>24.515999999999998</v>
      </c>
      <c r="T132" s="201">
        <f t="shared" si="33"/>
        <v>58.565999999999995</v>
      </c>
      <c r="U132" s="203">
        <f t="shared" si="40"/>
        <v>72.185999999999993</v>
      </c>
      <c r="V132" s="187">
        <f t="shared" si="34"/>
        <v>24.515999999999998</v>
      </c>
      <c r="W132" s="187">
        <f t="shared" si="35"/>
        <v>34.049999999999997</v>
      </c>
      <c r="X132" s="187">
        <f t="shared" si="36"/>
        <v>13.62</v>
      </c>
      <c r="Y132" s="193">
        <f t="shared" si="37"/>
        <v>31.325999999999997</v>
      </c>
      <c r="Z132" s="194"/>
      <c r="AA132" s="195">
        <f t="shared" ref="AA132:AA195" ca="1" si="42">+AA131+1</f>
        <v>132</v>
      </c>
      <c r="AB132" s="195">
        <f ca="1">+AA132+'parametres articles'!$C$9-1</f>
        <v>146</v>
      </c>
      <c r="AC132" s="195">
        <f ca="1">+AA132+'parametres articles'!$C$24-1</f>
        <v>151</v>
      </c>
      <c r="AD132" s="195">
        <f ca="1">+IF(AE132&lt;='parametres articles'!$H$8,0,AA132-'parametres articles'!$H$8+1)</f>
        <v>128</v>
      </c>
      <c r="AE132" s="195">
        <v>131</v>
      </c>
      <c r="AF132" s="187" t="str">
        <f t="shared" ca="1" si="41"/>
        <v>F147</v>
      </c>
      <c r="AH132" s="178"/>
      <c r="AI132" s="178"/>
      <c r="AJ132" s="178"/>
      <c r="AK132" s="178"/>
    </row>
    <row r="133" spans="1:37" x14ac:dyDescent="0.25">
      <c r="A133" s="186">
        <v>42136</v>
      </c>
      <c r="B133" s="188" t="s">
        <v>21</v>
      </c>
      <c r="C133" s="189">
        <f ca="1">+IF(AD133=0,P133,(SUM(INDIRECT(CONCATENATE("B",AD133,":B",AA133)))/'parametres articles'!$H$8))</f>
        <v>0</v>
      </c>
      <c r="D133" s="187">
        <f>IFERROR(VLOOKUP(A133,'Mvmt stock'!A:B,2,0),0)</f>
        <v>1</v>
      </c>
      <c r="E133" s="188">
        <f>IFERROR(VLOOKUP(A133,'Mvmt stock'!D:E,2,0),0)</f>
        <v>0</v>
      </c>
      <c r="F133" s="188">
        <f t="shared" si="38"/>
        <v>96</v>
      </c>
      <c r="G133" s="208">
        <f>IFERROR(VLOOKUP(A133,'Mvmt stock'!G:H,2,0),0)</f>
        <v>0</v>
      </c>
      <c r="H133" s="190">
        <f>IFERROR(VLOOKUP(A133,Stock!B:C,2,0),H132)</f>
        <v>98</v>
      </c>
      <c r="I133" s="188">
        <f t="shared" si="30"/>
        <v>95</v>
      </c>
      <c r="J133" s="191">
        <f t="shared" si="29"/>
        <v>92.666666666666671</v>
      </c>
      <c r="K133" s="187">
        <f>+HLOOKUP($B133,'parametres articles'!$C$5:$G$25,5,FALSE)</f>
        <v>15</v>
      </c>
      <c r="L133" s="187">
        <f>+HLOOKUP($B133,'parametres articles'!$C$5:$G$25,21,FALSE)</f>
        <v>13</v>
      </c>
      <c r="M133" s="192">
        <f>+HLOOKUP($B133,'parametres articles'!$C$5:$G$25,7,FALSE)</f>
        <v>0.8</v>
      </c>
      <c r="N133" s="192">
        <f>+HLOOKUP($B133,'parametres articles'!$C$5:$G$25,6,FALSE)</f>
        <v>0.4</v>
      </c>
      <c r="O133" s="187">
        <f>+HLOOKUP($B133,'parametres articles'!$C$5:$G$25,8,FALSE)</f>
        <v>0</v>
      </c>
      <c r="P133" s="193">
        <f>IF(B133="E",'parametres articles'!$C$8,HLOOKUP($B133,'parametres articles'!$C$5:$F$25,4,FALSE))</f>
        <v>2.27</v>
      </c>
      <c r="Q133" s="193">
        <f t="shared" si="31"/>
        <v>2.27</v>
      </c>
      <c r="R133" s="199">
        <f t="shared" si="39"/>
        <v>13.62</v>
      </c>
      <c r="S133" s="197">
        <f t="shared" si="32"/>
        <v>24.515999999999998</v>
      </c>
      <c r="T133" s="201">
        <f t="shared" si="33"/>
        <v>58.565999999999995</v>
      </c>
      <c r="U133" s="203">
        <f t="shared" si="40"/>
        <v>72.185999999999993</v>
      </c>
      <c r="V133" s="187">
        <f t="shared" si="34"/>
        <v>24.515999999999998</v>
      </c>
      <c r="W133" s="187">
        <f t="shared" si="35"/>
        <v>34.049999999999997</v>
      </c>
      <c r="X133" s="187">
        <f t="shared" si="36"/>
        <v>13.62</v>
      </c>
      <c r="Y133" s="193">
        <f t="shared" si="37"/>
        <v>31.325999999999997</v>
      </c>
      <c r="Z133" s="194"/>
      <c r="AA133" s="195">
        <f t="shared" ca="1" si="42"/>
        <v>133</v>
      </c>
      <c r="AB133" s="195">
        <f ca="1">+AA133+'parametres articles'!$C$9-1</f>
        <v>147</v>
      </c>
      <c r="AC133" s="195">
        <f ca="1">+AA133+'parametres articles'!$C$24-1</f>
        <v>152</v>
      </c>
      <c r="AD133" s="195">
        <f ca="1">+IF(AE133&lt;='parametres articles'!$H$8,0,AA133-'parametres articles'!$H$8+1)</f>
        <v>129</v>
      </c>
      <c r="AE133" s="195">
        <v>132</v>
      </c>
      <c r="AF133" s="187" t="str">
        <f t="shared" ca="1" si="41"/>
        <v>F148</v>
      </c>
      <c r="AH133" s="178"/>
      <c r="AI133" s="178"/>
      <c r="AJ133" s="178"/>
      <c r="AK133" s="178"/>
    </row>
    <row r="134" spans="1:37" x14ac:dyDescent="0.25">
      <c r="A134" s="186">
        <v>42137</v>
      </c>
      <c r="B134" s="188" t="s">
        <v>21</v>
      </c>
      <c r="C134" s="189">
        <f ca="1">+IF(AD134=0,P134,(SUM(INDIRECT(CONCATENATE("B",AD134,":B",AA134)))/'parametres articles'!$H$8))</f>
        <v>0</v>
      </c>
      <c r="D134" s="187">
        <f>IFERROR(VLOOKUP(A134,'Mvmt stock'!A:B,2,0),0)</f>
        <v>6</v>
      </c>
      <c r="E134" s="188">
        <f>IFERROR(VLOOKUP(A134,'Mvmt stock'!D:E,2,0),0)</f>
        <v>0</v>
      </c>
      <c r="F134" s="188">
        <f t="shared" si="38"/>
        <v>71</v>
      </c>
      <c r="G134" s="208">
        <f>IFERROR(VLOOKUP(A134,'Mvmt stock'!G:H,2,0),0)</f>
        <v>-24</v>
      </c>
      <c r="H134" s="190">
        <f>IFERROR(VLOOKUP(A134,Stock!B:C,2,0),H133)</f>
        <v>73</v>
      </c>
      <c r="I134" s="188">
        <f t="shared" si="30"/>
        <v>65</v>
      </c>
      <c r="J134" s="191">
        <f t="shared" si="29"/>
        <v>91.666666666666671</v>
      </c>
      <c r="K134" s="187">
        <f>+HLOOKUP($B134,'parametres articles'!$C$5:$G$25,5,FALSE)</f>
        <v>15</v>
      </c>
      <c r="L134" s="187">
        <f>+HLOOKUP($B134,'parametres articles'!$C$5:$G$25,21,FALSE)</f>
        <v>13</v>
      </c>
      <c r="M134" s="192">
        <f>+HLOOKUP($B134,'parametres articles'!$C$5:$G$25,7,FALSE)</f>
        <v>0.8</v>
      </c>
      <c r="N134" s="192">
        <f>+HLOOKUP($B134,'parametres articles'!$C$5:$G$25,6,FALSE)</f>
        <v>0.4</v>
      </c>
      <c r="O134" s="187">
        <f>+HLOOKUP($B134,'parametres articles'!$C$5:$G$25,8,FALSE)</f>
        <v>0</v>
      </c>
      <c r="P134" s="193">
        <f>IF(B134="E",'parametres articles'!$C$8,HLOOKUP($B134,'parametres articles'!$C$5:$F$25,4,FALSE))</f>
        <v>2.27</v>
      </c>
      <c r="Q134" s="193">
        <f t="shared" si="31"/>
        <v>2.27</v>
      </c>
      <c r="R134" s="199">
        <f t="shared" si="39"/>
        <v>13.62</v>
      </c>
      <c r="S134" s="197">
        <f t="shared" si="32"/>
        <v>24.515999999999998</v>
      </c>
      <c r="T134" s="201">
        <f t="shared" si="33"/>
        <v>58.565999999999995</v>
      </c>
      <c r="U134" s="203">
        <f t="shared" si="40"/>
        <v>72.185999999999993</v>
      </c>
      <c r="V134" s="187">
        <f t="shared" si="34"/>
        <v>24.515999999999998</v>
      </c>
      <c r="W134" s="187">
        <f t="shared" si="35"/>
        <v>34.049999999999997</v>
      </c>
      <c r="X134" s="187">
        <f t="shared" si="36"/>
        <v>13.62</v>
      </c>
      <c r="Y134" s="193">
        <f t="shared" si="37"/>
        <v>31.325999999999997</v>
      </c>
      <c r="Z134" s="194"/>
      <c r="AA134" s="195">
        <f t="shared" ca="1" si="42"/>
        <v>134</v>
      </c>
      <c r="AB134" s="195">
        <f ca="1">+AA134+'parametres articles'!$C$9-1</f>
        <v>148</v>
      </c>
      <c r="AC134" s="195">
        <f ca="1">+AA134+'parametres articles'!$C$24-1</f>
        <v>153</v>
      </c>
      <c r="AD134" s="195">
        <f ca="1">+IF(AE134&lt;='parametres articles'!$H$8,0,AA134-'parametres articles'!$H$8+1)</f>
        <v>130</v>
      </c>
      <c r="AE134" s="195">
        <v>133</v>
      </c>
      <c r="AF134" s="187" t="str">
        <f t="shared" ca="1" si="41"/>
        <v>F149</v>
      </c>
      <c r="AH134" s="178"/>
      <c r="AI134" s="178"/>
      <c r="AJ134" s="178"/>
      <c r="AK134" s="178"/>
    </row>
    <row r="135" spans="1:37" x14ac:dyDescent="0.25">
      <c r="A135" s="186">
        <v>42138</v>
      </c>
      <c r="B135" s="188" t="s">
        <v>21</v>
      </c>
      <c r="C135" s="189">
        <f ca="1">+IF(AD135=0,P135,(SUM(INDIRECT(CONCATENATE("B",AD135,":B",AA135)))/'parametres articles'!$H$8))</f>
        <v>0</v>
      </c>
      <c r="D135" s="187">
        <f>IFERROR(VLOOKUP(A135,'Mvmt stock'!A:B,2,0),0)</f>
        <v>0</v>
      </c>
      <c r="E135" s="188">
        <f>IFERROR(VLOOKUP(A135,'Mvmt stock'!D:E,2,0),0)</f>
        <v>0</v>
      </c>
      <c r="F135" s="188">
        <f t="shared" si="38"/>
        <v>65</v>
      </c>
      <c r="G135" s="208">
        <f>IFERROR(VLOOKUP(A135,'Mvmt stock'!G:H,2,0),0)</f>
        <v>0</v>
      </c>
      <c r="H135" s="190">
        <f>IFERROR(VLOOKUP(A135,Stock!B:C,2,0),H134)</f>
        <v>73</v>
      </c>
      <c r="I135" s="188">
        <f t="shared" si="30"/>
        <v>65</v>
      </c>
      <c r="J135" s="191">
        <f t="shared" si="29"/>
        <v>90.428571428571431</v>
      </c>
      <c r="K135" s="187">
        <f>+HLOOKUP($B135,'parametres articles'!$C$5:$G$25,5,FALSE)</f>
        <v>15</v>
      </c>
      <c r="L135" s="187">
        <f>+HLOOKUP($B135,'parametres articles'!$C$5:$G$25,21,FALSE)</f>
        <v>13</v>
      </c>
      <c r="M135" s="192">
        <f>+HLOOKUP($B135,'parametres articles'!$C$5:$G$25,7,FALSE)</f>
        <v>0.8</v>
      </c>
      <c r="N135" s="192">
        <f>+HLOOKUP($B135,'parametres articles'!$C$5:$G$25,6,FALSE)</f>
        <v>0.4</v>
      </c>
      <c r="O135" s="187">
        <f>+HLOOKUP($B135,'parametres articles'!$C$5:$G$25,8,FALSE)</f>
        <v>0</v>
      </c>
      <c r="P135" s="193">
        <f>IF(B135="E",'parametres articles'!$C$8,HLOOKUP($B135,'parametres articles'!$C$5:$F$25,4,FALSE))</f>
        <v>2.27</v>
      </c>
      <c r="Q135" s="193">
        <f t="shared" si="31"/>
        <v>2.27</v>
      </c>
      <c r="R135" s="199">
        <f t="shared" si="39"/>
        <v>13.62</v>
      </c>
      <c r="S135" s="197">
        <f t="shared" si="32"/>
        <v>24.515999999999998</v>
      </c>
      <c r="T135" s="201">
        <f t="shared" si="33"/>
        <v>58.565999999999995</v>
      </c>
      <c r="U135" s="203">
        <f t="shared" si="40"/>
        <v>72.185999999999993</v>
      </c>
      <c r="V135" s="187">
        <f t="shared" si="34"/>
        <v>24.515999999999998</v>
      </c>
      <c r="W135" s="187">
        <f t="shared" si="35"/>
        <v>34.049999999999997</v>
      </c>
      <c r="X135" s="187">
        <f t="shared" si="36"/>
        <v>13.62</v>
      </c>
      <c r="Y135" s="193">
        <f t="shared" si="37"/>
        <v>31.325999999999997</v>
      </c>
      <c r="Z135" s="194"/>
      <c r="AA135" s="195">
        <f t="shared" ca="1" si="42"/>
        <v>135</v>
      </c>
      <c r="AB135" s="195">
        <f ca="1">+AA135+'parametres articles'!$C$9-1</f>
        <v>149</v>
      </c>
      <c r="AC135" s="195">
        <f ca="1">+AA135+'parametres articles'!$C$24-1</f>
        <v>154</v>
      </c>
      <c r="AD135" s="195">
        <f ca="1">+IF(AE135&lt;='parametres articles'!$H$8,0,AA135-'parametres articles'!$H$8+1)</f>
        <v>131</v>
      </c>
      <c r="AE135" s="195">
        <v>134</v>
      </c>
      <c r="AF135" s="187" t="str">
        <f t="shared" ca="1" si="41"/>
        <v>F150</v>
      </c>
      <c r="AG135" s="178"/>
      <c r="AH135" s="178"/>
      <c r="AI135" s="178"/>
      <c r="AJ135" s="178"/>
      <c r="AK135" s="178"/>
    </row>
    <row r="136" spans="1:37" x14ac:dyDescent="0.25">
      <c r="A136" s="186">
        <v>42139</v>
      </c>
      <c r="B136" s="188" t="s">
        <v>21</v>
      </c>
      <c r="C136" s="189">
        <f ca="1">+IF(AD136=0,P136,(SUM(INDIRECT(CONCATENATE("B",AD136,":B",AA136)))/'parametres articles'!$H$8))</f>
        <v>0</v>
      </c>
      <c r="D136" s="187">
        <f>IFERROR(VLOOKUP(A136,'Mvmt stock'!A:B,2,0),0)</f>
        <v>0</v>
      </c>
      <c r="E136" s="188">
        <f>IFERROR(VLOOKUP(A136,'Mvmt stock'!D:E,2,0),0)</f>
        <v>0</v>
      </c>
      <c r="F136" s="188">
        <f t="shared" si="38"/>
        <v>65</v>
      </c>
      <c r="G136" s="208">
        <f>IFERROR(VLOOKUP(A136,'Mvmt stock'!G:H,2,0),0)</f>
        <v>0</v>
      </c>
      <c r="H136" s="190">
        <f>IFERROR(VLOOKUP(A136,Stock!B:C,2,0),H135)</f>
        <v>67</v>
      </c>
      <c r="I136" s="188">
        <f t="shared" si="30"/>
        <v>65</v>
      </c>
      <c r="J136" s="191">
        <f t="shared" si="29"/>
        <v>90.095238095238102</v>
      </c>
      <c r="K136" s="187">
        <f>+HLOOKUP($B136,'parametres articles'!$C$5:$G$25,5,FALSE)</f>
        <v>15</v>
      </c>
      <c r="L136" s="187">
        <f>+HLOOKUP($B136,'parametres articles'!$C$5:$G$25,21,FALSE)</f>
        <v>13</v>
      </c>
      <c r="M136" s="192">
        <f>+HLOOKUP($B136,'parametres articles'!$C$5:$G$25,7,FALSE)</f>
        <v>0.8</v>
      </c>
      <c r="N136" s="192">
        <f>+HLOOKUP($B136,'parametres articles'!$C$5:$G$25,6,FALSE)</f>
        <v>0.4</v>
      </c>
      <c r="O136" s="187">
        <f>+HLOOKUP($B136,'parametres articles'!$C$5:$G$25,8,FALSE)</f>
        <v>0</v>
      </c>
      <c r="P136" s="193">
        <f>IF(B136="E",'parametres articles'!$C$8,HLOOKUP($B136,'parametres articles'!$C$5:$F$25,4,FALSE))</f>
        <v>2.27</v>
      </c>
      <c r="Q136" s="193">
        <f t="shared" si="31"/>
        <v>2.27</v>
      </c>
      <c r="R136" s="199">
        <f t="shared" si="39"/>
        <v>13.62</v>
      </c>
      <c r="S136" s="197">
        <f t="shared" si="32"/>
        <v>24.515999999999998</v>
      </c>
      <c r="T136" s="201">
        <f t="shared" si="33"/>
        <v>58.565999999999995</v>
      </c>
      <c r="U136" s="203">
        <f t="shared" si="40"/>
        <v>72.185999999999993</v>
      </c>
      <c r="V136" s="187">
        <f t="shared" si="34"/>
        <v>24.515999999999998</v>
      </c>
      <c r="W136" s="187">
        <f t="shared" si="35"/>
        <v>34.049999999999997</v>
      </c>
      <c r="X136" s="187">
        <f t="shared" si="36"/>
        <v>13.62</v>
      </c>
      <c r="Y136" s="193">
        <f t="shared" si="37"/>
        <v>31.325999999999997</v>
      </c>
      <c r="Z136" s="194"/>
      <c r="AA136" s="195">
        <f t="shared" ca="1" si="42"/>
        <v>136</v>
      </c>
      <c r="AB136" s="195">
        <f ca="1">+AA136+'parametres articles'!$C$9-1</f>
        <v>150</v>
      </c>
      <c r="AC136" s="195">
        <f ca="1">+AA136+'parametres articles'!$C$24-1</f>
        <v>155</v>
      </c>
      <c r="AD136" s="195">
        <f ca="1">+IF(AE136&lt;='parametres articles'!$H$8,0,AA136-'parametres articles'!$H$8+1)</f>
        <v>132</v>
      </c>
      <c r="AE136" s="195">
        <v>135</v>
      </c>
      <c r="AF136" s="187" t="str">
        <f t="shared" ca="1" si="41"/>
        <v>F151</v>
      </c>
      <c r="AG136" s="178"/>
      <c r="AH136" s="178"/>
      <c r="AI136" s="178"/>
      <c r="AJ136" s="178"/>
      <c r="AK136" s="178"/>
    </row>
    <row r="137" spans="1:37" x14ac:dyDescent="0.25">
      <c r="A137" s="186">
        <v>42140</v>
      </c>
      <c r="B137" s="188" t="s">
        <v>21</v>
      </c>
      <c r="C137" s="189">
        <f ca="1">+IF(AD137=0,P137,(SUM(INDIRECT(CONCATENATE("B",AD137,":B",AA137)))/'parametres articles'!$H$8))</f>
        <v>0</v>
      </c>
      <c r="D137" s="187">
        <f>IFERROR(VLOOKUP(A137,'Mvmt stock'!A:B,2,0),0)</f>
        <v>0</v>
      </c>
      <c r="E137" s="188">
        <f>IFERROR(VLOOKUP(A137,'Mvmt stock'!D:E,2,0),0)</f>
        <v>0</v>
      </c>
      <c r="F137" s="188">
        <f t="shared" si="38"/>
        <v>65</v>
      </c>
      <c r="G137" s="208">
        <f>IFERROR(VLOOKUP(A137,'Mvmt stock'!G:H,2,0),0)</f>
        <v>0</v>
      </c>
      <c r="H137" s="190">
        <f>IFERROR(VLOOKUP(A137,Stock!B:C,2,0),H136)</f>
        <v>67</v>
      </c>
      <c r="I137" s="188">
        <f t="shared" si="30"/>
        <v>65</v>
      </c>
      <c r="J137" s="191">
        <f t="shared" si="29"/>
        <v>87.38095238095238</v>
      </c>
      <c r="K137" s="187">
        <f>+HLOOKUP($B137,'parametres articles'!$C$5:$G$25,5,FALSE)</f>
        <v>15</v>
      </c>
      <c r="L137" s="187">
        <f>+HLOOKUP($B137,'parametres articles'!$C$5:$G$25,21,FALSE)</f>
        <v>13</v>
      </c>
      <c r="M137" s="192">
        <f>+HLOOKUP($B137,'parametres articles'!$C$5:$G$25,7,FALSE)</f>
        <v>0.8</v>
      </c>
      <c r="N137" s="192">
        <f>+HLOOKUP($B137,'parametres articles'!$C$5:$G$25,6,FALSE)</f>
        <v>0.4</v>
      </c>
      <c r="O137" s="187">
        <f>+HLOOKUP($B137,'parametres articles'!$C$5:$G$25,8,FALSE)</f>
        <v>0</v>
      </c>
      <c r="P137" s="193">
        <f>IF(B137="E",'parametres articles'!$C$8,HLOOKUP($B137,'parametres articles'!$C$5:$F$25,4,FALSE))</f>
        <v>2.27</v>
      </c>
      <c r="Q137" s="193">
        <f t="shared" si="31"/>
        <v>2.27</v>
      </c>
      <c r="R137" s="199">
        <f t="shared" si="39"/>
        <v>13.62</v>
      </c>
      <c r="S137" s="197">
        <f t="shared" si="32"/>
        <v>24.515999999999998</v>
      </c>
      <c r="T137" s="201">
        <f t="shared" si="33"/>
        <v>58.565999999999995</v>
      </c>
      <c r="U137" s="203">
        <f t="shared" si="40"/>
        <v>72.185999999999993</v>
      </c>
      <c r="V137" s="187">
        <f t="shared" si="34"/>
        <v>24.515999999999998</v>
      </c>
      <c r="W137" s="187">
        <f t="shared" si="35"/>
        <v>34.049999999999997</v>
      </c>
      <c r="X137" s="187">
        <f t="shared" si="36"/>
        <v>13.62</v>
      </c>
      <c r="Y137" s="193">
        <f t="shared" si="37"/>
        <v>31.325999999999997</v>
      </c>
      <c r="Z137" s="194"/>
      <c r="AA137" s="195">
        <f t="shared" ca="1" si="42"/>
        <v>137</v>
      </c>
      <c r="AB137" s="195">
        <f ca="1">+AA137+'parametres articles'!$C$9-1</f>
        <v>151</v>
      </c>
      <c r="AC137" s="195">
        <f ca="1">+AA137+'parametres articles'!$C$24-1</f>
        <v>156</v>
      </c>
      <c r="AD137" s="195">
        <f ca="1">+IF(AE137&lt;='parametres articles'!$H$8,0,AA137-'parametres articles'!$H$8+1)</f>
        <v>133</v>
      </c>
      <c r="AE137" s="195">
        <v>136</v>
      </c>
      <c r="AF137" s="187" t="str">
        <f t="shared" ca="1" si="41"/>
        <v>F152</v>
      </c>
      <c r="AG137" s="178"/>
      <c r="AH137" s="178"/>
      <c r="AI137" s="178"/>
      <c r="AJ137" s="178"/>
      <c r="AK137" s="178"/>
    </row>
    <row r="138" spans="1:37" x14ac:dyDescent="0.25">
      <c r="A138" s="186">
        <v>42141</v>
      </c>
      <c r="B138" s="188" t="s">
        <v>21</v>
      </c>
      <c r="C138" s="189">
        <f ca="1">+IF(AD138=0,P138,(SUM(INDIRECT(CONCATENATE("B",AD138,":B",AA138)))/'parametres articles'!$H$8))</f>
        <v>0</v>
      </c>
      <c r="D138" s="187">
        <f>IFERROR(VLOOKUP(A138,'Mvmt stock'!A:B,2,0),0)</f>
        <v>0</v>
      </c>
      <c r="E138" s="188">
        <f>IFERROR(VLOOKUP(A138,'Mvmt stock'!D:E,2,0),0)</f>
        <v>0</v>
      </c>
      <c r="F138" s="188">
        <f t="shared" si="38"/>
        <v>65</v>
      </c>
      <c r="G138" s="208">
        <f>IFERROR(VLOOKUP(A138,'Mvmt stock'!G:H,2,0),0)</f>
        <v>0</v>
      </c>
      <c r="H138" s="190">
        <f>IFERROR(VLOOKUP(A138,Stock!B:C,2,0),H137)</f>
        <v>67</v>
      </c>
      <c r="I138" s="188">
        <f t="shared" si="30"/>
        <v>65</v>
      </c>
      <c r="J138" s="191">
        <f t="shared" si="29"/>
        <v>84.666666666666671</v>
      </c>
      <c r="K138" s="187">
        <f>+HLOOKUP($B138,'parametres articles'!$C$5:$G$25,5,FALSE)</f>
        <v>15</v>
      </c>
      <c r="L138" s="187">
        <f>+HLOOKUP($B138,'parametres articles'!$C$5:$G$25,21,FALSE)</f>
        <v>13</v>
      </c>
      <c r="M138" s="192">
        <f>+HLOOKUP($B138,'parametres articles'!$C$5:$G$25,7,FALSE)</f>
        <v>0.8</v>
      </c>
      <c r="N138" s="192">
        <f>+HLOOKUP($B138,'parametres articles'!$C$5:$G$25,6,FALSE)</f>
        <v>0.4</v>
      </c>
      <c r="O138" s="187">
        <f>+HLOOKUP($B138,'parametres articles'!$C$5:$G$25,8,FALSE)</f>
        <v>0</v>
      </c>
      <c r="P138" s="193">
        <f>IF(B138="E",'parametres articles'!$C$8,HLOOKUP($B138,'parametres articles'!$C$5:$F$25,4,FALSE))</f>
        <v>2.27</v>
      </c>
      <c r="Q138" s="193">
        <f t="shared" si="31"/>
        <v>2.27</v>
      </c>
      <c r="R138" s="199">
        <f t="shared" si="39"/>
        <v>13.62</v>
      </c>
      <c r="S138" s="197">
        <f t="shared" si="32"/>
        <v>24.515999999999998</v>
      </c>
      <c r="T138" s="201">
        <f t="shared" si="33"/>
        <v>58.565999999999995</v>
      </c>
      <c r="U138" s="203">
        <f t="shared" si="40"/>
        <v>72.185999999999993</v>
      </c>
      <c r="V138" s="187">
        <f t="shared" si="34"/>
        <v>24.515999999999998</v>
      </c>
      <c r="W138" s="187">
        <f t="shared" si="35"/>
        <v>34.049999999999997</v>
      </c>
      <c r="X138" s="187">
        <f t="shared" si="36"/>
        <v>13.62</v>
      </c>
      <c r="Y138" s="193">
        <f t="shared" si="37"/>
        <v>31.325999999999997</v>
      </c>
      <c r="Z138" s="194"/>
      <c r="AA138" s="195">
        <f t="shared" ca="1" si="42"/>
        <v>138</v>
      </c>
      <c r="AB138" s="195">
        <f ca="1">+AA138+'parametres articles'!$C$9-1</f>
        <v>152</v>
      </c>
      <c r="AC138" s="195">
        <f ca="1">+AA138+'parametres articles'!$C$24-1</f>
        <v>157</v>
      </c>
      <c r="AD138" s="195">
        <f ca="1">+IF(AE138&lt;='parametres articles'!$H$8,0,AA138-'parametres articles'!$H$8+1)</f>
        <v>134</v>
      </c>
      <c r="AE138" s="195">
        <v>137</v>
      </c>
      <c r="AF138" s="187" t="str">
        <f t="shared" ca="1" si="41"/>
        <v>F153</v>
      </c>
      <c r="AG138" s="178"/>
      <c r="AH138" s="178"/>
      <c r="AI138" s="178"/>
      <c r="AJ138" s="178"/>
      <c r="AK138" s="178"/>
    </row>
    <row r="139" spans="1:37" x14ac:dyDescent="0.25">
      <c r="A139" s="186">
        <v>42142</v>
      </c>
      <c r="B139" s="188" t="s">
        <v>21</v>
      </c>
      <c r="C139" s="189">
        <f ca="1">+IF(AD139=0,P139,(SUM(INDIRECT(CONCATENATE("B",AD139,":B",AA139)))/'parametres articles'!$H$8))</f>
        <v>0</v>
      </c>
      <c r="D139" s="187">
        <f>IFERROR(VLOOKUP(A139,'Mvmt stock'!A:B,2,0),0)</f>
        <v>0</v>
      </c>
      <c r="E139" s="188">
        <f>IFERROR(VLOOKUP(A139,'Mvmt stock'!D:E,2,0),0)</f>
        <v>42</v>
      </c>
      <c r="F139" s="188">
        <f t="shared" si="38"/>
        <v>65</v>
      </c>
      <c r="G139" s="208">
        <f>IFERROR(VLOOKUP(A139,'Mvmt stock'!G:H,2,0),0)</f>
        <v>0</v>
      </c>
      <c r="H139" s="190">
        <f>IFERROR(VLOOKUP(A139,Stock!B:C,2,0),H138)</f>
        <v>67</v>
      </c>
      <c r="I139" s="188">
        <f t="shared" si="30"/>
        <v>107</v>
      </c>
      <c r="J139" s="191">
        <f t="shared" si="29"/>
        <v>81.952380952380949</v>
      </c>
      <c r="K139" s="187">
        <f>+HLOOKUP($B139,'parametres articles'!$C$5:$G$25,5,FALSE)</f>
        <v>15</v>
      </c>
      <c r="L139" s="187">
        <f>+HLOOKUP($B139,'parametres articles'!$C$5:$G$25,21,FALSE)</f>
        <v>13</v>
      </c>
      <c r="M139" s="192">
        <f>+HLOOKUP($B139,'parametres articles'!$C$5:$G$25,7,FALSE)</f>
        <v>0.8</v>
      </c>
      <c r="N139" s="192">
        <f>+HLOOKUP($B139,'parametres articles'!$C$5:$G$25,6,FALSE)</f>
        <v>0.4</v>
      </c>
      <c r="O139" s="187">
        <f>+HLOOKUP($B139,'parametres articles'!$C$5:$G$25,8,FALSE)</f>
        <v>0</v>
      </c>
      <c r="P139" s="193">
        <f>IF(B139="E",'parametres articles'!$C$8,HLOOKUP($B139,'parametres articles'!$C$5:$F$25,4,FALSE))</f>
        <v>2.27</v>
      </c>
      <c r="Q139" s="193">
        <f t="shared" si="31"/>
        <v>2.27</v>
      </c>
      <c r="R139" s="199">
        <f t="shared" si="39"/>
        <v>13.62</v>
      </c>
      <c r="S139" s="197">
        <f t="shared" si="32"/>
        <v>24.515999999999998</v>
      </c>
      <c r="T139" s="201">
        <f t="shared" si="33"/>
        <v>58.565999999999995</v>
      </c>
      <c r="U139" s="203">
        <f t="shared" si="40"/>
        <v>72.185999999999993</v>
      </c>
      <c r="V139" s="187">
        <f t="shared" si="34"/>
        <v>24.515999999999998</v>
      </c>
      <c r="W139" s="187">
        <f t="shared" si="35"/>
        <v>34.049999999999997</v>
      </c>
      <c r="X139" s="187">
        <f t="shared" si="36"/>
        <v>13.62</v>
      </c>
      <c r="Y139" s="193">
        <f t="shared" si="37"/>
        <v>31.325999999999997</v>
      </c>
      <c r="Z139" s="194"/>
      <c r="AA139" s="195">
        <f t="shared" ca="1" si="42"/>
        <v>139</v>
      </c>
      <c r="AB139" s="195">
        <f ca="1">+AA139+'parametres articles'!$C$9-1</f>
        <v>153</v>
      </c>
      <c r="AC139" s="195">
        <f ca="1">+AA139+'parametres articles'!$C$24-1</f>
        <v>158</v>
      </c>
      <c r="AD139" s="195">
        <f ca="1">+IF(AE139&lt;='parametres articles'!$H$8,0,AA139-'parametres articles'!$H$8+1)</f>
        <v>135</v>
      </c>
      <c r="AE139" s="195">
        <v>138</v>
      </c>
      <c r="AF139" s="187" t="str">
        <f t="shared" ca="1" si="41"/>
        <v>F154</v>
      </c>
      <c r="AH139" s="178"/>
      <c r="AI139" s="178"/>
      <c r="AJ139" s="178"/>
      <c r="AK139" s="178"/>
    </row>
    <row r="140" spans="1:37" x14ac:dyDescent="0.25">
      <c r="A140" s="186">
        <v>42143</v>
      </c>
      <c r="B140" s="188" t="s">
        <v>21</v>
      </c>
      <c r="C140" s="189">
        <f ca="1">+IF(AD140=0,P140,(SUM(INDIRECT(CONCATENATE("B",AD140,":B",AA140)))/'parametres articles'!$H$8))</f>
        <v>0</v>
      </c>
      <c r="D140" s="187">
        <f>IFERROR(VLOOKUP(A140,'Mvmt stock'!A:B,2,0),0)</f>
        <v>0</v>
      </c>
      <c r="E140" s="188">
        <f>IFERROR(VLOOKUP(A140,'Mvmt stock'!D:E,2,0),0)</f>
        <v>0</v>
      </c>
      <c r="F140" s="188">
        <f t="shared" si="38"/>
        <v>106</v>
      </c>
      <c r="G140" s="208">
        <f>IFERROR(VLOOKUP(A140,'Mvmt stock'!G:H,2,0),0)</f>
        <v>-1</v>
      </c>
      <c r="H140" s="190">
        <f>IFERROR(VLOOKUP(A140,Stock!B:C,2,0),H139)</f>
        <v>108</v>
      </c>
      <c r="I140" s="188">
        <f t="shared" si="30"/>
        <v>106</v>
      </c>
      <c r="J140" s="191">
        <f t="shared" si="29"/>
        <v>81.571428571428569</v>
      </c>
      <c r="K140" s="187">
        <f>+HLOOKUP($B140,'parametres articles'!$C$5:$G$25,5,FALSE)</f>
        <v>15</v>
      </c>
      <c r="L140" s="187">
        <f>+HLOOKUP($B140,'parametres articles'!$C$5:$G$25,21,FALSE)</f>
        <v>13</v>
      </c>
      <c r="M140" s="192">
        <f>+HLOOKUP($B140,'parametres articles'!$C$5:$G$25,7,FALSE)</f>
        <v>0.8</v>
      </c>
      <c r="N140" s="192">
        <f>+HLOOKUP($B140,'parametres articles'!$C$5:$G$25,6,FALSE)</f>
        <v>0.4</v>
      </c>
      <c r="O140" s="187">
        <f>+HLOOKUP($B140,'parametres articles'!$C$5:$G$25,8,FALSE)</f>
        <v>0</v>
      </c>
      <c r="P140" s="193">
        <f>IF(B140="E",'parametres articles'!$C$8,HLOOKUP($B140,'parametres articles'!$C$5:$F$25,4,FALSE))</f>
        <v>2.27</v>
      </c>
      <c r="Q140" s="193">
        <f t="shared" si="31"/>
        <v>2.27</v>
      </c>
      <c r="R140" s="199">
        <f t="shared" si="39"/>
        <v>13.62</v>
      </c>
      <c r="S140" s="197">
        <f t="shared" si="32"/>
        <v>24.515999999999998</v>
      </c>
      <c r="T140" s="201">
        <f t="shared" si="33"/>
        <v>58.565999999999995</v>
      </c>
      <c r="U140" s="203">
        <f t="shared" si="40"/>
        <v>72.185999999999993</v>
      </c>
      <c r="V140" s="187">
        <f t="shared" si="34"/>
        <v>24.515999999999998</v>
      </c>
      <c r="W140" s="187">
        <f t="shared" si="35"/>
        <v>34.049999999999997</v>
      </c>
      <c r="X140" s="187">
        <f t="shared" si="36"/>
        <v>13.62</v>
      </c>
      <c r="Y140" s="193">
        <f t="shared" si="37"/>
        <v>31.325999999999997</v>
      </c>
      <c r="Z140" s="194"/>
      <c r="AA140" s="195">
        <f t="shared" ca="1" si="42"/>
        <v>140</v>
      </c>
      <c r="AB140" s="195">
        <f ca="1">+AA140+'parametres articles'!$C$9-1</f>
        <v>154</v>
      </c>
      <c r="AC140" s="195">
        <f ca="1">+AA140+'parametres articles'!$C$24-1</f>
        <v>159</v>
      </c>
      <c r="AD140" s="195">
        <f ca="1">+IF(AE140&lt;='parametres articles'!$H$8,0,AA140-'parametres articles'!$H$8+1)</f>
        <v>136</v>
      </c>
      <c r="AE140" s="195">
        <v>139</v>
      </c>
      <c r="AF140" s="187" t="str">
        <f t="shared" ca="1" si="41"/>
        <v>F155</v>
      </c>
      <c r="AH140" s="178"/>
      <c r="AI140" s="178"/>
      <c r="AJ140" s="178"/>
      <c r="AK140" s="178"/>
    </row>
    <row r="141" spans="1:37" x14ac:dyDescent="0.25">
      <c r="A141" s="186">
        <v>42144</v>
      </c>
      <c r="B141" s="188" t="s">
        <v>21</v>
      </c>
      <c r="C141" s="189">
        <f ca="1">+IF(AD141=0,P141,(SUM(INDIRECT(CONCATENATE("B",AD141,":B",AA141)))/'parametres articles'!$H$8))</f>
        <v>0</v>
      </c>
      <c r="D141" s="187">
        <f>IFERROR(VLOOKUP(A141,'Mvmt stock'!A:B,2,0),0)</f>
        <v>0</v>
      </c>
      <c r="E141" s="188">
        <f>IFERROR(VLOOKUP(A141,'Mvmt stock'!D:E,2,0),0)</f>
        <v>0</v>
      </c>
      <c r="F141" s="188">
        <f t="shared" si="38"/>
        <v>106</v>
      </c>
      <c r="G141" s="208">
        <f>IFERROR(VLOOKUP(A141,'Mvmt stock'!G:H,2,0),0)</f>
        <v>0</v>
      </c>
      <c r="H141" s="190">
        <f>IFERROR(VLOOKUP(A141,Stock!B:C,2,0),H140)</f>
        <v>108</v>
      </c>
      <c r="I141" s="188">
        <f t="shared" si="30"/>
        <v>106</v>
      </c>
      <c r="J141" s="191">
        <f t="shared" si="29"/>
        <v>81.333333333333329</v>
      </c>
      <c r="K141" s="187">
        <f>+HLOOKUP($B141,'parametres articles'!$C$5:$G$25,5,FALSE)</f>
        <v>15</v>
      </c>
      <c r="L141" s="187">
        <f>+HLOOKUP($B141,'parametres articles'!$C$5:$G$25,21,FALSE)</f>
        <v>13</v>
      </c>
      <c r="M141" s="192">
        <f>+HLOOKUP($B141,'parametres articles'!$C$5:$G$25,7,FALSE)</f>
        <v>0.8</v>
      </c>
      <c r="N141" s="192">
        <f>+HLOOKUP($B141,'parametres articles'!$C$5:$G$25,6,FALSE)</f>
        <v>0.4</v>
      </c>
      <c r="O141" s="187">
        <f>+HLOOKUP($B141,'parametres articles'!$C$5:$G$25,8,FALSE)</f>
        <v>0</v>
      </c>
      <c r="P141" s="193">
        <f>IF(B141="E",'parametres articles'!$C$8,HLOOKUP($B141,'parametres articles'!$C$5:$F$25,4,FALSE))</f>
        <v>2.27</v>
      </c>
      <c r="Q141" s="193">
        <f t="shared" si="31"/>
        <v>2.27</v>
      </c>
      <c r="R141" s="199">
        <f t="shared" si="39"/>
        <v>13.62</v>
      </c>
      <c r="S141" s="197">
        <f t="shared" si="32"/>
        <v>24.515999999999998</v>
      </c>
      <c r="T141" s="201">
        <f t="shared" si="33"/>
        <v>58.565999999999995</v>
      </c>
      <c r="U141" s="203">
        <f t="shared" si="40"/>
        <v>72.185999999999993</v>
      </c>
      <c r="V141" s="187">
        <f t="shared" si="34"/>
        <v>24.515999999999998</v>
      </c>
      <c r="W141" s="187">
        <f t="shared" si="35"/>
        <v>34.049999999999997</v>
      </c>
      <c r="X141" s="187">
        <f t="shared" si="36"/>
        <v>13.62</v>
      </c>
      <c r="Y141" s="193">
        <f t="shared" si="37"/>
        <v>31.325999999999997</v>
      </c>
      <c r="Z141" s="194"/>
      <c r="AA141" s="195">
        <f t="shared" ca="1" si="42"/>
        <v>141</v>
      </c>
      <c r="AB141" s="195">
        <f ca="1">+AA141+'parametres articles'!$C$9-1</f>
        <v>155</v>
      </c>
      <c r="AC141" s="195">
        <f ca="1">+AA141+'parametres articles'!$C$24-1</f>
        <v>160</v>
      </c>
      <c r="AD141" s="195">
        <f ca="1">+IF(AE141&lt;='parametres articles'!$H$8,0,AA141-'parametres articles'!$H$8+1)</f>
        <v>137</v>
      </c>
      <c r="AE141" s="195">
        <v>140</v>
      </c>
      <c r="AF141" s="187" t="str">
        <f t="shared" ca="1" si="41"/>
        <v>F156</v>
      </c>
      <c r="AH141" s="178"/>
      <c r="AI141" s="178"/>
      <c r="AJ141" s="178"/>
      <c r="AK141" s="178"/>
    </row>
    <row r="142" spans="1:37" x14ac:dyDescent="0.25">
      <c r="A142" s="186">
        <v>42145</v>
      </c>
      <c r="B142" s="188" t="s">
        <v>21</v>
      </c>
      <c r="C142" s="189">
        <f ca="1">+IF(AD142=0,P142,(SUM(INDIRECT(CONCATENATE("B",AD142,":B",AA142)))/'parametres articles'!$H$8))</f>
        <v>0</v>
      </c>
      <c r="D142" s="187">
        <f>IFERROR(VLOOKUP(A142,'Mvmt stock'!A:B,2,0),0)</f>
        <v>1</v>
      </c>
      <c r="E142" s="188">
        <f>IFERROR(VLOOKUP(A142,'Mvmt stock'!D:E,2,0),0)</f>
        <v>0</v>
      </c>
      <c r="F142" s="188">
        <f t="shared" si="38"/>
        <v>106</v>
      </c>
      <c r="G142" s="208">
        <f>IFERROR(VLOOKUP(A142,'Mvmt stock'!G:H,2,0),0)</f>
        <v>0</v>
      </c>
      <c r="H142" s="190">
        <f>IFERROR(VLOOKUP(A142,Stock!B:C,2,0),H141)</f>
        <v>108</v>
      </c>
      <c r="I142" s="188">
        <f t="shared" si="30"/>
        <v>105</v>
      </c>
      <c r="J142" s="191">
        <f t="shared" si="29"/>
        <v>81.142857142857139</v>
      </c>
      <c r="K142" s="187">
        <f>+HLOOKUP($B142,'parametres articles'!$C$5:$G$25,5,FALSE)</f>
        <v>15</v>
      </c>
      <c r="L142" s="187">
        <f>+HLOOKUP($B142,'parametres articles'!$C$5:$G$25,21,FALSE)</f>
        <v>13</v>
      </c>
      <c r="M142" s="192">
        <f>+HLOOKUP($B142,'parametres articles'!$C$5:$G$25,7,FALSE)</f>
        <v>0.8</v>
      </c>
      <c r="N142" s="192">
        <f>+HLOOKUP($B142,'parametres articles'!$C$5:$G$25,6,FALSE)</f>
        <v>0.4</v>
      </c>
      <c r="O142" s="187">
        <f>+HLOOKUP($B142,'parametres articles'!$C$5:$G$25,8,FALSE)</f>
        <v>0</v>
      </c>
      <c r="P142" s="193">
        <f>IF(B142="E",'parametres articles'!$C$8,HLOOKUP($B142,'parametres articles'!$C$5:$F$25,4,FALSE))</f>
        <v>2.27</v>
      </c>
      <c r="Q142" s="193">
        <f t="shared" si="31"/>
        <v>2.27</v>
      </c>
      <c r="R142" s="199">
        <f t="shared" si="39"/>
        <v>13.62</v>
      </c>
      <c r="S142" s="197">
        <f t="shared" si="32"/>
        <v>24.515999999999998</v>
      </c>
      <c r="T142" s="201">
        <f t="shared" si="33"/>
        <v>58.565999999999995</v>
      </c>
      <c r="U142" s="203">
        <f t="shared" si="40"/>
        <v>72.185999999999993</v>
      </c>
      <c r="V142" s="187">
        <f t="shared" si="34"/>
        <v>24.515999999999998</v>
      </c>
      <c r="W142" s="187">
        <f t="shared" si="35"/>
        <v>34.049999999999997</v>
      </c>
      <c r="X142" s="187">
        <f t="shared" si="36"/>
        <v>13.62</v>
      </c>
      <c r="Y142" s="193">
        <f t="shared" si="37"/>
        <v>31.325999999999997</v>
      </c>
      <c r="Z142" s="194"/>
      <c r="AA142" s="195">
        <f t="shared" ca="1" si="42"/>
        <v>142</v>
      </c>
      <c r="AB142" s="195">
        <f ca="1">+AA142+'parametres articles'!$C$9-1</f>
        <v>156</v>
      </c>
      <c r="AC142" s="195">
        <f ca="1">+AA142+'parametres articles'!$C$24-1</f>
        <v>161</v>
      </c>
      <c r="AD142" s="195">
        <f ca="1">+IF(AE142&lt;='parametres articles'!$H$8,0,AA142-'parametres articles'!$H$8+1)</f>
        <v>138</v>
      </c>
      <c r="AE142" s="195">
        <v>141</v>
      </c>
      <c r="AF142" s="187" t="str">
        <f t="shared" ca="1" si="41"/>
        <v>F157</v>
      </c>
      <c r="AH142" s="178"/>
      <c r="AI142" s="178"/>
      <c r="AJ142" s="178"/>
      <c r="AK142" s="178"/>
    </row>
    <row r="143" spans="1:37" x14ac:dyDescent="0.25">
      <c r="A143" s="186">
        <v>42146</v>
      </c>
      <c r="B143" s="188" t="s">
        <v>21</v>
      </c>
      <c r="C143" s="189">
        <f ca="1">+IF(AD143=0,P143,(SUM(INDIRECT(CONCATENATE("B",AD143,":B",AA143)))/'parametres articles'!$H$8))</f>
        <v>0</v>
      </c>
      <c r="D143" s="187">
        <f>IFERROR(VLOOKUP(A143,'Mvmt stock'!A:B,2,0),0)</f>
        <v>0</v>
      </c>
      <c r="E143" s="188">
        <f>IFERROR(VLOOKUP(A143,'Mvmt stock'!D:E,2,0),0)</f>
        <v>0</v>
      </c>
      <c r="F143" s="188">
        <f t="shared" si="38"/>
        <v>105</v>
      </c>
      <c r="G143" s="208">
        <f>IFERROR(VLOOKUP(A143,'Mvmt stock'!G:H,2,0),0)</f>
        <v>0</v>
      </c>
      <c r="H143" s="190">
        <f>IFERROR(VLOOKUP(A143,Stock!B:C,2,0),H142)</f>
        <v>107</v>
      </c>
      <c r="I143" s="188">
        <f t="shared" si="30"/>
        <v>105</v>
      </c>
      <c r="J143" s="191">
        <f t="shared" si="29"/>
        <v>82.142857142857139</v>
      </c>
      <c r="K143" s="187">
        <f>+HLOOKUP($B143,'parametres articles'!$C$5:$G$25,5,FALSE)</f>
        <v>15</v>
      </c>
      <c r="L143" s="187">
        <f>+HLOOKUP($B143,'parametres articles'!$C$5:$G$25,21,FALSE)</f>
        <v>13</v>
      </c>
      <c r="M143" s="192">
        <f>+HLOOKUP($B143,'parametres articles'!$C$5:$G$25,7,FALSE)</f>
        <v>0.8</v>
      </c>
      <c r="N143" s="192">
        <f>+HLOOKUP($B143,'parametres articles'!$C$5:$G$25,6,FALSE)</f>
        <v>0.4</v>
      </c>
      <c r="O143" s="187">
        <f>+HLOOKUP($B143,'parametres articles'!$C$5:$G$25,8,FALSE)</f>
        <v>0</v>
      </c>
      <c r="P143" s="193">
        <f>IF(B143="E",'parametres articles'!$C$8,HLOOKUP($B143,'parametres articles'!$C$5:$F$25,4,FALSE))</f>
        <v>2.27</v>
      </c>
      <c r="Q143" s="193">
        <f t="shared" si="31"/>
        <v>2.27</v>
      </c>
      <c r="R143" s="199">
        <f t="shared" si="39"/>
        <v>13.62</v>
      </c>
      <c r="S143" s="197">
        <f t="shared" si="32"/>
        <v>24.515999999999998</v>
      </c>
      <c r="T143" s="201">
        <f t="shared" si="33"/>
        <v>58.565999999999995</v>
      </c>
      <c r="U143" s="203">
        <f t="shared" si="40"/>
        <v>72.185999999999993</v>
      </c>
      <c r="V143" s="187">
        <f t="shared" si="34"/>
        <v>24.515999999999998</v>
      </c>
      <c r="W143" s="187">
        <f t="shared" si="35"/>
        <v>34.049999999999997</v>
      </c>
      <c r="X143" s="187">
        <f t="shared" si="36"/>
        <v>13.62</v>
      </c>
      <c r="Y143" s="193">
        <f t="shared" si="37"/>
        <v>31.325999999999997</v>
      </c>
      <c r="Z143" s="194"/>
      <c r="AA143" s="195">
        <f t="shared" ca="1" si="42"/>
        <v>143</v>
      </c>
      <c r="AB143" s="195">
        <f ca="1">+AA143+'parametres articles'!$C$9-1</f>
        <v>157</v>
      </c>
      <c r="AC143" s="195">
        <f ca="1">+AA143+'parametres articles'!$C$24-1</f>
        <v>162</v>
      </c>
      <c r="AD143" s="195">
        <f ca="1">+IF(AE143&lt;='parametres articles'!$H$8,0,AA143-'parametres articles'!$H$8+1)</f>
        <v>139</v>
      </c>
      <c r="AE143" s="195">
        <v>142</v>
      </c>
      <c r="AF143" s="187" t="str">
        <f t="shared" ca="1" si="41"/>
        <v>F158</v>
      </c>
      <c r="AH143" s="178"/>
      <c r="AI143" s="178"/>
      <c r="AJ143" s="178"/>
      <c r="AK143" s="178"/>
    </row>
    <row r="144" spans="1:37" x14ac:dyDescent="0.25">
      <c r="A144" s="186">
        <v>42147</v>
      </c>
      <c r="B144" s="188" t="s">
        <v>21</v>
      </c>
      <c r="C144" s="189">
        <f ca="1">+IF(AD144=0,P144,(SUM(INDIRECT(CONCATENATE("B",AD144,":B",AA144)))/'parametres articles'!$H$8))</f>
        <v>0</v>
      </c>
      <c r="D144" s="187">
        <f>IFERROR(VLOOKUP(A144,'Mvmt stock'!A:B,2,0),0)</f>
        <v>0</v>
      </c>
      <c r="E144" s="188">
        <f>IFERROR(VLOOKUP(A144,'Mvmt stock'!D:E,2,0),0)</f>
        <v>0</v>
      </c>
      <c r="F144" s="188">
        <f t="shared" si="38"/>
        <v>105</v>
      </c>
      <c r="G144" s="208">
        <f>IFERROR(VLOOKUP(A144,'Mvmt stock'!G:H,2,0),0)</f>
        <v>0</v>
      </c>
      <c r="H144" s="190">
        <f>IFERROR(VLOOKUP(A144,Stock!B:C,2,0),H143)</f>
        <v>107</v>
      </c>
      <c r="I144" s="188">
        <f t="shared" si="30"/>
        <v>105</v>
      </c>
      <c r="J144" s="191">
        <f t="shared" si="29"/>
        <v>83.142857142857139</v>
      </c>
      <c r="K144" s="187">
        <f>+HLOOKUP($B144,'parametres articles'!$C$5:$G$25,5,FALSE)</f>
        <v>15</v>
      </c>
      <c r="L144" s="187">
        <f>+HLOOKUP($B144,'parametres articles'!$C$5:$G$25,21,FALSE)</f>
        <v>13</v>
      </c>
      <c r="M144" s="192">
        <f>+HLOOKUP($B144,'parametres articles'!$C$5:$G$25,7,FALSE)</f>
        <v>0.8</v>
      </c>
      <c r="N144" s="192">
        <f>+HLOOKUP($B144,'parametres articles'!$C$5:$G$25,6,FALSE)</f>
        <v>0.4</v>
      </c>
      <c r="O144" s="187">
        <f>+HLOOKUP($B144,'parametres articles'!$C$5:$G$25,8,FALSE)</f>
        <v>0</v>
      </c>
      <c r="P144" s="193">
        <f>IF(B144="E",'parametres articles'!$C$8,HLOOKUP($B144,'parametres articles'!$C$5:$F$25,4,FALSE))</f>
        <v>2.27</v>
      </c>
      <c r="Q144" s="193">
        <f t="shared" si="31"/>
        <v>2.27</v>
      </c>
      <c r="R144" s="199">
        <f t="shared" si="39"/>
        <v>13.62</v>
      </c>
      <c r="S144" s="197">
        <f t="shared" si="32"/>
        <v>24.515999999999998</v>
      </c>
      <c r="T144" s="201">
        <f t="shared" si="33"/>
        <v>58.565999999999995</v>
      </c>
      <c r="U144" s="203">
        <f t="shared" si="40"/>
        <v>72.185999999999993</v>
      </c>
      <c r="V144" s="187">
        <f t="shared" si="34"/>
        <v>24.515999999999998</v>
      </c>
      <c r="W144" s="187">
        <f t="shared" si="35"/>
        <v>34.049999999999997</v>
      </c>
      <c r="X144" s="187">
        <f t="shared" si="36"/>
        <v>13.62</v>
      </c>
      <c r="Y144" s="193">
        <f t="shared" si="37"/>
        <v>31.325999999999997</v>
      </c>
      <c r="Z144" s="194"/>
      <c r="AA144" s="195">
        <f t="shared" ca="1" si="42"/>
        <v>144</v>
      </c>
      <c r="AB144" s="195">
        <f ca="1">+AA144+'parametres articles'!$C$9-1</f>
        <v>158</v>
      </c>
      <c r="AC144" s="195">
        <f ca="1">+AA144+'parametres articles'!$C$24-1</f>
        <v>163</v>
      </c>
      <c r="AD144" s="195">
        <f ca="1">+IF(AE144&lt;='parametres articles'!$H$8,0,AA144-'parametres articles'!$H$8+1)</f>
        <v>140</v>
      </c>
      <c r="AE144" s="195">
        <v>143</v>
      </c>
      <c r="AF144" s="187" t="str">
        <f t="shared" ca="1" si="41"/>
        <v>F159</v>
      </c>
      <c r="AH144" s="178"/>
      <c r="AI144" s="178"/>
      <c r="AJ144" s="178"/>
      <c r="AK144" s="178"/>
    </row>
    <row r="145" spans="1:37" x14ac:dyDescent="0.25">
      <c r="A145" s="186">
        <v>42148</v>
      </c>
      <c r="B145" s="188" t="s">
        <v>21</v>
      </c>
      <c r="C145" s="189">
        <f ca="1">+IF(AD145=0,P145,(SUM(INDIRECT(CONCATENATE("B",AD145,":B",AA145)))/'parametres articles'!$H$8))</f>
        <v>0</v>
      </c>
      <c r="D145" s="187">
        <f>IFERROR(VLOOKUP(A145,'Mvmt stock'!A:B,2,0),0)</f>
        <v>0</v>
      </c>
      <c r="E145" s="188">
        <f>IFERROR(VLOOKUP(A145,'Mvmt stock'!D:E,2,0),0)</f>
        <v>0</v>
      </c>
      <c r="F145" s="188">
        <f t="shared" si="38"/>
        <v>105</v>
      </c>
      <c r="G145" s="208">
        <f>IFERROR(VLOOKUP(A145,'Mvmt stock'!G:H,2,0),0)</f>
        <v>0</v>
      </c>
      <c r="H145" s="190">
        <f>IFERROR(VLOOKUP(A145,Stock!B:C,2,0),H144)</f>
        <v>107</v>
      </c>
      <c r="I145" s="188">
        <f t="shared" si="30"/>
        <v>105</v>
      </c>
      <c r="J145" s="191">
        <f t="shared" si="29"/>
        <v>84.142857142857139</v>
      </c>
      <c r="K145" s="187">
        <f>+HLOOKUP($B145,'parametres articles'!$C$5:$G$25,5,FALSE)</f>
        <v>15</v>
      </c>
      <c r="L145" s="187">
        <f>+HLOOKUP($B145,'parametres articles'!$C$5:$G$25,21,FALSE)</f>
        <v>13</v>
      </c>
      <c r="M145" s="192">
        <f>+HLOOKUP($B145,'parametres articles'!$C$5:$G$25,7,FALSE)</f>
        <v>0.8</v>
      </c>
      <c r="N145" s="192">
        <f>+HLOOKUP($B145,'parametres articles'!$C$5:$G$25,6,FALSE)</f>
        <v>0.4</v>
      </c>
      <c r="O145" s="187">
        <f>+HLOOKUP($B145,'parametres articles'!$C$5:$G$25,8,FALSE)</f>
        <v>0</v>
      </c>
      <c r="P145" s="193">
        <f>IF(B145="E",'parametres articles'!$C$8,HLOOKUP($B145,'parametres articles'!$C$5:$F$25,4,FALSE))</f>
        <v>2.27</v>
      </c>
      <c r="Q145" s="193">
        <f t="shared" si="31"/>
        <v>2.27</v>
      </c>
      <c r="R145" s="199">
        <f t="shared" si="39"/>
        <v>13.62</v>
      </c>
      <c r="S145" s="197">
        <f t="shared" si="32"/>
        <v>24.515999999999998</v>
      </c>
      <c r="T145" s="201">
        <f t="shared" si="33"/>
        <v>58.565999999999995</v>
      </c>
      <c r="U145" s="203">
        <f t="shared" si="40"/>
        <v>72.185999999999993</v>
      </c>
      <c r="V145" s="187">
        <f t="shared" si="34"/>
        <v>24.515999999999998</v>
      </c>
      <c r="W145" s="187">
        <f t="shared" si="35"/>
        <v>34.049999999999997</v>
      </c>
      <c r="X145" s="187">
        <f t="shared" si="36"/>
        <v>13.62</v>
      </c>
      <c r="Y145" s="193">
        <f t="shared" si="37"/>
        <v>31.325999999999997</v>
      </c>
      <c r="Z145" s="194"/>
      <c r="AA145" s="195">
        <f t="shared" ca="1" si="42"/>
        <v>145</v>
      </c>
      <c r="AB145" s="195">
        <f ca="1">+AA145+'parametres articles'!$C$9-1</f>
        <v>159</v>
      </c>
      <c r="AC145" s="195">
        <f ca="1">+AA145+'parametres articles'!$C$24-1</f>
        <v>164</v>
      </c>
      <c r="AD145" s="195">
        <f ca="1">+IF(AE145&lt;='parametres articles'!$H$8,0,AA145-'parametres articles'!$H$8+1)</f>
        <v>141</v>
      </c>
      <c r="AE145" s="195">
        <v>144</v>
      </c>
      <c r="AF145" s="187" t="str">
        <f t="shared" ca="1" si="41"/>
        <v>F160</v>
      </c>
      <c r="AH145" s="178"/>
      <c r="AI145" s="178"/>
      <c r="AJ145" s="178"/>
      <c r="AK145" s="178"/>
    </row>
    <row r="146" spans="1:37" x14ac:dyDescent="0.25">
      <c r="A146" s="186">
        <v>42149</v>
      </c>
      <c r="B146" s="188" t="s">
        <v>21</v>
      </c>
      <c r="C146" s="189">
        <f ca="1">+IF(AD146=0,P146,(SUM(INDIRECT(CONCATENATE("B",AD146,":B",AA146)))/'parametres articles'!$H$8))</f>
        <v>0</v>
      </c>
      <c r="D146" s="187">
        <f>IFERROR(VLOOKUP(A146,'Mvmt stock'!A:B,2,0),0)</f>
        <v>0</v>
      </c>
      <c r="E146" s="188">
        <f>IFERROR(VLOOKUP(A146,'Mvmt stock'!D:E,2,0),0)</f>
        <v>0</v>
      </c>
      <c r="F146" s="188">
        <f t="shared" si="38"/>
        <v>105</v>
      </c>
      <c r="G146" s="208">
        <f>IFERROR(VLOOKUP(A146,'Mvmt stock'!G:H,2,0),0)</f>
        <v>0</v>
      </c>
      <c r="H146" s="190">
        <f>IFERROR(VLOOKUP(A146,Stock!B:C,2,0),H145)</f>
        <v>107</v>
      </c>
      <c r="I146" s="188">
        <f t="shared" si="30"/>
        <v>105</v>
      </c>
      <c r="J146" s="191">
        <f t="shared" si="29"/>
        <v>85.142857142857139</v>
      </c>
      <c r="K146" s="187">
        <f>+HLOOKUP($B146,'parametres articles'!$C$5:$G$25,5,FALSE)</f>
        <v>15</v>
      </c>
      <c r="L146" s="187">
        <f>+HLOOKUP($B146,'parametres articles'!$C$5:$G$25,21,FALSE)</f>
        <v>13</v>
      </c>
      <c r="M146" s="192">
        <f>+HLOOKUP($B146,'parametres articles'!$C$5:$G$25,7,FALSE)</f>
        <v>0.8</v>
      </c>
      <c r="N146" s="192">
        <f>+HLOOKUP($B146,'parametres articles'!$C$5:$G$25,6,FALSE)</f>
        <v>0.4</v>
      </c>
      <c r="O146" s="187">
        <f>+HLOOKUP($B146,'parametres articles'!$C$5:$G$25,8,FALSE)</f>
        <v>0</v>
      </c>
      <c r="P146" s="193">
        <f>IF(B146="E",'parametres articles'!$C$8,HLOOKUP($B146,'parametres articles'!$C$5:$F$25,4,FALSE))</f>
        <v>2.27</v>
      </c>
      <c r="Q146" s="193">
        <f t="shared" si="31"/>
        <v>2.27</v>
      </c>
      <c r="R146" s="199">
        <f t="shared" si="39"/>
        <v>13.62</v>
      </c>
      <c r="S146" s="197">
        <f t="shared" si="32"/>
        <v>24.515999999999998</v>
      </c>
      <c r="T146" s="201">
        <f t="shared" si="33"/>
        <v>58.565999999999995</v>
      </c>
      <c r="U146" s="203">
        <f t="shared" si="40"/>
        <v>72.185999999999993</v>
      </c>
      <c r="V146" s="187">
        <f t="shared" si="34"/>
        <v>24.515999999999998</v>
      </c>
      <c r="W146" s="187">
        <f t="shared" si="35"/>
        <v>34.049999999999997</v>
      </c>
      <c r="X146" s="187">
        <f t="shared" si="36"/>
        <v>13.62</v>
      </c>
      <c r="Y146" s="193">
        <f t="shared" si="37"/>
        <v>31.325999999999997</v>
      </c>
      <c r="Z146" s="194"/>
      <c r="AA146" s="195">
        <f t="shared" ca="1" si="42"/>
        <v>146</v>
      </c>
      <c r="AB146" s="195">
        <f ca="1">+AA146+'parametres articles'!$C$9-1</f>
        <v>160</v>
      </c>
      <c r="AC146" s="195">
        <f ca="1">+AA146+'parametres articles'!$C$24-1</f>
        <v>165</v>
      </c>
      <c r="AD146" s="195">
        <f ca="1">+IF(AE146&lt;='parametres articles'!$H$8,0,AA146-'parametres articles'!$H$8+1)</f>
        <v>142</v>
      </c>
      <c r="AE146" s="195">
        <v>145</v>
      </c>
      <c r="AF146" s="187" t="str">
        <f t="shared" ca="1" si="41"/>
        <v>F161</v>
      </c>
      <c r="AH146" s="178"/>
      <c r="AI146" s="178"/>
      <c r="AJ146" s="178"/>
      <c r="AK146" s="178"/>
    </row>
    <row r="147" spans="1:37" x14ac:dyDescent="0.25">
      <c r="A147" s="186">
        <v>42150</v>
      </c>
      <c r="B147" s="188" t="s">
        <v>21</v>
      </c>
      <c r="C147" s="189">
        <f ca="1">+IF(AD147=0,P147,(SUM(INDIRECT(CONCATENATE("B",AD147,":B",AA147)))/'parametres articles'!$H$8))</f>
        <v>0</v>
      </c>
      <c r="D147" s="187">
        <f>IFERROR(VLOOKUP(A147,'Mvmt stock'!A:B,2,0),0)</f>
        <v>6</v>
      </c>
      <c r="E147" s="188">
        <f>IFERROR(VLOOKUP(A147,'Mvmt stock'!D:E,2,0),0)</f>
        <v>1</v>
      </c>
      <c r="F147" s="188">
        <f t="shared" si="38"/>
        <v>105</v>
      </c>
      <c r="G147" s="208">
        <f>IFERROR(VLOOKUP(A147,'Mvmt stock'!G:H,2,0),0)</f>
        <v>0</v>
      </c>
      <c r="H147" s="190">
        <f>IFERROR(VLOOKUP(A147,Stock!B:C,2,0),H146)</f>
        <v>107</v>
      </c>
      <c r="I147" s="188">
        <f t="shared" si="30"/>
        <v>100</v>
      </c>
      <c r="J147" s="191">
        <f t="shared" si="29"/>
        <v>86</v>
      </c>
      <c r="K147" s="187">
        <f>+HLOOKUP($B147,'parametres articles'!$C$5:$G$25,5,FALSE)</f>
        <v>15</v>
      </c>
      <c r="L147" s="187">
        <f>+HLOOKUP($B147,'parametres articles'!$C$5:$G$25,21,FALSE)</f>
        <v>13</v>
      </c>
      <c r="M147" s="192">
        <f>+HLOOKUP($B147,'parametres articles'!$C$5:$G$25,7,FALSE)</f>
        <v>0.8</v>
      </c>
      <c r="N147" s="192">
        <f>+HLOOKUP($B147,'parametres articles'!$C$5:$G$25,6,FALSE)</f>
        <v>0.4</v>
      </c>
      <c r="O147" s="187">
        <f>+HLOOKUP($B147,'parametres articles'!$C$5:$G$25,8,FALSE)</f>
        <v>0</v>
      </c>
      <c r="P147" s="193">
        <f>IF(B147="E",'parametres articles'!$C$8,HLOOKUP($B147,'parametres articles'!$C$5:$F$25,4,FALSE))</f>
        <v>2.27</v>
      </c>
      <c r="Q147" s="193">
        <f t="shared" si="31"/>
        <v>2.27</v>
      </c>
      <c r="R147" s="199">
        <f t="shared" si="39"/>
        <v>13.62</v>
      </c>
      <c r="S147" s="197">
        <f t="shared" si="32"/>
        <v>24.515999999999998</v>
      </c>
      <c r="T147" s="201">
        <f t="shared" si="33"/>
        <v>58.565999999999995</v>
      </c>
      <c r="U147" s="203">
        <f t="shared" si="40"/>
        <v>72.185999999999993</v>
      </c>
      <c r="V147" s="187">
        <f t="shared" si="34"/>
        <v>24.515999999999998</v>
      </c>
      <c r="W147" s="187">
        <f t="shared" si="35"/>
        <v>34.049999999999997</v>
      </c>
      <c r="X147" s="187">
        <f t="shared" si="36"/>
        <v>13.62</v>
      </c>
      <c r="Y147" s="193">
        <f t="shared" si="37"/>
        <v>31.325999999999997</v>
      </c>
      <c r="Z147" s="194"/>
      <c r="AA147" s="195">
        <f t="shared" ca="1" si="42"/>
        <v>147</v>
      </c>
      <c r="AB147" s="195">
        <f ca="1">+AA147+'parametres articles'!$C$9-1</f>
        <v>161</v>
      </c>
      <c r="AC147" s="195">
        <f ca="1">+AA147+'parametres articles'!$C$24-1</f>
        <v>166</v>
      </c>
      <c r="AD147" s="195">
        <f ca="1">+IF(AE147&lt;='parametres articles'!$H$8,0,AA147-'parametres articles'!$H$8+1)</f>
        <v>143</v>
      </c>
      <c r="AE147" s="195">
        <v>146</v>
      </c>
      <c r="AF147" s="187" t="str">
        <f t="shared" ca="1" si="41"/>
        <v>F162</v>
      </c>
      <c r="AG147" s="178"/>
      <c r="AH147" s="178"/>
      <c r="AI147" s="178"/>
      <c r="AJ147" s="178"/>
      <c r="AK147" s="178"/>
    </row>
    <row r="148" spans="1:37" x14ac:dyDescent="0.25">
      <c r="A148" s="186">
        <v>42151</v>
      </c>
      <c r="B148" s="188" t="s">
        <v>21</v>
      </c>
      <c r="C148" s="189">
        <f ca="1">+IF(AD148=0,P148,(SUM(INDIRECT(CONCATENATE("B",AD148,":B",AA148)))/'parametres articles'!$H$8))</f>
        <v>0</v>
      </c>
      <c r="D148" s="187">
        <f>IFERROR(VLOOKUP(A148,'Mvmt stock'!A:B,2,0),0)</f>
        <v>0</v>
      </c>
      <c r="E148" s="188">
        <f>IFERROR(VLOOKUP(A148,'Mvmt stock'!D:E,2,0),0)</f>
        <v>0</v>
      </c>
      <c r="F148" s="188">
        <f t="shared" si="38"/>
        <v>100</v>
      </c>
      <c r="G148" s="208">
        <f>IFERROR(VLOOKUP(A148,'Mvmt stock'!G:H,2,0),0)</f>
        <v>0</v>
      </c>
      <c r="H148" s="190">
        <f>IFERROR(VLOOKUP(A148,Stock!B:C,2,0),H147)</f>
        <v>102</v>
      </c>
      <c r="I148" s="188">
        <f t="shared" si="30"/>
        <v>100</v>
      </c>
      <c r="J148" s="191">
        <f t="shared" si="29"/>
        <v>86.61904761904762</v>
      </c>
      <c r="K148" s="187">
        <f>+HLOOKUP($B148,'parametres articles'!$C$5:$G$25,5,FALSE)</f>
        <v>15</v>
      </c>
      <c r="L148" s="187">
        <f>+HLOOKUP($B148,'parametres articles'!$C$5:$G$25,21,FALSE)</f>
        <v>13</v>
      </c>
      <c r="M148" s="192">
        <f>+HLOOKUP($B148,'parametres articles'!$C$5:$G$25,7,FALSE)</f>
        <v>0.8</v>
      </c>
      <c r="N148" s="192">
        <f>+HLOOKUP($B148,'parametres articles'!$C$5:$G$25,6,FALSE)</f>
        <v>0.4</v>
      </c>
      <c r="O148" s="187">
        <f>+HLOOKUP($B148,'parametres articles'!$C$5:$G$25,8,FALSE)</f>
        <v>0</v>
      </c>
      <c r="P148" s="193">
        <f>IF(B148="E",'parametres articles'!$C$8,HLOOKUP($B148,'parametres articles'!$C$5:$F$25,4,FALSE))</f>
        <v>2.27</v>
      </c>
      <c r="Q148" s="193">
        <f t="shared" si="31"/>
        <v>2.27</v>
      </c>
      <c r="R148" s="199">
        <f t="shared" si="39"/>
        <v>13.62</v>
      </c>
      <c r="S148" s="197">
        <f t="shared" si="32"/>
        <v>24.515999999999998</v>
      </c>
      <c r="T148" s="201">
        <f t="shared" si="33"/>
        <v>58.565999999999995</v>
      </c>
      <c r="U148" s="203">
        <f t="shared" si="40"/>
        <v>72.185999999999993</v>
      </c>
      <c r="V148" s="187">
        <f t="shared" si="34"/>
        <v>24.515999999999998</v>
      </c>
      <c r="W148" s="187">
        <f t="shared" si="35"/>
        <v>34.049999999999997</v>
      </c>
      <c r="X148" s="187">
        <f t="shared" si="36"/>
        <v>13.62</v>
      </c>
      <c r="Y148" s="193">
        <f t="shared" si="37"/>
        <v>31.325999999999997</v>
      </c>
      <c r="Z148" s="194"/>
      <c r="AA148" s="195">
        <f t="shared" ca="1" si="42"/>
        <v>148</v>
      </c>
      <c r="AB148" s="195">
        <f ca="1">+AA148+'parametres articles'!$C$9-1</f>
        <v>162</v>
      </c>
      <c r="AC148" s="195">
        <f ca="1">+AA148+'parametres articles'!$C$24-1</f>
        <v>167</v>
      </c>
      <c r="AD148" s="195">
        <f ca="1">+IF(AE148&lt;='parametres articles'!$H$8,0,AA148-'parametres articles'!$H$8+1)</f>
        <v>144</v>
      </c>
      <c r="AE148" s="195">
        <v>147</v>
      </c>
      <c r="AF148" s="187" t="str">
        <f t="shared" ca="1" si="41"/>
        <v>F163</v>
      </c>
      <c r="AG148" s="181"/>
      <c r="AH148" s="178"/>
      <c r="AI148" s="178"/>
      <c r="AJ148" s="178"/>
      <c r="AK148" s="178"/>
    </row>
    <row r="149" spans="1:37" x14ac:dyDescent="0.25">
      <c r="A149" s="186">
        <v>42152</v>
      </c>
      <c r="B149" s="188" t="s">
        <v>21</v>
      </c>
      <c r="C149" s="189">
        <f ca="1">+IF(AD149=0,P149,(SUM(INDIRECT(CONCATENATE("B",AD149,":B",AA149)))/'parametres articles'!$H$8))</f>
        <v>0</v>
      </c>
      <c r="D149" s="187">
        <f>IFERROR(VLOOKUP(A149,'Mvmt stock'!A:B,2,0),0)</f>
        <v>0</v>
      </c>
      <c r="E149" s="188">
        <f>IFERROR(VLOOKUP(A149,'Mvmt stock'!D:E,2,0),0)</f>
        <v>0</v>
      </c>
      <c r="F149" s="188">
        <f t="shared" si="38"/>
        <v>100</v>
      </c>
      <c r="G149" s="208">
        <f>IFERROR(VLOOKUP(A149,'Mvmt stock'!G:H,2,0),0)</f>
        <v>0</v>
      </c>
      <c r="H149" s="190">
        <f>IFERROR(VLOOKUP(A149,Stock!B:C,2,0),H148)</f>
        <v>102</v>
      </c>
      <c r="I149" s="188">
        <f t="shared" si="30"/>
        <v>100</v>
      </c>
      <c r="J149" s="191">
        <f t="shared" si="29"/>
        <v>87.714285714285708</v>
      </c>
      <c r="K149" s="187">
        <f>+HLOOKUP($B149,'parametres articles'!$C$5:$G$25,5,FALSE)</f>
        <v>15</v>
      </c>
      <c r="L149" s="187">
        <f>+HLOOKUP($B149,'parametres articles'!$C$5:$G$25,21,FALSE)</f>
        <v>13</v>
      </c>
      <c r="M149" s="192">
        <f>+HLOOKUP($B149,'parametres articles'!$C$5:$G$25,7,FALSE)</f>
        <v>0.8</v>
      </c>
      <c r="N149" s="192">
        <f>+HLOOKUP($B149,'parametres articles'!$C$5:$G$25,6,FALSE)</f>
        <v>0.4</v>
      </c>
      <c r="O149" s="187">
        <f>+HLOOKUP($B149,'parametres articles'!$C$5:$G$25,8,FALSE)</f>
        <v>0</v>
      </c>
      <c r="P149" s="193">
        <f>IF(B149="E",'parametres articles'!$C$8,HLOOKUP($B149,'parametres articles'!$C$5:$F$25,4,FALSE))</f>
        <v>2.27</v>
      </c>
      <c r="Q149" s="193">
        <f t="shared" si="31"/>
        <v>2.27</v>
      </c>
      <c r="R149" s="199">
        <f t="shared" si="39"/>
        <v>13.62</v>
      </c>
      <c r="S149" s="197">
        <f t="shared" si="32"/>
        <v>24.515999999999998</v>
      </c>
      <c r="T149" s="201">
        <f t="shared" si="33"/>
        <v>58.565999999999995</v>
      </c>
      <c r="U149" s="203">
        <f t="shared" si="40"/>
        <v>72.185999999999993</v>
      </c>
      <c r="V149" s="187">
        <f t="shared" si="34"/>
        <v>24.515999999999998</v>
      </c>
      <c r="W149" s="187">
        <f t="shared" si="35"/>
        <v>34.049999999999997</v>
      </c>
      <c r="X149" s="187">
        <f t="shared" si="36"/>
        <v>13.62</v>
      </c>
      <c r="Y149" s="193">
        <f t="shared" si="37"/>
        <v>31.325999999999997</v>
      </c>
      <c r="Z149" s="194"/>
      <c r="AA149" s="195">
        <f t="shared" ca="1" si="42"/>
        <v>149</v>
      </c>
      <c r="AB149" s="195">
        <f ca="1">+AA149+'parametres articles'!$C$9-1</f>
        <v>163</v>
      </c>
      <c r="AC149" s="195">
        <f ca="1">+AA149+'parametres articles'!$C$24-1</f>
        <v>168</v>
      </c>
      <c r="AD149" s="195">
        <f ca="1">+IF(AE149&lt;='parametres articles'!$H$8,0,AA149-'parametres articles'!$H$8+1)</f>
        <v>145</v>
      </c>
      <c r="AE149" s="195">
        <v>148</v>
      </c>
      <c r="AF149" s="187" t="str">
        <f t="shared" ca="1" si="41"/>
        <v>F164</v>
      </c>
      <c r="AH149" s="178"/>
      <c r="AI149" s="178"/>
      <c r="AJ149" s="178"/>
      <c r="AK149" s="178"/>
    </row>
    <row r="150" spans="1:37" x14ac:dyDescent="0.25">
      <c r="A150" s="186">
        <v>42153</v>
      </c>
      <c r="B150" s="188" t="s">
        <v>21</v>
      </c>
      <c r="C150" s="189">
        <f ca="1">+IF(AD150=0,P150,(SUM(INDIRECT(CONCATENATE("B",AD150,":B",AA150)))/'parametres articles'!$H$8))</f>
        <v>0</v>
      </c>
      <c r="D150" s="187">
        <f>IFERROR(VLOOKUP(A150,'Mvmt stock'!A:B,2,0),0)</f>
        <v>0</v>
      </c>
      <c r="E150" s="188">
        <f>IFERROR(VLOOKUP(A150,'Mvmt stock'!D:E,2,0),0)</f>
        <v>14</v>
      </c>
      <c r="F150" s="188">
        <f t="shared" si="38"/>
        <v>98</v>
      </c>
      <c r="G150" s="208">
        <f>IFERROR(VLOOKUP(A150,'Mvmt stock'!G:H,2,0),0)</f>
        <v>-2</v>
      </c>
      <c r="H150" s="190">
        <f>IFERROR(VLOOKUP(A150,Stock!B:C,2,0),H149)</f>
        <v>100</v>
      </c>
      <c r="I150" s="188">
        <f t="shared" si="30"/>
        <v>112</v>
      </c>
      <c r="J150" s="191">
        <f t="shared" ref="J150:J181" si="43">+AVERAGE(F130:F150)</f>
        <v>88.714285714285708</v>
      </c>
      <c r="K150" s="187">
        <f>+HLOOKUP($B150,'parametres articles'!$C$5:$G$25,5,FALSE)</f>
        <v>15</v>
      </c>
      <c r="L150" s="187">
        <f>+HLOOKUP($B150,'parametres articles'!$C$5:$G$25,21,FALSE)</f>
        <v>13</v>
      </c>
      <c r="M150" s="192">
        <f>+HLOOKUP($B150,'parametres articles'!$C$5:$G$25,7,FALSE)</f>
        <v>0.8</v>
      </c>
      <c r="N150" s="192">
        <f>+HLOOKUP($B150,'parametres articles'!$C$5:$G$25,6,FALSE)</f>
        <v>0.4</v>
      </c>
      <c r="O150" s="187">
        <f>+HLOOKUP($B150,'parametres articles'!$C$5:$G$25,8,FALSE)</f>
        <v>0</v>
      </c>
      <c r="P150" s="193">
        <f>IF(B150="E",'parametres articles'!$C$8,HLOOKUP($B150,'parametres articles'!$C$5:$F$25,4,FALSE))</f>
        <v>2.27</v>
      </c>
      <c r="Q150" s="193">
        <f t="shared" si="31"/>
        <v>2.27</v>
      </c>
      <c r="R150" s="199">
        <f t="shared" si="39"/>
        <v>13.62</v>
      </c>
      <c r="S150" s="197">
        <f t="shared" si="32"/>
        <v>24.515999999999998</v>
      </c>
      <c r="T150" s="201">
        <f t="shared" si="33"/>
        <v>58.565999999999995</v>
      </c>
      <c r="U150" s="203">
        <f t="shared" si="40"/>
        <v>72.185999999999993</v>
      </c>
      <c r="V150" s="187">
        <f t="shared" si="34"/>
        <v>24.515999999999998</v>
      </c>
      <c r="W150" s="187">
        <f t="shared" si="35"/>
        <v>34.049999999999997</v>
      </c>
      <c r="X150" s="187">
        <f t="shared" si="36"/>
        <v>13.62</v>
      </c>
      <c r="Y150" s="193">
        <f t="shared" si="37"/>
        <v>31.325999999999997</v>
      </c>
      <c r="Z150" s="194"/>
      <c r="AA150" s="195">
        <f t="shared" ca="1" si="42"/>
        <v>150</v>
      </c>
      <c r="AB150" s="195">
        <f ca="1">+AA150+'parametres articles'!$C$9-1</f>
        <v>164</v>
      </c>
      <c r="AC150" s="195">
        <f ca="1">+AA150+'parametres articles'!$C$24-1</f>
        <v>169</v>
      </c>
      <c r="AD150" s="195">
        <f ca="1">+IF(AE150&lt;='parametres articles'!$H$8,0,AA150-'parametres articles'!$H$8+1)</f>
        <v>146</v>
      </c>
      <c r="AE150" s="195">
        <v>149</v>
      </c>
      <c r="AF150" s="187" t="str">
        <f t="shared" ca="1" si="41"/>
        <v>F165</v>
      </c>
      <c r="AH150" s="178"/>
      <c r="AI150" s="178"/>
      <c r="AJ150" s="178"/>
      <c r="AK150" s="178"/>
    </row>
    <row r="151" spans="1:37" x14ac:dyDescent="0.25">
      <c r="A151" s="186">
        <v>42154</v>
      </c>
      <c r="B151" s="188" t="s">
        <v>21</v>
      </c>
      <c r="C151" s="189">
        <f ca="1">+IF(AD151=0,P151,(SUM(INDIRECT(CONCATENATE("B",AD151,":B",AA151)))/'parametres articles'!$H$8))</f>
        <v>0</v>
      </c>
      <c r="D151" s="187">
        <f>IFERROR(VLOOKUP(A151,'Mvmt stock'!A:B,2,0),0)</f>
        <v>0</v>
      </c>
      <c r="E151" s="188">
        <f>IFERROR(VLOOKUP(A151,'Mvmt stock'!D:E,2,0),0)</f>
        <v>0</v>
      </c>
      <c r="F151" s="188">
        <f t="shared" si="38"/>
        <v>112</v>
      </c>
      <c r="G151" s="208">
        <f>IFERROR(VLOOKUP(A151,'Mvmt stock'!G:H,2,0),0)</f>
        <v>0</v>
      </c>
      <c r="H151" s="190">
        <f>IFERROR(VLOOKUP(A151,Stock!B:C,2,0),H150)</f>
        <v>100</v>
      </c>
      <c r="I151" s="188">
        <f t="shared" si="30"/>
        <v>112</v>
      </c>
      <c r="J151" s="191">
        <f t="shared" si="43"/>
        <v>90.38095238095238</v>
      </c>
      <c r="K151" s="187">
        <f>+HLOOKUP($B151,'parametres articles'!$C$5:$G$25,5,FALSE)</f>
        <v>15</v>
      </c>
      <c r="L151" s="187">
        <f>+HLOOKUP($B151,'parametres articles'!$C$5:$G$25,21,FALSE)</f>
        <v>13</v>
      </c>
      <c r="M151" s="192">
        <f>+HLOOKUP($B151,'parametres articles'!$C$5:$G$25,7,FALSE)</f>
        <v>0.8</v>
      </c>
      <c r="N151" s="192">
        <f>+HLOOKUP($B151,'parametres articles'!$C$5:$G$25,6,FALSE)</f>
        <v>0.4</v>
      </c>
      <c r="O151" s="187">
        <f>+HLOOKUP($B151,'parametres articles'!$C$5:$G$25,8,FALSE)</f>
        <v>0</v>
      </c>
      <c r="P151" s="193">
        <f>IF(B151="E",'parametres articles'!$C$8,HLOOKUP($B151,'parametres articles'!$C$5:$F$25,4,FALSE))</f>
        <v>2.27</v>
      </c>
      <c r="Q151" s="193">
        <f t="shared" si="31"/>
        <v>2.27</v>
      </c>
      <c r="R151" s="199">
        <f t="shared" si="39"/>
        <v>13.62</v>
      </c>
      <c r="S151" s="197">
        <f t="shared" si="32"/>
        <v>24.515999999999998</v>
      </c>
      <c r="T151" s="201">
        <f t="shared" si="33"/>
        <v>58.565999999999995</v>
      </c>
      <c r="U151" s="203">
        <f t="shared" si="40"/>
        <v>72.185999999999993</v>
      </c>
      <c r="V151" s="187">
        <f t="shared" si="34"/>
        <v>24.515999999999998</v>
      </c>
      <c r="W151" s="187">
        <f t="shared" si="35"/>
        <v>34.049999999999997</v>
      </c>
      <c r="X151" s="187">
        <f t="shared" si="36"/>
        <v>13.62</v>
      </c>
      <c r="Y151" s="193">
        <f t="shared" si="37"/>
        <v>31.325999999999997</v>
      </c>
      <c r="Z151" s="194"/>
      <c r="AA151" s="195">
        <f t="shared" ca="1" si="42"/>
        <v>151</v>
      </c>
      <c r="AB151" s="195">
        <f ca="1">+AA151+'parametres articles'!$C$9-1</f>
        <v>165</v>
      </c>
      <c r="AC151" s="195">
        <f ca="1">+AA151+'parametres articles'!$C$24-1</f>
        <v>170</v>
      </c>
      <c r="AD151" s="195">
        <f ca="1">+IF(AE151&lt;='parametres articles'!$H$8,0,AA151-'parametres articles'!$H$8+1)</f>
        <v>147</v>
      </c>
      <c r="AE151" s="195">
        <v>150</v>
      </c>
      <c r="AF151" s="187" t="str">
        <f t="shared" ca="1" si="41"/>
        <v>F166</v>
      </c>
      <c r="AH151" s="178"/>
      <c r="AI151" s="178"/>
      <c r="AJ151" s="178"/>
      <c r="AK151" s="178"/>
    </row>
    <row r="152" spans="1:37" x14ac:dyDescent="0.25">
      <c r="A152" s="186">
        <v>42155</v>
      </c>
      <c r="B152" s="188" t="s">
        <v>21</v>
      </c>
      <c r="C152" s="189">
        <f ca="1">+IF(AD152=0,P152,(SUM(INDIRECT(CONCATENATE("B",AD152,":B",AA152)))/'parametres articles'!$H$8))</f>
        <v>0</v>
      </c>
      <c r="D152" s="187">
        <f>IFERROR(VLOOKUP(A152,'Mvmt stock'!A:B,2,0),0)</f>
        <v>0</v>
      </c>
      <c r="E152" s="188">
        <f>IFERROR(VLOOKUP(A152,'Mvmt stock'!D:E,2,0),0)</f>
        <v>0</v>
      </c>
      <c r="F152" s="188">
        <f t="shared" si="38"/>
        <v>112</v>
      </c>
      <c r="G152" s="208">
        <f>IFERROR(VLOOKUP(A152,'Mvmt stock'!G:H,2,0),0)</f>
        <v>0</v>
      </c>
      <c r="H152" s="190">
        <f>IFERROR(VLOOKUP(A152,Stock!B:C,2,0),H151)</f>
        <v>100</v>
      </c>
      <c r="I152" s="188">
        <f t="shared" si="30"/>
        <v>112</v>
      </c>
      <c r="J152" s="191">
        <f t="shared" si="43"/>
        <v>92.047619047619051</v>
      </c>
      <c r="K152" s="187">
        <f>+HLOOKUP($B152,'parametres articles'!$C$5:$G$25,5,FALSE)</f>
        <v>15</v>
      </c>
      <c r="L152" s="187">
        <f>+HLOOKUP($B152,'parametres articles'!$C$5:$G$25,21,FALSE)</f>
        <v>13</v>
      </c>
      <c r="M152" s="192">
        <f>+HLOOKUP($B152,'parametres articles'!$C$5:$G$25,7,FALSE)</f>
        <v>0.8</v>
      </c>
      <c r="N152" s="192">
        <f>+HLOOKUP($B152,'parametres articles'!$C$5:$G$25,6,FALSE)</f>
        <v>0.4</v>
      </c>
      <c r="O152" s="187">
        <f>+HLOOKUP($B152,'parametres articles'!$C$5:$G$25,8,FALSE)</f>
        <v>0</v>
      </c>
      <c r="P152" s="193">
        <f>IF(B152="E",'parametres articles'!$C$8,HLOOKUP($B152,'parametres articles'!$C$5:$F$25,4,FALSE))</f>
        <v>2.27</v>
      </c>
      <c r="Q152" s="193">
        <f t="shared" si="31"/>
        <v>2.27</v>
      </c>
      <c r="R152" s="199">
        <f t="shared" si="39"/>
        <v>13.62</v>
      </c>
      <c r="S152" s="197">
        <f t="shared" si="32"/>
        <v>24.515999999999998</v>
      </c>
      <c r="T152" s="201">
        <f t="shared" si="33"/>
        <v>58.565999999999995</v>
      </c>
      <c r="U152" s="203">
        <f t="shared" si="40"/>
        <v>72.185999999999993</v>
      </c>
      <c r="V152" s="187">
        <f t="shared" si="34"/>
        <v>24.515999999999998</v>
      </c>
      <c r="W152" s="187">
        <f t="shared" si="35"/>
        <v>34.049999999999997</v>
      </c>
      <c r="X152" s="187">
        <f t="shared" si="36"/>
        <v>13.62</v>
      </c>
      <c r="Y152" s="193">
        <f t="shared" si="37"/>
        <v>31.325999999999997</v>
      </c>
      <c r="Z152" s="194"/>
      <c r="AA152" s="195">
        <f t="shared" ca="1" si="42"/>
        <v>152</v>
      </c>
      <c r="AB152" s="195">
        <f ca="1">+AA152+'parametres articles'!$C$9-1</f>
        <v>166</v>
      </c>
      <c r="AC152" s="195">
        <f ca="1">+AA152+'parametres articles'!$C$24-1</f>
        <v>171</v>
      </c>
      <c r="AD152" s="195">
        <f ca="1">+IF(AE152&lt;='parametres articles'!$H$8,0,AA152-'parametres articles'!$H$8+1)</f>
        <v>148</v>
      </c>
      <c r="AE152" s="195">
        <v>151</v>
      </c>
      <c r="AF152" s="187" t="str">
        <f t="shared" ca="1" si="41"/>
        <v>F167</v>
      </c>
      <c r="AH152" s="178"/>
      <c r="AI152" s="178"/>
      <c r="AJ152" s="178"/>
      <c r="AK152" s="178"/>
    </row>
    <row r="153" spans="1:37" x14ac:dyDescent="0.25">
      <c r="A153" s="186">
        <v>42156</v>
      </c>
      <c r="B153" s="188" t="s">
        <v>21</v>
      </c>
      <c r="C153" s="189">
        <f ca="1">+IF(AD153=0,P153,(SUM(INDIRECT(CONCATENATE("B",AD153,":B",AA153)))/'parametres articles'!$H$8))</f>
        <v>0</v>
      </c>
      <c r="D153" s="187">
        <f>IFERROR(VLOOKUP(A153,'Mvmt stock'!A:B,2,0),0)</f>
        <v>0</v>
      </c>
      <c r="E153" s="188">
        <f>IFERROR(VLOOKUP(A153,'Mvmt stock'!D:E,2,0),0)</f>
        <v>0</v>
      </c>
      <c r="F153" s="188">
        <f t="shared" si="38"/>
        <v>112</v>
      </c>
      <c r="G153" s="208">
        <f>IFERROR(VLOOKUP(A153,'Mvmt stock'!G:H,2,0),0)</f>
        <v>0</v>
      </c>
      <c r="H153" s="190">
        <f>IFERROR(VLOOKUP(A153,Stock!B:C,2,0),H152)</f>
        <v>114</v>
      </c>
      <c r="I153" s="188">
        <f t="shared" si="30"/>
        <v>112</v>
      </c>
      <c r="J153" s="191">
        <f t="shared" si="43"/>
        <v>93.761904761904759</v>
      </c>
      <c r="K153" s="187">
        <f>+HLOOKUP($B153,'parametres articles'!$C$5:$G$25,5,FALSE)</f>
        <v>15</v>
      </c>
      <c r="L153" s="187">
        <f>+HLOOKUP($B153,'parametres articles'!$C$5:$G$25,21,FALSE)</f>
        <v>13</v>
      </c>
      <c r="M153" s="192">
        <f>+HLOOKUP($B153,'parametres articles'!$C$5:$G$25,7,FALSE)</f>
        <v>0.8</v>
      </c>
      <c r="N153" s="192">
        <f>+HLOOKUP($B153,'parametres articles'!$C$5:$G$25,6,FALSE)</f>
        <v>0.4</v>
      </c>
      <c r="O153" s="187">
        <f>+HLOOKUP($B153,'parametres articles'!$C$5:$G$25,8,FALSE)</f>
        <v>0</v>
      </c>
      <c r="P153" s="193">
        <f>IF(B153="E",'parametres articles'!$C$8,HLOOKUP($B153,'parametres articles'!$C$5:$F$25,4,FALSE))</f>
        <v>2.27</v>
      </c>
      <c r="Q153" s="193">
        <f t="shared" si="31"/>
        <v>2.27</v>
      </c>
      <c r="R153" s="199">
        <f t="shared" si="39"/>
        <v>13.62</v>
      </c>
      <c r="S153" s="197">
        <f t="shared" si="32"/>
        <v>24.515999999999998</v>
      </c>
      <c r="T153" s="201">
        <f t="shared" si="33"/>
        <v>58.565999999999995</v>
      </c>
      <c r="U153" s="203">
        <f t="shared" si="40"/>
        <v>72.185999999999993</v>
      </c>
      <c r="V153" s="187">
        <f t="shared" si="34"/>
        <v>24.515999999999998</v>
      </c>
      <c r="W153" s="187">
        <f t="shared" si="35"/>
        <v>34.049999999999997</v>
      </c>
      <c r="X153" s="187">
        <f t="shared" si="36"/>
        <v>13.62</v>
      </c>
      <c r="Y153" s="193">
        <f t="shared" si="37"/>
        <v>31.325999999999997</v>
      </c>
      <c r="Z153" s="194"/>
      <c r="AA153" s="195">
        <f t="shared" ca="1" si="42"/>
        <v>153</v>
      </c>
      <c r="AB153" s="195">
        <f ca="1">+AA153+'parametres articles'!$C$9-1</f>
        <v>167</v>
      </c>
      <c r="AC153" s="195">
        <f ca="1">+AA153+'parametres articles'!$C$24-1</f>
        <v>172</v>
      </c>
      <c r="AD153" s="195">
        <f ca="1">+IF(AE153&lt;='parametres articles'!$H$8,0,AA153-'parametres articles'!$H$8+1)</f>
        <v>149</v>
      </c>
      <c r="AE153" s="195">
        <v>152</v>
      </c>
      <c r="AF153" s="187" t="str">
        <f t="shared" ca="1" si="41"/>
        <v>F168</v>
      </c>
      <c r="AH153" s="178"/>
      <c r="AI153" s="178"/>
      <c r="AJ153" s="178"/>
      <c r="AK153" s="178"/>
    </row>
    <row r="154" spans="1:37" x14ac:dyDescent="0.25">
      <c r="A154" s="186">
        <v>42157</v>
      </c>
      <c r="B154" s="188" t="s">
        <v>21</v>
      </c>
      <c r="C154" s="189">
        <f ca="1">+IF(AD154=0,P154,(SUM(INDIRECT(CONCATENATE("B",AD154,":B",AA154)))/'parametres articles'!$H$8))</f>
        <v>0</v>
      </c>
      <c r="D154" s="187">
        <f>IFERROR(VLOOKUP(A154,'Mvmt stock'!A:B,2,0),0)</f>
        <v>0</v>
      </c>
      <c r="E154" s="188">
        <f>IFERROR(VLOOKUP(A154,'Mvmt stock'!D:E,2,0),0)</f>
        <v>0</v>
      </c>
      <c r="F154" s="188">
        <f t="shared" si="38"/>
        <v>112</v>
      </c>
      <c r="G154" s="208">
        <f>IFERROR(VLOOKUP(A154,'Mvmt stock'!G:H,2,0),0)</f>
        <v>0</v>
      </c>
      <c r="H154" s="190">
        <f>IFERROR(VLOOKUP(A154,Stock!B:C,2,0),H153)</f>
        <v>114</v>
      </c>
      <c r="I154" s="188">
        <f t="shared" si="30"/>
        <v>112</v>
      </c>
      <c r="J154" s="191">
        <f t="shared" si="43"/>
        <v>94.523809523809518</v>
      </c>
      <c r="K154" s="187">
        <f>+HLOOKUP($B154,'parametres articles'!$C$5:$G$25,5,FALSE)</f>
        <v>15</v>
      </c>
      <c r="L154" s="187">
        <f>+HLOOKUP($B154,'parametres articles'!$C$5:$G$25,21,FALSE)</f>
        <v>13</v>
      </c>
      <c r="M154" s="192">
        <f>+HLOOKUP($B154,'parametres articles'!$C$5:$G$25,7,FALSE)</f>
        <v>0.8</v>
      </c>
      <c r="N154" s="192">
        <f>+HLOOKUP($B154,'parametres articles'!$C$5:$G$25,6,FALSE)</f>
        <v>0.4</v>
      </c>
      <c r="O154" s="187">
        <f>+HLOOKUP($B154,'parametres articles'!$C$5:$G$25,8,FALSE)</f>
        <v>0</v>
      </c>
      <c r="P154" s="193">
        <f>IF(B154="E",'parametres articles'!$C$8,HLOOKUP($B154,'parametres articles'!$C$5:$F$25,4,FALSE))</f>
        <v>2.27</v>
      </c>
      <c r="Q154" s="193">
        <f t="shared" si="31"/>
        <v>2.27</v>
      </c>
      <c r="R154" s="199">
        <f t="shared" si="39"/>
        <v>13.62</v>
      </c>
      <c r="S154" s="197">
        <f t="shared" si="32"/>
        <v>24.515999999999998</v>
      </c>
      <c r="T154" s="201">
        <f t="shared" si="33"/>
        <v>58.565999999999995</v>
      </c>
      <c r="U154" s="203">
        <f t="shared" si="40"/>
        <v>72.185999999999993</v>
      </c>
      <c r="V154" s="187">
        <f t="shared" si="34"/>
        <v>24.515999999999998</v>
      </c>
      <c r="W154" s="187">
        <f t="shared" si="35"/>
        <v>34.049999999999997</v>
      </c>
      <c r="X154" s="187">
        <f t="shared" si="36"/>
        <v>13.62</v>
      </c>
      <c r="Y154" s="193">
        <f t="shared" si="37"/>
        <v>31.325999999999997</v>
      </c>
      <c r="Z154" s="194"/>
      <c r="AA154" s="195">
        <f t="shared" ca="1" si="42"/>
        <v>154</v>
      </c>
      <c r="AB154" s="195">
        <f ca="1">+AA154+'parametres articles'!$C$9-1</f>
        <v>168</v>
      </c>
      <c r="AC154" s="195">
        <f ca="1">+AA154+'parametres articles'!$C$24-1</f>
        <v>173</v>
      </c>
      <c r="AD154" s="195">
        <f ca="1">+IF(AE154&lt;='parametres articles'!$H$8,0,AA154-'parametres articles'!$H$8+1)</f>
        <v>150</v>
      </c>
      <c r="AE154" s="195">
        <v>153</v>
      </c>
      <c r="AF154" s="187" t="str">
        <f t="shared" ca="1" si="41"/>
        <v>F169</v>
      </c>
      <c r="AH154" s="178"/>
      <c r="AI154" s="178"/>
      <c r="AJ154" s="178"/>
      <c r="AK154" s="178"/>
    </row>
    <row r="155" spans="1:37" x14ac:dyDescent="0.25">
      <c r="A155" s="186">
        <v>42158</v>
      </c>
      <c r="B155" s="188" t="s">
        <v>21</v>
      </c>
      <c r="C155" s="189">
        <f ca="1">+IF(AD155=0,P155,(SUM(INDIRECT(CONCATENATE("B",AD155,":B",AA155)))/'parametres articles'!$H$8))</f>
        <v>0</v>
      </c>
      <c r="D155" s="187">
        <f>IFERROR(VLOOKUP(A155,'Mvmt stock'!A:B,2,0),0)</f>
        <v>18</v>
      </c>
      <c r="E155" s="188">
        <f>IFERROR(VLOOKUP(A155,'Mvmt stock'!D:E,2,0),0)</f>
        <v>0</v>
      </c>
      <c r="F155" s="188">
        <f t="shared" si="38"/>
        <v>112</v>
      </c>
      <c r="G155" s="208">
        <f>IFERROR(VLOOKUP(A155,'Mvmt stock'!G:H,2,0),0)</f>
        <v>0</v>
      </c>
      <c r="H155" s="190">
        <f>IFERROR(VLOOKUP(A155,Stock!B:C,2,0),H154)</f>
        <v>114</v>
      </c>
      <c r="I155" s="188">
        <f t="shared" si="30"/>
        <v>94</v>
      </c>
      <c r="J155" s="191">
        <f t="shared" si="43"/>
        <v>96.476190476190482</v>
      </c>
      <c r="K155" s="187">
        <f>+HLOOKUP($B155,'parametres articles'!$C$5:$G$25,5,FALSE)</f>
        <v>15</v>
      </c>
      <c r="L155" s="187">
        <f>+HLOOKUP($B155,'parametres articles'!$C$5:$G$25,21,FALSE)</f>
        <v>13</v>
      </c>
      <c r="M155" s="192">
        <f>+HLOOKUP($B155,'parametres articles'!$C$5:$G$25,7,FALSE)</f>
        <v>0.8</v>
      </c>
      <c r="N155" s="192">
        <f>+HLOOKUP($B155,'parametres articles'!$C$5:$G$25,6,FALSE)</f>
        <v>0.4</v>
      </c>
      <c r="O155" s="187">
        <f>+HLOOKUP($B155,'parametres articles'!$C$5:$G$25,8,FALSE)</f>
        <v>0</v>
      </c>
      <c r="P155" s="193">
        <f>IF(B155="E",'parametres articles'!$C$8,HLOOKUP($B155,'parametres articles'!$C$5:$F$25,4,FALSE))</f>
        <v>2.27</v>
      </c>
      <c r="Q155" s="193">
        <f t="shared" si="31"/>
        <v>2.27</v>
      </c>
      <c r="R155" s="199">
        <f t="shared" si="39"/>
        <v>13.62</v>
      </c>
      <c r="S155" s="197">
        <f t="shared" si="32"/>
        <v>24.515999999999998</v>
      </c>
      <c r="T155" s="201">
        <f t="shared" si="33"/>
        <v>58.565999999999995</v>
      </c>
      <c r="U155" s="203">
        <f t="shared" si="40"/>
        <v>72.185999999999993</v>
      </c>
      <c r="V155" s="187">
        <f t="shared" si="34"/>
        <v>24.515999999999998</v>
      </c>
      <c r="W155" s="187">
        <f t="shared" si="35"/>
        <v>34.049999999999997</v>
      </c>
      <c r="X155" s="187">
        <f t="shared" si="36"/>
        <v>13.62</v>
      </c>
      <c r="Y155" s="193">
        <f t="shared" si="37"/>
        <v>31.325999999999997</v>
      </c>
      <c r="Z155" s="194"/>
      <c r="AA155" s="195">
        <f t="shared" ca="1" si="42"/>
        <v>155</v>
      </c>
      <c r="AB155" s="195">
        <f ca="1">+AA155+'parametres articles'!$C$9-1</f>
        <v>169</v>
      </c>
      <c r="AC155" s="195">
        <f ca="1">+AA155+'parametres articles'!$C$24-1</f>
        <v>174</v>
      </c>
      <c r="AD155" s="195">
        <f ca="1">+IF(AE155&lt;='parametres articles'!$H$8,0,AA155-'parametres articles'!$H$8+1)</f>
        <v>151</v>
      </c>
      <c r="AE155" s="195">
        <v>154</v>
      </c>
      <c r="AF155" s="187" t="str">
        <f t="shared" ca="1" si="41"/>
        <v>F170</v>
      </c>
      <c r="AG155" s="181"/>
      <c r="AH155" s="178"/>
      <c r="AI155" s="178"/>
      <c r="AJ155" s="178"/>
      <c r="AK155" s="178"/>
    </row>
    <row r="156" spans="1:37" x14ac:dyDescent="0.25">
      <c r="A156" s="186">
        <v>42159</v>
      </c>
      <c r="B156" s="188" t="s">
        <v>21</v>
      </c>
      <c r="C156" s="189">
        <f ca="1">+IF(AD156=0,P156,(SUM(INDIRECT(CONCATENATE("B",AD156,":B",AA156)))/'parametres articles'!$H$8))</f>
        <v>0</v>
      </c>
      <c r="D156" s="187">
        <f>IFERROR(VLOOKUP(A156,'Mvmt stock'!A:B,2,0),0)</f>
        <v>1</v>
      </c>
      <c r="E156" s="188">
        <f>IFERROR(VLOOKUP(A156,'Mvmt stock'!D:E,2,0),0)</f>
        <v>0</v>
      </c>
      <c r="F156" s="188">
        <f t="shared" si="38"/>
        <v>94</v>
      </c>
      <c r="G156" s="208">
        <f>IFERROR(VLOOKUP(A156,'Mvmt stock'!G:H,2,0),0)</f>
        <v>0</v>
      </c>
      <c r="H156" s="190">
        <f>IFERROR(VLOOKUP(A156,Stock!B:C,2,0),H155)</f>
        <v>96</v>
      </c>
      <c r="I156" s="188">
        <f t="shared" si="30"/>
        <v>93</v>
      </c>
      <c r="J156" s="191">
        <f t="shared" si="43"/>
        <v>97.857142857142861</v>
      </c>
      <c r="K156" s="187">
        <f>+HLOOKUP($B156,'parametres articles'!$C$5:$G$25,5,FALSE)</f>
        <v>15</v>
      </c>
      <c r="L156" s="187">
        <f>+HLOOKUP($B156,'parametres articles'!$C$5:$G$25,21,FALSE)</f>
        <v>13</v>
      </c>
      <c r="M156" s="192">
        <f>+HLOOKUP($B156,'parametres articles'!$C$5:$G$25,7,FALSE)</f>
        <v>0.8</v>
      </c>
      <c r="N156" s="192">
        <f>+HLOOKUP($B156,'parametres articles'!$C$5:$G$25,6,FALSE)</f>
        <v>0.4</v>
      </c>
      <c r="O156" s="187">
        <f>+HLOOKUP($B156,'parametres articles'!$C$5:$G$25,8,FALSE)</f>
        <v>0</v>
      </c>
      <c r="P156" s="193">
        <f>IF(B156="E",'parametres articles'!$C$8,HLOOKUP($B156,'parametres articles'!$C$5:$F$25,4,FALSE))</f>
        <v>2.27</v>
      </c>
      <c r="Q156" s="193">
        <f t="shared" si="31"/>
        <v>2.27</v>
      </c>
      <c r="R156" s="199">
        <f t="shared" si="39"/>
        <v>13.62</v>
      </c>
      <c r="S156" s="197">
        <f t="shared" si="32"/>
        <v>24.515999999999998</v>
      </c>
      <c r="T156" s="201">
        <f t="shared" si="33"/>
        <v>58.565999999999995</v>
      </c>
      <c r="U156" s="203">
        <f t="shared" si="40"/>
        <v>72.185999999999993</v>
      </c>
      <c r="V156" s="187">
        <f t="shared" si="34"/>
        <v>24.515999999999998</v>
      </c>
      <c r="W156" s="187">
        <f t="shared" si="35"/>
        <v>34.049999999999997</v>
      </c>
      <c r="X156" s="187">
        <f t="shared" si="36"/>
        <v>13.62</v>
      </c>
      <c r="Y156" s="193">
        <f t="shared" si="37"/>
        <v>31.325999999999997</v>
      </c>
      <c r="Z156" s="194"/>
      <c r="AA156" s="195">
        <f t="shared" ca="1" si="42"/>
        <v>156</v>
      </c>
      <c r="AB156" s="195">
        <f ca="1">+AA156+'parametres articles'!$C$9-1</f>
        <v>170</v>
      </c>
      <c r="AC156" s="195">
        <f ca="1">+AA156+'parametres articles'!$C$24-1</f>
        <v>175</v>
      </c>
      <c r="AD156" s="195">
        <f ca="1">+IF(AE156&lt;='parametres articles'!$H$8,0,AA156-'parametres articles'!$H$8+1)</f>
        <v>152</v>
      </c>
      <c r="AE156" s="195">
        <v>155</v>
      </c>
      <c r="AF156" s="187" t="str">
        <f t="shared" ca="1" si="41"/>
        <v>F171</v>
      </c>
      <c r="AH156" s="178"/>
      <c r="AI156" s="178"/>
      <c r="AJ156" s="178"/>
      <c r="AK156" s="178"/>
    </row>
    <row r="157" spans="1:37" x14ac:dyDescent="0.25">
      <c r="A157" s="186">
        <v>42160</v>
      </c>
      <c r="B157" s="188" t="s">
        <v>21</v>
      </c>
      <c r="C157" s="189">
        <f ca="1">+IF(AD157=0,P157,(SUM(INDIRECT(CONCATENATE("B",AD157,":B",AA157)))/'parametres articles'!$H$8))</f>
        <v>0</v>
      </c>
      <c r="D157" s="187">
        <f>IFERROR(VLOOKUP(A157,'Mvmt stock'!A:B,2,0),0)</f>
        <v>0</v>
      </c>
      <c r="E157" s="188">
        <f>IFERROR(VLOOKUP(A157,'Mvmt stock'!D:E,2,0),0)</f>
        <v>0</v>
      </c>
      <c r="F157" s="188">
        <f t="shared" si="38"/>
        <v>93</v>
      </c>
      <c r="G157" s="208">
        <f>IFERROR(VLOOKUP(A157,'Mvmt stock'!G:H,2,0),0)</f>
        <v>0</v>
      </c>
      <c r="H157" s="190">
        <f>IFERROR(VLOOKUP(A157,Stock!B:C,2,0),H156)</f>
        <v>95</v>
      </c>
      <c r="I157" s="188">
        <f t="shared" si="30"/>
        <v>93</v>
      </c>
      <c r="J157" s="191">
        <f t="shared" si="43"/>
        <v>99.19047619047619</v>
      </c>
      <c r="K157" s="187">
        <f>+HLOOKUP($B157,'parametres articles'!$C$5:$G$25,5,FALSE)</f>
        <v>15</v>
      </c>
      <c r="L157" s="187">
        <f>+HLOOKUP($B157,'parametres articles'!$C$5:$G$25,21,FALSE)</f>
        <v>13</v>
      </c>
      <c r="M157" s="192">
        <f>+HLOOKUP($B157,'parametres articles'!$C$5:$G$25,7,FALSE)</f>
        <v>0.8</v>
      </c>
      <c r="N157" s="192">
        <f>+HLOOKUP($B157,'parametres articles'!$C$5:$G$25,6,FALSE)</f>
        <v>0.4</v>
      </c>
      <c r="O157" s="187">
        <f>+HLOOKUP($B157,'parametres articles'!$C$5:$G$25,8,FALSE)</f>
        <v>0</v>
      </c>
      <c r="P157" s="193">
        <f>IF(B157="E",'parametres articles'!$C$8,HLOOKUP($B157,'parametres articles'!$C$5:$F$25,4,FALSE))</f>
        <v>2.27</v>
      </c>
      <c r="Q157" s="193">
        <f t="shared" si="31"/>
        <v>2.27</v>
      </c>
      <c r="R157" s="199">
        <f t="shared" si="39"/>
        <v>13.62</v>
      </c>
      <c r="S157" s="197">
        <f t="shared" si="32"/>
        <v>24.515999999999998</v>
      </c>
      <c r="T157" s="201">
        <f t="shared" si="33"/>
        <v>58.565999999999995</v>
      </c>
      <c r="U157" s="203">
        <f t="shared" si="40"/>
        <v>72.185999999999993</v>
      </c>
      <c r="V157" s="187">
        <f t="shared" si="34"/>
        <v>24.515999999999998</v>
      </c>
      <c r="W157" s="187">
        <f t="shared" si="35"/>
        <v>34.049999999999997</v>
      </c>
      <c r="X157" s="187">
        <f t="shared" si="36"/>
        <v>13.62</v>
      </c>
      <c r="Y157" s="193">
        <f t="shared" si="37"/>
        <v>31.325999999999997</v>
      </c>
      <c r="Z157" s="194"/>
      <c r="AA157" s="195">
        <f t="shared" ca="1" si="42"/>
        <v>157</v>
      </c>
      <c r="AB157" s="195">
        <f ca="1">+AA157+'parametres articles'!$C$9-1</f>
        <v>171</v>
      </c>
      <c r="AC157" s="195">
        <f ca="1">+AA157+'parametres articles'!$C$24-1</f>
        <v>176</v>
      </c>
      <c r="AD157" s="195">
        <f ca="1">+IF(AE157&lt;='parametres articles'!$H$8,0,AA157-'parametres articles'!$H$8+1)</f>
        <v>153</v>
      </c>
      <c r="AE157" s="195">
        <v>156</v>
      </c>
      <c r="AF157" s="187" t="str">
        <f t="shared" ca="1" si="41"/>
        <v>F172</v>
      </c>
      <c r="AH157" s="178"/>
      <c r="AI157" s="178"/>
      <c r="AJ157" s="178"/>
      <c r="AK157" s="178"/>
    </row>
    <row r="158" spans="1:37" x14ac:dyDescent="0.25">
      <c r="A158" s="186">
        <v>42161</v>
      </c>
      <c r="B158" s="188" t="s">
        <v>21</v>
      </c>
      <c r="C158" s="189">
        <f ca="1">+IF(AD158=0,P158,(SUM(INDIRECT(CONCATENATE("B",AD158,":B",AA158)))/'parametres articles'!$H$8))</f>
        <v>0</v>
      </c>
      <c r="D158" s="187">
        <f>IFERROR(VLOOKUP(A158,'Mvmt stock'!A:B,2,0),0)</f>
        <v>0</v>
      </c>
      <c r="E158" s="188">
        <f>IFERROR(VLOOKUP(A158,'Mvmt stock'!D:E,2,0),0)</f>
        <v>0</v>
      </c>
      <c r="F158" s="188">
        <f t="shared" si="38"/>
        <v>93</v>
      </c>
      <c r="G158" s="208">
        <f>IFERROR(VLOOKUP(A158,'Mvmt stock'!G:H,2,0),0)</f>
        <v>0</v>
      </c>
      <c r="H158" s="190">
        <f>IFERROR(VLOOKUP(A158,Stock!B:C,2,0),H157)</f>
        <v>95</v>
      </c>
      <c r="I158" s="188">
        <f t="shared" si="30"/>
        <v>93</v>
      </c>
      <c r="J158" s="191">
        <f t="shared" si="43"/>
        <v>100.52380952380952</v>
      </c>
      <c r="K158" s="187">
        <f>+HLOOKUP($B158,'parametres articles'!$C$5:$G$25,5,FALSE)</f>
        <v>15</v>
      </c>
      <c r="L158" s="187">
        <f>+HLOOKUP($B158,'parametres articles'!$C$5:$G$25,21,FALSE)</f>
        <v>13</v>
      </c>
      <c r="M158" s="192">
        <f>+HLOOKUP($B158,'parametres articles'!$C$5:$G$25,7,FALSE)</f>
        <v>0.8</v>
      </c>
      <c r="N158" s="192">
        <f>+HLOOKUP($B158,'parametres articles'!$C$5:$G$25,6,FALSE)</f>
        <v>0.4</v>
      </c>
      <c r="O158" s="187">
        <f>+HLOOKUP($B158,'parametres articles'!$C$5:$G$25,8,FALSE)</f>
        <v>0</v>
      </c>
      <c r="P158" s="193">
        <f>IF(B158="E",'parametres articles'!$C$8,HLOOKUP($B158,'parametres articles'!$C$5:$F$25,4,FALSE))</f>
        <v>2.27</v>
      </c>
      <c r="Q158" s="193">
        <f t="shared" si="31"/>
        <v>2.27</v>
      </c>
      <c r="R158" s="199">
        <f t="shared" si="39"/>
        <v>13.62</v>
      </c>
      <c r="S158" s="197">
        <f t="shared" si="32"/>
        <v>24.515999999999998</v>
      </c>
      <c r="T158" s="201">
        <f t="shared" si="33"/>
        <v>58.565999999999995</v>
      </c>
      <c r="U158" s="203">
        <f t="shared" si="40"/>
        <v>72.185999999999993</v>
      </c>
      <c r="V158" s="187">
        <f t="shared" si="34"/>
        <v>24.515999999999998</v>
      </c>
      <c r="W158" s="187">
        <f t="shared" si="35"/>
        <v>34.049999999999997</v>
      </c>
      <c r="X158" s="187">
        <f t="shared" si="36"/>
        <v>13.62</v>
      </c>
      <c r="Y158" s="193">
        <f t="shared" si="37"/>
        <v>31.325999999999997</v>
      </c>
      <c r="Z158" s="194"/>
      <c r="AA158" s="195">
        <f t="shared" ca="1" si="42"/>
        <v>158</v>
      </c>
      <c r="AB158" s="195">
        <f ca="1">+AA158+'parametres articles'!$C$9-1</f>
        <v>172</v>
      </c>
      <c r="AC158" s="195">
        <f ca="1">+AA158+'parametres articles'!$C$24-1</f>
        <v>177</v>
      </c>
      <c r="AD158" s="195">
        <f ca="1">+IF(AE158&lt;='parametres articles'!$H$8,0,AA158-'parametres articles'!$H$8+1)</f>
        <v>154</v>
      </c>
      <c r="AE158" s="195">
        <v>157</v>
      </c>
      <c r="AF158" s="187" t="str">
        <f t="shared" ca="1" si="41"/>
        <v>F173</v>
      </c>
      <c r="AH158" s="178"/>
      <c r="AI158" s="178"/>
      <c r="AJ158" s="178"/>
      <c r="AK158" s="178"/>
    </row>
    <row r="159" spans="1:37" x14ac:dyDescent="0.25">
      <c r="A159" s="186">
        <v>42162</v>
      </c>
      <c r="B159" s="188" t="s">
        <v>21</v>
      </c>
      <c r="C159" s="189">
        <f ca="1">+IF(AD159=0,P159,(SUM(INDIRECT(CONCATENATE("B",AD159,":B",AA159)))/'parametres articles'!$H$8))</f>
        <v>0</v>
      </c>
      <c r="D159" s="187">
        <f>IFERROR(VLOOKUP(A159,'Mvmt stock'!A:B,2,0),0)</f>
        <v>0</v>
      </c>
      <c r="E159" s="188">
        <f>IFERROR(VLOOKUP(A159,'Mvmt stock'!D:E,2,0),0)</f>
        <v>0</v>
      </c>
      <c r="F159" s="188">
        <f t="shared" si="38"/>
        <v>93</v>
      </c>
      <c r="G159" s="208">
        <f>IFERROR(VLOOKUP(A159,'Mvmt stock'!G:H,2,0),0)</f>
        <v>0</v>
      </c>
      <c r="H159" s="190">
        <f>IFERROR(VLOOKUP(A159,Stock!B:C,2,0),H158)</f>
        <v>95</v>
      </c>
      <c r="I159" s="188">
        <f t="shared" si="30"/>
        <v>93</v>
      </c>
      <c r="J159" s="191">
        <f t="shared" si="43"/>
        <v>101.85714285714286</v>
      </c>
      <c r="K159" s="187">
        <f>+HLOOKUP($B159,'parametres articles'!$C$5:$G$25,5,FALSE)</f>
        <v>15</v>
      </c>
      <c r="L159" s="187">
        <f>+HLOOKUP($B159,'parametres articles'!$C$5:$G$25,21,FALSE)</f>
        <v>13</v>
      </c>
      <c r="M159" s="192">
        <f>+HLOOKUP($B159,'parametres articles'!$C$5:$G$25,7,FALSE)</f>
        <v>0.8</v>
      </c>
      <c r="N159" s="192">
        <f>+HLOOKUP($B159,'parametres articles'!$C$5:$G$25,6,FALSE)</f>
        <v>0.4</v>
      </c>
      <c r="O159" s="187">
        <f>+HLOOKUP($B159,'parametres articles'!$C$5:$G$25,8,FALSE)</f>
        <v>0</v>
      </c>
      <c r="P159" s="193">
        <f>IF(B159="E",'parametres articles'!$C$8,HLOOKUP($B159,'parametres articles'!$C$5:$F$25,4,FALSE))</f>
        <v>2.27</v>
      </c>
      <c r="Q159" s="193">
        <f t="shared" si="31"/>
        <v>2.27</v>
      </c>
      <c r="R159" s="199">
        <f t="shared" si="39"/>
        <v>13.62</v>
      </c>
      <c r="S159" s="197">
        <f t="shared" si="32"/>
        <v>24.515999999999998</v>
      </c>
      <c r="T159" s="201">
        <f t="shared" si="33"/>
        <v>58.565999999999995</v>
      </c>
      <c r="U159" s="203">
        <f t="shared" si="40"/>
        <v>72.185999999999993</v>
      </c>
      <c r="V159" s="187">
        <f t="shared" si="34"/>
        <v>24.515999999999998</v>
      </c>
      <c r="W159" s="187">
        <f t="shared" si="35"/>
        <v>34.049999999999997</v>
      </c>
      <c r="X159" s="187">
        <f t="shared" si="36"/>
        <v>13.62</v>
      </c>
      <c r="Y159" s="193">
        <f t="shared" si="37"/>
        <v>31.325999999999997</v>
      </c>
      <c r="Z159" s="194"/>
      <c r="AA159" s="195">
        <f t="shared" ca="1" si="42"/>
        <v>159</v>
      </c>
      <c r="AB159" s="195">
        <f ca="1">+AA159+'parametres articles'!$C$9-1</f>
        <v>173</v>
      </c>
      <c r="AC159" s="195">
        <f ca="1">+AA159+'parametres articles'!$C$24-1</f>
        <v>178</v>
      </c>
      <c r="AD159" s="195">
        <f ca="1">+IF(AE159&lt;='parametres articles'!$H$8,0,AA159-'parametres articles'!$H$8+1)</f>
        <v>155</v>
      </c>
      <c r="AE159" s="195">
        <v>158</v>
      </c>
      <c r="AF159" s="187" t="str">
        <f t="shared" ca="1" si="41"/>
        <v>F174</v>
      </c>
      <c r="AH159" s="178"/>
      <c r="AI159" s="178"/>
      <c r="AJ159" s="178"/>
      <c r="AK159" s="178"/>
    </row>
    <row r="160" spans="1:37" x14ac:dyDescent="0.25">
      <c r="A160" s="186">
        <v>42163</v>
      </c>
      <c r="B160" s="188" t="s">
        <v>21</v>
      </c>
      <c r="C160" s="189">
        <f ca="1">+IF(AD160=0,P160,(SUM(INDIRECT(CONCATENATE("B",AD160,":B",AA160)))/'parametres articles'!$H$8))</f>
        <v>0</v>
      </c>
      <c r="D160" s="187">
        <f>IFERROR(VLOOKUP(A160,'Mvmt stock'!A:B,2,0),0)</f>
        <v>3</v>
      </c>
      <c r="E160" s="188">
        <f>IFERROR(VLOOKUP(A160,'Mvmt stock'!D:E,2,0),0)</f>
        <v>0</v>
      </c>
      <c r="F160" s="188">
        <f t="shared" si="38"/>
        <v>93</v>
      </c>
      <c r="G160" s="208">
        <f>IFERROR(VLOOKUP(A160,'Mvmt stock'!G:H,2,0),0)</f>
        <v>0</v>
      </c>
      <c r="H160" s="190">
        <f>IFERROR(VLOOKUP(A160,Stock!B:C,2,0),H159)</f>
        <v>95</v>
      </c>
      <c r="I160" s="188">
        <f t="shared" si="30"/>
        <v>90</v>
      </c>
      <c r="J160" s="191">
        <f t="shared" si="43"/>
        <v>103.19047619047619</v>
      </c>
      <c r="K160" s="187">
        <f>+HLOOKUP($B160,'parametres articles'!$C$5:$G$25,5,FALSE)</f>
        <v>15</v>
      </c>
      <c r="L160" s="187">
        <f>+HLOOKUP($B160,'parametres articles'!$C$5:$G$25,21,FALSE)</f>
        <v>13</v>
      </c>
      <c r="M160" s="192">
        <f>+HLOOKUP($B160,'parametres articles'!$C$5:$G$25,7,FALSE)</f>
        <v>0.8</v>
      </c>
      <c r="N160" s="192">
        <f>+HLOOKUP($B160,'parametres articles'!$C$5:$G$25,6,FALSE)</f>
        <v>0.4</v>
      </c>
      <c r="O160" s="187">
        <f>+HLOOKUP($B160,'parametres articles'!$C$5:$G$25,8,FALSE)</f>
        <v>0</v>
      </c>
      <c r="P160" s="193">
        <f>IF(B160="E",'parametres articles'!$C$8,HLOOKUP($B160,'parametres articles'!$C$5:$F$25,4,FALSE))</f>
        <v>2.27</v>
      </c>
      <c r="Q160" s="193">
        <f t="shared" si="31"/>
        <v>2.27</v>
      </c>
      <c r="R160" s="199">
        <f t="shared" si="39"/>
        <v>13.62</v>
      </c>
      <c r="S160" s="197">
        <f t="shared" si="32"/>
        <v>24.515999999999998</v>
      </c>
      <c r="T160" s="201">
        <f t="shared" si="33"/>
        <v>58.565999999999995</v>
      </c>
      <c r="U160" s="203">
        <f t="shared" si="40"/>
        <v>72.185999999999993</v>
      </c>
      <c r="V160" s="187">
        <f t="shared" si="34"/>
        <v>24.515999999999998</v>
      </c>
      <c r="W160" s="187">
        <f t="shared" si="35"/>
        <v>34.049999999999997</v>
      </c>
      <c r="X160" s="187">
        <f t="shared" si="36"/>
        <v>13.62</v>
      </c>
      <c r="Y160" s="193">
        <f t="shared" si="37"/>
        <v>31.325999999999997</v>
      </c>
      <c r="Z160" s="194"/>
      <c r="AA160" s="195">
        <f t="shared" ca="1" si="42"/>
        <v>160</v>
      </c>
      <c r="AB160" s="195">
        <f ca="1">+AA160+'parametres articles'!$C$9-1</f>
        <v>174</v>
      </c>
      <c r="AC160" s="195">
        <f ca="1">+AA160+'parametres articles'!$C$24-1</f>
        <v>179</v>
      </c>
      <c r="AD160" s="195">
        <f ca="1">+IF(AE160&lt;='parametres articles'!$H$8,0,AA160-'parametres articles'!$H$8+1)</f>
        <v>156</v>
      </c>
      <c r="AE160" s="195">
        <v>159</v>
      </c>
      <c r="AF160" s="187" t="str">
        <f t="shared" ca="1" si="41"/>
        <v>F175</v>
      </c>
      <c r="AH160" s="178"/>
      <c r="AI160" s="178"/>
      <c r="AJ160" s="178"/>
      <c r="AK160" s="178"/>
    </row>
    <row r="161" spans="1:37" x14ac:dyDescent="0.25">
      <c r="A161" s="186">
        <v>42164</v>
      </c>
      <c r="B161" s="188" t="s">
        <v>21</v>
      </c>
      <c r="C161" s="189">
        <f ca="1">+IF(AD161=0,P161,(SUM(INDIRECT(CONCATENATE("B",AD161,":B",AA161)))/'parametres articles'!$H$8))</f>
        <v>0</v>
      </c>
      <c r="D161" s="187">
        <f>IFERROR(VLOOKUP(A161,'Mvmt stock'!A:B,2,0),0)</f>
        <v>2</v>
      </c>
      <c r="E161" s="188">
        <f>IFERROR(VLOOKUP(A161,'Mvmt stock'!D:E,2,0),0)</f>
        <v>0</v>
      </c>
      <c r="F161" s="188">
        <f t="shared" si="38"/>
        <v>90</v>
      </c>
      <c r="G161" s="208">
        <f>IFERROR(VLOOKUP(A161,'Mvmt stock'!G:H,2,0),0)</f>
        <v>0</v>
      </c>
      <c r="H161" s="190">
        <f>IFERROR(VLOOKUP(A161,Stock!B:C,2,0),H160)</f>
        <v>92</v>
      </c>
      <c r="I161" s="188">
        <f t="shared" si="30"/>
        <v>88</v>
      </c>
      <c r="J161" s="191">
        <f t="shared" si="43"/>
        <v>102.42857142857143</v>
      </c>
      <c r="K161" s="187">
        <f>+HLOOKUP($B161,'parametres articles'!$C$5:$G$25,5,FALSE)</f>
        <v>15</v>
      </c>
      <c r="L161" s="187">
        <f>+HLOOKUP($B161,'parametres articles'!$C$5:$G$25,21,FALSE)</f>
        <v>13</v>
      </c>
      <c r="M161" s="192">
        <f>+HLOOKUP($B161,'parametres articles'!$C$5:$G$25,7,FALSE)</f>
        <v>0.8</v>
      </c>
      <c r="N161" s="192">
        <f>+HLOOKUP($B161,'parametres articles'!$C$5:$G$25,6,FALSE)</f>
        <v>0.4</v>
      </c>
      <c r="O161" s="187">
        <f>+HLOOKUP($B161,'parametres articles'!$C$5:$G$25,8,FALSE)</f>
        <v>0</v>
      </c>
      <c r="P161" s="193">
        <f>IF(B161="E",'parametres articles'!$C$8,HLOOKUP($B161,'parametres articles'!$C$5:$F$25,4,FALSE))</f>
        <v>2.27</v>
      </c>
      <c r="Q161" s="193">
        <f t="shared" si="31"/>
        <v>2.27</v>
      </c>
      <c r="R161" s="199">
        <f t="shared" si="39"/>
        <v>13.62</v>
      </c>
      <c r="S161" s="197">
        <f t="shared" si="32"/>
        <v>24.515999999999998</v>
      </c>
      <c r="T161" s="201">
        <f t="shared" si="33"/>
        <v>58.565999999999995</v>
      </c>
      <c r="U161" s="203">
        <f t="shared" si="40"/>
        <v>72.185999999999993</v>
      </c>
      <c r="V161" s="187">
        <f t="shared" si="34"/>
        <v>24.515999999999998</v>
      </c>
      <c r="W161" s="187">
        <f t="shared" si="35"/>
        <v>34.049999999999997</v>
      </c>
      <c r="X161" s="187">
        <f t="shared" si="36"/>
        <v>13.62</v>
      </c>
      <c r="Y161" s="193">
        <f t="shared" si="37"/>
        <v>31.325999999999997</v>
      </c>
      <c r="Z161" s="194"/>
      <c r="AA161" s="195">
        <f t="shared" ca="1" si="42"/>
        <v>161</v>
      </c>
      <c r="AB161" s="195">
        <f ca="1">+AA161+'parametres articles'!$C$9-1</f>
        <v>175</v>
      </c>
      <c r="AC161" s="195">
        <f ca="1">+AA161+'parametres articles'!$C$24-1</f>
        <v>180</v>
      </c>
      <c r="AD161" s="195">
        <f ca="1">+IF(AE161&lt;='parametres articles'!$H$8,0,AA161-'parametres articles'!$H$8+1)</f>
        <v>157</v>
      </c>
      <c r="AE161" s="195">
        <v>160</v>
      </c>
      <c r="AF161" s="187" t="str">
        <f t="shared" ca="1" si="41"/>
        <v>F176</v>
      </c>
      <c r="AH161" s="178"/>
      <c r="AI161" s="178"/>
      <c r="AJ161" s="178"/>
      <c r="AK161" s="178"/>
    </row>
    <row r="162" spans="1:37" x14ac:dyDescent="0.25">
      <c r="A162" s="186">
        <v>42165</v>
      </c>
      <c r="B162" s="188" t="s">
        <v>21</v>
      </c>
      <c r="C162" s="189">
        <f ca="1">+IF(AD162=0,P162,(SUM(INDIRECT(CONCATENATE("B",AD162,":B",AA162)))/'parametres articles'!$H$8))</f>
        <v>0</v>
      </c>
      <c r="D162" s="187">
        <f>IFERROR(VLOOKUP(A162,'Mvmt stock'!A:B,2,0),0)</f>
        <v>0</v>
      </c>
      <c r="E162" s="188">
        <f>IFERROR(VLOOKUP(A162,'Mvmt stock'!D:E,2,0),0)</f>
        <v>0</v>
      </c>
      <c r="F162" s="188">
        <f t="shared" si="38"/>
        <v>88</v>
      </c>
      <c r="G162" s="208">
        <f>IFERROR(VLOOKUP(A162,'Mvmt stock'!G:H,2,0),0)</f>
        <v>0</v>
      </c>
      <c r="H162" s="190">
        <f>IFERROR(VLOOKUP(A162,Stock!B:C,2,0),H161)</f>
        <v>90</v>
      </c>
      <c r="I162" s="188">
        <f t="shared" si="30"/>
        <v>88</v>
      </c>
      <c r="J162" s="191">
        <f t="shared" si="43"/>
        <v>101.57142857142857</v>
      </c>
      <c r="K162" s="187">
        <f>+HLOOKUP($B162,'parametres articles'!$C$5:$G$25,5,FALSE)</f>
        <v>15</v>
      </c>
      <c r="L162" s="187">
        <f>+HLOOKUP($B162,'parametres articles'!$C$5:$G$25,21,FALSE)</f>
        <v>13</v>
      </c>
      <c r="M162" s="192">
        <f>+HLOOKUP($B162,'parametres articles'!$C$5:$G$25,7,FALSE)</f>
        <v>0.8</v>
      </c>
      <c r="N162" s="192">
        <f>+HLOOKUP($B162,'parametres articles'!$C$5:$G$25,6,FALSE)</f>
        <v>0.4</v>
      </c>
      <c r="O162" s="187">
        <f>+HLOOKUP($B162,'parametres articles'!$C$5:$G$25,8,FALSE)</f>
        <v>0</v>
      </c>
      <c r="P162" s="193">
        <f>IF(B162="E",'parametres articles'!$C$8,HLOOKUP($B162,'parametres articles'!$C$5:$F$25,4,FALSE))</f>
        <v>2.27</v>
      </c>
      <c r="Q162" s="193">
        <f t="shared" si="31"/>
        <v>2.27</v>
      </c>
      <c r="R162" s="199">
        <f t="shared" si="39"/>
        <v>13.62</v>
      </c>
      <c r="S162" s="197">
        <f t="shared" si="32"/>
        <v>24.515999999999998</v>
      </c>
      <c r="T162" s="201">
        <f t="shared" si="33"/>
        <v>58.565999999999995</v>
      </c>
      <c r="U162" s="203">
        <f t="shared" si="40"/>
        <v>72.185999999999993</v>
      </c>
      <c r="V162" s="187">
        <f t="shared" si="34"/>
        <v>24.515999999999998</v>
      </c>
      <c r="W162" s="187">
        <f t="shared" si="35"/>
        <v>34.049999999999997</v>
      </c>
      <c r="X162" s="187">
        <f t="shared" si="36"/>
        <v>13.62</v>
      </c>
      <c r="Y162" s="193">
        <f t="shared" si="37"/>
        <v>31.325999999999997</v>
      </c>
      <c r="Z162" s="194"/>
      <c r="AA162" s="195">
        <f t="shared" ca="1" si="42"/>
        <v>162</v>
      </c>
      <c r="AB162" s="195">
        <f ca="1">+AA162+'parametres articles'!$C$9-1</f>
        <v>176</v>
      </c>
      <c r="AC162" s="195">
        <f ca="1">+AA162+'parametres articles'!$C$24-1</f>
        <v>181</v>
      </c>
      <c r="AD162" s="195">
        <f ca="1">+IF(AE162&lt;='parametres articles'!$H$8,0,AA162-'parametres articles'!$H$8+1)</f>
        <v>158</v>
      </c>
      <c r="AE162" s="195">
        <v>161</v>
      </c>
      <c r="AF162" s="187" t="str">
        <f t="shared" ca="1" si="41"/>
        <v>F177</v>
      </c>
      <c r="AG162" s="178"/>
      <c r="AH162" s="178"/>
      <c r="AI162" s="178"/>
      <c r="AJ162" s="178"/>
      <c r="AK162" s="178"/>
    </row>
    <row r="163" spans="1:37" x14ac:dyDescent="0.25">
      <c r="A163" s="186">
        <v>42166</v>
      </c>
      <c r="B163" s="188" t="s">
        <v>21</v>
      </c>
      <c r="C163" s="189">
        <f ca="1">+IF(AD163=0,P163,(SUM(INDIRECT(CONCATENATE("B",AD163,":B",AA163)))/'parametres articles'!$H$8))</f>
        <v>0</v>
      </c>
      <c r="D163" s="187">
        <f>IFERROR(VLOOKUP(A163,'Mvmt stock'!A:B,2,0),0)</f>
        <v>2</v>
      </c>
      <c r="E163" s="188">
        <f>IFERROR(VLOOKUP(A163,'Mvmt stock'!D:E,2,0),0)</f>
        <v>0</v>
      </c>
      <c r="F163" s="188">
        <f t="shared" si="38"/>
        <v>88</v>
      </c>
      <c r="G163" s="208">
        <f>IFERROR(VLOOKUP(A163,'Mvmt stock'!G:H,2,0),0)</f>
        <v>0</v>
      </c>
      <c r="H163" s="190">
        <f>IFERROR(VLOOKUP(A163,Stock!B:C,2,0),H162)</f>
        <v>90</v>
      </c>
      <c r="I163" s="188">
        <f t="shared" si="30"/>
        <v>86</v>
      </c>
      <c r="J163" s="191">
        <f t="shared" si="43"/>
        <v>100.71428571428571</v>
      </c>
      <c r="K163" s="187">
        <f>+HLOOKUP($B163,'parametres articles'!$C$5:$G$25,5,FALSE)</f>
        <v>15</v>
      </c>
      <c r="L163" s="187">
        <f>+HLOOKUP($B163,'parametres articles'!$C$5:$G$25,21,FALSE)</f>
        <v>13</v>
      </c>
      <c r="M163" s="192">
        <f>+HLOOKUP($B163,'parametres articles'!$C$5:$G$25,7,FALSE)</f>
        <v>0.8</v>
      </c>
      <c r="N163" s="192">
        <f>+HLOOKUP($B163,'parametres articles'!$C$5:$G$25,6,FALSE)</f>
        <v>0.4</v>
      </c>
      <c r="O163" s="187">
        <f>+HLOOKUP($B163,'parametres articles'!$C$5:$G$25,8,FALSE)</f>
        <v>0</v>
      </c>
      <c r="P163" s="193">
        <f>IF(B163="E",'parametres articles'!$C$8,HLOOKUP($B163,'parametres articles'!$C$5:$F$25,4,FALSE))</f>
        <v>2.27</v>
      </c>
      <c r="Q163" s="193">
        <f t="shared" si="31"/>
        <v>2.27</v>
      </c>
      <c r="R163" s="199">
        <f t="shared" si="39"/>
        <v>13.62</v>
      </c>
      <c r="S163" s="197">
        <f t="shared" si="32"/>
        <v>24.515999999999998</v>
      </c>
      <c r="T163" s="201">
        <f t="shared" si="33"/>
        <v>58.565999999999995</v>
      </c>
      <c r="U163" s="203">
        <f t="shared" si="40"/>
        <v>72.185999999999993</v>
      </c>
      <c r="V163" s="187">
        <f t="shared" si="34"/>
        <v>24.515999999999998</v>
      </c>
      <c r="W163" s="187">
        <f t="shared" si="35"/>
        <v>34.049999999999997</v>
      </c>
      <c r="X163" s="187">
        <f t="shared" si="36"/>
        <v>13.62</v>
      </c>
      <c r="Y163" s="193">
        <f t="shared" si="37"/>
        <v>31.325999999999997</v>
      </c>
      <c r="Z163" s="194"/>
      <c r="AA163" s="195">
        <f t="shared" ca="1" si="42"/>
        <v>163</v>
      </c>
      <c r="AB163" s="195">
        <f ca="1">+AA163+'parametres articles'!$C$9-1</f>
        <v>177</v>
      </c>
      <c r="AC163" s="195">
        <f ca="1">+AA163+'parametres articles'!$C$24-1</f>
        <v>182</v>
      </c>
      <c r="AD163" s="195">
        <f ca="1">+IF(AE163&lt;='parametres articles'!$H$8,0,AA163-'parametres articles'!$H$8+1)</f>
        <v>159</v>
      </c>
      <c r="AE163" s="195">
        <v>162</v>
      </c>
      <c r="AF163" s="187" t="str">
        <f t="shared" ca="1" si="41"/>
        <v>F178</v>
      </c>
      <c r="AG163" s="178"/>
      <c r="AH163" s="178"/>
      <c r="AI163" s="178"/>
      <c r="AJ163" s="178"/>
      <c r="AK163" s="178"/>
    </row>
    <row r="164" spans="1:37" x14ac:dyDescent="0.25">
      <c r="A164" s="186">
        <v>42167</v>
      </c>
      <c r="B164" s="188" t="s">
        <v>21</v>
      </c>
      <c r="C164" s="189">
        <f ca="1">+IF(AD164=0,P164,(SUM(INDIRECT(CONCATENATE("B",AD164,":B",AA164)))/'parametres articles'!$H$8))</f>
        <v>0</v>
      </c>
      <c r="D164" s="187">
        <f>IFERROR(VLOOKUP(A164,'Mvmt stock'!A:B,2,0),0)</f>
        <v>3</v>
      </c>
      <c r="E164" s="188">
        <f>IFERROR(VLOOKUP(A164,'Mvmt stock'!D:E,2,0),0)</f>
        <v>9</v>
      </c>
      <c r="F164" s="188">
        <f t="shared" si="38"/>
        <v>86</v>
      </c>
      <c r="G164" s="208">
        <f>IFERROR(VLOOKUP(A164,'Mvmt stock'!G:H,2,0),0)</f>
        <v>0</v>
      </c>
      <c r="H164" s="190">
        <f>IFERROR(VLOOKUP(A164,Stock!B:C,2,0),H163)</f>
        <v>88</v>
      </c>
      <c r="I164" s="188">
        <f t="shared" si="30"/>
        <v>92</v>
      </c>
      <c r="J164" s="191">
        <f t="shared" si="43"/>
        <v>99.80952380952381</v>
      </c>
      <c r="K164" s="187">
        <f>+HLOOKUP($B164,'parametres articles'!$C$5:$G$25,5,FALSE)</f>
        <v>15</v>
      </c>
      <c r="L164" s="187">
        <f>+HLOOKUP($B164,'parametres articles'!$C$5:$G$25,21,FALSE)</f>
        <v>13</v>
      </c>
      <c r="M164" s="192">
        <f>+HLOOKUP($B164,'parametres articles'!$C$5:$G$25,7,FALSE)</f>
        <v>0.8</v>
      </c>
      <c r="N164" s="192">
        <f>+HLOOKUP($B164,'parametres articles'!$C$5:$G$25,6,FALSE)</f>
        <v>0.4</v>
      </c>
      <c r="O164" s="187">
        <f>+HLOOKUP($B164,'parametres articles'!$C$5:$G$25,8,FALSE)</f>
        <v>0</v>
      </c>
      <c r="P164" s="193">
        <f>IF(B164="E",'parametres articles'!$C$8,HLOOKUP($B164,'parametres articles'!$C$5:$F$25,4,FALSE))</f>
        <v>2.27</v>
      </c>
      <c r="Q164" s="193">
        <f t="shared" si="31"/>
        <v>2.27</v>
      </c>
      <c r="R164" s="199">
        <f t="shared" si="39"/>
        <v>13.62</v>
      </c>
      <c r="S164" s="197">
        <f t="shared" si="32"/>
        <v>24.515999999999998</v>
      </c>
      <c r="T164" s="201">
        <f t="shared" si="33"/>
        <v>58.565999999999995</v>
      </c>
      <c r="U164" s="203">
        <f t="shared" si="40"/>
        <v>72.185999999999993</v>
      </c>
      <c r="V164" s="187">
        <f t="shared" si="34"/>
        <v>24.515999999999998</v>
      </c>
      <c r="W164" s="187">
        <f t="shared" si="35"/>
        <v>34.049999999999997</v>
      </c>
      <c r="X164" s="187">
        <f t="shared" si="36"/>
        <v>13.62</v>
      </c>
      <c r="Y164" s="193">
        <f t="shared" si="37"/>
        <v>31.325999999999997</v>
      </c>
      <c r="Z164" s="194"/>
      <c r="AA164" s="195">
        <f t="shared" ca="1" si="42"/>
        <v>164</v>
      </c>
      <c r="AB164" s="195">
        <f ca="1">+AA164+'parametres articles'!$C$9-1</f>
        <v>178</v>
      </c>
      <c r="AC164" s="195">
        <f ca="1">+AA164+'parametres articles'!$C$24-1</f>
        <v>183</v>
      </c>
      <c r="AD164" s="195">
        <f ca="1">+IF(AE164&lt;='parametres articles'!$H$8,0,AA164-'parametres articles'!$H$8+1)</f>
        <v>160</v>
      </c>
      <c r="AE164" s="195">
        <v>163</v>
      </c>
      <c r="AF164" s="187" t="str">
        <f t="shared" ca="1" si="41"/>
        <v>F179</v>
      </c>
      <c r="AG164" s="178"/>
      <c r="AH164" s="178"/>
      <c r="AI164" s="178"/>
      <c r="AJ164" s="178"/>
      <c r="AK164" s="178"/>
    </row>
    <row r="165" spans="1:37" x14ac:dyDescent="0.25">
      <c r="A165" s="186">
        <v>42168</v>
      </c>
      <c r="B165" s="188" t="s">
        <v>21</v>
      </c>
      <c r="C165" s="189">
        <f ca="1">+IF(AD165=0,P165,(SUM(INDIRECT(CONCATENATE("B",AD165,":B",AA165)))/'parametres articles'!$H$8))</f>
        <v>0</v>
      </c>
      <c r="D165" s="187">
        <f>IFERROR(VLOOKUP(A165,'Mvmt stock'!A:B,2,0),0)</f>
        <v>0</v>
      </c>
      <c r="E165" s="188">
        <f>IFERROR(VLOOKUP(A165,'Mvmt stock'!D:E,2,0),0)</f>
        <v>0</v>
      </c>
      <c r="F165" s="188">
        <f t="shared" si="38"/>
        <v>92</v>
      </c>
      <c r="G165" s="208">
        <f>IFERROR(VLOOKUP(A165,'Mvmt stock'!G:H,2,0),0)</f>
        <v>0</v>
      </c>
      <c r="H165" s="190">
        <f>IFERROR(VLOOKUP(A165,Stock!B:C,2,0),H164)</f>
        <v>88</v>
      </c>
      <c r="I165" s="188">
        <f t="shared" si="30"/>
        <v>92</v>
      </c>
      <c r="J165" s="191">
        <f t="shared" si="43"/>
        <v>99.19047619047619</v>
      </c>
      <c r="K165" s="187">
        <f>+HLOOKUP($B165,'parametres articles'!$C$5:$G$25,5,FALSE)</f>
        <v>15</v>
      </c>
      <c r="L165" s="187">
        <f>+HLOOKUP($B165,'parametres articles'!$C$5:$G$25,21,FALSE)</f>
        <v>13</v>
      </c>
      <c r="M165" s="192">
        <f>+HLOOKUP($B165,'parametres articles'!$C$5:$G$25,7,FALSE)</f>
        <v>0.8</v>
      </c>
      <c r="N165" s="192">
        <f>+HLOOKUP($B165,'parametres articles'!$C$5:$G$25,6,FALSE)</f>
        <v>0.4</v>
      </c>
      <c r="O165" s="187">
        <f>+HLOOKUP($B165,'parametres articles'!$C$5:$G$25,8,FALSE)</f>
        <v>0</v>
      </c>
      <c r="P165" s="193">
        <f>IF(B165="E",'parametres articles'!$C$8,HLOOKUP($B165,'parametres articles'!$C$5:$F$25,4,FALSE))</f>
        <v>2.27</v>
      </c>
      <c r="Q165" s="193">
        <f t="shared" si="31"/>
        <v>2.27</v>
      </c>
      <c r="R165" s="199">
        <f t="shared" si="39"/>
        <v>13.62</v>
      </c>
      <c r="S165" s="197">
        <f t="shared" si="32"/>
        <v>24.515999999999998</v>
      </c>
      <c r="T165" s="201">
        <f t="shared" si="33"/>
        <v>58.565999999999995</v>
      </c>
      <c r="U165" s="203">
        <f t="shared" si="40"/>
        <v>72.185999999999993</v>
      </c>
      <c r="V165" s="187">
        <f t="shared" si="34"/>
        <v>24.515999999999998</v>
      </c>
      <c r="W165" s="187">
        <f t="shared" si="35"/>
        <v>34.049999999999997</v>
      </c>
      <c r="X165" s="187">
        <f t="shared" si="36"/>
        <v>13.62</v>
      </c>
      <c r="Y165" s="193">
        <f t="shared" si="37"/>
        <v>31.325999999999997</v>
      </c>
      <c r="Z165" s="194"/>
      <c r="AA165" s="195">
        <f t="shared" ca="1" si="42"/>
        <v>165</v>
      </c>
      <c r="AB165" s="195">
        <f ca="1">+AA165+'parametres articles'!$C$9-1</f>
        <v>179</v>
      </c>
      <c r="AC165" s="195">
        <f ca="1">+AA165+'parametres articles'!$C$24-1</f>
        <v>184</v>
      </c>
      <c r="AD165" s="195">
        <f ca="1">+IF(AE165&lt;='parametres articles'!$H$8,0,AA165-'parametres articles'!$H$8+1)</f>
        <v>161</v>
      </c>
      <c r="AE165" s="195">
        <v>164</v>
      </c>
      <c r="AF165" s="187" t="str">
        <f t="shared" ca="1" si="41"/>
        <v>F180</v>
      </c>
      <c r="AG165" s="178"/>
      <c r="AH165" s="178"/>
      <c r="AI165" s="178"/>
      <c r="AJ165" s="178"/>
      <c r="AK165" s="178"/>
    </row>
    <row r="166" spans="1:37" x14ac:dyDescent="0.25">
      <c r="A166" s="186">
        <v>42169</v>
      </c>
      <c r="B166" s="188" t="s">
        <v>21</v>
      </c>
      <c r="C166" s="189">
        <f ca="1">+IF(AD166=0,P166,(SUM(INDIRECT(CONCATENATE("B",AD166,":B",AA166)))/'parametres articles'!$H$8))</f>
        <v>0</v>
      </c>
      <c r="D166" s="187">
        <f>IFERROR(VLOOKUP(A166,'Mvmt stock'!A:B,2,0),0)</f>
        <v>0</v>
      </c>
      <c r="E166" s="188">
        <f>IFERROR(VLOOKUP(A166,'Mvmt stock'!D:E,2,0),0)</f>
        <v>0</v>
      </c>
      <c r="F166" s="188">
        <f t="shared" si="38"/>
        <v>92</v>
      </c>
      <c r="G166" s="208">
        <f>IFERROR(VLOOKUP(A166,'Mvmt stock'!G:H,2,0),0)</f>
        <v>0</v>
      </c>
      <c r="H166" s="190">
        <f>IFERROR(VLOOKUP(A166,Stock!B:C,2,0),H165)</f>
        <v>88</v>
      </c>
      <c r="I166" s="188">
        <f t="shared" si="30"/>
        <v>92</v>
      </c>
      <c r="J166" s="191">
        <f t="shared" si="43"/>
        <v>98.571428571428569</v>
      </c>
      <c r="K166" s="187">
        <f>+HLOOKUP($B166,'parametres articles'!$C$5:$G$25,5,FALSE)</f>
        <v>15</v>
      </c>
      <c r="L166" s="187">
        <f>+HLOOKUP($B166,'parametres articles'!$C$5:$G$25,21,FALSE)</f>
        <v>13</v>
      </c>
      <c r="M166" s="192">
        <f>+HLOOKUP($B166,'parametres articles'!$C$5:$G$25,7,FALSE)</f>
        <v>0.8</v>
      </c>
      <c r="N166" s="192">
        <f>+HLOOKUP($B166,'parametres articles'!$C$5:$G$25,6,FALSE)</f>
        <v>0.4</v>
      </c>
      <c r="O166" s="187">
        <f>+HLOOKUP($B166,'parametres articles'!$C$5:$G$25,8,FALSE)</f>
        <v>0</v>
      </c>
      <c r="P166" s="193">
        <f>IF(B166="E",'parametres articles'!$C$8,HLOOKUP($B166,'parametres articles'!$C$5:$F$25,4,FALSE))</f>
        <v>2.27</v>
      </c>
      <c r="Q166" s="193">
        <f t="shared" si="31"/>
        <v>2.27</v>
      </c>
      <c r="R166" s="199">
        <f t="shared" si="39"/>
        <v>13.62</v>
      </c>
      <c r="S166" s="197">
        <f t="shared" si="32"/>
        <v>24.515999999999998</v>
      </c>
      <c r="T166" s="201">
        <f t="shared" si="33"/>
        <v>58.565999999999995</v>
      </c>
      <c r="U166" s="203">
        <f t="shared" si="40"/>
        <v>72.185999999999993</v>
      </c>
      <c r="V166" s="187">
        <f t="shared" si="34"/>
        <v>24.515999999999998</v>
      </c>
      <c r="W166" s="187">
        <f t="shared" si="35"/>
        <v>34.049999999999997</v>
      </c>
      <c r="X166" s="187">
        <f t="shared" si="36"/>
        <v>13.62</v>
      </c>
      <c r="Y166" s="193">
        <f t="shared" si="37"/>
        <v>31.325999999999997</v>
      </c>
      <c r="Z166" s="194"/>
      <c r="AA166" s="195">
        <f t="shared" ca="1" si="42"/>
        <v>166</v>
      </c>
      <c r="AB166" s="195">
        <f ca="1">+AA166+'parametres articles'!$C$9-1</f>
        <v>180</v>
      </c>
      <c r="AC166" s="195">
        <f ca="1">+AA166+'parametres articles'!$C$24-1</f>
        <v>185</v>
      </c>
      <c r="AD166" s="195">
        <f ca="1">+IF(AE166&lt;='parametres articles'!$H$8,0,AA166-'parametres articles'!$H$8+1)</f>
        <v>162</v>
      </c>
      <c r="AE166" s="195">
        <v>165</v>
      </c>
      <c r="AF166" s="187" t="str">
        <f t="shared" ca="1" si="41"/>
        <v>F181</v>
      </c>
      <c r="AG166" s="178"/>
      <c r="AH166" s="178"/>
      <c r="AI166" s="178"/>
      <c r="AJ166" s="178"/>
      <c r="AK166" s="178"/>
    </row>
    <row r="167" spans="1:37" x14ac:dyDescent="0.25">
      <c r="A167" s="186">
        <v>42170</v>
      </c>
      <c r="B167" s="188" t="s">
        <v>21</v>
      </c>
      <c r="C167" s="189">
        <f ca="1">+IF(AD167=0,P167,(SUM(INDIRECT(CONCATENATE("B",AD167,":B",AA167)))/'parametres articles'!$H$8))</f>
        <v>0</v>
      </c>
      <c r="D167" s="187">
        <f>IFERROR(VLOOKUP(A167,'Mvmt stock'!A:B,2,0),0)</f>
        <v>0</v>
      </c>
      <c r="E167" s="188">
        <f>IFERROR(VLOOKUP(A167,'Mvmt stock'!D:E,2,0),0)</f>
        <v>0</v>
      </c>
      <c r="F167" s="188">
        <f t="shared" si="38"/>
        <v>92</v>
      </c>
      <c r="G167" s="208">
        <f>IFERROR(VLOOKUP(A167,'Mvmt stock'!G:H,2,0),0)</f>
        <v>0</v>
      </c>
      <c r="H167" s="190">
        <f>IFERROR(VLOOKUP(A167,Stock!B:C,2,0),H166)</f>
        <v>94</v>
      </c>
      <c r="I167" s="188">
        <f t="shared" si="30"/>
        <v>92</v>
      </c>
      <c r="J167" s="191">
        <f t="shared" si="43"/>
        <v>97.952380952380949</v>
      </c>
      <c r="K167" s="187">
        <f>+HLOOKUP($B167,'parametres articles'!$C$5:$G$25,5,FALSE)</f>
        <v>15</v>
      </c>
      <c r="L167" s="187">
        <f>+HLOOKUP($B167,'parametres articles'!$C$5:$G$25,21,FALSE)</f>
        <v>13</v>
      </c>
      <c r="M167" s="192">
        <f>+HLOOKUP($B167,'parametres articles'!$C$5:$G$25,7,FALSE)</f>
        <v>0.8</v>
      </c>
      <c r="N167" s="192">
        <f>+HLOOKUP($B167,'parametres articles'!$C$5:$G$25,6,FALSE)</f>
        <v>0.4</v>
      </c>
      <c r="O167" s="187">
        <f>+HLOOKUP($B167,'parametres articles'!$C$5:$G$25,8,FALSE)</f>
        <v>0</v>
      </c>
      <c r="P167" s="193">
        <f>IF(B167="E",'parametres articles'!$C$8,HLOOKUP($B167,'parametres articles'!$C$5:$F$25,4,FALSE))</f>
        <v>2.27</v>
      </c>
      <c r="Q167" s="193">
        <f t="shared" si="31"/>
        <v>2.27</v>
      </c>
      <c r="R167" s="199">
        <f t="shared" si="39"/>
        <v>13.62</v>
      </c>
      <c r="S167" s="197">
        <f t="shared" si="32"/>
        <v>24.515999999999998</v>
      </c>
      <c r="T167" s="201">
        <f t="shared" si="33"/>
        <v>58.565999999999995</v>
      </c>
      <c r="U167" s="203">
        <f t="shared" si="40"/>
        <v>72.185999999999993</v>
      </c>
      <c r="V167" s="187">
        <f t="shared" si="34"/>
        <v>24.515999999999998</v>
      </c>
      <c r="W167" s="187">
        <f t="shared" si="35"/>
        <v>34.049999999999997</v>
      </c>
      <c r="X167" s="187">
        <f t="shared" si="36"/>
        <v>13.62</v>
      </c>
      <c r="Y167" s="193">
        <f t="shared" si="37"/>
        <v>31.325999999999997</v>
      </c>
      <c r="Z167" s="194"/>
      <c r="AA167" s="195">
        <f t="shared" ca="1" si="42"/>
        <v>167</v>
      </c>
      <c r="AB167" s="195">
        <f ca="1">+AA167+'parametres articles'!$C$9-1</f>
        <v>181</v>
      </c>
      <c r="AC167" s="195">
        <f ca="1">+AA167+'parametres articles'!$C$24-1</f>
        <v>186</v>
      </c>
      <c r="AD167" s="195">
        <f ca="1">+IF(AE167&lt;='parametres articles'!$H$8,0,AA167-'parametres articles'!$H$8+1)</f>
        <v>163</v>
      </c>
      <c r="AE167" s="195">
        <v>166</v>
      </c>
      <c r="AF167" s="187" t="str">
        <f t="shared" ca="1" si="41"/>
        <v>F182</v>
      </c>
      <c r="AG167" s="178"/>
      <c r="AH167" s="178"/>
      <c r="AI167" s="178"/>
      <c r="AJ167" s="178"/>
      <c r="AK167" s="178"/>
    </row>
    <row r="168" spans="1:37" x14ac:dyDescent="0.25">
      <c r="A168" s="186">
        <v>42171</v>
      </c>
      <c r="B168" s="188" t="s">
        <v>21</v>
      </c>
      <c r="C168" s="189">
        <f ca="1">+IF(AD168=0,P168,(SUM(INDIRECT(CONCATENATE("B",AD168,":B",AA168)))/'parametres articles'!$H$8))</f>
        <v>0</v>
      </c>
      <c r="D168" s="187">
        <f>IFERROR(VLOOKUP(A168,'Mvmt stock'!A:B,2,0),0)</f>
        <v>14</v>
      </c>
      <c r="E168" s="188">
        <f>IFERROR(VLOOKUP(A168,'Mvmt stock'!D:E,2,0),0)</f>
        <v>0</v>
      </c>
      <c r="F168" s="188">
        <f t="shared" si="38"/>
        <v>92</v>
      </c>
      <c r="G168" s="208">
        <f>IFERROR(VLOOKUP(A168,'Mvmt stock'!G:H,2,0),0)</f>
        <v>0</v>
      </c>
      <c r="H168" s="190">
        <f>IFERROR(VLOOKUP(A168,Stock!B:C,2,0),H167)</f>
        <v>94</v>
      </c>
      <c r="I168" s="188">
        <f t="shared" si="30"/>
        <v>78</v>
      </c>
      <c r="J168" s="191">
        <f t="shared" si="43"/>
        <v>97.333333333333329</v>
      </c>
      <c r="K168" s="187">
        <f>+HLOOKUP($B168,'parametres articles'!$C$5:$G$25,5,FALSE)</f>
        <v>15</v>
      </c>
      <c r="L168" s="187">
        <f>+HLOOKUP($B168,'parametres articles'!$C$5:$G$25,21,FALSE)</f>
        <v>13</v>
      </c>
      <c r="M168" s="192">
        <f>+HLOOKUP($B168,'parametres articles'!$C$5:$G$25,7,FALSE)</f>
        <v>0.8</v>
      </c>
      <c r="N168" s="192">
        <f>+HLOOKUP($B168,'parametres articles'!$C$5:$G$25,6,FALSE)</f>
        <v>0.4</v>
      </c>
      <c r="O168" s="187">
        <f>+HLOOKUP($B168,'parametres articles'!$C$5:$G$25,8,FALSE)</f>
        <v>0</v>
      </c>
      <c r="P168" s="193">
        <f>IF(B168="E",'parametres articles'!$C$8,HLOOKUP($B168,'parametres articles'!$C$5:$F$25,4,FALSE))</f>
        <v>2.27</v>
      </c>
      <c r="Q168" s="193">
        <f t="shared" si="31"/>
        <v>2.27</v>
      </c>
      <c r="R168" s="199">
        <f t="shared" si="39"/>
        <v>13.62</v>
      </c>
      <c r="S168" s="197">
        <f t="shared" si="32"/>
        <v>24.515999999999998</v>
      </c>
      <c r="T168" s="201">
        <f t="shared" si="33"/>
        <v>58.565999999999995</v>
      </c>
      <c r="U168" s="203">
        <f t="shared" si="40"/>
        <v>72.185999999999993</v>
      </c>
      <c r="V168" s="187">
        <f t="shared" si="34"/>
        <v>24.515999999999998</v>
      </c>
      <c r="W168" s="187">
        <f t="shared" si="35"/>
        <v>34.049999999999997</v>
      </c>
      <c r="X168" s="187">
        <f t="shared" si="36"/>
        <v>13.62</v>
      </c>
      <c r="Y168" s="193">
        <f t="shared" si="37"/>
        <v>31.325999999999997</v>
      </c>
      <c r="Z168" s="194"/>
      <c r="AA168" s="195">
        <f t="shared" ca="1" si="42"/>
        <v>168</v>
      </c>
      <c r="AB168" s="195">
        <f ca="1">+AA168+'parametres articles'!$C$9-1</f>
        <v>182</v>
      </c>
      <c r="AC168" s="195">
        <f ca="1">+AA168+'parametres articles'!$C$24-1</f>
        <v>187</v>
      </c>
      <c r="AD168" s="195">
        <f ca="1">+IF(AE168&lt;='parametres articles'!$H$8,0,AA168-'parametres articles'!$H$8+1)</f>
        <v>164</v>
      </c>
      <c r="AE168" s="195">
        <v>167</v>
      </c>
      <c r="AF168" s="187" t="str">
        <f t="shared" ca="1" si="41"/>
        <v>F183</v>
      </c>
      <c r="AG168" s="178"/>
      <c r="AH168" s="178"/>
      <c r="AI168" s="178"/>
      <c r="AJ168" s="178"/>
      <c r="AK168" s="178"/>
    </row>
    <row r="169" spans="1:37" x14ac:dyDescent="0.25">
      <c r="A169" s="186">
        <v>42172</v>
      </c>
      <c r="B169" s="188" t="s">
        <v>21</v>
      </c>
      <c r="C169" s="189">
        <f ca="1">+IF(AD169=0,P169,(SUM(INDIRECT(CONCATENATE("B",AD169,":B",AA169)))/'parametres articles'!$H$8))</f>
        <v>0</v>
      </c>
      <c r="D169" s="187">
        <f>IFERROR(VLOOKUP(A169,'Mvmt stock'!A:B,2,0),0)</f>
        <v>0</v>
      </c>
      <c r="E169" s="188">
        <f>IFERROR(VLOOKUP(A169,'Mvmt stock'!D:E,2,0),0)</f>
        <v>0</v>
      </c>
      <c r="F169" s="188">
        <f t="shared" si="38"/>
        <v>78</v>
      </c>
      <c r="G169" s="208">
        <f>IFERROR(VLOOKUP(A169,'Mvmt stock'!G:H,2,0),0)</f>
        <v>0</v>
      </c>
      <c r="H169" s="190">
        <f>IFERROR(VLOOKUP(A169,Stock!B:C,2,0),H168)</f>
        <v>80</v>
      </c>
      <c r="I169" s="188">
        <f t="shared" si="30"/>
        <v>78</v>
      </c>
      <c r="J169" s="191">
        <f t="shared" si="43"/>
        <v>96.285714285714292</v>
      </c>
      <c r="K169" s="187">
        <f>+HLOOKUP($B169,'parametres articles'!$C$5:$G$25,5,FALSE)</f>
        <v>15</v>
      </c>
      <c r="L169" s="187">
        <f>+HLOOKUP($B169,'parametres articles'!$C$5:$G$25,21,FALSE)</f>
        <v>13</v>
      </c>
      <c r="M169" s="192">
        <f>+HLOOKUP($B169,'parametres articles'!$C$5:$G$25,7,FALSE)</f>
        <v>0.8</v>
      </c>
      <c r="N169" s="192">
        <f>+HLOOKUP($B169,'parametres articles'!$C$5:$G$25,6,FALSE)</f>
        <v>0.4</v>
      </c>
      <c r="O169" s="187">
        <f>+HLOOKUP($B169,'parametres articles'!$C$5:$G$25,8,FALSE)</f>
        <v>0</v>
      </c>
      <c r="P169" s="193">
        <f>IF(B169="E",'parametres articles'!$C$8,HLOOKUP($B169,'parametres articles'!$C$5:$F$25,4,FALSE))</f>
        <v>2.27</v>
      </c>
      <c r="Q169" s="193">
        <f t="shared" si="31"/>
        <v>2.27</v>
      </c>
      <c r="R169" s="199">
        <f t="shared" si="39"/>
        <v>13.62</v>
      </c>
      <c r="S169" s="197">
        <f t="shared" si="32"/>
        <v>24.515999999999998</v>
      </c>
      <c r="T169" s="201">
        <f t="shared" si="33"/>
        <v>58.565999999999995</v>
      </c>
      <c r="U169" s="203">
        <f t="shared" si="40"/>
        <v>72.185999999999993</v>
      </c>
      <c r="V169" s="187">
        <f t="shared" si="34"/>
        <v>24.515999999999998</v>
      </c>
      <c r="W169" s="187">
        <f t="shared" si="35"/>
        <v>34.049999999999997</v>
      </c>
      <c r="X169" s="187">
        <f t="shared" si="36"/>
        <v>13.62</v>
      </c>
      <c r="Y169" s="193">
        <f t="shared" si="37"/>
        <v>31.325999999999997</v>
      </c>
      <c r="Z169" s="194"/>
      <c r="AA169" s="195">
        <f t="shared" ca="1" si="42"/>
        <v>169</v>
      </c>
      <c r="AB169" s="195">
        <f ca="1">+AA169+'parametres articles'!$C$9-1</f>
        <v>183</v>
      </c>
      <c r="AC169" s="195">
        <f ca="1">+AA169+'parametres articles'!$C$24-1</f>
        <v>188</v>
      </c>
      <c r="AD169" s="195">
        <f ca="1">+IF(AE169&lt;='parametres articles'!$H$8,0,AA169-'parametres articles'!$H$8+1)</f>
        <v>165</v>
      </c>
      <c r="AE169" s="195">
        <v>168</v>
      </c>
      <c r="AF169" s="187" t="str">
        <f t="shared" ca="1" si="41"/>
        <v>F184</v>
      </c>
      <c r="AG169" s="178"/>
      <c r="AH169" s="178"/>
      <c r="AI169" s="178"/>
      <c r="AJ169" s="178"/>
      <c r="AK169" s="178"/>
    </row>
    <row r="170" spans="1:37" x14ac:dyDescent="0.25">
      <c r="A170" s="186">
        <v>42173</v>
      </c>
      <c r="B170" s="188" t="s">
        <v>21</v>
      </c>
      <c r="C170" s="189">
        <f ca="1">+IF(AD170=0,P170,(SUM(INDIRECT(CONCATENATE("B",AD170,":B",AA170)))/'parametres articles'!$H$8))</f>
        <v>0</v>
      </c>
      <c r="D170" s="187">
        <f>IFERROR(VLOOKUP(A170,'Mvmt stock'!A:B,2,0),0)</f>
        <v>0</v>
      </c>
      <c r="E170" s="188">
        <f>IFERROR(VLOOKUP(A170,'Mvmt stock'!D:E,2,0),0)</f>
        <v>0</v>
      </c>
      <c r="F170" s="188">
        <f t="shared" si="38"/>
        <v>78</v>
      </c>
      <c r="G170" s="208">
        <f>IFERROR(VLOOKUP(A170,'Mvmt stock'!G:H,2,0),0)</f>
        <v>0</v>
      </c>
      <c r="H170" s="190">
        <f>IFERROR(VLOOKUP(A170,Stock!B:C,2,0),H169)</f>
        <v>80</v>
      </c>
      <c r="I170" s="188">
        <f t="shared" si="30"/>
        <v>78</v>
      </c>
      <c r="J170" s="191">
        <f t="shared" si="43"/>
        <v>95.238095238095241</v>
      </c>
      <c r="K170" s="187">
        <f>+HLOOKUP($B170,'parametres articles'!$C$5:$G$25,5,FALSE)</f>
        <v>15</v>
      </c>
      <c r="L170" s="187">
        <f>+HLOOKUP($B170,'parametres articles'!$C$5:$G$25,21,FALSE)</f>
        <v>13</v>
      </c>
      <c r="M170" s="192">
        <f>+HLOOKUP($B170,'parametres articles'!$C$5:$G$25,7,FALSE)</f>
        <v>0.8</v>
      </c>
      <c r="N170" s="192">
        <f>+HLOOKUP($B170,'parametres articles'!$C$5:$G$25,6,FALSE)</f>
        <v>0.4</v>
      </c>
      <c r="O170" s="187">
        <f>+HLOOKUP($B170,'parametres articles'!$C$5:$G$25,8,FALSE)</f>
        <v>0</v>
      </c>
      <c r="P170" s="193">
        <f>IF(B170="E",'parametres articles'!$C$8,HLOOKUP($B170,'parametres articles'!$C$5:$F$25,4,FALSE))</f>
        <v>2.27</v>
      </c>
      <c r="Q170" s="193">
        <f t="shared" si="31"/>
        <v>2.27</v>
      </c>
      <c r="R170" s="199">
        <f t="shared" si="39"/>
        <v>13.62</v>
      </c>
      <c r="S170" s="197">
        <f t="shared" si="32"/>
        <v>24.515999999999998</v>
      </c>
      <c r="T170" s="201">
        <f t="shared" si="33"/>
        <v>58.565999999999995</v>
      </c>
      <c r="U170" s="203">
        <f t="shared" si="40"/>
        <v>72.185999999999993</v>
      </c>
      <c r="V170" s="187">
        <f t="shared" si="34"/>
        <v>24.515999999999998</v>
      </c>
      <c r="W170" s="187">
        <f t="shared" si="35"/>
        <v>34.049999999999997</v>
      </c>
      <c r="X170" s="187">
        <f t="shared" si="36"/>
        <v>13.62</v>
      </c>
      <c r="Y170" s="193">
        <f t="shared" si="37"/>
        <v>31.325999999999997</v>
      </c>
      <c r="Z170" s="194"/>
      <c r="AA170" s="195">
        <f t="shared" ca="1" si="42"/>
        <v>170</v>
      </c>
      <c r="AB170" s="195">
        <f ca="1">+AA170+'parametres articles'!$C$9-1</f>
        <v>184</v>
      </c>
      <c r="AC170" s="195">
        <f ca="1">+AA170+'parametres articles'!$C$24-1</f>
        <v>189</v>
      </c>
      <c r="AD170" s="195">
        <f ca="1">+IF(AE170&lt;='parametres articles'!$H$8,0,AA170-'parametres articles'!$H$8+1)</f>
        <v>166</v>
      </c>
      <c r="AE170" s="195">
        <v>169</v>
      </c>
      <c r="AF170" s="187" t="str">
        <f t="shared" ca="1" si="41"/>
        <v>F185</v>
      </c>
      <c r="AG170" s="178"/>
      <c r="AH170" s="178"/>
      <c r="AI170" s="178"/>
      <c r="AJ170" s="178"/>
      <c r="AK170" s="178"/>
    </row>
    <row r="171" spans="1:37" x14ac:dyDescent="0.25">
      <c r="A171" s="186">
        <v>42174</v>
      </c>
      <c r="B171" s="188" t="s">
        <v>21</v>
      </c>
      <c r="C171" s="189">
        <f ca="1">+IF(AD171=0,P171,(SUM(INDIRECT(CONCATENATE("B",AD171,":B",AA171)))/'parametres articles'!$H$8))</f>
        <v>0</v>
      </c>
      <c r="D171" s="187">
        <f>IFERROR(VLOOKUP(A171,'Mvmt stock'!A:B,2,0),0)</f>
        <v>6</v>
      </c>
      <c r="E171" s="188">
        <f>IFERROR(VLOOKUP(A171,'Mvmt stock'!D:E,2,0),0)</f>
        <v>6</v>
      </c>
      <c r="F171" s="188">
        <f t="shared" si="38"/>
        <v>74</v>
      </c>
      <c r="G171" s="208">
        <f>IFERROR(VLOOKUP(A171,'Mvmt stock'!G:H,2,0),0)</f>
        <v>-4</v>
      </c>
      <c r="H171" s="190">
        <f>IFERROR(VLOOKUP(A171,Stock!B:C,2,0),H170)</f>
        <v>76</v>
      </c>
      <c r="I171" s="188">
        <f t="shared" si="30"/>
        <v>74</v>
      </c>
      <c r="J171" s="191">
        <f t="shared" si="43"/>
        <v>94.095238095238102</v>
      </c>
      <c r="K171" s="187">
        <f>+HLOOKUP($B171,'parametres articles'!$C$5:$G$25,5,FALSE)</f>
        <v>15</v>
      </c>
      <c r="L171" s="187">
        <f>+HLOOKUP($B171,'parametres articles'!$C$5:$G$25,21,FALSE)</f>
        <v>13</v>
      </c>
      <c r="M171" s="192">
        <f>+HLOOKUP($B171,'parametres articles'!$C$5:$G$25,7,FALSE)</f>
        <v>0.8</v>
      </c>
      <c r="N171" s="192">
        <f>+HLOOKUP($B171,'parametres articles'!$C$5:$G$25,6,FALSE)</f>
        <v>0.4</v>
      </c>
      <c r="O171" s="187">
        <f>+HLOOKUP($B171,'parametres articles'!$C$5:$G$25,8,FALSE)</f>
        <v>0</v>
      </c>
      <c r="P171" s="193">
        <f>IF(B171="E",'parametres articles'!$C$8,HLOOKUP($B171,'parametres articles'!$C$5:$F$25,4,FALSE))</f>
        <v>2.27</v>
      </c>
      <c r="Q171" s="193">
        <f t="shared" si="31"/>
        <v>2.27</v>
      </c>
      <c r="R171" s="199">
        <f t="shared" si="39"/>
        <v>13.62</v>
      </c>
      <c r="S171" s="197">
        <f t="shared" si="32"/>
        <v>24.515999999999998</v>
      </c>
      <c r="T171" s="201">
        <f t="shared" si="33"/>
        <v>58.565999999999995</v>
      </c>
      <c r="U171" s="203">
        <f t="shared" si="40"/>
        <v>72.185999999999993</v>
      </c>
      <c r="V171" s="187">
        <f t="shared" si="34"/>
        <v>24.515999999999998</v>
      </c>
      <c r="W171" s="187">
        <f t="shared" si="35"/>
        <v>34.049999999999997</v>
      </c>
      <c r="X171" s="187">
        <f t="shared" si="36"/>
        <v>13.62</v>
      </c>
      <c r="Y171" s="193">
        <f t="shared" si="37"/>
        <v>31.325999999999997</v>
      </c>
      <c r="Z171" s="194"/>
      <c r="AA171" s="195">
        <f t="shared" ca="1" si="42"/>
        <v>171</v>
      </c>
      <c r="AB171" s="195">
        <f ca="1">+AA171+'parametres articles'!$C$9-1</f>
        <v>185</v>
      </c>
      <c r="AC171" s="195">
        <f ca="1">+AA171+'parametres articles'!$C$24-1</f>
        <v>190</v>
      </c>
      <c r="AD171" s="195">
        <f ca="1">+IF(AE171&lt;='parametres articles'!$H$8,0,AA171-'parametres articles'!$H$8+1)</f>
        <v>167</v>
      </c>
      <c r="AE171" s="195">
        <v>170</v>
      </c>
      <c r="AF171" s="187" t="str">
        <f t="shared" ca="1" si="41"/>
        <v>F186</v>
      </c>
      <c r="AG171" s="181"/>
      <c r="AH171" s="178"/>
      <c r="AI171" s="178"/>
      <c r="AJ171" s="178"/>
      <c r="AK171" s="178"/>
    </row>
    <row r="172" spans="1:37" x14ac:dyDescent="0.25">
      <c r="A172" s="186">
        <v>42175</v>
      </c>
      <c r="B172" s="188" t="s">
        <v>21</v>
      </c>
      <c r="C172" s="189">
        <f ca="1">+IF(AD172=0,P172,(SUM(INDIRECT(CONCATENATE("B",AD172,":B",AA172)))/'parametres articles'!$H$8))</f>
        <v>0</v>
      </c>
      <c r="D172" s="187">
        <f>IFERROR(VLOOKUP(A172,'Mvmt stock'!A:B,2,0),0)</f>
        <v>0</v>
      </c>
      <c r="E172" s="188">
        <f>IFERROR(VLOOKUP(A172,'Mvmt stock'!D:E,2,0),0)</f>
        <v>0</v>
      </c>
      <c r="F172" s="188">
        <f t="shared" si="38"/>
        <v>74</v>
      </c>
      <c r="G172" s="208">
        <f>IFERROR(VLOOKUP(A172,'Mvmt stock'!G:H,2,0),0)</f>
        <v>0</v>
      </c>
      <c r="H172" s="190">
        <f>IFERROR(VLOOKUP(A172,Stock!B:C,2,0),H171)</f>
        <v>76</v>
      </c>
      <c r="I172" s="188">
        <f t="shared" si="30"/>
        <v>74</v>
      </c>
      <c r="J172" s="191">
        <f t="shared" si="43"/>
        <v>92.285714285714292</v>
      </c>
      <c r="K172" s="187">
        <f>+HLOOKUP($B172,'parametres articles'!$C$5:$G$25,5,FALSE)</f>
        <v>15</v>
      </c>
      <c r="L172" s="187">
        <f>+HLOOKUP($B172,'parametres articles'!$C$5:$G$25,21,FALSE)</f>
        <v>13</v>
      </c>
      <c r="M172" s="192">
        <f>+HLOOKUP($B172,'parametres articles'!$C$5:$G$25,7,FALSE)</f>
        <v>0.8</v>
      </c>
      <c r="N172" s="192">
        <f>+HLOOKUP($B172,'parametres articles'!$C$5:$G$25,6,FALSE)</f>
        <v>0.4</v>
      </c>
      <c r="O172" s="187">
        <f>+HLOOKUP($B172,'parametres articles'!$C$5:$G$25,8,FALSE)</f>
        <v>0</v>
      </c>
      <c r="P172" s="193">
        <f>IF(B172="E",'parametres articles'!$C$8,HLOOKUP($B172,'parametres articles'!$C$5:$F$25,4,FALSE))</f>
        <v>2.27</v>
      </c>
      <c r="Q172" s="193">
        <f t="shared" si="31"/>
        <v>2.27</v>
      </c>
      <c r="R172" s="199">
        <f t="shared" si="39"/>
        <v>13.62</v>
      </c>
      <c r="S172" s="197">
        <f t="shared" si="32"/>
        <v>24.515999999999998</v>
      </c>
      <c r="T172" s="201">
        <f t="shared" si="33"/>
        <v>58.565999999999995</v>
      </c>
      <c r="U172" s="203">
        <f t="shared" si="40"/>
        <v>72.185999999999993</v>
      </c>
      <c r="V172" s="187">
        <f t="shared" si="34"/>
        <v>24.515999999999998</v>
      </c>
      <c r="W172" s="187">
        <f t="shared" si="35"/>
        <v>34.049999999999997</v>
      </c>
      <c r="X172" s="187">
        <f t="shared" si="36"/>
        <v>13.62</v>
      </c>
      <c r="Y172" s="193">
        <f t="shared" si="37"/>
        <v>31.325999999999997</v>
      </c>
      <c r="Z172" s="194"/>
      <c r="AA172" s="195">
        <f t="shared" ca="1" si="42"/>
        <v>172</v>
      </c>
      <c r="AB172" s="195">
        <f ca="1">+AA172+'parametres articles'!$C$9-1</f>
        <v>186</v>
      </c>
      <c r="AC172" s="195">
        <f ca="1">+AA172+'parametres articles'!$C$24-1</f>
        <v>191</v>
      </c>
      <c r="AD172" s="195">
        <f ca="1">+IF(AE172&lt;='parametres articles'!$H$8,0,AA172-'parametres articles'!$H$8+1)</f>
        <v>168</v>
      </c>
      <c r="AE172" s="195">
        <v>171</v>
      </c>
      <c r="AF172" s="187" t="str">
        <f t="shared" ca="1" si="41"/>
        <v>F187</v>
      </c>
      <c r="AH172" s="178"/>
      <c r="AI172" s="178"/>
      <c r="AJ172" s="178"/>
      <c r="AK172" s="178"/>
    </row>
    <row r="173" spans="1:37" x14ac:dyDescent="0.25">
      <c r="A173" s="186">
        <v>42176</v>
      </c>
      <c r="B173" s="188" t="s">
        <v>21</v>
      </c>
      <c r="C173" s="189">
        <f ca="1">+IF(AD173=0,P173,(SUM(INDIRECT(CONCATENATE("B",AD173,":B",AA173)))/'parametres articles'!$H$8))</f>
        <v>0</v>
      </c>
      <c r="D173" s="187">
        <f>IFERROR(VLOOKUP(A173,'Mvmt stock'!A:B,2,0),0)</f>
        <v>0</v>
      </c>
      <c r="E173" s="188">
        <f>IFERROR(VLOOKUP(A173,'Mvmt stock'!D:E,2,0),0)</f>
        <v>0</v>
      </c>
      <c r="F173" s="188">
        <f t="shared" si="38"/>
        <v>74</v>
      </c>
      <c r="G173" s="208">
        <f>IFERROR(VLOOKUP(A173,'Mvmt stock'!G:H,2,0),0)</f>
        <v>0</v>
      </c>
      <c r="H173" s="190">
        <f>IFERROR(VLOOKUP(A173,Stock!B:C,2,0),H172)</f>
        <v>76</v>
      </c>
      <c r="I173" s="188">
        <f t="shared" si="30"/>
        <v>74</v>
      </c>
      <c r="J173" s="191">
        <f t="shared" si="43"/>
        <v>90.476190476190482</v>
      </c>
      <c r="K173" s="187">
        <f>+HLOOKUP($B173,'parametres articles'!$C$5:$G$25,5,FALSE)</f>
        <v>15</v>
      </c>
      <c r="L173" s="187">
        <f>+HLOOKUP($B173,'parametres articles'!$C$5:$G$25,21,FALSE)</f>
        <v>13</v>
      </c>
      <c r="M173" s="192">
        <f>+HLOOKUP($B173,'parametres articles'!$C$5:$G$25,7,FALSE)</f>
        <v>0.8</v>
      </c>
      <c r="N173" s="192">
        <f>+HLOOKUP($B173,'parametres articles'!$C$5:$G$25,6,FALSE)</f>
        <v>0.4</v>
      </c>
      <c r="O173" s="187">
        <f>+HLOOKUP($B173,'parametres articles'!$C$5:$G$25,8,FALSE)</f>
        <v>0</v>
      </c>
      <c r="P173" s="193">
        <f>IF(B173="E",'parametres articles'!$C$8,HLOOKUP($B173,'parametres articles'!$C$5:$F$25,4,FALSE))</f>
        <v>2.27</v>
      </c>
      <c r="Q173" s="193">
        <f t="shared" si="31"/>
        <v>2.27</v>
      </c>
      <c r="R173" s="199">
        <f t="shared" si="39"/>
        <v>13.62</v>
      </c>
      <c r="S173" s="197">
        <f t="shared" si="32"/>
        <v>24.515999999999998</v>
      </c>
      <c r="T173" s="201">
        <f t="shared" si="33"/>
        <v>58.565999999999995</v>
      </c>
      <c r="U173" s="203">
        <f t="shared" si="40"/>
        <v>72.185999999999993</v>
      </c>
      <c r="V173" s="187">
        <f t="shared" si="34"/>
        <v>24.515999999999998</v>
      </c>
      <c r="W173" s="187">
        <f t="shared" si="35"/>
        <v>34.049999999999997</v>
      </c>
      <c r="X173" s="187">
        <f t="shared" si="36"/>
        <v>13.62</v>
      </c>
      <c r="Y173" s="193">
        <f t="shared" si="37"/>
        <v>31.325999999999997</v>
      </c>
      <c r="Z173" s="194"/>
      <c r="AA173" s="195">
        <f t="shared" ca="1" si="42"/>
        <v>173</v>
      </c>
      <c r="AB173" s="195">
        <f ca="1">+AA173+'parametres articles'!$C$9-1</f>
        <v>187</v>
      </c>
      <c r="AC173" s="195">
        <f ca="1">+AA173+'parametres articles'!$C$24-1</f>
        <v>192</v>
      </c>
      <c r="AD173" s="195">
        <f ca="1">+IF(AE173&lt;='parametres articles'!$H$8,0,AA173-'parametres articles'!$H$8+1)</f>
        <v>169</v>
      </c>
      <c r="AE173" s="195">
        <v>172</v>
      </c>
      <c r="AF173" s="187" t="str">
        <f t="shared" ca="1" si="41"/>
        <v>F188</v>
      </c>
      <c r="AH173" s="178"/>
      <c r="AI173" s="178"/>
      <c r="AJ173" s="178"/>
      <c r="AK173" s="178"/>
    </row>
    <row r="174" spans="1:37" x14ac:dyDescent="0.25">
      <c r="A174" s="186">
        <v>42177</v>
      </c>
      <c r="B174" s="188" t="s">
        <v>21</v>
      </c>
      <c r="C174" s="189">
        <f ca="1">+IF(AD174=0,P174,(SUM(INDIRECT(CONCATENATE("B",AD174,":B",AA174)))/'parametres articles'!$H$8))</f>
        <v>0</v>
      </c>
      <c r="D174" s="187">
        <f>IFERROR(VLOOKUP(A174,'Mvmt stock'!A:B,2,0),0)</f>
        <v>4</v>
      </c>
      <c r="E174" s="188">
        <f>IFERROR(VLOOKUP(A174,'Mvmt stock'!D:E,2,0),0)</f>
        <v>0</v>
      </c>
      <c r="F174" s="188">
        <f t="shared" si="38"/>
        <v>74</v>
      </c>
      <c r="G174" s="208">
        <f>IFERROR(VLOOKUP(A174,'Mvmt stock'!G:H,2,0),0)</f>
        <v>0</v>
      </c>
      <c r="H174" s="190">
        <f>IFERROR(VLOOKUP(A174,Stock!B:C,2,0),H173)</f>
        <v>76</v>
      </c>
      <c r="I174" s="188">
        <f t="shared" si="30"/>
        <v>70</v>
      </c>
      <c r="J174" s="191">
        <f t="shared" si="43"/>
        <v>88.666666666666671</v>
      </c>
      <c r="K174" s="187">
        <f>+HLOOKUP($B174,'parametres articles'!$C$5:$G$25,5,FALSE)</f>
        <v>15</v>
      </c>
      <c r="L174" s="187">
        <f>+HLOOKUP($B174,'parametres articles'!$C$5:$G$25,21,FALSE)</f>
        <v>13</v>
      </c>
      <c r="M174" s="192">
        <f>+HLOOKUP($B174,'parametres articles'!$C$5:$G$25,7,FALSE)</f>
        <v>0.8</v>
      </c>
      <c r="N174" s="192">
        <f>+HLOOKUP($B174,'parametres articles'!$C$5:$G$25,6,FALSE)</f>
        <v>0.4</v>
      </c>
      <c r="O174" s="187">
        <f>+HLOOKUP($B174,'parametres articles'!$C$5:$G$25,8,FALSE)</f>
        <v>0</v>
      </c>
      <c r="P174" s="193">
        <f>IF(B174="E",'parametres articles'!$C$8,HLOOKUP($B174,'parametres articles'!$C$5:$F$25,4,FALSE))</f>
        <v>2.27</v>
      </c>
      <c r="Q174" s="193">
        <f t="shared" si="31"/>
        <v>2.27</v>
      </c>
      <c r="R174" s="199">
        <f t="shared" si="39"/>
        <v>13.62</v>
      </c>
      <c r="S174" s="197">
        <f t="shared" si="32"/>
        <v>24.515999999999998</v>
      </c>
      <c r="T174" s="201">
        <f t="shared" si="33"/>
        <v>58.565999999999995</v>
      </c>
      <c r="U174" s="203">
        <f t="shared" si="40"/>
        <v>72.185999999999993</v>
      </c>
      <c r="V174" s="187">
        <f t="shared" si="34"/>
        <v>24.515999999999998</v>
      </c>
      <c r="W174" s="187">
        <f t="shared" si="35"/>
        <v>34.049999999999997</v>
      </c>
      <c r="X174" s="187">
        <f t="shared" si="36"/>
        <v>13.62</v>
      </c>
      <c r="Y174" s="193">
        <f t="shared" si="37"/>
        <v>31.325999999999997</v>
      </c>
      <c r="Z174" s="194"/>
      <c r="AA174" s="195">
        <f t="shared" ca="1" si="42"/>
        <v>174</v>
      </c>
      <c r="AB174" s="195">
        <f ca="1">+AA174+'parametres articles'!$C$9-1</f>
        <v>188</v>
      </c>
      <c r="AC174" s="195">
        <f ca="1">+AA174+'parametres articles'!$C$24-1</f>
        <v>193</v>
      </c>
      <c r="AD174" s="195">
        <f ca="1">+IF(AE174&lt;='parametres articles'!$H$8,0,AA174-'parametres articles'!$H$8+1)</f>
        <v>170</v>
      </c>
      <c r="AE174" s="195">
        <v>173</v>
      </c>
      <c r="AF174" s="187" t="str">
        <f t="shared" ca="1" si="41"/>
        <v>F189</v>
      </c>
      <c r="AH174" s="178"/>
      <c r="AI174" s="178"/>
      <c r="AJ174" s="178"/>
      <c r="AK174" s="178"/>
    </row>
    <row r="175" spans="1:37" x14ac:dyDescent="0.25">
      <c r="A175" s="186">
        <v>42178</v>
      </c>
      <c r="B175" s="188" t="s">
        <v>21</v>
      </c>
      <c r="C175" s="189">
        <f ca="1">+IF(AD175=0,P175,(SUM(INDIRECT(CONCATENATE("B",AD175,":B",AA175)))/'parametres articles'!$H$8))</f>
        <v>0</v>
      </c>
      <c r="D175" s="187">
        <f>IFERROR(VLOOKUP(A175,'Mvmt stock'!A:B,2,0),0)</f>
        <v>0</v>
      </c>
      <c r="E175" s="188">
        <f>IFERROR(VLOOKUP(A175,'Mvmt stock'!D:E,2,0),0)</f>
        <v>0</v>
      </c>
      <c r="F175" s="188">
        <f t="shared" si="38"/>
        <v>70</v>
      </c>
      <c r="G175" s="208">
        <f>IFERROR(VLOOKUP(A175,'Mvmt stock'!G:H,2,0),0)</f>
        <v>0</v>
      </c>
      <c r="H175" s="190">
        <f>IFERROR(VLOOKUP(A175,Stock!B:C,2,0),H174)</f>
        <v>72</v>
      </c>
      <c r="I175" s="188">
        <f t="shared" si="30"/>
        <v>70</v>
      </c>
      <c r="J175" s="191">
        <f t="shared" si="43"/>
        <v>86.666666666666671</v>
      </c>
      <c r="K175" s="187">
        <f>+HLOOKUP($B175,'parametres articles'!$C$5:$G$25,5,FALSE)</f>
        <v>15</v>
      </c>
      <c r="L175" s="187">
        <f>+HLOOKUP($B175,'parametres articles'!$C$5:$G$25,21,FALSE)</f>
        <v>13</v>
      </c>
      <c r="M175" s="192">
        <f>+HLOOKUP($B175,'parametres articles'!$C$5:$G$25,7,FALSE)</f>
        <v>0.8</v>
      </c>
      <c r="N175" s="192">
        <f>+HLOOKUP($B175,'parametres articles'!$C$5:$G$25,6,FALSE)</f>
        <v>0.4</v>
      </c>
      <c r="O175" s="187">
        <f>+HLOOKUP($B175,'parametres articles'!$C$5:$G$25,8,FALSE)</f>
        <v>0</v>
      </c>
      <c r="P175" s="193">
        <f>IF(B175="E",'parametres articles'!$C$8,HLOOKUP($B175,'parametres articles'!$C$5:$F$25,4,FALSE))</f>
        <v>2.27</v>
      </c>
      <c r="Q175" s="193">
        <f t="shared" si="31"/>
        <v>2.27</v>
      </c>
      <c r="R175" s="199">
        <f t="shared" si="39"/>
        <v>13.62</v>
      </c>
      <c r="S175" s="197">
        <f t="shared" si="32"/>
        <v>24.515999999999998</v>
      </c>
      <c r="T175" s="201">
        <f t="shared" si="33"/>
        <v>58.565999999999995</v>
      </c>
      <c r="U175" s="203">
        <f t="shared" si="40"/>
        <v>72.185999999999993</v>
      </c>
      <c r="V175" s="187">
        <f t="shared" si="34"/>
        <v>24.515999999999998</v>
      </c>
      <c r="W175" s="187">
        <f t="shared" si="35"/>
        <v>34.049999999999997</v>
      </c>
      <c r="X175" s="187">
        <f t="shared" si="36"/>
        <v>13.62</v>
      </c>
      <c r="Y175" s="193">
        <f t="shared" si="37"/>
        <v>31.325999999999997</v>
      </c>
      <c r="Z175" s="194"/>
      <c r="AA175" s="195">
        <f t="shared" ca="1" si="42"/>
        <v>175</v>
      </c>
      <c r="AB175" s="195">
        <f ca="1">+AA175+'parametres articles'!$C$9-1</f>
        <v>189</v>
      </c>
      <c r="AC175" s="195">
        <f ca="1">+AA175+'parametres articles'!$C$24-1</f>
        <v>194</v>
      </c>
      <c r="AD175" s="195">
        <f ca="1">+IF(AE175&lt;='parametres articles'!$H$8,0,AA175-'parametres articles'!$H$8+1)</f>
        <v>171</v>
      </c>
      <c r="AE175" s="195">
        <v>174</v>
      </c>
      <c r="AF175" s="187" t="str">
        <f t="shared" ca="1" si="41"/>
        <v>F190</v>
      </c>
      <c r="AH175" s="178"/>
      <c r="AI175" s="178"/>
      <c r="AJ175" s="178"/>
      <c r="AK175" s="178"/>
    </row>
    <row r="176" spans="1:37" x14ac:dyDescent="0.25">
      <c r="A176" s="186">
        <v>42179</v>
      </c>
      <c r="B176" s="188" t="s">
        <v>21</v>
      </c>
      <c r="C176" s="189">
        <f ca="1">+IF(AD176=0,P176,(SUM(INDIRECT(CONCATENATE("B",AD176,":B",AA176)))/'parametres articles'!$H$8))</f>
        <v>0</v>
      </c>
      <c r="D176" s="187">
        <f>IFERROR(VLOOKUP(A176,'Mvmt stock'!A:B,2,0),0)</f>
        <v>2</v>
      </c>
      <c r="E176" s="188">
        <f>IFERROR(VLOOKUP(A176,'Mvmt stock'!D:E,2,0),0)</f>
        <v>0</v>
      </c>
      <c r="F176" s="188">
        <f t="shared" si="38"/>
        <v>70</v>
      </c>
      <c r="G176" s="208">
        <f>IFERROR(VLOOKUP(A176,'Mvmt stock'!G:H,2,0),0)</f>
        <v>0</v>
      </c>
      <c r="H176" s="190">
        <f>IFERROR(VLOOKUP(A176,Stock!B:C,2,0),H175)</f>
        <v>72</v>
      </c>
      <c r="I176" s="188">
        <f t="shared" si="30"/>
        <v>68</v>
      </c>
      <c r="J176" s="191">
        <f t="shared" si="43"/>
        <v>84.666666666666671</v>
      </c>
      <c r="K176" s="187">
        <f>+HLOOKUP($B176,'parametres articles'!$C$5:$G$25,5,FALSE)</f>
        <v>15</v>
      </c>
      <c r="L176" s="187">
        <f>+HLOOKUP($B176,'parametres articles'!$C$5:$G$25,21,FALSE)</f>
        <v>13</v>
      </c>
      <c r="M176" s="192">
        <f>+HLOOKUP($B176,'parametres articles'!$C$5:$G$25,7,FALSE)</f>
        <v>0.8</v>
      </c>
      <c r="N176" s="192">
        <f>+HLOOKUP($B176,'parametres articles'!$C$5:$G$25,6,FALSE)</f>
        <v>0.4</v>
      </c>
      <c r="O176" s="187">
        <f>+HLOOKUP($B176,'parametres articles'!$C$5:$G$25,8,FALSE)</f>
        <v>0</v>
      </c>
      <c r="P176" s="193">
        <f>IF(B176="E",'parametres articles'!$C$8,HLOOKUP($B176,'parametres articles'!$C$5:$F$25,4,FALSE))</f>
        <v>2.27</v>
      </c>
      <c r="Q176" s="193">
        <f t="shared" si="31"/>
        <v>2.27</v>
      </c>
      <c r="R176" s="199">
        <f t="shared" si="39"/>
        <v>13.62</v>
      </c>
      <c r="S176" s="197">
        <f t="shared" si="32"/>
        <v>24.515999999999998</v>
      </c>
      <c r="T176" s="201">
        <f t="shared" si="33"/>
        <v>58.565999999999995</v>
      </c>
      <c r="U176" s="203">
        <f t="shared" si="40"/>
        <v>72.185999999999993</v>
      </c>
      <c r="V176" s="187">
        <f t="shared" si="34"/>
        <v>24.515999999999998</v>
      </c>
      <c r="W176" s="187">
        <f t="shared" si="35"/>
        <v>34.049999999999997</v>
      </c>
      <c r="X176" s="187">
        <f t="shared" si="36"/>
        <v>13.62</v>
      </c>
      <c r="Y176" s="193">
        <f t="shared" si="37"/>
        <v>31.325999999999997</v>
      </c>
      <c r="Z176" s="194"/>
      <c r="AA176" s="195">
        <f t="shared" ca="1" si="42"/>
        <v>176</v>
      </c>
      <c r="AB176" s="195">
        <f ca="1">+AA176+'parametres articles'!$C$9-1</f>
        <v>190</v>
      </c>
      <c r="AC176" s="195">
        <f ca="1">+AA176+'parametres articles'!$C$24-1</f>
        <v>195</v>
      </c>
      <c r="AD176" s="195">
        <f ca="1">+IF(AE176&lt;='parametres articles'!$H$8,0,AA176-'parametres articles'!$H$8+1)</f>
        <v>172</v>
      </c>
      <c r="AE176" s="195">
        <v>175</v>
      </c>
      <c r="AF176" s="187" t="str">
        <f t="shared" ca="1" si="41"/>
        <v>F191</v>
      </c>
      <c r="AH176" s="178"/>
      <c r="AI176" s="178"/>
      <c r="AJ176" s="178"/>
      <c r="AK176" s="178"/>
    </row>
    <row r="177" spans="1:37" x14ac:dyDescent="0.25">
      <c r="A177" s="186">
        <v>42180</v>
      </c>
      <c r="B177" s="188" t="s">
        <v>21</v>
      </c>
      <c r="C177" s="189">
        <f ca="1">+IF(AD177=0,P177,(SUM(INDIRECT(CONCATENATE("B",AD177,":B",AA177)))/'parametres articles'!$H$8))</f>
        <v>0</v>
      </c>
      <c r="D177" s="187">
        <f>IFERROR(VLOOKUP(A177,'Mvmt stock'!A:B,2,0),0)</f>
        <v>0</v>
      </c>
      <c r="E177" s="188">
        <f>IFERROR(VLOOKUP(A177,'Mvmt stock'!D:E,2,0),0)</f>
        <v>0</v>
      </c>
      <c r="F177" s="188">
        <f t="shared" si="38"/>
        <v>68</v>
      </c>
      <c r="G177" s="208">
        <f>IFERROR(VLOOKUP(A177,'Mvmt stock'!G:H,2,0),0)</f>
        <v>0</v>
      </c>
      <c r="H177" s="190">
        <f>IFERROR(VLOOKUP(A177,Stock!B:C,2,0),H176)</f>
        <v>70</v>
      </c>
      <c r="I177" s="188">
        <f t="shared" si="30"/>
        <v>68</v>
      </c>
      <c r="J177" s="191">
        <f t="shared" si="43"/>
        <v>83.428571428571431</v>
      </c>
      <c r="K177" s="187">
        <f>+HLOOKUP($B177,'parametres articles'!$C$5:$G$25,5,FALSE)</f>
        <v>15</v>
      </c>
      <c r="L177" s="187">
        <f>+HLOOKUP($B177,'parametres articles'!$C$5:$G$25,21,FALSE)</f>
        <v>13</v>
      </c>
      <c r="M177" s="192">
        <f>+HLOOKUP($B177,'parametres articles'!$C$5:$G$25,7,FALSE)</f>
        <v>0.8</v>
      </c>
      <c r="N177" s="192">
        <f>+HLOOKUP($B177,'parametres articles'!$C$5:$G$25,6,FALSE)</f>
        <v>0.4</v>
      </c>
      <c r="O177" s="187">
        <f>+HLOOKUP($B177,'parametres articles'!$C$5:$G$25,8,FALSE)</f>
        <v>0</v>
      </c>
      <c r="P177" s="193">
        <f>IF(B177="E",'parametres articles'!$C$8,HLOOKUP($B177,'parametres articles'!$C$5:$F$25,4,FALSE))</f>
        <v>2.27</v>
      </c>
      <c r="Q177" s="193">
        <f t="shared" si="31"/>
        <v>2.27</v>
      </c>
      <c r="R177" s="199">
        <f t="shared" si="39"/>
        <v>13.62</v>
      </c>
      <c r="S177" s="197">
        <f t="shared" si="32"/>
        <v>24.515999999999998</v>
      </c>
      <c r="T177" s="201">
        <f t="shared" si="33"/>
        <v>58.565999999999995</v>
      </c>
      <c r="U177" s="203">
        <f t="shared" si="40"/>
        <v>72.185999999999993</v>
      </c>
      <c r="V177" s="187">
        <f t="shared" si="34"/>
        <v>24.515999999999998</v>
      </c>
      <c r="W177" s="187">
        <f t="shared" si="35"/>
        <v>34.049999999999997</v>
      </c>
      <c r="X177" s="187">
        <f t="shared" si="36"/>
        <v>13.62</v>
      </c>
      <c r="Y177" s="193">
        <f t="shared" si="37"/>
        <v>31.325999999999997</v>
      </c>
      <c r="Z177" s="194"/>
      <c r="AA177" s="195">
        <f t="shared" ca="1" si="42"/>
        <v>177</v>
      </c>
      <c r="AB177" s="195">
        <f ca="1">+AA177+'parametres articles'!$C$9-1</f>
        <v>191</v>
      </c>
      <c r="AC177" s="195">
        <f ca="1">+AA177+'parametres articles'!$C$24-1</f>
        <v>196</v>
      </c>
      <c r="AD177" s="195">
        <f ca="1">+IF(AE177&lt;='parametres articles'!$H$8,0,AA177-'parametres articles'!$H$8+1)</f>
        <v>173</v>
      </c>
      <c r="AE177" s="195">
        <v>176</v>
      </c>
      <c r="AF177" s="187" t="str">
        <f t="shared" ca="1" si="41"/>
        <v>F192</v>
      </c>
      <c r="AG177" s="178"/>
      <c r="AH177" s="178"/>
      <c r="AI177" s="178"/>
      <c r="AJ177" s="178"/>
      <c r="AK177" s="178"/>
    </row>
    <row r="178" spans="1:37" x14ac:dyDescent="0.25">
      <c r="A178" s="186">
        <v>42181</v>
      </c>
      <c r="B178" s="188" t="s">
        <v>21</v>
      </c>
      <c r="C178" s="189">
        <f ca="1">+IF(AD178=0,P178,(SUM(INDIRECT(CONCATENATE("B",AD178,":B",AA178)))/'parametres articles'!$H$8))</f>
        <v>0</v>
      </c>
      <c r="D178" s="187">
        <f>IFERROR(VLOOKUP(A178,'Mvmt stock'!A:B,2,0),0)</f>
        <v>0</v>
      </c>
      <c r="E178" s="188">
        <f>IFERROR(VLOOKUP(A178,'Mvmt stock'!D:E,2,0),0)</f>
        <v>0</v>
      </c>
      <c r="F178" s="188">
        <f t="shared" si="38"/>
        <v>64</v>
      </c>
      <c r="G178" s="208">
        <f>IFERROR(VLOOKUP(A178,'Mvmt stock'!G:H,2,0),0)</f>
        <v>-4</v>
      </c>
      <c r="H178" s="190">
        <f>IFERROR(VLOOKUP(A178,Stock!B:C,2,0),H177)</f>
        <v>66</v>
      </c>
      <c r="I178" s="188">
        <f t="shared" si="30"/>
        <v>64</v>
      </c>
      <c r="J178" s="191">
        <f t="shared" si="43"/>
        <v>82.047619047619051</v>
      </c>
      <c r="K178" s="187">
        <f>+HLOOKUP($B178,'parametres articles'!$C$5:$G$25,5,FALSE)</f>
        <v>15</v>
      </c>
      <c r="L178" s="187">
        <f>+HLOOKUP($B178,'parametres articles'!$C$5:$G$25,21,FALSE)</f>
        <v>13</v>
      </c>
      <c r="M178" s="192">
        <f>+HLOOKUP($B178,'parametres articles'!$C$5:$G$25,7,FALSE)</f>
        <v>0.8</v>
      </c>
      <c r="N178" s="192">
        <f>+HLOOKUP($B178,'parametres articles'!$C$5:$G$25,6,FALSE)</f>
        <v>0.4</v>
      </c>
      <c r="O178" s="187">
        <f>+HLOOKUP($B178,'parametres articles'!$C$5:$G$25,8,FALSE)</f>
        <v>0</v>
      </c>
      <c r="P178" s="193">
        <f>IF(B178="E",'parametres articles'!$C$8,HLOOKUP($B178,'parametres articles'!$C$5:$F$25,4,FALSE))</f>
        <v>2.27</v>
      </c>
      <c r="Q178" s="193">
        <f t="shared" si="31"/>
        <v>2.27</v>
      </c>
      <c r="R178" s="199">
        <f t="shared" si="39"/>
        <v>13.62</v>
      </c>
      <c r="S178" s="197">
        <f t="shared" si="32"/>
        <v>24.515999999999998</v>
      </c>
      <c r="T178" s="201">
        <f t="shared" si="33"/>
        <v>58.565999999999995</v>
      </c>
      <c r="U178" s="203">
        <f t="shared" si="40"/>
        <v>72.185999999999993</v>
      </c>
      <c r="V178" s="187">
        <f t="shared" si="34"/>
        <v>24.515999999999998</v>
      </c>
      <c r="W178" s="187">
        <f t="shared" si="35"/>
        <v>34.049999999999997</v>
      </c>
      <c r="X178" s="187">
        <f t="shared" si="36"/>
        <v>13.62</v>
      </c>
      <c r="Y178" s="193">
        <f t="shared" si="37"/>
        <v>31.325999999999997</v>
      </c>
      <c r="Z178" s="194"/>
      <c r="AA178" s="195">
        <f t="shared" ca="1" si="42"/>
        <v>178</v>
      </c>
      <c r="AB178" s="195">
        <f ca="1">+AA178+'parametres articles'!$C$9-1</f>
        <v>192</v>
      </c>
      <c r="AC178" s="195">
        <f ca="1">+AA178+'parametres articles'!$C$24-1</f>
        <v>197</v>
      </c>
      <c r="AD178" s="195">
        <f ca="1">+IF(AE178&lt;='parametres articles'!$H$8,0,AA178-'parametres articles'!$H$8+1)</f>
        <v>174</v>
      </c>
      <c r="AE178" s="195">
        <v>177</v>
      </c>
      <c r="AF178" s="187" t="str">
        <f t="shared" ca="1" si="41"/>
        <v>F193</v>
      </c>
      <c r="AG178" s="178"/>
      <c r="AH178" s="178"/>
      <c r="AI178" s="178"/>
      <c r="AJ178" s="178"/>
      <c r="AK178" s="178"/>
    </row>
    <row r="179" spans="1:37" x14ac:dyDescent="0.25">
      <c r="A179" s="186">
        <v>42182</v>
      </c>
      <c r="B179" s="188" t="s">
        <v>21</v>
      </c>
      <c r="C179" s="189">
        <f ca="1">+IF(AD179=0,P179,(SUM(INDIRECT(CONCATENATE("B",AD179,":B",AA179)))/'parametres articles'!$H$8))</f>
        <v>0</v>
      </c>
      <c r="D179" s="187">
        <f>IFERROR(VLOOKUP(A179,'Mvmt stock'!A:B,2,0),0)</f>
        <v>0</v>
      </c>
      <c r="E179" s="188">
        <f>IFERROR(VLOOKUP(A179,'Mvmt stock'!D:E,2,0),0)</f>
        <v>0</v>
      </c>
      <c r="F179" s="188">
        <f t="shared" si="38"/>
        <v>64</v>
      </c>
      <c r="G179" s="208">
        <f>IFERROR(VLOOKUP(A179,'Mvmt stock'!G:H,2,0),0)</f>
        <v>0</v>
      </c>
      <c r="H179" s="190">
        <f>IFERROR(VLOOKUP(A179,Stock!B:C,2,0),H178)</f>
        <v>66</v>
      </c>
      <c r="I179" s="188">
        <f t="shared" si="30"/>
        <v>64</v>
      </c>
      <c r="J179" s="191">
        <f t="shared" si="43"/>
        <v>80.666666666666671</v>
      </c>
      <c r="K179" s="187">
        <f>+HLOOKUP($B179,'parametres articles'!$C$5:$G$25,5,FALSE)</f>
        <v>15</v>
      </c>
      <c r="L179" s="187">
        <f>+HLOOKUP($B179,'parametres articles'!$C$5:$G$25,21,FALSE)</f>
        <v>13</v>
      </c>
      <c r="M179" s="192">
        <f>+HLOOKUP($B179,'parametres articles'!$C$5:$G$25,7,FALSE)</f>
        <v>0.8</v>
      </c>
      <c r="N179" s="192">
        <f>+HLOOKUP($B179,'parametres articles'!$C$5:$G$25,6,FALSE)</f>
        <v>0.4</v>
      </c>
      <c r="O179" s="187">
        <f>+HLOOKUP($B179,'parametres articles'!$C$5:$G$25,8,FALSE)</f>
        <v>0</v>
      </c>
      <c r="P179" s="193">
        <f>IF(B179="E",'parametres articles'!$C$8,HLOOKUP($B179,'parametres articles'!$C$5:$F$25,4,FALSE))</f>
        <v>2.27</v>
      </c>
      <c r="Q179" s="193">
        <f t="shared" si="31"/>
        <v>2.27</v>
      </c>
      <c r="R179" s="199">
        <f t="shared" si="39"/>
        <v>13.62</v>
      </c>
      <c r="S179" s="197">
        <f t="shared" si="32"/>
        <v>24.515999999999998</v>
      </c>
      <c r="T179" s="201">
        <f t="shared" si="33"/>
        <v>58.565999999999995</v>
      </c>
      <c r="U179" s="203">
        <f t="shared" si="40"/>
        <v>72.185999999999993</v>
      </c>
      <c r="V179" s="187">
        <f t="shared" si="34"/>
        <v>24.515999999999998</v>
      </c>
      <c r="W179" s="187">
        <f t="shared" si="35"/>
        <v>34.049999999999997</v>
      </c>
      <c r="X179" s="187">
        <f t="shared" si="36"/>
        <v>13.62</v>
      </c>
      <c r="Y179" s="193">
        <f t="shared" si="37"/>
        <v>31.325999999999997</v>
      </c>
      <c r="Z179" s="194"/>
      <c r="AA179" s="195">
        <f t="shared" ca="1" si="42"/>
        <v>179</v>
      </c>
      <c r="AB179" s="195">
        <f ca="1">+AA179+'parametres articles'!$C$9-1</f>
        <v>193</v>
      </c>
      <c r="AC179" s="195">
        <f ca="1">+AA179+'parametres articles'!$C$24-1</f>
        <v>198</v>
      </c>
      <c r="AD179" s="195">
        <f ca="1">+IF(AE179&lt;='parametres articles'!$H$8,0,AA179-'parametres articles'!$H$8+1)</f>
        <v>175</v>
      </c>
      <c r="AE179" s="195">
        <v>178</v>
      </c>
      <c r="AF179" s="187" t="str">
        <f t="shared" ca="1" si="41"/>
        <v>F194</v>
      </c>
      <c r="AG179" s="178"/>
      <c r="AH179" s="178"/>
      <c r="AI179" s="178"/>
      <c r="AJ179" s="178"/>
      <c r="AK179" s="178"/>
    </row>
    <row r="180" spans="1:37" x14ac:dyDescent="0.25">
      <c r="A180" s="186">
        <v>42183</v>
      </c>
      <c r="B180" s="188" t="s">
        <v>21</v>
      </c>
      <c r="C180" s="189">
        <f ca="1">+IF(AD180=0,P180,(SUM(INDIRECT(CONCATENATE("B",AD180,":B",AA180)))/'parametres articles'!$H$8))</f>
        <v>0</v>
      </c>
      <c r="D180" s="187">
        <f>IFERROR(VLOOKUP(A180,'Mvmt stock'!A:B,2,0),0)</f>
        <v>0</v>
      </c>
      <c r="E180" s="188">
        <f>IFERROR(VLOOKUP(A180,'Mvmt stock'!D:E,2,0),0)</f>
        <v>0</v>
      </c>
      <c r="F180" s="188">
        <f t="shared" si="38"/>
        <v>64</v>
      </c>
      <c r="G180" s="208">
        <f>IFERROR(VLOOKUP(A180,'Mvmt stock'!G:H,2,0),0)</f>
        <v>0</v>
      </c>
      <c r="H180" s="190">
        <f>IFERROR(VLOOKUP(A180,Stock!B:C,2,0),H179)</f>
        <v>66</v>
      </c>
      <c r="I180" s="188">
        <f t="shared" si="30"/>
        <v>64</v>
      </c>
      <c r="J180" s="191">
        <f t="shared" si="43"/>
        <v>79.285714285714292</v>
      </c>
      <c r="K180" s="187">
        <f>+HLOOKUP($B180,'parametres articles'!$C$5:$G$25,5,FALSE)</f>
        <v>15</v>
      </c>
      <c r="L180" s="187">
        <f>+HLOOKUP($B180,'parametres articles'!$C$5:$G$25,21,FALSE)</f>
        <v>13</v>
      </c>
      <c r="M180" s="192">
        <f>+HLOOKUP($B180,'parametres articles'!$C$5:$G$25,7,FALSE)</f>
        <v>0.8</v>
      </c>
      <c r="N180" s="192">
        <f>+HLOOKUP($B180,'parametres articles'!$C$5:$G$25,6,FALSE)</f>
        <v>0.4</v>
      </c>
      <c r="O180" s="187">
        <f>+HLOOKUP($B180,'parametres articles'!$C$5:$G$25,8,FALSE)</f>
        <v>0</v>
      </c>
      <c r="P180" s="193">
        <f>IF(B180="E",'parametres articles'!$C$8,HLOOKUP($B180,'parametres articles'!$C$5:$F$25,4,FALSE))</f>
        <v>2.27</v>
      </c>
      <c r="Q180" s="193">
        <f t="shared" si="31"/>
        <v>2.27</v>
      </c>
      <c r="R180" s="199">
        <f t="shared" si="39"/>
        <v>13.62</v>
      </c>
      <c r="S180" s="197">
        <f t="shared" si="32"/>
        <v>24.515999999999998</v>
      </c>
      <c r="T180" s="201">
        <f t="shared" si="33"/>
        <v>58.565999999999995</v>
      </c>
      <c r="U180" s="203">
        <f t="shared" si="40"/>
        <v>72.185999999999993</v>
      </c>
      <c r="V180" s="187">
        <f t="shared" si="34"/>
        <v>24.515999999999998</v>
      </c>
      <c r="W180" s="187">
        <f t="shared" si="35"/>
        <v>34.049999999999997</v>
      </c>
      <c r="X180" s="187">
        <f t="shared" si="36"/>
        <v>13.62</v>
      </c>
      <c r="Y180" s="193">
        <f t="shared" si="37"/>
        <v>31.325999999999997</v>
      </c>
      <c r="Z180" s="194"/>
      <c r="AA180" s="195">
        <f t="shared" ca="1" si="42"/>
        <v>180</v>
      </c>
      <c r="AB180" s="195">
        <f ca="1">+AA180+'parametres articles'!$C$9-1</f>
        <v>194</v>
      </c>
      <c r="AC180" s="195">
        <f ca="1">+AA180+'parametres articles'!$C$24-1</f>
        <v>199</v>
      </c>
      <c r="AD180" s="195">
        <f ca="1">+IF(AE180&lt;='parametres articles'!$H$8,0,AA180-'parametres articles'!$H$8+1)</f>
        <v>176</v>
      </c>
      <c r="AE180" s="195">
        <v>179</v>
      </c>
      <c r="AF180" s="187" t="str">
        <f t="shared" ca="1" si="41"/>
        <v>F195</v>
      </c>
      <c r="AG180" s="178"/>
      <c r="AH180" s="178"/>
      <c r="AI180" s="178"/>
      <c r="AJ180" s="178"/>
      <c r="AK180" s="178"/>
    </row>
    <row r="181" spans="1:37" x14ac:dyDescent="0.25">
      <c r="A181" s="186">
        <v>42184</v>
      </c>
      <c r="B181" s="188" t="s">
        <v>21</v>
      </c>
      <c r="C181" s="189">
        <f ca="1">+IF(AD181=0,P181,(SUM(INDIRECT(CONCATENATE("B",AD181,":B",AA181)))/'parametres articles'!$H$8))</f>
        <v>0</v>
      </c>
      <c r="D181" s="187">
        <f>IFERROR(VLOOKUP(A181,'Mvmt stock'!A:B,2,0),0)</f>
        <v>0</v>
      </c>
      <c r="E181" s="188">
        <f>IFERROR(VLOOKUP(A181,'Mvmt stock'!D:E,2,0),0)</f>
        <v>4</v>
      </c>
      <c r="F181" s="188">
        <f t="shared" si="38"/>
        <v>64</v>
      </c>
      <c r="G181" s="208">
        <f>IFERROR(VLOOKUP(A181,'Mvmt stock'!G:H,2,0),0)</f>
        <v>0</v>
      </c>
      <c r="H181" s="190">
        <f>IFERROR(VLOOKUP(A181,Stock!B:C,2,0),H180)</f>
        <v>66</v>
      </c>
      <c r="I181" s="188">
        <f t="shared" si="30"/>
        <v>68</v>
      </c>
      <c r="J181" s="191">
        <f t="shared" si="43"/>
        <v>77.904761904761898</v>
      </c>
      <c r="K181" s="187">
        <f>+HLOOKUP($B181,'parametres articles'!$C$5:$G$25,5,FALSE)</f>
        <v>15</v>
      </c>
      <c r="L181" s="187">
        <f>+HLOOKUP($B181,'parametres articles'!$C$5:$G$25,21,FALSE)</f>
        <v>13</v>
      </c>
      <c r="M181" s="192">
        <f>+HLOOKUP($B181,'parametres articles'!$C$5:$G$25,7,FALSE)</f>
        <v>0.8</v>
      </c>
      <c r="N181" s="192">
        <f>+HLOOKUP($B181,'parametres articles'!$C$5:$G$25,6,FALSE)</f>
        <v>0.4</v>
      </c>
      <c r="O181" s="187">
        <f>+HLOOKUP($B181,'parametres articles'!$C$5:$G$25,8,FALSE)</f>
        <v>0</v>
      </c>
      <c r="P181" s="193">
        <f>IF(B181="E",'parametres articles'!$C$8,HLOOKUP($B181,'parametres articles'!$C$5:$F$25,4,FALSE))</f>
        <v>2.27</v>
      </c>
      <c r="Q181" s="193">
        <f t="shared" si="31"/>
        <v>2.27</v>
      </c>
      <c r="R181" s="199">
        <f t="shared" si="39"/>
        <v>13.62</v>
      </c>
      <c r="S181" s="197">
        <f t="shared" si="32"/>
        <v>24.515999999999998</v>
      </c>
      <c r="T181" s="201">
        <f t="shared" si="33"/>
        <v>58.565999999999995</v>
      </c>
      <c r="U181" s="203">
        <f t="shared" si="40"/>
        <v>72.185999999999993</v>
      </c>
      <c r="V181" s="187">
        <f t="shared" si="34"/>
        <v>24.515999999999998</v>
      </c>
      <c r="W181" s="187">
        <f t="shared" si="35"/>
        <v>34.049999999999997</v>
      </c>
      <c r="X181" s="187">
        <f t="shared" si="36"/>
        <v>13.62</v>
      </c>
      <c r="Y181" s="193">
        <f t="shared" si="37"/>
        <v>31.325999999999997</v>
      </c>
      <c r="Z181" s="194"/>
      <c r="AA181" s="195">
        <f t="shared" ca="1" si="42"/>
        <v>181</v>
      </c>
      <c r="AB181" s="195">
        <f ca="1">+AA181+'parametres articles'!$C$9-1</f>
        <v>195</v>
      </c>
      <c r="AC181" s="195">
        <f ca="1">+AA181+'parametres articles'!$C$24-1</f>
        <v>200</v>
      </c>
      <c r="AD181" s="195">
        <f ca="1">+IF(AE181&lt;='parametres articles'!$H$8,0,AA181-'parametres articles'!$H$8+1)</f>
        <v>177</v>
      </c>
      <c r="AE181" s="195">
        <v>180</v>
      </c>
      <c r="AF181" s="187" t="str">
        <f t="shared" ca="1" si="41"/>
        <v>F196</v>
      </c>
      <c r="AG181" s="178"/>
      <c r="AH181" s="178"/>
      <c r="AI181" s="178"/>
      <c r="AJ181" s="178"/>
      <c r="AK181" s="178"/>
    </row>
    <row r="182" spans="1:37" x14ac:dyDescent="0.25">
      <c r="A182" s="186">
        <v>42185</v>
      </c>
      <c r="B182" s="188" t="s">
        <v>21</v>
      </c>
      <c r="C182" s="189">
        <f ca="1">+IF(AD182=0,P182,(SUM(INDIRECT(CONCATENATE("B",AD182,":B",AA182)))/'parametres articles'!$H$8))</f>
        <v>0</v>
      </c>
      <c r="D182" s="187">
        <f>IFERROR(VLOOKUP(A182,'Mvmt stock'!A:B,2,0),0)</f>
        <v>0</v>
      </c>
      <c r="E182" s="188">
        <f>IFERROR(VLOOKUP(A182,'Mvmt stock'!D:E,2,0),0)</f>
        <v>0</v>
      </c>
      <c r="F182" s="188">
        <f t="shared" si="38"/>
        <v>68</v>
      </c>
      <c r="G182" s="208">
        <f>IFERROR(VLOOKUP(A182,'Mvmt stock'!G:H,2,0),0)</f>
        <v>0</v>
      </c>
      <c r="H182" s="190">
        <f>IFERROR(VLOOKUP(A182,Stock!B:C,2,0),H181)</f>
        <v>70</v>
      </c>
      <c r="I182" s="188">
        <f t="shared" si="30"/>
        <v>68</v>
      </c>
      <c r="J182" s="191">
        <f t="shared" ref="J182:J213" si="44">+AVERAGE(F162:F182)</f>
        <v>76.857142857142861</v>
      </c>
      <c r="K182" s="187">
        <f>+HLOOKUP($B182,'parametres articles'!$C$5:$G$25,5,FALSE)</f>
        <v>15</v>
      </c>
      <c r="L182" s="187">
        <f>+HLOOKUP($B182,'parametres articles'!$C$5:$G$25,21,FALSE)</f>
        <v>13</v>
      </c>
      <c r="M182" s="192">
        <f>+HLOOKUP($B182,'parametres articles'!$C$5:$G$25,7,FALSE)</f>
        <v>0.8</v>
      </c>
      <c r="N182" s="192">
        <f>+HLOOKUP($B182,'parametres articles'!$C$5:$G$25,6,FALSE)</f>
        <v>0.4</v>
      </c>
      <c r="O182" s="187">
        <f>+HLOOKUP($B182,'parametres articles'!$C$5:$G$25,8,FALSE)</f>
        <v>0</v>
      </c>
      <c r="P182" s="193">
        <f>IF(B182="E",'parametres articles'!$C$8,HLOOKUP($B182,'parametres articles'!$C$5:$F$25,4,FALSE))</f>
        <v>2.27</v>
      </c>
      <c r="Q182" s="193">
        <f t="shared" si="31"/>
        <v>2.27</v>
      </c>
      <c r="R182" s="199">
        <f t="shared" si="39"/>
        <v>13.62</v>
      </c>
      <c r="S182" s="197">
        <f t="shared" si="32"/>
        <v>24.515999999999998</v>
      </c>
      <c r="T182" s="201">
        <f t="shared" si="33"/>
        <v>58.565999999999995</v>
      </c>
      <c r="U182" s="203">
        <f t="shared" si="40"/>
        <v>72.185999999999993</v>
      </c>
      <c r="V182" s="187">
        <f t="shared" si="34"/>
        <v>24.515999999999998</v>
      </c>
      <c r="W182" s="187">
        <f t="shared" si="35"/>
        <v>34.049999999999997</v>
      </c>
      <c r="X182" s="187">
        <f t="shared" si="36"/>
        <v>13.62</v>
      </c>
      <c r="Y182" s="193">
        <f t="shared" si="37"/>
        <v>31.325999999999997</v>
      </c>
      <c r="Z182" s="194"/>
      <c r="AA182" s="195">
        <f t="shared" ca="1" si="42"/>
        <v>182</v>
      </c>
      <c r="AB182" s="195">
        <f ca="1">+AA182+'parametres articles'!$C$9-1</f>
        <v>196</v>
      </c>
      <c r="AC182" s="195">
        <f ca="1">+AA182+'parametres articles'!$C$24-1</f>
        <v>201</v>
      </c>
      <c r="AD182" s="195">
        <f ca="1">+IF(AE182&lt;='parametres articles'!$H$8,0,AA182-'parametres articles'!$H$8+1)</f>
        <v>178</v>
      </c>
      <c r="AE182" s="195">
        <v>181</v>
      </c>
      <c r="AF182" s="187" t="str">
        <f t="shared" ca="1" si="41"/>
        <v>F197</v>
      </c>
      <c r="AG182" s="178"/>
      <c r="AH182" s="178"/>
      <c r="AI182" s="178"/>
      <c r="AJ182" s="178"/>
      <c r="AK182" s="178"/>
    </row>
    <row r="183" spans="1:37" x14ac:dyDescent="0.25">
      <c r="A183" s="186">
        <v>42186</v>
      </c>
      <c r="B183" s="188" t="s">
        <v>21</v>
      </c>
      <c r="C183" s="189">
        <f ca="1">+IF(AD183=0,P183,(SUM(INDIRECT(CONCATENATE("B",AD183,":B",AA183)))/'parametres articles'!$H$8))</f>
        <v>0</v>
      </c>
      <c r="D183" s="187">
        <f>IFERROR(VLOOKUP(A183,'Mvmt stock'!A:B,2,0),0)</f>
        <v>8</v>
      </c>
      <c r="E183" s="188">
        <f>IFERROR(VLOOKUP(A183,'Mvmt stock'!D:E,2,0),0)</f>
        <v>0</v>
      </c>
      <c r="F183" s="188">
        <f t="shared" si="38"/>
        <v>68</v>
      </c>
      <c r="G183" s="208">
        <f>IFERROR(VLOOKUP(A183,'Mvmt stock'!G:H,2,0),0)</f>
        <v>0</v>
      </c>
      <c r="H183" s="190">
        <f>IFERROR(VLOOKUP(A183,Stock!B:C,2,0),H182)</f>
        <v>70</v>
      </c>
      <c r="I183" s="188">
        <f t="shared" si="30"/>
        <v>60</v>
      </c>
      <c r="J183" s="191">
        <f t="shared" si="44"/>
        <v>75.904761904761898</v>
      </c>
      <c r="K183" s="187">
        <f>+HLOOKUP($B183,'parametres articles'!$C$5:$G$25,5,FALSE)</f>
        <v>15</v>
      </c>
      <c r="L183" s="187">
        <f>+HLOOKUP($B183,'parametres articles'!$C$5:$G$25,21,FALSE)</f>
        <v>13</v>
      </c>
      <c r="M183" s="192">
        <f>+HLOOKUP($B183,'parametres articles'!$C$5:$G$25,7,FALSE)</f>
        <v>0.8</v>
      </c>
      <c r="N183" s="192">
        <f>+HLOOKUP($B183,'parametres articles'!$C$5:$G$25,6,FALSE)</f>
        <v>0.4</v>
      </c>
      <c r="O183" s="187">
        <f>+HLOOKUP($B183,'parametres articles'!$C$5:$G$25,8,FALSE)</f>
        <v>0</v>
      </c>
      <c r="P183" s="193">
        <f>IF(B183="E",'parametres articles'!$C$8,HLOOKUP($B183,'parametres articles'!$C$5:$F$25,4,FALSE))</f>
        <v>2.27</v>
      </c>
      <c r="Q183" s="193">
        <f t="shared" si="31"/>
        <v>2.27</v>
      </c>
      <c r="R183" s="199">
        <f t="shared" si="39"/>
        <v>13.62</v>
      </c>
      <c r="S183" s="197">
        <f t="shared" si="32"/>
        <v>24.515999999999998</v>
      </c>
      <c r="T183" s="201">
        <f t="shared" si="33"/>
        <v>58.565999999999995</v>
      </c>
      <c r="U183" s="203">
        <f t="shared" si="40"/>
        <v>72.185999999999993</v>
      </c>
      <c r="V183" s="187">
        <f t="shared" si="34"/>
        <v>24.515999999999998</v>
      </c>
      <c r="W183" s="187">
        <f t="shared" si="35"/>
        <v>34.049999999999997</v>
      </c>
      <c r="X183" s="187">
        <f t="shared" si="36"/>
        <v>13.62</v>
      </c>
      <c r="Y183" s="193">
        <f t="shared" si="37"/>
        <v>31.325999999999997</v>
      </c>
      <c r="Z183" s="194"/>
      <c r="AA183" s="195">
        <f t="shared" ca="1" si="42"/>
        <v>183</v>
      </c>
      <c r="AB183" s="195">
        <f ca="1">+AA183+'parametres articles'!$C$9-1</f>
        <v>197</v>
      </c>
      <c r="AC183" s="195">
        <f ca="1">+AA183+'parametres articles'!$C$24-1</f>
        <v>202</v>
      </c>
      <c r="AD183" s="195">
        <f ca="1">+IF(AE183&lt;='parametres articles'!$H$8,0,AA183-'parametres articles'!$H$8+1)</f>
        <v>179</v>
      </c>
      <c r="AE183" s="195">
        <v>182</v>
      </c>
      <c r="AF183" s="187" t="str">
        <f t="shared" ca="1" si="41"/>
        <v>F198</v>
      </c>
      <c r="AG183" s="178"/>
      <c r="AH183" s="178"/>
      <c r="AI183" s="178"/>
      <c r="AJ183" s="178"/>
      <c r="AK183" s="178"/>
    </row>
    <row r="184" spans="1:37" x14ac:dyDescent="0.25">
      <c r="A184" s="186">
        <v>42187</v>
      </c>
      <c r="B184" s="188" t="s">
        <v>21</v>
      </c>
      <c r="C184" s="189">
        <f ca="1">+IF(AD184=0,P184,(SUM(INDIRECT(CONCATENATE("B",AD184,":B",AA184)))/'parametres articles'!$H$8))</f>
        <v>0</v>
      </c>
      <c r="D184" s="187">
        <f>IFERROR(VLOOKUP(A184,'Mvmt stock'!A:B,2,0),0)</f>
        <v>0</v>
      </c>
      <c r="E184" s="188">
        <f>IFERROR(VLOOKUP(A184,'Mvmt stock'!D:E,2,0),0)</f>
        <v>0</v>
      </c>
      <c r="F184" s="188">
        <f t="shared" si="38"/>
        <v>60</v>
      </c>
      <c r="G184" s="208">
        <f>IFERROR(VLOOKUP(A184,'Mvmt stock'!G:H,2,0),0)</f>
        <v>0</v>
      </c>
      <c r="H184" s="190">
        <f>IFERROR(VLOOKUP(A184,Stock!B:C,2,0),H183)</f>
        <v>62</v>
      </c>
      <c r="I184" s="188">
        <f t="shared" si="30"/>
        <v>60</v>
      </c>
      <c r="J184" s="191">
        <f t="shared" si="44"/>
        <v>74.571428571428569</v>
      </c>
      <c r="K184" s="187">
        <f>+HLOOKUP($B184,'parametres articles'!$C$5:$G$25,5,FALSE)</f>
        <v>15</v>
      </c>
      <c r="L184" s="187">
        <f>+HLOOKUP($B184,'parametres articles'!$C$5:$G$25,21,FALSE)</f>
        <v>13</v>
      </c>
      <c r="M184" s="192">
        <f>+HLOOKUP($B184,'parametres articles'!$C$5:$G$25,7,FALSE)</f>
        <v>0.8</v>
      </c>
      <c r="N184" s="192">
        <f>+HLOOKUP($B184,'parametres articles'!$C$5:$G$25,6,FALSE)</f>
        <v>0.4</v>
      </c>
      <c r="O184" s="187">
        <f>+HLOOKUP($B184,'parametres articles'!$C$5:$G$25,8,FALSE)</f>
        <v>0</v>
      </c>
      <c r="P184" s="193">
        <f>IF(B184="E",'parametres articles'!$C$8,HLOOKUP($B184,'parametres articles'!$C$5:$F$25,4,FALSE))</f>
        <v>2.27</v>
      </c>
      <c r="Q184" s="193">
        <f t="shared" si="31"/>
        <v>2.27</v>
      </c>
      <c r="R184" s="199">
        <f t="shared" si="39"/>
        <v>13.62</v>
      </c>
      <c r="S184" s="197">
        <f t="shared" si="32"/>
        <v>24.515999999999998</v>
      </c>
      <c r="T184" s="201">
        <f t="shared" si="33"/>
        <v>58.565999999999995</v>
      </c>
      <c r="U184" s="203">
        <f t="shared" si="40"/>
        <v>72.185999999999993</v>
      </c>
      <c r="V184" s="187">
        <f t="shared" si="34"/>
        <v>24.515999999999998</v>
      </c>
      <c r="W184" s="187">
        <f t="shared" si="35"/>
        <v>34.049999999999997</v>
      </c>
      <c r="X184" s="187">
        <f t="shared" si="36"/>
        <v>13.62</v>
      </c>
      <c r="Y184" s="193">
        <f t="shared" si="37"/>
        <v>31.325999999999997</v>
      </c>
      <c r="Z184" s="194"/>
      <c r="AA184" s="195">
        <f t="shared" ca="1" si="42"/>
        <v>184</v>
      </c>
      <c r="AB184" s="195">
        <f ca="1">+AA184+'parametres articles'!$C$9-1</f>
        <v>198</v>
      </c>
      <c r="AC184" s="195">
        <f ca="1">+AA184+'parametres articles'!$C$24-1</f>
        <v>203</v>
      </c>
      <c r="AD184" s="195">
        <f ca="1">+IF(AE184&lt;='parametres articles'!$H$8,0,AA184-'parametres articles'!$H$8+1)</f>
        <v>180</v>
      </c>
      <c r="AE184" s="195">
        <v>183</v>
      </c>
      <c r="AF184" s="187" t="str">
        <f t="shared" ca="1" si="41"/>
        <v>F199</v>
      </c>
      <c r="AG184" s="178"/>
      <c r="AH184" s="178"/>
      <c r="AI184" s="178"/>
      <c r="AJ184" s="178"/>
      <c r="AK184" s="178"/>
    </row>
    <row r="185" spans="1:37" x14ac:dyDescent="0.25">
      <c r="A185" s="186">
        <v>42188</v>
      </c>
      <c r="B185" s="188" t="s">
        <v>21</v>
      </c>
      <c r="C185" s="189">
        <f ca="1">+IF(AD185=0,P185,(SUM(INDIRECT(CONCATENATE("B",AD185,":B",AA185)))/'parametres articles'!$H$8))</f>
        <v>0</v>
      </c>
      <c r="D185" s="187">
        <f>IFERROR(VLOOKUP(A185,'Mvmt stock'!A:B,2,0),0)</f>
        <v>0</v>
      </c>
      <c r="E185" s="188">
        <f>IFERROR(VLOOKUP(A185,'Mvmt stock'!D:E,2,0),0)</f>
        <v>0</v>
      </c>
      <c r="F185" s="188">
        <f t="shared" si="38"/>
        <v>56</v>
      </c>
      <c r="G185" s="208">
        <f>IFERROR(VLOOKUP(A185,'Mvmt stock'!G:H,2,0),0)</f>
        <v>-4</v>
      </c>
      <c r="H185" s="190">
        <f>IFERROR(VLOOKUP(A185,Stock!B:C,2,0),H184)</f>
        <v>58</v>
      </c>
      <c r="I185" s="188">
        <f t="shared" si="30"/>
        <v>56</v>
      </c>
      <c r="J185" s="191">
        <f t="shared" si="44"/>
        <v>73.142857142857139</v>
      </c>
      <c r="K185" s="187">
        <f>+HLOOKUP($B185,'parametres articles'!$C$5:$G$25,5,FALSE)</f>
        <v>15</v>
      </c>
      <c r="L185" s="187">
        <f>+HLOOKUP($B185,'parametres articles'!$C$5:$G$25,21,FALSE)</f>
        <v>13</v>
      </c>
      <c r="M185" s="192">
        <f>+HLOOKUP($B185,'parametres articles'!$C$5:$G$25,7,FALSE)</f>
        <v>0.8</v>
      </c>
      <c r="N185" s="192">
        <f>+HLOOKUP($B185,'parametres articles'!$C$5:$G$25,6,FALSE)</f>
        <v>0.4</v>
      </c>
      <c r="O185" s="187">
        <f>+HLOOKUP($B185,'parametres articles'!$C$5:$G$25,8,FALSE)</f>
        <v>0</v>
      </c>
      <c r="P185" s="193">
        <f>IF(B185="E",'parametres articles'!$C$8,HLOOKUP($B185,'parametres articles'!$C$5:$F$25,4,FALSE))</f>
        <v>2.27</v>
      </c>
      <c r="Q185" s="193">
        <f t="shared" si="31"/>
        <v>2.27</v>
      </c>
      <c r="R185" s="199">
        <f t="shared" si="39"/>
        <v>13.62</v>
      </c>
      <c r="S185" s="197">
        <f t="shared" si="32"/>
        <v>24.515999999999998</v>
      </c>
      <c r="T185" s="201">
        <f t="shared" si="33"/>
        <v>58.565999999999995</v>
      </c>
      <c r="U185" s="203">
        <f t="shared" si="40"/>
        <v>72.185999999999993</v>
      </c>
      <c r="V185" s="187">
        <f t="shared" si="34"/>
        <v>24.515999999999998</v>
      </c>
      <c r="W185" s="187">
        <f t="shared" si="35"/>
        <v>34.049999999999997</v>
      </c>
      <c r="X185" s="187">
        <f t="shared" si="36"/>
        <v>13.62</v>
      </c>
      <c r="Y185" s="193">
        <f t="shared" si="37"/>
        <v>31.325999999999997</v>
      </c>
      <c r="Z185" s="194"/>
      <c r="AA185" s="195">
        <f t="shared" ca="1" si="42"/>
        <v>185</v>
      </c>
      <c r="AB185" s="195">
        <f ca="1">+AA185+'parametres articles'!$C$9-1</f>
        <v>199</v>
      </c>
      <c r="AC185" s="195">
        <f ca="1">+AA185+'parametres articles'!$C$24-1</f>
        <v>204</v>
      </c>
      <c r="AD185" s="195">
        <f ca="1">+IF(AE185&lt;='parametres articles'!$H$8,0,AA185-'parametres articles'!$H$8+1)</f>
        <v>181</v>
      </c>
      <c r="AE185" s="195">
        <v>184</v>
      </c>
      <c r="AF185" s="187" t="str">
        <f t="shared" ca="1" si="41"/>
        <v>F200</v>
      </c>
      <c r="AG185" s="178"/>
      <c r="AH185" s="178"/>
      <c r="AI185" s="178"/>
      <c r="AJ185" s="178"/>
      <c r="AK185" s="178"/>
    </row>
    <row r="186" spans="1:37" x14ac:dyDescent="0.25">
      <c r="A186" s="186">
        <v>42189</v>
      </c>
      <c r="B186" s="188" t="s">
        <v>21</v>
      </c>
      <c r="C186" s="189">
        <f ca="1">+IF(AD186=0,P186,(SUM(INDIRECT(CONCATENATE("B",AD186,":B",AA186)))/'parametres articles'!$H$8))</f>
        <v>0</v>
      </c>
      <c r="D186" s="187">
        <f>IFERROR(VLOOKUP(A186,'Mvmt stock'!A:B,2,0),0)</f>
        <v>0</v>
      </c>
      <c r="E186" s="188">
        <f>IFERROR(VLOOKUP(A186,'Mvmt stock'!D:E,2,0),0)</f>
        <v>0</v>
      </c>
      <c r="F186" s="188">
        <f t="shared" si="38"/>
        <v>56</v>
      </c>
      <c r="G186" s="208">
        <f>IFERROR(VLOOKUP(A186,'Mvmt stock'!G:H,2,0),0)</f>
        <v>0</v>
      </c>
      <c r="H186" s="190">
        <f>IFERROR(VLOOKUP(A186,Stock!B:C,2,0),H185)</f>
        <v>58</v>
      </c>
      <c r="I186" s="188">
        <f t="shared" si="30"/>
        <v>56</v>
      </c>
      <c r="J186" s="191">
        <f t="shared" si="44"/>
        <v>71.428571428571431</v>
      </c>
      <c r="K186" s="187">
        <f>+HLOOKUP($B186,'parametres articles'!$C$5:$G$25,5,FALSE)</f>
        <v>15</v>
      </c>
      <c r="L186" s="187">
        <f>+HLOOKUP($B186,'parametres articles'!$C$5:$G$25,21,FALSE)</f>
        <v>13</v>
      </c>
      <c r="M186" s="192">
        <f>+HLOOKUP($B186,'parametres articles'!$C$5:$G$25,7,FALSE)</f>
        <v>0.8</v>
      </c>
      <c r="N186" s="192">
        <f>+HLOOKUP($B186,'parametres articles'!$C$5:$G$25,6,FALSE)</f>
        <v>0.4</v>
      </c>
      <c r="O186" s="187">
        <f>+HLOOKUP($B186,'parametres articles'!$C$5:$G$25,8,FALSE)</f>
        <v>0</v>
      </c>
      <c r="P186" s="193">
        <f>IF(B186="E",'parametres articles'!$C$8,HLOOKUP($B186,'parametres articles'!$C$5:$F$25,4,FALSE))</f>
        <v>2.27</v>
      </c>
      <c r="Q186" s="193">
        <f t="shared" si="31"/>
        <v>2.27</v>
      </c>
      <c r="R186" s="199">
        <f t="shared" si="39"/>
        <v>13.62</v>
      </c>
      <c r="S186" s="197">
        <f t="shared" si="32"/>
        <v>24.515999999999998</v>
      </c>
      <c r="T186" s="201">
        <f t="shared" si="33"/>
        <v>58.565999999999995</v>
      </c>
      <c r="U186" s="203">
        <f t="shared" si="40"/>
        <v>72.185999999999993</v>
      </c>
      <c r="V186" s="187">
        <f t="shared" si="34"/>
        <v>24.515999999999998</v>
      </c>
      <c r="W186" s="187">
        <f t="shared" si="35"/>
        <v>34.049999999999997</v>
      </c>
      <c r="X186" s="187">
        <f t="shared" si="36"/>
        <v>13.62</v>
      </c>
      <c r="Y186" s="193">
        <f t="shared" si="37"/>
        <v>31.325999999999997</v>
      </c>
      <c r="Z186" s="194"/>
      <c r="AA186" s="195">
        <f t="shared" ca="1" si="42"/>
        <v>186</v>
      </c>
      <c r="AB186" s="195">
        <f ca="1">+AA186+'parametres articles'!$C$9-1</f>
        <v>200</v>
      </c>
      <c r="AC186" s="195">
        <f ca="1">+AA186+'parametres articles'!$C$24-1</f>
        <v>205</v>
      </c>
      <c r="AD186" s="195">
        <f ca="1">+IF(AE186&lt;='parametres articles'!$H$8,0,AA186-'parametres articles'!$H$8+1)</f>
        <v>182</v>
      </c>
      <c r="AE186" s="195">
        <v>185</v>
      </c>
      <c r="AF186" s="187" t="str">
        <f t="shared" ca="1" si="41"/>
        <v>F201</v>
      </c>
      <c r="AG186" s="178"/>
      <c r="AH186" s="178"/>
      <c r="AI186" s="178"/>
      <c r="AJ186" s="178"/>
      <c r="AK186" s="178"/>
    </row>
    <row r="187" spans="1:37" x14ac:dyDescent="0.25">
      <c r="A187" s="186">
        <v>42190</v>
      </c>
      <c r="B187" s="188" t="s">
        <v>21</v>
      </c>
      <c r="C187" s="189">
        <f ca="1">+IF(AD187=0,P187,(SUM(INDIRECT(CONCATENATE("B",AD187,":B",AA187)))/'parametres articles'!$H$8))</f>
        <v>0</v>
      </c>
      <c r="D187" s="187">
        <f>IFERROR(VLOOKUP(A187,'Mvmt stock'!A:B,2,0),0)</f>
        <v>0</v>
      </c>
      <c r="E187" s="188">
        <f>IFERROR(VLOOKUP(A187,'Mvmt stock'!D:E,2,0),0)</f>
        <v>0</v>
      </c>
      <c r="F187" s="188">
        <f t="shared" si="38"/>
        <v>56</v>
      </c>
      <c r="G187" s="208">
        <f>IFERROR(VLOOKUP(A187,'Mvmt stock'!G:H,2,0),0)</f>
        <v>0</v>
      </c>
      <c r="H187" s="190">
        <f>IFERROR(VLOOKUP(A187,Stock!B:C,2,0),H186)</f>
        <v>58</v>
      </c>
      <c r="I187" s="188">
        <f t="shared" si="30"/>
        <v>56</v>
      </c>
      <c r="J187" s="191">
        <f t="shared" si="44"/>
        <v>69.714285714285708</v>
      </c>
      <c r="K187" s="187">
        <f>+HLOOKUP($B187,'parametres articles'!$C$5:$G$25,5,FALSE)</f>
        <v>15</v>
      </c>
      <c r="L187" s="187">
        <f>+HLOOKUP($B187,'parametres articles'!$C$5:$G$25,21,FALSE)</f>
        <v>13</v>
      </c>
      <c r="M187" s="192">
        <f>+HLOOKUP($B187,'parametres articles'!$C$5:$G$25,7,FALSE)</f>
        <v>0.8</v>
      </c>
      <c r="N187" s="192">
        <f>+HLOOKUP($B187,'parametres articles'!$C$5:$G$25,6,FALSE)</f>
        <v>0.4</v>
      </c>
      <c r="O187" s="187">
        <f>+HLOOKUP($B187,'parametres articles'!$C$5:$G$25,8,FALSE)</f>
        <v>0</v>
      </c>
      <c r="P187" s="193">
        <f>IF(B187="E",'parametres articles'!$C$8,HLOOKUP($B187,'parametres articles'!$C$5:$F$25,4,FALSE))</f>
        <v>2.27</v>
      </c>
      <c r="Q187" s="193">
        <f t="shared" si="31"/>
        <v>2.27</v>
      </c>
      <c r="R187" s="199">
        <f t="shared" si="39"/>
        <v>13.62</v>
      </c>
      <c r="S187" s="197">
        <f t="shared" si="32"/>
        <v>24.515999999999998</v>
      </c>
      <c r="T187" s="201">
        <f t="shared" si="33"/>
        <v>58.565999999999995</v>
      </c>
      <c r="U187" s="203">
        <f t="shared" si="40"/>
        <v>72.185999999999993</v>
      </c>
      <c r="V187" s="187">
        <f t="shared" si="34"/>
        <v>24.515999999999998</v>
      </c>
      <c r="W187" s="187">
        <f t="shared" si="35"/>
        <v>34.049999999999997</v>
      </c>
      <c r="X187" s="187">
        <f t="shared" si="36"/>
        <v>13.62</v>
      </c>
      <c r="Y187" s="193">
        <f t="shared" si="37"/>
        <v>31.325999999999997</v>
      </c>
      <c r="Z187" s="194"/>
      <c r="AA187" s="195">
        <f t="shared" ca="1" si="42"/>
        <v>187</v>
      </c>
      <c r="AB187" s="195">
        <f ca="1">+AA187+'parametres articles'!$C$9-1</f>
        <v>201</v>
      </c>
      <c r="AC187" s="195">
        <f ca="1">+AA187+'parametres articles'!$C$24-1</f>
        <v>206</v>
      </c>
      <c r="AD187" s="195">
        <f ca="1">+IF(AE187&lt;='parametres articles'!$H$8,0,AA187-'parametres articles'!$H$8+1)</f>
        <v>183</v>
      </c>
      <c r="AE187" s="195">
        <v>186</v>
      </c>
      <c r="AF187" s="187" t="str">
        <f t="shared" ca="1" si="41"/>
        <v>F202</v>
      </c>
      <c r="AG187" s="178"/>
      <c r="AH187" s="178"/>
      <c r="AI187" s="178"/>
      <c r="AJ187" s="178"/>
      <c r="AK187" s="178"/>
    </row>
    <row r="188" spans="1:37" x14ac:dyDescent="0.25">
      <c r="A188" s="186">
        <v>42191</v>
      </c>
      <c r="B188" s="188" t="s">
        <v>21</v>
      </c>
      <c r="C188" s="189">
        <f ca="1">+IF(AD188=0,P188,(SUM(INDIRECT(CONCATENATE("B",AD188,":B",AA188)))/'parametres articles'!$H$8))</f>
        <v>0</v>
      </c>
      <c r="D188" s="187">
        <f>IFERROR(VLOOKUP(A188,'Mvmt stock'!A:B,2,0),0)</f>
        <v>0</v>
      </c>
      <c r="E188" s="188">
        <f>IFERROR(VLOOKUP(A188,'Mvmt stock'!D:E,2,0),0)</f>
        <v>0</v>
      </c>
      <c r="F188" s="188">
        <f t="shared" si="38"/>
        <v>56</v>
      </c>
      <c r="G188" s="208">
        <f>IFERROR(VLOOKUP(A188,'Mvmt stock'!G:H,2,0),0)</f>
        <v>0</v>
      </c>
      <c r="H188" s="190">
        <f>IFERROR(VLOOKUP(A188,Stock!B:C,2,0),H187)</f>
        <v>58</v>
      </c>
      <c r="I188" s="188">
        <f t="shared" si="30"/>
        <v>56</v>
      </c>
      <c r="J188" s="191">
        <f t="shared" si="44"/>
        <v>68</v>
      </c>
      <c r="K188" s="187">
        <f>+HLOOKUP($B188,'parametres articles'!$C$5:$G$25,5,FALSE)</f>
        <v>15</v>
      </c>
      <c r="L188" s="187">
        <f>+HLOOKUP($B188,'parametres articles'!$C$5:$G$25,21,FALSE)</f>
        <v>13</v>
      </c>
      <c r="M188" s="192">
        <f>+HLOOKUP($B188,'parametres articles'!$C$5:$G$25,7,FALSE)</f>
        <v>0.8</v>
      </c>
      <c r="N188" s="192">
        <f>+HLOOKUP($B188,'parametres articles'!$C$5:$G$25,6,FALSE)</f>
        <v>0.4</v>
      </c>
      <c r="O188" s="187">
        <f>+HLOOKUP($B188,'parametres articles'!$C$5:$G$25,8,FALSE)</f>
        <v>0</v>
      </c>
      <c r="P188" s="193">
        <f>IF(B188="E",'parametres articles'!$C$8,HLOOKUP($B188,'parametres articles'!$C$5:$F$25,4,FALSE))</f>
        <v>2.27</v>
      </c>
      <c r="Q188" s="193">
        <f t="shared" si="31"/>
        <v>2.27</v>
      </c>
      <c r="R188" s="199">
        <f t="shared" si="39"/>
        <v>13.62</v>
      </c>
      <c r="S188" s="197">
        <f t="shared" si="32"/>
        <v>24.515999999999998</v>
      </c>
      <c r="T188" s="201">
        <f t="shared" si="33"/>
        <v>58.565999999999995</v>
      </c>
      <c r="U188" s="203">
        <f t="shared" si="40"/>
        <v>72.185999999999993</v>
      </c>
      <c r="V188" s="187">
        <f t="shared" si="34"/>
        <v>24.515999999999998</v>
      </c>
      <c r="W188" s="187">
        <f t="shared" si="35"/>
        <v>34.049999999999997</v>
      </c>
      <c r="X188" s="187">
        <f t="shared" si="36"/>
        <v>13.62</v>
      </c>
      <c r="Y188" s="193">
        <f t="shared" si="37"/>
        <v>31.325999999999997</v>
      </c>
      <c r="Z188" s="194"/>
      <c r="AA188" s="195">
        <f t="shared" ca="1" si="42"/>
        <v>188</v>
      </c>
      <c r="AB188" s="195">
        <f ca="1">+AA188+'parametres articles'!$C$9-1</f>
        <v>202</v>
      </c>
      <c r="AC188" s="195">
        <f ca="1">+AA188+'parametres articles'!$C$24-1</f>
        <v>207</v>
      </c>
      <c r="AD188" s="195">
        <f ca="1">+IF(AE188&lt;='parametres articles'!$H$8,0,AA188-'parametres articles'!$H$8+1)</f>
        <v>184</v>
      </c>
      <c r="AE188" s="195">
        <v>187</v>
      </c>
      <c r="AF188" s="187" t="str">
        <f t="shared" ca="1" si="41"/>
        <v>F203</v>
      </c>
      <c r="AG188" s="178"/>
      <c r="AH188" s="178"/>
      <c r="AI188" s="178"/>
      <c r="AJ188" s="178"/>
      <c r="AK188" s="178"/>
    </row>
    <row r="189" spans="1:37" x14ac:dyDescent="0.25">
      <c r="A189" s="186">
        <v>42192</v>
      </c>
      <c r="B189" s="188" t="s">
        <v>21</v>
      </c>
      <c r="C189" s="189">
        <f ca="1">+IF(AD189=0,P189,(SUM(INDIRECT(CONCATENATE("B",AD189,":B",AA189)))/'parametres articles'!$H$8))</f>
        <v>0</v>
      </c>
      <c r="D189" s="187">
        <f>IFERROR(VLOOKUP(A189,'Mvmt stock'!A:B,2,0),0)</f>
        <v>0</v>
      </c>
      <c r="E189" s="188">
        <f>IFERROR(VLOOKUP(A189,'Mvmt stock'!D:E,2,0),0)</f>
        <v>0</v>
      </c>
      <c r="F189" s="188">
        <f t="shared" si="38"/>
        <v>56</v>
      </c>
      <c r="G189" s="208">
        <f>IFERROR(VLOOKUP(A189,'Mvmt stock'!G:H,2,0),0)</f>
        <v>0</v>
      </c>
      <c r="H189" s="190">
        <f>IFERROR(VLOOKUP(A189,Stock!B:C,2,0),H188)</f>
        <v>58</v>
      </c>
      <c r="I189" s="188">
        <f t="shared" si="30"/>
        <v>56</v>
      </c>
      <c r="J189" s="191">
        <f t="shared" si="44"/>
        <v>66.285714285714292</v>
      </c>
      <c r="K189" s="187">
        <f>+HLOOKUP($B189,'parametres articles'!$C$5:$G$25,5,FALSE)</f>
        <v>15</v>
      </c>
      <c r="L189" s="187">
        <f>+HLOOKUP($B189,'parametres articles'!$C$5:$G$25,21,FALSE)</f>
        <v>13</v>
      </c>
      <c r="M189" s="192">
        <f>+HLOOKUP($B189,'parametres articles'!$C$5:$G$25,7,FALSE)</f>
        <v>0.8</v>
      </c>
      <c r="N189" s="192">
        <f>+HLOOKUP($B189,'parametres articles'!$C$5:$G$25,6,FALSE)</f>
        <v>0.4</v>
      </c>
      <c r="O189" s="187">
        <f>+HLOOKUP($B189,'parametres articles'!$C$5:$G$25,8,FALSE)</f>
        <v>0</v>
      </c>
      <c r="P189" s="193">
        <f>IF(B189="E",'parametres articles'!$C$8,HLOOKUP($B189,'parametres articles'!$C$5:$F$25,4,FALSE))</f>
        <v>2.27</v>
      </c>
      <c r="Q189" s="193">
        <f t="shared" si="31"/>
        <v>2.27</v>
      </c>
      <c r="R189" s="199">
        <f t="shared" si="39"/>
        <v>13.62</v>
      </c>
      <c r="S189" s="197">
        <f t="shared" si="32"/>
        <v>24.515999999999998</v>
      </c>
      <c r="T189" s="201">
        <f t="shared" si="33"/>
        <v>58.565999999999995</v>
      </c>
      <c r="U189" s="203">
        <f t="shared" si="40"/>
        <v>72.185999999999993</v>
      </c>
      <c r="V189" s="187">
        <f t="shared" si="34"/>
        <v>24.515999999999998</v>
      </c>
      <c r="W189" s="187">
        <f t="shared" si="35"/>
        <v>34.049999999999997</v>
      </c>
      <c r="X189" s="187">
        <f t="shared" si="36"/>
        <v>13.62</v>
      </c>
      <c r="Y189" s="193">
        <f t="shared" si="37"/>
        <v>31.325999999999997</v>
      </c>
      <c r="Z189" s="194"/>
      <c r="AA189" s="195">
        <f t="shared" ca="1" si="42"/>
        <v>189</v>
      </c>
      <c r="AB189" s="195">
        <f ca="1">+AA189+'parametres articles'!$C$9-1</f>
        <v>203</v>
      </c>
      <c r="AC189" s="195">
        <f ca="1">+AA189+'parametres articles'!$C$24-1</f>
        <v>208</v>
      </c>
      <c r="AD189" s="195">
        <f ca="1">+IF(AE189&lt;='parametres articles'!$H$8,0,AA189-'parametres articles'!$H$8+1)</f>
        <v>185</v>
      </c>
      <c r="AE189" s="195">
        <v>188</v>
      </c>
      <c r="AF189" s="187" t="str">
        <f t="shared" ca="1" si="41"/>
        <v>F204</v>
      </c>
      <c r="AG189" s="178"/>
      <c r="AH189" s="178"/>
      <c r="AI189" s="178"/>
      <c r="AJ189" s="178"/>
      <c r="AK189" s="178"/>
    </row>
    <row r="190" spans="1:37" x14ac:dyDescent="0.25">
      <c r="A190" s="186">
        <v>42193</v>
      </c>
      <c r="B190" s="188" t="s">
        <v>21</v>
      </c>
      <c r="C190" s="189">
        <f ca="1">+IF(AD190=0,P190,(SUM(INDIRECT(CONCATENATE("B",AD190,":B",AA190)))/'parametres articles'!$H$8))</f>
        <v>0</v>
      </c>
      <c r="D190" s="187">
        <f>IFERROR(VLOOKUP(A190,'Mvmt stock'!A:B,2,0),0)</f>
        <v>0</v>
      </c>
      <c r="E190" s="188">
        <f>IFERROR(VLOOKUP(A190,'Mvmt stock'!D:E,2,0),0)</f>
        <v>0</v>
      </c>
      <c r="F190" s="188">
        <f t="shared" si="38"/>
        <v>56</v>
      </c>
      <c r="G190" s="208">
        <f>IFERROR(VLOOKUP(A190,'Mvmt stock'!G:H,2,0),0)</f>
        <v>0</v>
      </c>
      <c r="H190" s="190">
        <f>IFERROR(VLOOKUP(A190,Stock!B:C,2,0),H189)</f>
        <v>58</v>
      </c>
      <c r="I190" s="188">
        <f t="shared" si="30"/>
        <v>56</v>
      </c>
      <c r="J190" s="191">
        <f t="shared" si="44"/>
        <v>65.238095238095241</v>
      </c>
      <c r="K190" s="187">
        <f>+HLOOKUP($B190,'parametres articles'!$C$5:$G$25,5,FALSE)</f>
        <v>15</v>
      </c>
      <c r="L190" s="187">
        <f>+HLOOKUP($B190,'parametres articles'!$C$5:$G$25,21,FALSE)</f>
        <v>13</v>
      </c>
      <c r="M190" s="192">
        <f>+HLOOKUP($B190,'parametres articles'!$C$5:$G$25,7,FALSE)</f>
        <v>0.8</v>
      </c>
      <c r="N190" s="192">
        <f>+HLOOKUP($B190,'parametres articles'!$C$5:$G$25,6,FALSE)</f>
        <v>0.4</v>
      </c>
      <c r="O190" s="187">
        <f>+HLOOKUP($B190,'parametres articles'!$C$5:$G$25,8,FALSE)</f>
        <v>0</v>
      </c>
      <c r="P190" s="193">
        <f>IF(B190="E",'parametres articles'!$C$8,HLOOKUP($B190,'parametres articles'!$C$5:$F$25,4,FALSE))</f>
        <v>2.27</v>
      </c>
      <c r="Q190" s="193">
        <f t="shared" si="31"/>
        <v>2.27</v>
      </c>
      <c r="R190" s="199">
        <f t="shared" si="39"/>
        <v>13.62</v>
      </c>
      <c r="S190" s="197">
        <f t="shared" si="32"/>
        <v>24.515999999999998</v>
      </c>
      <c r="T190" s="201">
        <f t="shared" si="33"/>
        <v>58.565999999999995</v>
      </c>
      <c r="U190" s="203">
        <f t="shared" si="40"/>
        <v>72.185999999999993</v>
      </c>
      <c r="V190" s="187">
        <f t="shared" si="34"/>
        <v>24.515999999999998</v>
      </c>
      <c r="W190" s="187">
        <f t="shared" si="35"/>
        <v>34.049999999999997</v>
      </c>
      <c r="X190" s="187">
        <f t="shared" si="36"/>
        <v>13.62</v>
      </c>
      <c r="Y190" s="193">
        <f t="shared" si="37"/>
        <v>31.325999999999997</v>
      </c>
      <c r="Z190" s="194"/>
      <c r="AA190" s="195">
        <f t="shared" ca="1" si="42"/>
        <v>190</v>
      </c>
      <c r="AB190" s="195">
        <f ca="1">+AA190+'parametres articles'!$C$9-1</f>
        <v>204</v>
      </c>
      <c r="AC190" s="195">
        <f ca="1">+AA190+'parametres articles'!$C$24-1</f>
        <v>209</v>
      </c>
      <c r="AD190" s="195">
        <f ca="1">+IF(AE190&lt;='parametres articles'!$H$8,0,AA190-'parametres articles'!$H$8+1)</f>
        <v>186</v>
      </c>
      <c r="AE190" s="195">
        <v>189</v>
      </c>
      <c r="AF190" s="187" t="str">
        <f t="shared" ca="1" si="41"/>
        <v>F205</v>
      </c>
      <c r="AG190" s="178"/>
      <c r="AH190" s="178"/>
      <c r="AI190" s="178"/>
      <c r="AJ190" s="178"/>
      <c r="AK190" s="178"/>
    </row>
    <row r="191" spans="1:37" x14ac:dyDescent="0.25">
      <c r="A191" s="186">
        <v>42194</v>
      </c>
      <c r="B191" s="188" t="s">
        <v>21</v>
      </c>
      <c r="C191" s="189">
        <f ca="1">+IF(AD191=0,P191,(SUM(INDIRECT(CONCATENATE("B",AD191,":B",AA191)))/'parametres articles'!$H$8))</f>
        <v>0</v>
      </c>
      <c r="D191" s="187">
        <f>IFERROR(VLOOKUP(A191,'Mvmt stock'!A:B,2,0),0)</f>
        <v>0</v>
      </c>
      <c r="E191" s="188">
        <f>IFERROR(VLOOKUP(A191,'Mvmt stock'!D:E,2,0),0)</f>
        <v>0</v>
      </c>
      <c r="F191" s="188">
        <f t="shared" si="38"/>
        <v>56</v>
      </c>
      <c r="G191" s="208">
        <f>IFERROR(VLOOKUP(A191,'Mvmt stock'!G:H,2,0),0)</f>
        <v>0</v>
      </c>
      <c r="H191" s="190">
        <f>IFERROR(VLOOKUP(A191,Stock!B:C,2,0),H190)</f>
        <v>58</v>
      </c>
      <c r="I191" s="188">
        <f t="shared" si="30"/>
        <v>56</v>
      </c>
      <c r="J191" s="191">
        <f t="shared" si="44"/>
        <v>64.19047619047619</v>
      </c>
      <c r="K191" s="187">
        <f>+HLOOKUP($B191,'parametres articles'!$C$5:$G$25,5,FALSE)</f>
        <v>15</v>
      </c>
      <c r="L191" s="187">
        <f>+HLOOKUP($B191,'parametres articles'!$C$5:$G$25,21,FALSE)</f>
        <v>13</v>
      </c>
      <c r="M191" s="192">
        <f>+HLOOKUP($B191,'parametres articles'!$C$5:$G$25,7,FALSE)</f>
        <v>0.8</v>
      </c>
      <c r="N191" s="192">
        <f>+HLOOKUP($B191,'parametres articles'!$C$5:$G$25,6,FALSE)</f>
        <v>0.4</v>
      </c>
      <c r="O191" s="187">
        <f>+HLOOKUP($B191,'parametres articles'!$C$5:$G$25,8,FALSE)</f>
        <v>0</v>
      </c>
      <c r="P191" s="193">
        <f>IF(B191="E",'parametres articles'!$C$8,HLOOKUP($B191,'parametres articles'!$C$5:$F$25,4,FALSE))</f>
        <v>2.27</v>
      </c>
      <c r="Q191" s="193">
        <f t="shared" si="31"/>
        <v>2.27</v>
      </c>
      <c r="R191" s="199">
        <f t="shared" si="39"/>
        <v>13.62</v>
      </c>
      <c r="S191" s="197">
        <f t="shared" si="32"/>
        <v>24.515999999999998</v>
      </c>
      <c r="T191" s="201">
        <f t="shared" si="33"/>
        <v>58.565999999999995</v>
      </c>
      <c r="U191" s="203">
        <f t="shared" si="40"/>
        <v>72.185999999999993</v>
      </c>
      <c r="V191" s="187">
        <f t="shared" si="34"/>
        <v>24.515999999999998</v>
      </c>
      <c r="W191" s="187">
        <f t="shared" si="35"/>
        <v>34.049999999999997</v>
      </c>
      <c r="X191" s="187">
        <f t="shared" si="36"/>
        <v>13.62</v>
      </c>
      <c r="Y191" s="193">
        <f t="shared" si="37"/>
        <v>31.325999999999997</v>
      </c>
      <c r="Z191" s="194"/>
      <c r="AA191" s="195">
        <f t="shared" ca="1" si="42"/>
        <v>191</v>
      </c>
      <c r="AB191" s="195">
        <f ca="1">+AA191+'parametres articles'!$C$9-1</f>
        <v>205</v>
      </c>
      <c r="AC191" s="195">
        <f ca="1">+AA191+'parametres articles'!$C$24-1</f>
        <v>210</v>
      </c>
      <c r="AD191" s="195">
        <f ca="1">+IF(AE191&lt;='parametres articles'!$H$8,0,AA191-'parametres articles'!$H$8+1)</f>
        <v>187</v>
      </c>
      <c r="AE191" s="195">
        <v>190</v>
      </c>
      <c r="AF191" s="187" t="str">
        <f t="shared" ca="1" si="41"/>
        <v>F206</v>
      </c>
      <c r="AG191" s="178"/>
      <c r="AH191" s="178"/>
      <c r="AI191" s="178"/>
      <c r="AJ191" s="178"/>
      <c r="AK191" s="178"/>
    </row>
    <row r="192" spans="1:37" x14ac:dyDescent="0.25">
      <c r="A192" s="186">
        <v>42195</v>
      </c>
      <c r="B192" s="188" t="s">
        <v>21</v>
      </c>
      <c r="C192" s="189">
        <f ca="1">+IF(AD192=0,P192,(SUM(INDIRECT(CONCATENATE("B",AD192,":B",AA192)))/'parametres articles'!$H$8))</f>
        <v>0</v>
      </c>
      <c r="D192" s="187">
        <f>IFERROR(VLOOKUP(A192,'Mvmt stock'!A:B,2,0),0)</f>
        <v>0</v>
      </c>
      <c r="E192" s="188">
        <f>IFERROR(VLOOKUP(A192,'Mvmt stock'!D:E,2,0),0)</f>
        <v>0</v>
      </c>
      <c r="F192" s="188">
        <f t="shared" si="38"/>
        <v>56</v>
      </c>
      <c r="G192" s="208">
        <f>IFERROR(VLOOKUP(A192,'Mvmt stock'!G:H,2,0),0)</f>
        <v>0</v>
      </c>
      <c r="H192" s="190">
        <f>IFERROR(VLOOKUP(A192,Stock!B:C,2,0),H191)</f>
        <v>58</v>
      </c>
      <c r="I192" s="188">
        <f t="shared" si="30"/>
        <v>56</v>
      </c>
      <c r="J192" s="191">
        <f t="shared" si="44"/>
        <v>63.333333333333336</v>
      </c>
      <c r="K192" s="187">
        <f>+HLOOKUP($B192,'parametres articles'!$C$5:$G$25,5,FALSE)</f>
        <v>15</v>
      </c>
      <c r="L192" s="187">
        <f>+HLOOKUP($B192,'parametres articles'!$C$5:$G$25,21,FALSE)</f>
        <v>13</v>
      </c>
      <c r="M192" s="192">
        <f>+HLOOKUP($B192,'parametres articles'!$C$5:$G$25,7,FALSE)</f>
        <v>0.8</v>
      </c>
      <c r="N192" s="192">
        <f>+HLOOKUP($B192,'parametres articles'!$C$5:$G$25,6,FALSE)</f>
        <v>0.4</v>
      </c>
      <c r="O192" s="187">
        <f>+HLOOKUP($B192,'parametres articles'!$C$5:$G$25,8,FALSE)</f>
        <v>0</v>
      </c>
      <c r="P192" s="193">
        <f>IF(B192="E",'parametres articles'!$C$8,HLOOKUP($B192,'parametres articles'!$C$5:$F$25,4,FALSE))</f>
        <v>2.27</v>
      </c>
      <c r="Q192" s="193">
        <f t="shared" si="31"/>
        <v>2.27</v>
      </c>
      <c r="R192" s="199">
        <f t="shared" si="39"/>
        <v>13.62</v>
      </c>
      <c r="S192" s="197">
        <f t="shared" si="32"/>
        <v>24.515999999999998</v>
      </c>
      <c r="T192" s="201">
        <f t="shared" si="33"/>
        <v>58.565999999999995</v>
      </c>
      <c r="U192" s="203">
        <f t="shared" si="40"/>
        <v>72.185999999999993</v>
      </c>
      <c r="V192" s="187">
        <f t="shared" si="34"/>
        <v>24.515999999999998</v>
      </c>
      <c r="W192" s="187">
        <f t="shared" si="35"/>
        <v>34.049999999999997</v>
      </c>
      <c r="X192" s="187">
        <f t="shared" si="36"/>
        <v>13.62</v>
      </c>
      <c r="Y192" s="193">
        <f t="shared" si="37"/>
        <v>31.325999999999997</v>
      </c>
      <c r="Z192" s="194"/>
      <c r="AA192" s="195">
        <f t="shared" ca="1" si="42"/>
        <v>192</v>
      </c>
      <c r="AB192" s="195">
        <f ca="1">+AA192+'parametres articles'!$C$9-1</f>
        <v>206</v>
      </c>
      <c r="AC192" s="195">
        <f ca="1">+AA192+'parametres articles'!$C$24-1</f>
        <v>211</v>
      </c>
      <c r="AD192" s="195">
        <f ca="1">+IF(AE192&lt;='parametres articles'!$H$8,0,AA192-'parametres articles'!$H$8+1)</f>
        <v>188</v>
      </c>
      <c r="AE192" s="195">
        <v>191</v>
      </c>
      <c r="AF192" s="187" t="str">
        <f t="shared" ca="1" si="41"/>
        <v>F207</v>
      </c>
      <c r="AG192" s="178"/>
      <c r="AH192" s="178"/>
      <c r="AI192" s="178"/>
      <c r="AJ192" s="178"/>
      <c r="AK192" s="178"/>
    </row>
    <row r="193" spans="1:37" x14ac:dyDescent="0.25">
      <c r="A193" s="186">
        <v>42196</v>
      </c>
      <c r="B193" s="188" t="s">
        <v>21</v>
      </c>
      <c r="C193" s="189">
        <f ca="1">+IF(AD193=0,P193,(SUM(INDIRECT(CONCATENATE("B",AD193,":B",AA193)))/'parametres articles'!$H$8))</f>
        <v>0</v>
      </c>
      <c r="D193" s="187">
        <f>IFERROR(VLOOKUP(A193,'Mvmt stock'!A:B,2,0),0)</f>
        <v>0</v>
      </c>
      <c r="E193" s="188">
        <f>IFERROR(VLOOKUP(A193,'Mvmt stock'!D:E,2,0),0)</f>
        <v>0</v>
      </c>
      <c r="F193" s="188">
        <f t="shared" si="38"/>
        <v>56</v>
      </c>
      <c r="G193" s="208">
        <f>IFERROR(VLOOKUP(A193,'Mvmt stock'!G:H,2,0),0)</f>
        <v>0</v>
      </c>
      <c r="H193" s="190">
        <f>IFERROR(VLOOKUP(A193,Stock!B:C,2,0),H192)</f>
        <v>58</v>
      </c>
      <c r="I193" s="188">
        <f t="shared" si="30"/>
        <v>56</v>
      </c>
      <c r="J193" s="191">
        <f t="shared" si="44"/>
        <v>62.476190476190474</v>
      </c>
      <c r="K193" s="187">
        <f>+HLOOKUP($B193,'parametres articles'!$C$5:$G$25,5,FALSE)</f>
        <v>15</v>
      </c>
      <c r="L193" s="187">
        <f>+HLOOKUP($B193,'parametres articles'!$C$5:$G$25,21,FALSE)</f>
        <v>13</v>
      </c>
      <c r="M193" s="192">
        <f>+HLOOKUP($B193,'parametres articles'!$C$5:$G$25,7,FALSE)</f>
        <v>0.8</v>
      </c>
      <c r="N193" s="192">
        <f>+HLOOKUP($B193,'parametres articles'!$C$5:$G$25,6,FALSE)</f>
        <v>0.4</v>
      </c>
      <c r="O193" s="187">
        <f>+HLOOKUP($B193,'parametres articles'!$C$5:$G$25,8,FALSE)</f>
        <v>0</v>
      </c>
      <c r="P193" s="193">
        <f>IF(B193="E",'parametres articles'!$C$8,HLOOKUP($B193,'parametres articles'!$C$5:$F$25,4,FALSE))</f>
        <v>2.27</v>
      </c>
      <c r="Q193" s="193">
        <f t="shared" si="31"/>
        <v>2.27</v>
      </c>
      <c r="R193" s="199">
        <f t="shared" si="39"/>
        <v>13.62</v>
      </c>
      <c r="S193" s="197">
        <f t="shared" si="32"/>
        <v>24.515999999999998</v>
      </c>
      <c r="T193" s="201">
        <f t="shared" si="33"/>
        <v>58.565999999999995</v>
      </c>
      <c r="U193" s="203">
        <f t="shared" si="40"/>
        <v>72.185999999999993</v>
      </c>
      <c r="V193" s="187">
        <f t="shared" si="34"/>
        <v>24.515999999999998</v>
      </c>
      <c r="W193" s="187">
        <f t="shared" si="35"/>
        <v>34.049999999999997</v>
      </c>
      <c r="X193" s="187">
        <f t="shared" si="36"/>
        <v>13.62</v>
      </c>
      <c r="Y193" s="193">
        <f t="shared" si="37"/>
        <v>31.325999999999997</v>
      </c>
      <c r="Z193" s="194"/>
      <c r="AA193" s="195">
        <f t="shared" ca="1" si="42"/>
        <v>193</v>
      </c>
      <c r="AB193" s="195">
        <f ca="1">+AA193+'parametres articles'!$C$9-1</f>
        <v>207</v>
      </c>
      <c r="AC193" s="195">
        <f ca="1">+AA193+'parametres articles'!$C$24-1</f>
        <v>212</v>
      </c>
      <c r="AD193" s="195">
        <f ca="1">+IF(AE193&lt;='parametres articles'!$H$8,0,AA193-'parametres articles'!$H$8+1)</f>
        <v>189</v>
      </c>
      <c r="AE193" s="195">
        <v>192</v>
      </c>
      <c r="AF193" s="187" t="str">
        <f t="shared" ca="1" si="41"/>
        <v>F208</v>
      </c>
      <c r="AG193" s="178"/>
      <c r="AH193" s="178"/>
      <c r="AI193" s="178"/>
      <c r="AJ193" s="178"/>
      <c r="AK193" s="178"/>
    </row>
    <row r="194" spans="1:37" x14ac:dyDescent="0.25">
      <c r="A194" s="186">
        <v>42197</v>
      </c>
      <c r="B194" s="188" t="s">
        <v>21</v>
      </c>
      <c r="C194" s="189">
        <f ca="1">+IF(AD194=0,P194,(SUM(INDIRECT(CONCATENATE("B",AD194,":B",AA194)))/'parametres articles'!$H$8))</f>
        <v>0</v>
      </c>
      <c r="D194" s="187">
        <f>IFERROR(VLOOKUP(A194,'Mvmt stock'!A:B,2,0),0)</f>
        <v>0</v>
      </c>
      <c r="E194" s="188">
        <f>IFERROR(VLOOKUP(A194,'Mvmt stock'!D:E,2,0),0)</f>
        <v>0</v>
      </c>
      <c r="F194" s="188">
        <f t="shared" si="38"/>
        <v>56</v>
      </c>
      <c r="G194" s="208">
        <f>IFERROR(VLOOKUP(A194,'Mvmt stock'!G:H,2,0),0)</f>
        <v>0</v>
      </c>
      <c r="H194" s="190">
        <f>IFERROR(VLOOKUP(A194,Stock!B:C,2,0),H193)</f>
        <v>58</v>
      </c>
      <c r="I194" s="188">
        <f t="shared" ref="I194:I256" si="45">+F194-D194+E194</f>
        <v>56</v>
      </c>
      <c r="J194" s="191">
        <f t="shared" si="44"/>
        <v>61.61904761904762</v>
      </c>
      <c r="K194" s="187">
        <f>+HLOOKUP($B194,'parametres articles'!$C$5:$G$25,5,FALSE)</f>
        <v>15</v>
      </c>
      <c r="L194" s="187">
        <f>+HLOOKUP($B194,'parametres articles'!$C$5:$G$25,21,FALSE)</f>
        <v>13</v>
      </c>
      <c r="M194" s="192">
        <f>+HLOOKUP($B194,'parametres articles'!$C$5:$G$25,7,FALSE)</f>
        <v>0.8</v>
      </c>
      <c r="N194" s="192">
        <f>+HLOOKUP($B194,'parametres articles'!$C$5:$G$25,6,FALSE)</f>
        <v>0.4</v>
      </c>
      <c r="O194" s="187">
        <f>+HLOOKUP($B194,'parametres articles'!$C$5:$G$25,8,FALSE)</f>
        <v>0</v>
      </c>
      <c r="P194" s="193">
        <f>IF(B194="E",'parametres articles'!$C$8,HLOOKUP($B194,'parametres articles'!$C$5:$F$25,4,FALSE))</f>
        <v>2.27</v>
      </c>
      <c r="Q194" s="193">
        <f t="shared" ref="Q194:Q257" si="46">+IF(B194="E",C194,P194)</f>
        <v>2.27</v>
      </c>
      <c r="R194" s="199">
        <f t="shared" si="39"/>
        <v>13.62</v>
      </c>
      <c r="S194" s="197">
        <f t="shared" ref="S194:S257" si="47">(Q194*K194*N194)*(1+M194)</f>
        <v>24.515999999999998</v>
      </c>
      <c r="T194" s="201">
        <f t="shared" ref="T194:T257" si="48">+S194+Q194*K194</f>
        <v>58.565999999999995</v>
      </c>
      <c r="U194" s="203">
        <f t="shared" si="40"/>
        <v>72.185999999999993</v>
      </c>
      <c r="V194" s="187">
        <f t="shared" ref="V194:V257" si="49">+(Q194*K194*N194)*(1+M194)</f>
        <v>24.515999999999998</v>
      </c>
      <c r="W194" s="187">
        <f t="shared" ref="W194:W257" si="50">+Q194*K194</f>
        <v>34.049999999999997</v>
      </c>
      <c r="X194" s="187">
        <f t="shared" ref="X194:X257" si="51">+IF(O194&gt;K194*Q194*N194,O194,K194*Q194*N194)</f>
        <v>13.62</v>
      </c>
      <c r="Y194" s="193">
        <f t="shared" ref="Y194:Y257" si="52">+V194+X194/2</f>
        <v>31.325999999999997</v>
      </c>
      <c r="Z194" s="194"/>
      <c r="AA194" s="195">
        <f t="shared" ca="1" si="42"/>
        <v>194</v>
      </c>
      <c r="AB194" s="195">
        <f ca="1">+AA194+'parametres articles'!$C$9-1</f>
        <v>208</v>
      </c>
      <c r="AC194" s="195">
        <f ca="1">+AA194+'parametres articles'!$C$24-1</f>
        <v>213</v>
      </c>
      <c r="AD194" s="195">
        <f ca="1">+IF(AE194&lt;='parametres articles'!$H$8,0,AA194-'parametres articles'!$H$8+1)</f>
        <v>190</v>
      </c>
      <c r="AE194" s="195">
        <v>193</v>
      </c>
      <c r="AF194" s="187" t="str">
        <f t="shared" ca="1" si="41"/>
        <v>F209</v>
      </c>
      <c r="AG194" s="178"/>
      <c r="AH194" s="178"/>
      <c r="AI194" s="178"/>
      <c r="AJ194" s="178"/>
      <c r="AK194" s="178"/>
    </row>
    <row r="195" spans="1:37" x14ac:dyDescent="0.25">
      <c r="A195" s="186">
        <v>42198</v>
      </c>
      <c r="B195" s="188" t="s">
        <v>21</v>
      </c>
      <c r="C195" s="189">
        <f ca="1">+IF(AD195=0,P195,(SUM(INDIRECT(CONCATENATE("B",AD195,":B",AA195)))/'parametres articles'!$H$8))</f>
        <v>0</v>
      </c>
      <c r="D195" s="187">
        <f>IFERROR(VLOOKUP(A195,'Mvmt stock'!A:B,2,0),0)</f>
        <v>0</v>
      </c>
      <c r="E195" s="188">
        <f>IFERROR(VLOOKUP(A195,'Mvmt stock'!D:E,2,0),0)</f>
        <v>0</v>
      </c>
      <c r="F195" s="188">
        <f t="shared" ref="F195:F257" si="53">+I194+G195</f>
        <v>56</v>
      </c>
      <c r="G195" s="208">
        <f>IFERROR(VLOOKUP(A195,'Mvmt stock'!G:H,2,0),0)</f>
        <v>0</v>
      </c>
      <c r="H195" s="190">
        <f>IFERROR(VLOOKUP(A195,Stock!B:C,2,0),H194)</f>
        <v>58</v>
      </c>
      <c r="I195" s="188">
        <f t="shared" si="45"/>
        <v>56</v>
      </c>
      <c r="J195" s="191">
        <f t="shared" si="44"/>
        <v>60.761904761904759</v>
      </c>
      <c r="K195" s="187">
        <f>+HLOOKUP($B195,'parametres articles'!$C$5:$G$25,5,FALSE)</f>
        <v>15</v>
      </c>
      <c r="L195" s="187">
        <f>+HLOOKUP($B195,'parametres articles'!$C$5:$G$25,21,FALSE)</f>
        <v>13</v>
      </c>
      <c r="M195" s="192">
        <f>+HLOOKUP($B195,'parametres articles'!$C$5:$G$25,7,FALSE)</f>
        <v>0.8</v>
      </c>
      <c r="N195" s="192">
        <f>+HLOOKUP($B195,'parametres articles'!$C$5:$G$25,6,FALSE)</f>
        <v>0.4</v>
      </c>
      <c r="O195" s="187">
        <f>+HLOOKUP($B195,'parametres articles'!$C$5:$G$25,8,FALSE)</f>
        <v>0</v>
      </c>
      <c r="P195" s="193">
        <f>IF(B195="E",'parametres articles'!$C$8,HLOOKUP($B195,'parametres articles'!$C$5:$F$25,4,FALSE))</f>
        <v>2.27</v>
      </c>
      <c r="Q195" s="193">
        <f t="shared" si="46"/>
        <v>2.27</v>
      </c>
      <c r="R195" s="199">
        <f t="shared" ref="R195:R257" si="54">+Q195*K195*N195</f>
        <v>13.62</v>
      </c>
      <c r="S195" s="197">
        <f t="shared" si="47"/>
        <v>24.515999999999998</v>
      </c>
      <c r="T195" s="201">
        <f t="shared" si="48"/>
        <v>58.565999999999995</v>
      </c>
      <c r="U195" s="203">
        <f t="shared" ref="U195:U257" si="55">+T195+X195</f>
        <v>72.185999999999993</v>
      </c>
      <c r="V195" s="187">
        <f t="shared" si="49"/>
        <v>24.515999999999998</v>
      </c>
      <c r="W195" s="187">
        <f t="shared" si="50"/>
        <v>34.049999999999997</v>
      </c>
      <c r="X195" s="187">
        <f t="shared" si="51"/>
        <v>13.62</v>
      </c>
      <c r="Y195" s="193">
        <f t="shared" si="52"/>
        <v>31.325999999999997</v>
      </c>
      <c r="Z195" s="194"/>
      <c r="AA195" s="195">
        <f t="shared" ca="1" si="42"/>
        <v>195</v>
      </c>
      <c r="AB195" s="195">
        <f ca="1">+AA195+'parametres articles'!$C$9-1</f>
        <v>209</v>
      </c>
      <c r="AC195" s="195">
        <f ca="1">+AA195+'parametres articles'!$C$24-1</f>
        <v>214</v>
      </c>
      <c r="AD195" s="195">
        <f ca="1">+IF(AE195&lt;='parametres articles'!$H$8,0,AA195-'parametres articles'!$H$8+1)</f>
        <v>191</v>
      </c>
      <c r="AE195" s="195">
        <v>194</v>
      </c>
      <c r="AF195" s="187" t="str">
        <f t="shared" ref="AF195:AF257" ca="1" si="56">CONCATENATE("F",AA195+K194)</f>
        <v>F210</v>
      </c>
      <c r="AG195" s="178"/>
      <c r="AH195" s="178"/>
      <c r="AI195" s="178"/>
      <c r="AJ195" s="178"/>
      <c r="AK195" s="178"/>
    </row>
    <row r="196" spans="1:37" x14ac:dyDescent="0.25">
      <c r="A196" s="186">
        <v>42199</v>
      </c>
      <c r="B196" s="188" t="s">
        <v>21</v>
      </c>
      <c r="C196" s="189">
        <f ca="1">+IF(AD196=0,P196,(SUM(INDIRECT(CONCATENATE("B",AD196,":B",AA196)))/'parametres articles'!$H$8))</f>
        <v>0</v>
      </c>
      <c r="D196" s="187">
        <f>IFERROR(VLOOKUP(A196,'Mvmt stock'!A:B,2,0),0)</f>
        <v>0</v>
      </c>
      <c r="E196" s="188">
        <f>IFERROR(VLOOKUP(A196,'Mvmt stock'!D:E,2,0),0)</f>
        <v>0</v>
      </c>
      <c r="F196" s="188">
        <f t="shared" si="53"/>
        <v>56</v>
      </c>
      <c r="G196" s="208">
        <f>IFERROR(VLOOKUP(A196,'Mvmt stock'!G:H,2,0),0)</f>
        <v>0</v>
      </c>
      <c r="H196" s="190">
        <f>IFERROR(VLOOKUP(A196,Stock!B:C,2,0),H195)</f>
        <v>58</v>
      </c>
      <c r="I196" s="188">
        <f t="shared" si="45"/>
        <v>56</v>
      </c>
      <c r="J196" s="191">
        <f t="shared" si="44"/>
        <v>60.095238095238095</v>
      </c>
      <c r="K196" s="187">
        <f>+HLOOKUP($B196,'parametres articles'!$C$5:$G$25,5,FALSE)</f>
        <v>15</v>
      </c>
      <c r="L196" s="187">
        <f>+HLOOKUP($B196,'parametres articles'!$C$5:$G$25,21,FALSE)</f>
        <v>13</v>
      </c>
      <c r="M196" s="192">
        <f>+HLOOKUP($B196,'parametres articles'!$C$5:$G$25,7,FALSE)</f>
        <v>0.8</v>
      </c>
      <c r="N196" s="192">
        <f>+HLOOKUP($B196,'parametres articles'!$C$5:$G$25,6,FALSE)</f>
        <v>0.4</v>
      </c>
      <c r="O196" s="187">
        <f>+HLOOKUP($B196,'parametres articles'!$C$5:$G$25,8,FALSE)</f>
        <v>0</v>
      </c>
      <c r="P196" s="193">
        <f>IF(B196="E",'parametres articles'!$C$8,HLOOKUP($B196,'parametres articles'!$C$5:$F$25,4,FALSE))</f>
        <v>2.27</v>
      </c>
      <c r="Q196" s="193">
        <f t="shared" si="46"/>
        <v>2.27</v>
      </c>
      <c r="R196" s="199">
        <f t="shared" si="54"/>
        <v>13.62</v>
      </c>
      <c r="S196" s="197">
        <f t="shared" si="47"/>
        <v>24.515999999999998</v>
      </c>
      <c r="T196" s="201">
        <f t="shared" si="48"/>
        <v>58.565999999999995</v>
      </c>
      <c r="U196" s="203">
        <f t="shared" si="55"/>
        <v>72.185999999999993</v>
      </c>
      <c r="V196" s="187">
        <f t="shared" si="49"/>
        <v>24.515999999999998</v>
      </c>
      <c r="W196" s="187">
        <f t="shared" si="50"/>
        <v>34.049999999999997</v>
      </c>
      <c r="X196" s="187">
        <f t="shared" si="51"/>
        <v>13.62</v>
      </c>
      <c r="Y196" s="193">
        <f t="shared" si="52"/>
        <v>31.325999999999997</v>
      </c>
      <c r="Z196" s="194"/>
      <c r="AA196" s="195">
        <f t="shared" ref="AA196:AA257" ca="1" si="57">+AA195+1</f>
        <v>196</v>
      </c>
      <c r="AB196" s="195">
        <f ca="1">+AA196+'parametres articles'!$C$9-1</f>
        <v>210</v>
      </c>
      <c r="AC196" s="195">
        <f ca="1">+AA196+'parametres articles'!$C$24-1</f>
        <v>215</v>
      </c>
      <c r="AD196" s="195">
        <f ca="1">+IF(AE196&lt;='parametres articles'!$H$8,0,AA196-'parametres articles'!$H$8+1)</f>
        <v>192</v>
      </c>
      <c r="AE196" s="195">
        <v>195</v>
      </c>
      <c r="AF196" s="187" t="str">
        <f t="shared" ca="1" si="56"/>
        <v>F211</v>
      </c>
      <c r="AG196" s="178"/>
      <c r="AH196" s="178"/>
      <c r="AI196" s="178"/>
      <c r="AJ196" s="178"/>
      <c r="AK196" s="178"/>
    </row>
    <row r="197" spans="1:37" x14ac:dyDescent="0.25">
      <c r="A197" s="186">
        <v>42200</v>
      </c>
      <c r="B197" s="188" t="s">
        <v>21</v>
      </c>
      <c r="C197" s="189">
        <f ca="1">+IF(AD197=0,P197,(SUM(INDIRECT(CONCATENATE("B",AD197,":B",AA197)))/'parametres articles'!$H$8))</f>
        <v>0</v>
      </c>
      <c r="D197" s="187">
        <f>IFERROR(VLOOKUP(A197,'Mvmt stock'!A:B,2,0),0)</f>
        <v>1</v>
      </c>
      <c r="E197" s="188">
        <f>IFERROR(VLOOKUP(A197,'Mvmt stock'!D:E,2,0),0)</f>
        <v>0</v>
      </c>
      <c r="F197" s="188">
        <f t="shared" si="53"/>
        <v>56</v>
      </c>
      <c r="G197" s="208">
        <f>IFERROR(VLOOKUP(A197,'Mvmt stock'!G:H,2,0),0)</f>
        <v>0</v>
      </c>
      <c r="H197" s="190">
        <f>IFERROR(VLOOKUP(A197,Stock!B:C,2,0),H196)</f>
        <v>58</v>
      </c>
      <c r="I197" s="188">
        <f t="shared" si="45"/>
        <v>55</v>
      </c>
      <c r="J197" s="191">
        <f t="shared" si="44"/>
        <v>59.428571428571431</v>
      </c>
      <c r="K197" s="187">
        <f>+HLOOKUP($B197,'parametres articles'!$C$5:$G$25,5,FALSE)</f>
        <v>15</v>
      </c>
      <c r="L197" s="187">
        <f>+HLOOKUP($B197,'parametres articles'!$C$5:$G$25,21,FALSE)</f>
        <v>13</v>
      </c>
      <c r="M197" s="192">
        <f>+HLOOKUP($B197,'parametres articles'!$C$5:$G$25,7,FALSE)</f>
        <v>0.8</v>
      </c>
      <c r="N197" s="192">
        <f>+HLOOKUP($B197,'parametres articles'!$C$5:$G$25,6,FALSE)</f>
        <v>0.4</v>
      </c>
      <c r="O197" s="187">
        <f>+HLOOKUP($B197,'parametres articles'!$C$5:$G$25,8,FALSE)</f>
        <v>0</v>
      </c>
      <c r="P197" s="193">
        <f>IF(B197="E",'parametres articles'!$C$8,HLOOKUP($B197,'parametres articles'!$C$5:$F$25,4,FALSE))</f>
        <v>2.27</v>
      </c>
      <c r="Q197" s="193">
        <f t="shared" si="46"/>
        <v>2.27</v>
      </c>
      <c r="R197" s="199">
        <f t="shared" si="54"/>
        <v>13.62</v>
      </c>
      <c r="S197" s="197">
        <f t="shared" si="47"/>
        <v>24.515999999999998</v>
      </c>
      <c r="T197" s="201">
        <f t="shared" si="48"/>
        <v>58.565999999999995</v>
      </c>
      <c r="U197" s="203">
        <f t="shared" si="55"/>
        <v>72.185999999999993</v>
      </c>
      <c r="V197" s="187">
        <f t="shared" si="49"/>
        <v>24.515999999999998</v>
      </c>
      <c r="W197" s="187">
        <f t="shared" si="50"/>
        <v>34.049999999999997</v>
      </c>
      <c r="X197" s="187">
        <f t="shared" si="51"/>
        <v>13.62</v>
      </c>
      <c r="Y197" s="193">
        <f t="shared" si="52"/>
        <v>31.325999999999997</v>
      </c>
      <c r="Z197" s="194"/>
      <c r="AA197" s="195">
        <f t="shared" ca="1" si="57"/>
        <v>197</v>
      </c>
      <c r="AB197" s="195">
        <f ca="1">+AA197+'parametres articles'!$C$9-1</f>
        <v>211</v>
      </c>
      <c r="AC197" s="195">
        <f ca="1">+AA197+'parametres articles'!$C$24-1</f>
        <v>216</v>
      </c>
      <c r="AD197" s="195">
        <f ca="1">+IF(AE197&lt;='parametres articles'!$H$8,0,AA197-'parametres articles'!$H$8+1)</f>
        <v>193</v>
      </c>
      <c r="AE197" s="195">
        <v>196</v>
      </c>
      <c r="AF197" s="187" t="str">
        <f t="shared" ca="1" si="56"/>
        <v>F212</v>
      </c>
      <c r="AG197" s="178"/>
      <c r="AH197" s="178"/>
      <c r="AI197" s="178"/>
      <c r="AJ197" s="178"/>
      <c r="AK197" s="178"/>
    </row>
    <row r="198" spans="1:37" x14ac:dyDescent="0.25">
      <c r="A198" s="186">
        <v>42201</v>
      </c>
      <c r="B198" s="188" t="s">
        <v>21</v>
      </c>
      <c r="C198" s="189">
        <f ca="1">+IF(AD198=0,P198,(SUM(INDIRECT(CONCATENATE("B",AD198,":B",AA198)))/'parametres articles'!$H$8))</f>
        <v>0</v>
      </c>
      <c r="D198" s="187">
        <f>IFERROR(VLOOKUP(A198,'Mvmt stock'!A:B,2,0),0)</f>
        <v>0</v>
      </c>
      <c r="E198" s="188">
        <f>IFERROR(VLOOKUP(A198,'Mvmt stock'!D:E,2,0),0)</f>
        <v>16</v>
      </c>
      <c r="F198" s="188">
        <f t="shared" si="53"/>
        <v>55</v>
      </c>
      <c r="G198" s="208">
        <f>IFERROR(VLOOKUP(A198,'Mvmt stock'!G:H,2,0),0)</f>
        <v>0</v>
      </c>
      <c r="H198" s="190">
        <f>IFERROR(VLOOKUP(A198,Stock!B:C,2,0),H197)</f>
        <v>57</v>
      </c>
      <c r="I198" s="188">
        <f t="shared" si="45"/>
        <v>71</v>
      </c>
      <c r="J198" s="191">
        <f t="shared" si="44"/>
        <v>58.80952380952381</v>
      </c>
      <c r="K198" s="187">
        <f>+HLOOKUP($B198,'parametres articles'!$C$5:$G$25,5,FALSE)</f>
        <v>15</v>
      </c>
      <c r="L198" s="187">
        <f>+HLOOKUP($B198,'parametres articles'!$C$5:$G$25,21,FALSE)</f>
        <v>13</v>
      </c>
      <c r="M198" s="192">
        <f>+HLOOKUP($B198,'parametres articles'!$C$5:$G$25,7,FALSE)</f>
        <v>0.8</v>
      </c>
      <c r="N198" s="192">
        <f>+HLOOKUP($B198,'parametres articles'!$C$5:$G$25,6,FALSE)</f>
        <v>0.4</v>
      </c>
      <c r="O198" s="187">
        <f>+HLOOKUP($B198,'parametres articles'!$C$5:$G$25,8,FALSE)</f>
        <v>0</v>
      </c>
      <c r="P198" s="193">
        <f>IF(B198="E",'parametres articles'!$C$8,HLOOKUP($B198,'parametres articles'!$C$5:$F$25,4,FALSE))</f>
        <v>2.27</v>
      </c>
      <c r="Q198" s="193">
        <f t="shared" si="46"/>
        <v>2.27</v>
      </c>
      <c r="R198" s="199">
        <f t="shared" si="54"/>
        <v>13.62</v>
      </c>
      <c r="S198" s="197">
        <f t="shared" si="47"/>
        <v>24.515999999999998</v>
      </c>
      <c r="T198" s="201">
        <f t="shared" si="48"/>
        <v>58.565999999999995</v>
      </c>
      <c r="U198" s="203">
        <f t="shared" si="55"/>
        <v>72.185999999999993</v>
      </c>
      <c r="V198" s="187">
        <f t="shared" si="49"/>
        <v>24.515999999999998</v>
      </c>
      <c r="W198" s="187">
        <f t="shared" si="50"/>
        <v>34.049999999999997</v>
      </c>
      <c r="X198" s="187">
        <f t="shared" si="51"/>
        <v>13.62</v>
      </c>
      <c r="Y198" s="193">
        <f t="shared" si="52"/>
        <v>31.325999999999997</v>
      </c>
      <c r="Z198" s="194"/>
      <c r="AA198" s="195">
        <f t="shared" ca="1" si="57"/>
        <v>198</v>
      </c>
      <c r="AB198" s="195">
        <f ca="1">+AA198+'parametres articles'!$C$9-1</f>
        <v>212</v>
      </c>
      <c r="AC198" s="195">
        <f ca="1">+AA198+'parametres articles'!$C$24-1</f>
        <v>217</v>
      </c>
      <c r="AD198" s="195">
        <f ca="1">+IF(AE198&lt;='parametres articles'!$H$8,0,AA198-'parametres articles'!$H$8+1)</f>
        <v>194</v>
      </c>
      <c r="AE198" s="195">
        <v>197</v>
      </c>
      <c r="AF198" s="187" t="str">
        <f t="shared" ca="1" si="56"/>
        <v>F213</v>
      </c>
      <c r="AG198" s="178"/>
      <c r="AH198" s="178"/>
      <c r="AI198" s="178"/>
      <c r="AJ198" s="178"/>
      <c r="AK198" s="178"/>
    </row>
    <row r="199" spans="1:37" x14ac:dyDescent="0.25">
      <c r="A199" s="186">
        <v>42202</v>
      </c>
      <c r="B199" s="188" t="s">
        <v>21</v>
      </c>
      <c r="C199" s="189">
        <f ca="1">+IF(AD199=0,P199,(SUM(INDIRECT(CONCATENATE("B",AD199,":B",AA199)))/'parametres articles'!$H$8))</f>
        <v>0</v>
      </c>
      <c r="D199" s="187">
        <f>IFERROR(VLOOKUP(A199,'Mvmt stock'!A:B,2,0),0)</f>
        <v>0</v>
      </c>
      <c r="E199" s="188">
        <f>IFERROR(VLOOKUP(A199,'Mvmt stock'!D:E,2,0),0)</f>
        <v>0</v>
      </c>
      <c r="F199" s="188">
        <f t="shared" si="53"/>
        <v>71</v>
      </c>
      <c r="G199" s="208">
        <f>IFERROR(VLOOKUP(A199,'Mvmt stock'!G:H,2,0),0)</f>
        <v>0</v>
      </c>
      <c r="H199" s="190">
        <f>IFERROR(VLOOKUP(A199,Stock!B:C,2,0),H198)</f>
        <v>73</v>
      </c>
      <c r="I199" s="188">
        <f t="shared" si="45"/>
        <v>71</v>
      </c>
      <c r="J199" s="191">
        <f t="shared" si="44"/>
        <v>59.142857142857146</v>
      </c>
      <c r="K199" s="187">
        <f>+HLOOKUP($B199,'parametres articles'!$C$5:$G$25,5,FALSE)</f>
        <v>15</v>
      </c>
      <c r="L199" s="187">
        <f>+HLOOKUP($B199,'parametres articles'!$C$5:$G$25,21,FALSE)</f>
        <v>13</v>
      </c>
      <c r="M199" s="192">
        <f>+HLOOKUP($B199,'parametres articles'!$C$5:$G$25,7,FALSE)</f>
        <v>0.8</v>
      </c>
      <c r="N199" s="192">
        <f>+HLOOKUP($B199,'parametres articles'!$C$5:$G$25,6,FALSE)</f>
        <v>0.4</v>
      </c>
      <c r="O199" s="187">
        <f>+HLOOKUP($B199,'parametres articles'!$C$5:$G$25,8,FALSE)</f>
        <v>0</v>
      </c>
      <c r="P199" s="193">
        <f>IF(B199="E",'parametres articles'!$C$8,HLOOKUP($B199,'parametres articles'!$C$5:$F$25,4,FALSE))</f>
        <v>2.27</v>
      </c>
      <c r="Q199" s="193">
        <f t="shared" si="46"/>
        <v>2.27</v>
      </c>
      <c r="R199" s="199">
        <f t="shared" si="54"/>
        <v>13.62</v>
      </c>
      <c r="S199" s="197">
        <f t="shared" si="47"/>
        <v>24.515999999999998</v>
      </c>
      <c r="T199" s="201">
        <f t="shared" si="48"/>
        <v>58.565999999999995</v>
      </c>
      <c r="U199" s="203">
        <f t="shared" si="55"/>
        <v>72.185999999999993</v>
      </c>
      <c r="V199" s="187">
        <f t="shared" si="49"/>
        <v>24.515999999999998</v>
      </c>
      <c r="W199" s="187">
        <f t="shared" si="50"/>
        <v>34.049999999999997</v>
      </c>
      <c r="X199" s="187">
        <f t="shared" si="51"/>
        <v>13.62</v>
      </c>
      <c r="Y199" s="193">
        <f t="shared" si="52"/>
        <v>31.325999999999997</v>
      </c>
      <c r="Z199" s="194"/>
      <c r="AA199" s="195">
        <f t="shared" ca="1" si="57"/>
        <v>199</v>
      </c>
      <c r="AB199" s="195">
        <f ca="1">+AA199+'parametres articles'!$C$9-1</f>
        <v>213</v>
      </c>
      <c r="AC199" s="195">
        <f ca="1">+AA199+'parametres articles'!$C$24-1</f>
        <v>218</v>
      </c>
      <c r="AD199" s="195">
        <f ca="1">+IF(AE199&lt;='parametres articles'!$H$8,0,AA199-'parametres articles'!$H$8+1)</f>
        <v>195</v>
      </c>
      <c r="AE199" s="195">
        <v>198</v>
      </c>
      <c r="AF199" s="187" t="str">
        <f t="shared" ca="1" si="56"/>
        <v>F214</v>
      </c>
      <c r="AG199" s="178"/>
      <c r="AH199" s="178"/>
      <c r="AI199" s="178"/>
      <c r="AJ199" s="178"/>
      <c r="AK199" s="178"/>
    </row>
    <row r="200" spans="1:37" x14ac:dyDescent="0.25">
      <c r="A200" s="186">
        <v>42203</v>
      </c>
      <c r="B200" s="188" t="s">
        <v>21</v>
      </c>
      <c r="C200" s="189">
        <f ca="1">+IF(AD200=0,P200,(SUM(INDIRECT(CONCATENATE("B",AD200,":B",AA200)))/'parametres articles'!$H$8))</f>
        <v>0</v>
      </c>
      <c r="D200" s="187">
        <f>IFERROR(VLOOKUP(A200,'Mvmt stock'!A:B,2,0),0)</f>
        <v>0</v>
      </c>
      <c r="E200" s="188">
        <f>IFERROR(VLOOKUP(A200,'Mvmt stock'!D:E,2,0),0)</f>
        <v>0</v>
      </c>
      <c r="F200" s="188">
        <f t="shared" si="53"/>
        <v>71</v>
      </c>
      <c r="G200" s="208">
        <f>IFERROR(VLOOKUP(A200,'Mvmt stock'!G:H,2,0),0)</f>
        <v>0</v>
      </c>
      <c r="H200" s="190">
        <f>IFERROR(VLOOKUP(A200,Stock!B:C,2,0),H199)</f>
        <v>73</v>
      </c>
      <c r="I200" s="188">
        <f t="shared" si="45"/>
        <v>71</v>
      </c>
      <c r="J200" s="191">
        <f t="shared" si="44"/>
        <v>59.476190476190474</v>
      </c>
      <c r="K200" s="187">
        <f>+HLOOKUP($B200,'parametres articles'!$C$5:$G$25,5,FALSE)</f>
        <v>15</v>
      </c>
      <c r="L200" s="187">
        <f>+HLOOKUP($B200,'parametres articles'!$C$5:$G$25,21,FALSE)</f>
        <v>13</v>
      </c>
      <c r="M200" s="192">
        <f>+HLOOKUP($B200,'parametres articles'!$C$5:$G$25,7,FALSE)</f>
        <v>0.8</v>
      </c>
      <c r="N200" s="192">
        <f>+HLOOKUP($B200,'parametres articles'!$C$5:$G$25,6,FALSE)</f>
        <v>0.4</v>
      </c>
      <c r="O200" s="187">
        <f>+HLOOKUP($B200,'parametres articles'!$C$5:$G$25,8,FALSE)</f>
        <v>0</v>
      </c>
      <c r="P200" s="193">
        <f>IF(B200="E",'parametres articles'!$C$8,HLOOKUP($B200,'parametres articles'!$C$5:$F$25,4,FALSE))</f>
        <v>2.27</v>
      </c>
      <c r="Q200" s="193">
        <f t="shared" si="46"/>
        <v>2.27</v>
      </c>
      <c r="R200" s="199">
        <f t="shared" si="54"/>
        <v>13.62</v>
      </c>
      <c r="S200" s="197">
        <f t="shared" si="47"/>
        <v>24.515999999999998</v>
      </c>
      <c r="T200" s="201">
        <f t="shared" si="48"/>
        <v>58.565999999999995</v>
      </c>
      <c r="U200" s="203">
        <f t="shared" si="55"/>
        <v>72.185999999999993</v>
      </c>
      <c r="V200" s="187">
        <f t="shared" si="49"/>
        <v>24.515999999999998</v>
      </c>
      <c r="W200" s="187">
        <f t="shared" si="50"/>
        <v>34.049999999999997</v>
      </c>
      <c r="X200" s="187">
        <f t="shared" si="51"/>
        <v>13.62</v>
      </c>
      <c r="Y200" s="193">
        <f t="shared" si="52"/>
        <v>31.325999999999997</v>
      </c>
      <c r="Z200" s="194"/>
      <c r="AA200" s="195">
        <f t="shared" ca="1" si="57"/>
        <v>200</v>
      </c>
      <c r="AB200" s="195">
        <f ca="1">+AA200+'parametres articles'!$C$9-1</f>
        <v>214</v>
      </c>
      <c r="AC200" s="195">
        <f ca="1">+AA200+'parametres articles'!$C$24-1</f>
        <v>219</v>
      </c>
      <c r="AD200" s="195">
        <f ca="1">+IF(AE200&lt;='parametres articles'!$H$8,0,AA200-'parametres articles'!$H$8+1)</f>
        <v>196</v>
      </c>
      <c r="AE200" s="195">
        <v>199</v>
      </c>
      <c r="AF200" s="187" t="str">
        <f t="shared" ca="1" si="56"/>
        <v>F215</v>
      </c>
      <c r="AG200" s="181"/>
      <c r="AH200" s="178"/>
      <c r="AI200" s="178"/>
      <c r="AJ200" s="178"/>
      <c r="AK200" s="178"/>
    </row>
    <row r="201" spans="1:37" x14ac:dyDescent="0.25">
      <c r="A201" s="186">
        <v>42204</v>
      </c>
      <c r="B201" s="188" t="s">
        <v>21</v>
      </c>
      <c r="C201" s="189">
        <f ca="1">+IF(AD201=0,P201,(SUM(INDIRECT(CONCATENATE("B",AD201,":B",AA201)))/'parametres articles'!$H$8))</f>
        <v>0</v>
      </c>
      <c r="D201" s="187">
        <f>IFERROR(VLOOKUP(A201,'Mvmt stock'!A:B,2,0),0)</f>
        <v>0</v>
      </c>
      <c r="E201" s="188">
        <f>IFERROR(VLOOKUP(A201,'Mvmt stock'!D:E,2,0),0)</f>
        <v>0</v>
      </c>
      <c r="F201" s="188">
        <f t="shared" si="53"/>
        <v>71</v>
      </c>
      <c r="G201" s="208">
        <f>IFERROR(VLOOKUP(A201,'Mvmt stock'!G:H,2,0),0)</f>
        <v>0</v>
      </c>
      <c r="H201" s="190">
        <f>IFERROR(VLOOKUP(A201,Stock!B:C,2,0),H200)</f>
        <v>73</v>
      </c>
      <c r="I201" s="188">
        <f t="shared" si="45"/>
        <v>71</v>
      </c>
      <c r="J201" s="191">
        <f t="shared" si="44"/>
        <v>59.80952380952381</v>
      </c>
      <c r="K201" s="187">
        <f>+HLOOKUP($B201,'parametres articles'!$C$5:$G$25,5,FALSE)</f>
        <v>15</v>
      </c>
      <c r="L201" s="187">
        <f>+HLOOKUP($B201,'parametres articles'!$C$5:$G$25,21,FALSE)</f>
        <v>13</v>
      </c>
      <c r="M201" s="192">
        <f>+HLOOKUP($B201,'parametres articles'!$C$5:$G$25,7,FALSE)</f>
        <v>0.8</v>
      </c>
      <c r="N201" s="192">
        <f>+HLOOKUP($B201,'parametres articles'!$C$5:$G$25,6,FALSE)</f>
        <v>0.4</v>
      </c>
      <c r="O201" s="187">
        <f>+HLOOKUP($B201,'parametres articles'!$C$5:$G$25,8,FALSE)</f>
        <v>0</v>
      </c>
      <c r="P201" s="193">
        <f>IF(B201="E",'parametres articles'!$C$8,HLOOKUP($B201,'parametres articles'!$C$5:$F$25,4,FALSE))</f>
        <v>2.27</v>
      </c>
      <c r="Q201" s="193">
        <f t="shared" si="46"/>
        <v>2.27</v>
      </c>
      <c r="R201" s="199">
        <f t="shared" si="54"/>
        <v>13.62</v>
      </c>
      <c r="S201" s="197">
        <f t="shared" si="47"/>
        <v>24.515999999999998</v>
      </c>
      <c r="T201" s="201">
        <f t="shared" si="48"/>
        <v>58.565999999999995</v>
      </c>
      <c r="U201" s="203">
        <f t="shared" si="55"/>
        <v>72.185999999999993</v>
      </c>
      <c r="V201" s="187">
        <f t="shared" si="49"/>
        <v>24.515999999999998</v>
      </c>
      <c r="W201" s="187">
        <f t="shared" si="50"/>
        <v>34.049999999999997</v>
      </c>
      <c r="X201" s="187">
        <f t="shared" si="51"/>
        <v>13.62</v>
      </c>
      <c r="Y201" s="193">
        <f t="shared" si="52"/>
        <v>31.325999999999997</v>
      </c>
      <c r="Z201" s="194"/>
      <c r="AA201" s="195">
        <f t="shared" ca="1" si="57"/>
        <v>201</v>
      </c>
      <c r="AB201" s="195">
        <f ca="1">+AA201+'parametres articles'!$C$9-1</f>
        <v>215</v>
      </c>
      <c r="AC201" s="195">
        <f ca="1">+AA201+'parametres articles'!$C$24-1</f>
        <v>220</v>
      </c>
      <c r="AD201" s="195">
        <f ca="1">+IF(AE201&lt;='parametres articles'!$H$8,0,AA201-'parametres articles'!$H$8+1)</f>
        <v>197</v>
      </c>
      <c r="AE201" s="195">
        <v>200</v>
      </c>
      <c r="AF201" s="187" t="str">
        <f t="shared" ca="1" si="56"/>
        <v>F216</v>
      </c>
      <c r="AH201" s="178"/>
      <c r="AI201" s="178"/>
      <c r="AJ201" s="178"/>
      <c r="AK201" s="178"/>
    </row>
    <row r="202" spans="1:37" x14ac:dyDescent="0.25">
      <c r="A202" s="186">
        <v>42205</v>
      </c>
      <c r="B202" s="188" t="s">
        <v>21</v>
      </c>
      <c r="C202" s="189">
        <f ca="1">+IF(AD202=0,P202,(SUM(INDIRECT(CONCATENATE("B",AD202,":B",AA202)))/'parametres articles'!$H$8))</f>
        <v>0</v>
      </c>
      <c r="D202" s="187">
        <f>IFERROR(VLOOKUP(A202,'Mvmt stock'!A:B,2,0),0)</f>
        <v>0</v>
      </c>
      <c r="E202" s="188">
        <f>IFERROR(VLOOKUP(A202,'Mvmt stock'!D:E,2,0),0)</f>
        <v>0</v>
      </c>
      <c r="F202" s="188">
        <f t="shared" si="53"/>
        <v>71</v>
      </c>
      <c r="G202" s="208">
        <f>IFERROR(VLOOKUP(A202,'Mvmt stock'!G:H,2,0),0)</f>
        <v>0</v>
      </c>
      <c r="H202" s="190">
        <f>IFERROR(VLOOKUP(A202,Stock!B:C,2,0),H201)</f>
        <v>73</v>
      </c>
      <c r="I202" s="188">
        <f t="shared" si="45"/>
        <v>71</v>
      </c>
      <c r="J202" s="191">
        <f t="shared" si="44"/>
        <v>60.142857142857146</v>
      </c>
      <c r="K202" s="187">
        <f>+HLOOKUP($B202,'parametres articles'!$C$5:$G$25,5,FALSE)</f>
        <v>15</v>
      </c>
      <c r="L202" s="187">
        <f>+HLOOKUP($B202,'parametres articles'!$C$5:$G$25,21,FALSE)</f>
        <v>13</v>
      </c>
      <c r="M202" s="192">
        <f>+HLOOKUP($B202,'parametres articles'!$C$5:$G$25,7,FALSE)</f>
        <v>0.8</v>
      </c>
      <c r="N202" s="192">
        <f>+HLOOKUP($B202,'parametres articles'!$C$5:$G$25,6,FALSE)</f>
        <v>0.4</v>
      </c>
      <c r="O202" s="187">
        <f>+HLOOKUP($B202,'parametres articles'!$C$5:$G$25,8,FALSE)</f>
        <v>0</v>
      </c>
      <c r="P202" s="193">
        <f>IF(B202="E",'parametres articles'!$C$8,HLOOKUP($B202,'parametres articles'!$C$5:$F$25,4,FALSE))</f>
        <v>2.27</v>
      </c>
      <c r="Q202" s="193">
        <f t="shared" si="46"/>
        <v>2.27</v>
      </c>
      <c r="R202" s="199">
        <f t="shared" si="54"/>
        <v>13.62</v>
      </c>
      <c r="S202" s="197">
        <f t="shared" si="47"/>
        <v>24.515999999999998</v>
      </c>
      <c r="T202" s="201">
        <f t="shared" si="48"/>
        <v>58.565999999999995</v>
      </c>
      <c r="U202" s="203">
        <f t="shared" si="55"/>
        <v>72.185999999999993</v>
      </c>
      <c r="V202" s="187">
        <f t="shared" si="49"/>
        <v>24.515999999999998</v>
      </c>
      <c r="W202" s="187">
        <f t="shared" si="50"/>
        <v>34.049999999999997</v>
      </c>
      <c r="X202" s="187">
        <f t="shared" si="51"/>
        <v>13.62</v>
      </c>
      <c r="Y202" s="193">
        <f t="shared" si="52"/>
        <v>31.325999999999997</v>
      </c>
      <c r="Z202" s="194"/>
      <c r="AA202" s="195">
        <f t="shared" ca="1" si="57"/>
        <v>202</v>
      </c>
      <c r="AB202" s="195">
        <f ca="1">+AA202+'parametres articles'!$C$9-1</f>
        <v>216</v>
      </c>
      <c r="AC202" s="195">
        <f ca="1">+AA202+'parametres articles'!$C$24-1</f>
        <v>221</v>
      </c>
      <c r="AD202" s="195">
        <f ca="1">+IF(AE202&lt;='parametres articles'!$H$8,0,AA202-'parametres articles'!$H$8+1)</f>
        <v>198</v>
      </c>
      <c r="AE202" s="195">
        <v>201</v>
      </c>
      <c r="AF202" s="187" t="str">
        <f t="shared" ca="1" si="56"/>
        <v>F217</v>
      </c>
      <c r="AH202" s="178"/>
      <c r="AI202" s="178"/>
      <c r="AJ202" s="178"/>
      <c r="AK202" s="178"/>
    </row>
    <row r="203" spans="1:37" x14ac:dyDescent="0.25">
      <c r="A203" s="186">
        <v>42206</v>
      </c>
      <c r="B203" s="188" t="s">
        <v>21</v>
      </c>
      <c r="C203" s="189">
        <f ca="1">+IF(AD203=0,P203,(SUM(INDIRECT(CONCATENATE("B",AD203,":B",AA203)))/'parametres articles'!$H$8))</f>
        <v>0</v>
      </c>
      <c r="D203" s="187">
        <f>IFERROR(VLOOKUP(A203,'Mvmt stock'!A:B,2,0),0)</f>
        <v>0</v>
      </c>
      <c r="E203" s="188">
        <f>IFERROR(VLOOKUP(A203,'Mvmt stock'!D:E,2,0),0)</f>
        <v>0</v>
      </c>
      <c r="F203" s="188">
        <f t="shared" si="53"/>
        <v>71</v>
      </c>
      <c r="G203" s="208">
        <f>IFERROR(VLOOKUP(A203,'Mvmt stock'!G:H,2,0),0)</f>
        <v>0</v>
      </c>
      <c r="H203" s="190">
        <f>IFERROR(VLOOKUP(A203,Stock!B:C,2,0),H202)</f>
        <v>73</v>
      </c>
      <c r="I203" s="188">
        <f t="shared" si="45"/>
        <v>71</v>
      </c>
      <c r="J203" s="191">
        <f t="shared" si="44"/>
        <v>60.285714285714285</v>
      </c>
      <c r="K203" s="187">
        <f>+HLOOKUP($B203,'parametres articles'!$C$5:$G$25,5,FALSE)</f>
        <v>15</v>
      </c>
      <c r="L203" s="187">
        <f>+HLOOKUP($B203,'parametres articles'!$C$5:$G$25,21,FALSE)</f>
        <v>13</v>
      </c>
      <c r="M203" s="192">
        <f>+HLOOKUP($B203,'parametres articles'!$C$5:$G$25,7,FALSE)</f>
        <v>0.8</v>
      </c>
      <c r="N203" s="192">
        <f>+HLOOKUP($B203,'parametres articles'!$C$5:$G$25,6,FALSE)</f>
        <v>0.4</v>
      </c>
      <c r="O203" s="187">
        <f>+HLOOKUP($B203,'parametres articles'!$C$5:$G$25,8,FALSE)</f>
        <v>0</v>
      </c>
      <c r="P203" s="193">
        <f>IF(B203="E",'parametres articles'!$C$8,HLOOKUP($B203,'parametres articles'!$C$5:$F$25,4,FALSE))</f>
        <v>2.27</v>
      </c>
      <c r="Q203" s="193">
        <f t="shared" si="46"/>
        <v>2.27</v>
      </c>
      <c r="R203" s="199">
        <f t="shared" si="54"/>
        <v>13.62</v>
      </c>
      <c r="S203" s="197">
        <f t="shared" si="47"/>
        <v>24.515999999999998</v>
      </c>
      <c r="T203" s="201">
        <f t="shared" si="48"/>
        <v>58.565999999999995</v>
      </c>
      <c r="U203" s="203">
        <f t="shared" si="55"/>
        <v>72.185999999999993</v>
      </c>
      <c r="V203" s="187">
        <f t="shared" si="49"/>
        <v>24.515999999999998</v>
      </c>
      <c r="W203" s="187">
        <f t="shared" si="50"/>
        <v>34.049999999999997</v>
      </c>
      <c r="X203" s="187">
        <f t="shared" si="51"/>
        <v>13.62</v>
      </c>
      <c r="Y203" s="193">
        <f t="shared" si="52"/>
        <v>31.325999999999997</v>
      </c>
      <c r="Z203" s="194"/>
      <c r="AA203" s="195">
        <f t="shared" ca="1" si="57"/>
        <v>203</v>
      </c>
      <c r="AB203" s="195">
        <f ca="1">+AA203+'parametres articles'!$C$9-1</f>
        <v>217</v>
      </c>
      <c r="AC203" s="195">
        <f ca="1">+AA203+'parametres articles'!$C$24-1</f>
        <v>222</v>
      </c>
      <c r="AD203" s="195">
        <f ca="1">+IF(AE203&lt;='parametres articles'!$H$8,0,AA203-'parametres articles'!$H$8+1)</f>
        <v>199</v>
      </c>
      <c r="AE203" s="195">
        <v>202</v>
      </c>
      <c r="AF203" s="187" t="str">
        <f t="shared" ca="1" si="56"/>
        <v>F218</v>
      </c>
      <c r="AH203" s="178"/>
      <c r="AI203" s="178"/>
      <c r="AJ203" s="178"/>
      <c r="AK203" s="178"/>
    </row>
    <row r="204" spans="1:37" x14ac:dyDescent="0.25">
      <c r="A204" s="186">
        <v>42207</v>
      </c>
      <c r="B204" s="188" t="s">
        <v>21</v>
      </c>
      <c r="C204" s="189">
        <f ca="1">+IF(AD204=0,P204,(SUM(INDIRECT(CONCATENATE("B",AD204,":B",AA204)))/'parametres articles'!$H$8))</f>
        <v>0</v>
      </c>
      <c r="D204" s="187">
        <f>IFERROR(VLOOKUP(A204,'Mvmt stock'!A:B,2,0),0)</f>
        <v>2</v>
      </c>
      <c r="E204" s="188">
        <f>IFERROR(VLOOKUP(A204,'Mvmt stock'!D:E,2,0),0)</f>
        <v>0</v>
      </c>
      <c r="F204" s="188">
        <f t="shared" si="53"/>
        <v>71</v>
      </c>
      <c r="G204" s="208">
        <f>IFERROR(VLOOKUP(A204,'Mvmt stock'!G:H,2,0),0)</f>
        <v>0</v>
      </c>
      <c r="H204" s="190">
        <f>IFERROR(VLOOKUP(A204,Stock!B:C,2,0),H203)</f>
        <v>73</v>
      </c>
      <c r="I204" s="188">
        <f t="shared" si="45"/>
        <v>69</v>
      </c>
      <c r="J204" s="191">
        <f t="shared" si="44"/>
        <v>60.428571428571431</v>
      </c>
      <c r="K204" s="187">
        <f>+HLOOKUP($B204,'parametres articles'!$C$5:$G$25,5,FALSE)</f>
        <v>15</v>
      </c>
      <c r="L204" s="187">
        <f>+HLOOKUP($B204,'parametres articles'!$C$5:$G$25,21,FALSE)</f>
        <v>13</v>
      </c>
      <c r="M204" s="192">
        <f>+HLOOKUP($B204,'parametres articles'!$C$5:$G$25,7,FALSE)</f>
        <v>0.8</v>
      </c>
      <c r="N204" s="192">
        <f>+HLOOKUP($B204,'parametres articles'!$C$5:$G$25,6,FALSE)</f>
        <v>0.4</v>
      </c>
      <c r="O204" s="187">
        <f>+HLOOKUP($B204,'parametres articles'!$C$5:$G$25,8,FALSE)</f>
        <v>0</v>
      </c>
      <c r="P204" s="193">
        <f>IF(B204="E",'parametres articles'!$C$8,HLOOKUP($B204,'parametres articles'!$C$5:$F$25,4,FALSE))</f>
        <v>2.27</v>
      </c>
      <c r="Q204" s="193">
        <f t="shared" si="46"/>
        <v>2.27</v>
      </c>
      <c r="R204" s="199">
        <f t="shared" si="54"/>
        <v>13.62</v>
      </c>
      <c r="S204" s="197">
        <f t="shared" si="47"/>
        <v>24.515999999999998</v>
      </c>
      <c r="T204" s="201">
        <f t="shared" si="48"/>
        <v>58.565999999999995</v>
      </c>
      <c r="U204" s="203">
        <f t="shared" si="55"/>
        <v>72.185999999999993</v>
      </c>
      <c r="V204" s="187">
        <f t="shared" si="49"/>
        <v>24.515999999999998</v>
      </c>
      <c r="W204" s="187">
        <f t="shared" si="50"/>
        <v>34.049999999999997</v>
      </c>
      <c r="X204" s="187">
        <f t="shared" si="51"/>
        <v>13.62</v>
      </c>
      <c r="Y204" s="193">
        <f t="shared" si="52"/>
        <v>31.325999999999997</v>
      </c>
      <c r="Z204" s="194"/>
      <c r="AA204" s="195">
        <f t="shared" ca="1" si="57"/>
        <v>204</v>
      </c>
      <c r="AB204" s="195">
        <f ca="1">+AA204+'parametres articles'!$C$9-1</f>
        <v>218</v>
      </c>
      <c r="AC204" s="195">
        <f ca="1">+AA204+'parametres articles'!$C$24-1</f>
        <v>223</v>
      </c>
      <c r="AD204" s="195">
        <f ca="1">+IF(AE204&lt;='parametres articles'!$H$8,0,AA204-'parametres articles'!$H$8+1)</f>
        <v>200</v>
      </c>
      <c r="AE204" s="195">
        <v>203</v>
      </c>
      <c r="AF204" s="187" t="str">
        <f t="shared" ca="1" si="56"/>
        <v>F219</v>
      </c>
      <c r="AH204" s="178"/>
      <c r="AI204" s="178"/>
      <c r="AJ204" s="178"/>
      <c r="AK204" s="178"/>
    </row>
    <row r="205" spans="1:37" x14ac:dyDescent="0.25">
      <c r="A205" s="186">
        <v>42208</v>
      </c>
      <c r="B205" s="188" t="s">
        <v>21</v>
      </c>
      <c r="C205" s="189">
        <f ca="1">+IF(AD205=0,P205,(SUM(INDIRECT(CONCATENATE("B",AD205,":B",AA205)))/'parametres articles'!$H$8))</f>
        <v>0</v>
      </c>
      <c r="D205" s="187">
        <f>IFERROR(VLOOKUP(A205,'Mvmt stock'!A:B,2,0),0)</f>
        <v>0</v>
      </c>
      <c r="E205" s="188">
        <f>IFERROR(VLOOKUP(A205,'Mvmt stock'!D:E,2,0),0)</f>
        <v>0</v>
      </c>
      <c r="F205" s="188">
        <f t="shared" si="53"/>
        <v>69</v>
      </c>
      <c r="G205" s="208">
        <f>IFERROR(VLOOKUP(A205,'Mvmt stock'!G:H,2,0),0)</f>
        <v>0</v>
      </c>
      <c r="H205" s="190">
        <f>IFERROR(VLOOKUP(A205,Stock!B:C,2,0),H204)</f>
        <v>71</v>
      </c>
      <c r="I205" s="188">
        <f t="shared" si="45"/>
        <v>69</v>
      </c>
      <c r="J205" s="191">
        <f t="shared" si="44"/>
        <v>60.857142857142854</v>
      </c>
      <c r="K205" s="187">
        <f>+HLOOKUP($B205,'parametres articles'!$C$5:$G$25,5,FALSE)</f>
        <v>15</v>
      </c>
      <c r="L205" s="187">
        <f>+HLOOKUP($B205,'parametres articles'!$C$5:$G$25,21,FALSE)</f>
        <v>13</v>
      </c>
      <c r="M205" s="192">
        <f>+HLOOKUP($B205,'parametres articles'!$C$5:$G$25,7,FALSE)</f>
        <v>0.8</v>
      </c>
      <c r="N205" s="192">
        <f>+HLOOKUP($B205,'parametres articles'!$C$5:$G$25,6,FALSE)</f>
        <v>0.4</v>
      </c>
      <c r="O205" s="187">
        <f>+HLOOKUP($B205,'parametres articles'!$C$5:$G$25,8,FALSE)</f>
        <v>0</v>
      </c>
      <c r="P205" s="193">
        <f>IF(B205="E",'parametres articles'!$C$8,HLOOKUP($B205,'parametres articles'!$C$5:$F$25,4,FALSE))</f>
        <v>2.27</v>
      </c>
      <c r="Q205" s="193">
        <f t="shared" si="46"/>
        <v>2.27</v>
      </c>
      <c r="R205" s="199">
        <f t="shared" si="54"/>
        <v>13.62</v>
      </c>
      <c r="S205" s="197">
        <f t="shared" si="47"/>
        <v>24.515999999999998</v>
      </c>
      <c r="T205" s="201">
        <f t="shared" si="48"/>
        <v>58.565999999999995</v>
      </c>
      <c r="U205" s="203">
        <f t="shared" si="55"/>
        <v>72.185999999999993</v>
      </c>
      <c r="V205" s="187">
        <f t="shared" si="49"/>
        <v>24.515999999999998</v>
      </c>
      <c r="W205" s="187">
        <f t="shared" si="50"/>
        <v>34.049999999999997</v>
      </c>
      <c r="X205" s="187">
        <f t="shared" si="51"/>
        <v>13.62</v>
      </c>
      <c r="Y205" s="193">
        <f t="shared" si="52"/>
        <v>31.325999999999997</v>
      </c>
      <c r="Z205" s="194"/>
      <c r="AA205" s="195">
        <f t="shared" ca="1" si="57"/>
        <v>205</v>
      </c>
      <c r="AB205" s="195">
        <f ca="1">+AA205+'parametres articles'!$C$9-1</f>
        <v>219</v>
      </c>
      <c r="AC205" s="195">
        <f ca="1">+AA205+'parametres articles'!$C$24-1</f>
        <v>224</v>
      </c>
      <c r="AD205" s="195">
        <f ca="1">+IF(AE205&lt;='parametres articles'!$H$8,0,AA205-'parametres articles'!$H$8+1)</f>
        <v>201</v>
      </c>
      <c r="AE205" s="195">
        <v>204</v>
      </c>
      <c r="AF205" s="187" t="str">
        <f t="shared" ca="1" si="56"/>
        <v>F220</v>
      </c>
      <c r="AG205" s="178"/>
      <c r="AH205" s="178"/>
      <c r="AI205" s="178"/>
      <c r="AJ205" s="178"/>
      <c r="AK205" s="178"/>
    </row>
    <row r="206" spans="1:37" x14ac:dyDescent="0.25">
      <c r="A206" s="186">
        <v>42209</v>
      </c>
      <c r="B206" s="188" t="s">
        <v>21</v>
      </c>
      <c r="C206" s="189">
        <f ca="1">+IF(AD206=0,P206,(SUM(INDIRECT(CONCATENATE("B",AD206,":B",AA206)))/'parametres articles'!$H$8))</f>
        <v>0</v>
      </c>
      <c r="D206" s="187">
        <f>IFERROR(VLOOKUP(A206,'Mvmt stock'!A:B,2,0),0)</f>
        <v>0</v>
      </c>
      <c r="E206" s="188">
        <f>IFERROR(VLOOKUP(A206,'Mvmt stock'!D:E,2,0),0)</f>
        <v>0</v>
      </c>
      <c r="F206" s="188">
        <f t="shared" si="53"/>
        <v>69</v>
      </c>
      <c r="G206" s="208">
        <f>IFERROR(VLOOKUP(A206,'Mvmt stock'!G:H,2,0),0)</f>
        <v>0</v>
      </c>
      <c r="H206" s="190">
        <f>IFERROR(VLOOKUP(A206,Stock!B:C,2,0),H205)</f>
        <v>71</v>
      </c>
      <c r="I206" s="188">
        <f t="shared" si="45"/>
        <v>69</v>
      </c>
      <c r="J206" s="191">
        <f t="shared" si="44"/>
        <v>61.476190476190474</v>
      </c>
      <c r="K206" s="187">
        <f>+HLOOKUP($B206,'parametres articles'!$C$5:$G$25,5,FALSE)</f>
        <v>15</v>
      </c>
      <c r="L206" s="187">
        <f>+HLOOKUP($B206,'parametres articles'!$C$5:$G$25,21,FALSE)</f>
        <v>13</v>
      </c>
      <c r="M206" s="192">
        <f>+HLOOKUP($B206,'parametres articles'!$C$5:$G$25,7,FALSE)</f>
        <v>0.8</v>
      </c>
      <c r="N206" s="192">
        <f>+HLOOKUP($B206,'parametres articles'!$C$5:$G$25,6,FALSE)</f>
        <v>0.4</v>
      </c>
      <c r="O206" s="187">
        <f>+HLOOKUP($B206,'parametres articles'!$C$5:$G$25,8,FALSE)</f>
        <v>0</v>
      </c>
      <c r="P206" s="193">
        <f>IF(B206="E",'parametres articles'!$C$8,HLOOKUP($B206,'parametres articles'!$C$5:$F$25,4,FALSE))</f>
        <v>2.27</v>
      </c>
      <c r="Q206" s="193">
        <f t="shared" si="46"/>
        <v>2.27</v>
      </c>
      <c r="R206" s="199">
        <f t="shared" si="54"/>
        <v>13.62</v>
      </c>
      <c r="S206" s="197">
        <f t="shared" si="47"/>
        <v>24.515999999999998</v>
      </c>
      <c r="T206" s="201">
        <f t="shared" si="48"/>
        <v>58.565999999999995</v>
      </c>
      <c r="U206" s="203">
        <f t="shared" si="55"/>
        <v>72.185999999999993</v>
      </c>
      <c r="V206" s="187">
        <f t="shared" si="49"/>
        <v>24.515999999999998</v>
      </c>
      <c r="W206" s="187">
        <f t="shared" si="50"/>
        <v>34.049999999999997</v>
      </c>
      <c r="X206" s="187">
        <f t="shared" si="51"/>
        <v>13.62</v>
      </c>
      <c r="Y206" s="193">
        <f t="shared" si="52"/>
        <v>31.325999999999997</v>
      </c>
      <c r="Z206" s="194"/>
      <c r="AA206" s="195">
        <f t="shared" ca="1" si="57"/>
        <v>206</v>
      </c>
      <c r="AB206" s="195">
        <f ca="1">+AA206+'parametres articles'!$C$9-1</f>
        <v>220</v>
      </c>
      <c r="AC206" s="195">
        <f ca="1">+AA206+'parametres articles'!$C$24-1</f>
        <v>225</v>
      </c>
      <c r="AD206" s="195">
        <f ca="1">+IF(AE206&lt;='parametres articles'!$H$8,0,AA206-'parametres articles'!$H$8+1)</f>
        <v>202</v>
      </c>
      <c r="AE206" s="195">
        <v>205</v>
      </c>
      <c r="AF206" s="187" t="str">
        <f t="shared" ca="1" si="56"/>
        <v>F221</v>
      </c>
      <c r="AG206" s="178"/>
      <c r="AH206" s="178"/>
      <c r="AI206" s="178"/>
      <c r="AJ206" s="178"/>
      <c r="AK206" s="178"/>
    </row>
    <row r="207" spans="1:37" x14ac:dyDescent="0.25">
      <c r="A207" s="186">
        <v>42210</v>
      </c>
      <c r="B207" s="188" t="s">
        <v>21</v>
      </c>
      <c r="C207" s="189">
        <f ca="1">+IF(AD207=0,P207,(SUM(INDIRECT(CONCATENATE("B",AD207,":B",AA207)))/'parametres articles'!$H$8))</f>
        <v>0</v>
      </c>
      <c r="D207" s="187">
        <f>IFERROR(VLOOKUP(A207,'Mvmt stock'!A:B,2,0),0)</f>
        <v>0</v>
      </c>
      <c r="E207" s="188">
        <f>IFERROR(VLOOKUP(A207,'Mvmt stock'!D:E,2,0),0)</f>
        <v>0</v>
      </c>
      <c r="F207" s="188">
        <f t="shared" si="53"/>
        <v>69</v>
      </c>
      <c r="G207" s="208">
        <f>IFERROR(VLOOKUP(A207,'Mvmt stock'!G:H,2,0),0)</f>
        <v>0</v>
      </c>
      <c r="H207" s="190">
        <f>IFERROR(VLOOKUP(A207,Stock!B:C,2,0),H206)</f>
        <v>71</v>
      </c>
      <c r="I207" s="188">
        <f t="shared" si="45"/>
        <v>69</v>
      </c>
      <c r="J207" s="191">
        <f t="shared" si="44"/>
        <v>62.095238095238095</v>
      </c>
      <c r="K207" s="187">
        <f>+HLOOKUP($B207,'parametres articles'!$C$5:$G$25,5,FALSE)</f>
        <v>15</v>
      </c>
      <c r="L207" s="187">
        <f>+HLOOKUP($B207,'parametres articles'!$C$5:$G$25,21,FALSE)</f>
        <v>13</v>
      </c>
      <c r="M207" s="192">
        <f>+HLOOKUP($B207,'parametres articles'!$C$5:$G$25,7,FALSE)</f>
        <v>0.8</v>
      </c>
      <c r="N207" s="192">
        <f>+HLOOKUP($B207,'parametres articles'!$C$5:$G$25,6,FALSE)</f>
        <v>0.4</v>
      </c>
      <c r="O207" s="187">
        <f>+HLOOKUP($B207,'parametres articles'!$C$5:$G$25,8,FALSE)</f>
        <v>0</v>
      </c>
      <c r="P207" s="193">
        <f>IF(B207="E",'parametres articles'!$C$8,HLOOKUP($B207,'parametres articles'!$C$5:$F$25,4,FALSE))</f>
        <v>2.27</v>
      </c>
      <c r="Q207" s="193">
        <f t="shared" si="46"/>
        <v>2.27</v>
      </c>
      <c r="R207" s="199">
        <f t="shared" si="54"/>
        <v>13.62</v>
      </c>
      <c r="S207" s="197">
        <f t="shared" si="47"/>
        <v>24.515999999999998</v>
      </c>
      <c r="T207" s="201">
        <f t="shared" si="48"/>
        <v>58.565999999999995</v>
      </c>
      <c r="U207" s="203">
        <f t="shared" si="55"/>
        <v>72.185999999999993</v>
      </c>
      <c r="V207" s="187">
        <f t="shared" si="49"/>
        <v>24.515999999999998</v>
      </c>
      <c r="W207" s="187">
        <f t="shared" si="50"/>
        <v>34.049999999999997</v>
      </c>
      <c r="X207" s="187">
        <f t="shared" si="51"/>
        <v>13.62</v>
      </c>
      <c r="Y207" s="193">
        <f t="shared" si="52"/>
        <v>31.325999999999997</v>
      </c>
      <c r="Z207" s="194"/>
      <c r="AA207" s="195">
        <f t="shared" ca="1" si="57"/>
        <v>207</v>
      </c>
      <c r="AB207" s="195">
        <f ca="1">+AA207+'parametres articles'!$C$9-1</f>
        <v>221</v>
      </c>
      <c r="AC207" s="195">
        <f ca="1">+AA207+'parametres articles'!$C$24-1</f>
        <v>226</v>
      </c>
      <c r="AD207" s="195">
        <f ca="1">+IF(AE207&lt;='parametres articles'!$H$8,0,AA207-'parametres articles'!$H$8+1)</f>
        <v>203</v>
      </c>
      <c r="AE207" s="195">
        <v>206</v>
      </c>
      <c r="AF207" s="187" t="str">
        <f t="shared" ca="1" si="56"/>
        <v>F222</v>
      </c>
      <c r="AG207" s="178"/>
      <c r="AH207" s="178"/>
      <c r="AI207" s="178"/>
      <c r="AJ207" s="178"/>
      <c r="AK207" s="178"/>
    </row>
    <row r="208" spans="1:37" x14ac:dyDescent="0.25">
      <c r="A208" s="186">
        <v>42211</v>
      </c>
      <c r="B208" s="188" t="s">
        <v>21</v>
      </c>
      <c r="C208" s="189">
        <f ca="1">+IF(AD208=0,P208,(SUM(INDIRECT(CONCATENATE("B",AD208,":B",AA208)))/'parametres articles'!$H$8))</f>
        <v>0</v>
      </c>
      <c r="D208" s="187">
        <f>IFERROR(VLOOKUP(A208,'Mvmt stock'!A:B,2,0),0)</f>
        <v>0</v>
      </c>
      <c r="E208" s="188">
        <f>IFERROR(VLOOKUP(A208,'Mvmt stock'!D:E,2,0),0)</f>
        <v>0</v>
      </c>
      <c r="F208" s="188">
        <f t="shared" si="53"/>
        <v>69</v>
      </c>
      <c r="G208" s="208">
        <f>IFERROR(VLOOKUP(A208,'Mvmt stock'!G:H,2,0),0)</f>
        <v>0</v>
      </c>
      <c r="H208" s="190">
        <f>IFERROR(VLOOKUP(A208,Stock!B:C,2,0),H207)</f>
        <v>71</v>
      </c>
      <c r="I208" s="188">
        <f t="shared" si="45"/>
        <v>69</v>
      </c>
      <c r="J208" s="191">
        <f t="shared" si="44"/>
        <v>62.714285714285715</v>
      </c>
      <c r="K208" s="187">
        <f>+HLOOKUP($B208,'parametres articles'!$C$5:$G$25,5,FALSE)</f>
        <v>15</v>
      </c>
      <c r="L208" s="187">
        <f>+HLOOKUP($B208,'parametres articles'!$C$5:$G$25,21,FALSE)</f>
        <v>13</v>
      </c>
      <c r="M208" s="192">
        <f>+HLOOKUP($B208,'parametres articles'!$C$5:$G$25,7,FALSE)</f>
        <v>0.8</v>
      </c>
      <c r="N208" s="192">
        <f>+HLOOKUP($B208,'parametres articles'!$C$5:$G$25,6,FALSE)</f>
        <v>0.4</v>
      </c>
      <c r="O208" s="187">
        <f>+HLOOKUP($B208,'parametres articles'!$C$5:$G$25,8,FALSE)</f>
        <v>0</v>
      </c>
      <c r="P208" s="193">
        <f>IF(B208="E",'parametres articles'!$C$8,HLOOKUP($B208,'parametres articles'!$C$5:$F$25,4,FALSE))</f>
        <v>2.27</v>
      </c>
      <c r="Q208" s="193">
        <f t="shared" si="46"/>
        <v>2.27</v>
      </c>
      <c r="R208" s="199">
        <f t="shared" si="54"/>
        <v>13.62</v>
      </c>
      <c r="S208" s="197">
        <f t="shared" si="47"/>
        <v>24.515999999999998</v>
      </c>
      <c r="T208" s="201">
        <f t="shared" si="48"/>
        <v>58.565999999999995</v>
      </c>
      <c r="U208" s="203">
        <f t="shared" si="55"/>
        <v>72.185999999999993</v>
      </c>
      <c r="V208" s="187">
        <f t="shared" si="49"/>
        <v>24.515999999999998</v>
      </c>
      <c r="W208" s="187">
        <f t="shared" si="50"/>
        <v>34.049999999999997</v>
      </c>
      <c r="X208" s="187">
        <f t="shared" si="51"/>
        <v>13.62</v>
      </c>
      <c r="Y208" s="193">
        <f t="shared" si="52"/>
        <v>31.325999999999997</v>
      </c>
      <c r="Z208" s="194"/>
      <c r="AA208" s="195">
        <f t="shared" ca="1" si="57"/>
        <v>208</v>
      </c>
      <c r="AB208" s="195">
        <f ca="1">+AA208+'parametres articles'!$C$9-1</f>
        <v>222</v>
      </c>
      <c r="AC208" s="195">
        <f ca="1">+AA208+'parametres articles'!$C$24-1</f>
        <v>227</v>
      </c>
      <c r="AD208" s="195">
        <f ca="1">+IF(AE208&lt;='parametres articles'!$H$8,0,AA208-'parametres articles'!$H$8+1)</f>
        <v>204</v>
      </c>
      <c r="AE208" s="195">
        <v>207</v>
      </c>
      <c r="AF208" s="187" t="str">
        <f t="shared" ca="1" si="56"/>
        <v>F223</v>
      </c>
      <c r="AG208" s="178"/>
      <c r="AH208" s="178"/>
      <c r="AI208" s="178"/>
      <c r="AJ208" s="178"/>
      <c r="AK208" s="178"/>
    </row>
    <row r="209" spans="1:37" x14ac:dyDescent="0.25">
      <c r="A209" s="186">
        <v>42212</v>
      </c>
      <c r="B209" s="188" t="s">
        <v>21</v>
      </c>
      <c r="C209" s="189">
        <f ca="1">+IF(AD209=0,P209,(SUM(INDIRECT(CONCATENATE("B",AD209,":B",AA209)))/'parametres articles'!$H$8))</f>
        <v>0</v>
      </c>
      <c r="D209" s="187">
        <f>IFERROR(VLOOKUP(A209,'Mvmt stock'!A:B,2,0),0)</f>
        <v>0</v>
      </c>
      <c r="E209" s="188">
        <f>IFERROR(VLOOKUP(A209,'Mvmt stock'!D:E,2,0),0)</f>
        <v>0</v>
      </c>
      <c r="F209" s="188">
        <f t="shared" si="53"/>
        <v>69</v>
      </c>
      <c r="G209" s="208">
        <f>IFERROR(VLOOKUP(A209,'Mvmt stock'!G:H,2,0),0)</f>
        <v>0</v>
      </c>
      <c r="H209" s="190">
        <f>IFERROR(VLOOKUP(A209,Stock!B:C,2,0),H208)</f>
        <v>71</v>
      </c>
      <c r="I209" s="188">
        <f t="shared" si="45"/>
        <v>69</v>
      </c>
      <c r="J209" s="191">
        <f t="shared" si="44"/>
        <v>63.333333333333336</v>
      </c>
      <c r="K209" s="187">
        <f>+HLOOKUP($B209,'parametres articles'!$C$5:$G$25,5,FALSE)</f>
        <v>15</v>
      </c>
      <c r="L209" s="187">
        <f>+HLOOKUP($B209,'parametres articles'!$C$5:$G$25,21,FALSE)</f>
        <v>13</v>
      </c>
      <c r="M209" s="192">
        <f>+HLOOKUP($B209,'parametres articles'!$C$5:$G$25,7,FALSE)</f>
        <v>0.8</v>
      </c>
      <c r="N209" s="192">
        <f>+HLOOKUP($B209,'parametres articles'!$C$5:$G$25,6,FALSE)</f>
        <v>0.4</v>
      </c>
      <c r="O209" s="187">
        <f>+HLOOKUP($B209,'parametres articles'!$C$5:$G$25,8,FALSE)</f>
        <v>0</v>
      </c>
      <c r="P209" s="193">
        <f>IF(B209="E",'parametres articles'!$C$8,HLOOKUP($B209,'parametres articles'!$C$5:$F$25,4,FALSE))</f>
        <v>2.27</v>
      </c>
      <c r="Q209" s="193">
        <f t="shared" si="46"/>
        <v>2.27</v>
      </c>
      <c r="R209" s="199">
        <f t="shared" si="54"/>
        <v>13.62</v>
      </c>
      <c r="S209" s="197">
        <f t="shared" si="47"/>
        <v>24.515999999999998</v>
      </c>
      <c r="T209" s="201">
        <f t="shared" si="48"/>
        <v>58.565999999999995</v>
      </c>
      <c r="U209" s="203">
        <f t="shared" si="55"/>
        <v>72.185999999999993</v>
      </c>
      <c r="V209" s="187">
        <f t="shared" si="49"/>
        <v>24.515999999999998</v>
      </c>
      <c r="W209" s="187">
        <f t="shared" si="50"/>
        <v>34.049999999999997</v>
      </c>
      <c r="X209" s="187">
        <f t="shared" si="51"/>
        <v>13.62</v>
      </c>
      <c r="Y209" s="193">
        <f t="shared" si="52"/>
        <v>31.325999999999997</v>
      </c>
      <c r="Z209" s="194"/>
      <c r="AA209" s="195">
        <f t="shared" ca="1" si="57"/>
        <v>209</v>
      </c>
      <c r="AB209" s="195">
        <f ca="1">+AA209+'parametres articles'!$C$9-1</f>
        <v>223</v>
      </c>
      <c r="AC209" s="195">
        <f ca="1">+AA209+'parametres articles'!$C$24-1</f>
        <v>228</v>
      </c>
      <c r="AD209" s="195">
        <f ca="1">+IF(AE209&lt;='parametres articles'!$H$8,0,AA209-'parametres articles'!$H$8+1)</f>
        <v>205</v>
      </c>
      <c r="AE209" s="195">
        <v>208</v>
      </c>
      <c r="AF209" s="187" t="str">
        <f t="shared" ca="1" si="56"/>
        <v>F224</v>
      </c>
      <c r="AG209" s="178"/>
      <c r="AH209" s="178"/>
      <c r="AI209" s="178"/>
      <c r="AJ209" s="178"/>
      <c r="AK209" s="178"/>
    </row>
    <row r="210" spans="1:37" x14ac:dyDescent="0.25">
      <c r="A210" s="186">
        <v>42213</v>
      </c>
      <c r="B210" s="188" t="s">
        <v>21</v>
      </c>
      <c r="C210" s="189">
        <f ca="1">+IF(AD210=0,P210,(SUM(INDIRECT(CONCATENATE("B",AD210,":B",AA210)))/'parametres articles'!$H$8))</f>
        <v>0</v>
      </c>
      <c r="D210" s="187">
        <f>IFERROR(VLOOKUP(A210,'Mvmt stock'!A:B,2,0),0)</f>
        <v>1</v>
      </c>
      <c r="E210" s="188">
        <f>IFERROR(VLOOKUP(A210,'Mvmt stock'!D:E,2,0),0)</f>
        <v>6</v>
      </c>
      <c r="F210" s="188">
        <f t="shared" si="53"/>
        <v>65</v>
      </c>
      <c r="G210" s="208">
        <f>IFERROR(VLOOKUP(A210,'Mvmt stock'!G:H,2,0),0)</f>
        <v>-4</v>
      </c>
      <c r="H210" s="190">
        <f>IFERROR(VLOOKUP(A210,Stock!B:C,2,0),H209)</f>
        <v>67</v>
      </c>
      <c r="I210" s="188">
        <f t="shared" si="45"/>
        <v>70</v>
      </c>
      <c r="J210" s="191">
        <f t="shared" si="44"/>
        <v>63.761904761904759</v>
      </c>
      <c r="K210" s="187">
        <f>+HLOOKUP($B210,'parametres articles'!$C$5:$G$25,5,FALSE)</f>
        <v>15</v>
      </c>
      <c r="L210" s="187">
        <f>+HLOOKUP($B210,'parametres articles'!$C$5:$G$25,21,FALSE)</f>
        <v>13</v>
      </c>
      <c r="M210" s="192">
        <f>+HLOOKUP($B210,'parametres articles'!$C$5:$G$25,7,FALSE)</f>
        <v>0.8</v>
      </c>
      <c r="N210" s="192">
        <f>+HLOOKUP($B210,'parametres articles'!$C$5:$G$25,6,FALSE)</f>
        <v>0.4</v>
      </c>
      <c r="O210" s="187">
        <f>+HLOOKUP($B210,'parametres articles'!$C$5:$G$25,8,FALSE)</f>
        <v>0</v>
      </c>
      <c r="P210" s="193">
        <f>IF(B210="E",'parametres articles'!$C$8,HLOOKUP($B210,'parametres articles'!$C$5:$F$25,4,FALSE))</f>
        <v>2.27</v>
      </c>
      <c r="Q210" s="193">
        <f t="shared" si="46"/>
        <v>2.27</v>
      </c>
      <c r="R210" s="199">
        <f t="shared" si="54"/>
        <v>13.62</v>
      </c>
      <c r="S210" s="197">
        <f t="shared" si="47"/>
        <v>24.515999999999998</v>
      </c>
      <c r="T210" s="201">
        <f t="shared" si="48"/>
        <v>58.565999999999995</v>
      </c>
      <c r="U210" s="203">
        <f t="shared" si="55"/>
        <v>72.185999999999993</v>
      </c>
      <c r="V210" s="187">
        <f t="shared" si="49"/>
        <v>24.515999999999998</v>
      </c>
      <c r="W210" s="187">
        <f t="shared" si="50"/>
        <v>34.049999999999997</v>
      </c>
      <c r="X210" s="187">
        <f t="shared" si="51"/>
        <v>13.62</v>
      </c>
      <c r="Y210" s="193">
        <f t="shared" si="52"/>
        <v>31.325999999999997</v>
      </c>
      <c r="Z210" s="194"/>
      <c r="AA210" s="195">
        <f t="shared" ca="1" si="57"/>
        <v>210</v>
      </c>
      <c r="AB210" s="195">
        <f ca="1">+AA210+'parametres articles'!$C$9-1</f>
        <v>224</v>
      </c>
      <c r="AC210" s="195">
        <f ca="1">+AA210+'parametres articles'!$C$24-1</f>
        <v>229</v>
      </c>
      <c r="AD210" s="195">
        <f ca="1">+IF(AE210&lt;='parametres articles'!$H$8,0,AA210-'parametres articles'!$H$8+1)</f>
        <v>206</v>
      </c>
      <c r="AE210" s="195">
        <v>209</v>
      </c>
      <c r="AF210" s="187" t="str">
        <f t="shared" ca="1" si="56"/>
        <v>F225</v>
      </c>
      <c r="AG210" s="178"/>
      <c r="AH210" s="178"/>
      <c r="AI210" s="178"/>
      <c r="AJ210" s="178"/>
      <c r="AK210" s="178"/>
    </row>
    <row r="211" spans="1:37" x14ac:dyDescent="0.25">
      <c r="A211" s="186">
        <v>42214</v>
      </c>
      <c r="B211" s="188" t="s">
        <v>21</v>
      </c>
      <c r="C211" s="189">
        <f ca="1">+IF(AD211=0,P211,(SUM(INDIRECT(CONCATENATE("B",AD211,":B",AA211)))/'parametres articles'!$H$8))</f>
        <v>0</v>
      </c>
      <c r="D211" s="187">
        <f>IFERROR(VLOOKUP(A211,'Mvmt stock'!A:B,2,0),0)</f>
        <v>0</v>
      </c>
      <c r="E211" s="188">
        <f>IFERROR(VLOOKUP(A211,'Mvmt stock'!D:E,2,0),0)</f>
        <v>0</v>
      </c>
      <c r="F211" s="188">
        <f t="shared" si="53"/>
        <v>70</v>
      </c>
      <c r="G211" s="208">
        <f>IFERROR(VLOOKUP(A211,'Mvmt stock'!G:H,2,0),0)</f>
        <v>0</v>
      </c>
      <c r="H211" s="190">
        <f>IFERROR(VLOOKUP(A211,Stock!B:C,2,0),H210)</f>
        <v>72</v>
      </c>
      <c r="I211" s="188">
        <f t="shared" si="45"/>
        <v>70</v>
      </c>
      <c r="J211" s="191">
        <f t="shared" si="44"/>
        <v>64.428571428571431</v>
      </c>
      <c r="K211" s="187">
        <f>+HLOOKUP($B211,'parametres articles'!$C$5:$G$25,5,FALSE)</f>
        <v>15</v>
      </c>
      <c r="L211" s="187">
        <f>+HLOOKUP($B211,'parametres articles'!$C$5:$G$25,21,FALSE)</f>
        <v>13</v>
      </c>
      <c r="M211" s="192">
        <f>+HLOOKUP($B211,'parametres articles'!$C$5:$G$25,7,FALSE)</f>
        <v>0.8</v>
      </c>
      <c r="N211" s="192">
        <f>+HLOOKUP($B211,'parametres articles'!$C$5:$G$25,6,FALSE)</f>
        <v>0.4</v>
      </c>
      <c r="O211" s="187">
        <f>+HLOOKUP($B211,'parametres articles'!$C$5:$G$25,8,FALSE)</f>
        <v>0</v>
      </c>
      <c r="P211" s="193">
        <f>IF(B211="E",'parametres articles'!$C$8,HLOOKUP($B211,'parametres articles'!$C$5:$F$25,4,FALSE))</f>
        <v>2.27</v>
      </c>
      <c r="Q211" s="193">
        <f t="shared" si="46"/>
        <v>2.27</v>
      </c>
      <c r="R211" s="199">
        <f t="shared" si="54"/>
        <v>13.62</v>
      </c>
      <c r="S211" s="197">
        <f t="shared" si="47"/>
        <v>24.515999999999998</v>
      </c>
      <c r="T211" s="201">
        <f t="shared" si="48"/>
        <v>58.565999999999995</v>
      </c>
      <c r="U211" s="203">
        <f t="shared" si="55"/>
        <v>72.185999999999993</v>
      </c>
      <c r="V211" s="187">
        <f t="shared" si="49"/>
        <v>24.515999999999998</v>
      </c>
      <c r="W211" s="187">
        <f t="shared" si="50"/>
        <v>34.049999999999997</v>
      </c>
      <c r="X211" s="187">
        <f t="shared" si="51"/>
        <v>13.62</v>
      </c>
      <c r="Y211" s="193">
        <f t="shared" si="52"/>
        <v>31.325999999999997</v>
      </c>
      <c r="Z211" s="194"/>
      <c r="AA211" s="195">
        <f t="shared" ca="1" si="57"/>
        <v>211</v>
      </c>
      <c r="AB211" s="195">
        <f ca="1">+AA211+'parametres articles'!$C$9-1</f>
        <v>225</v>
      </c>
      <c r="AC211" s="195">
        <f ca="1">+AA211+'parametres articles'!$C$24-1</f>
        <v>230</v>
      </c>
      <c r="AD211" s="195">
        <f ca="1">+IF(AE211&lt;='parametres articles'!$H$8,0,AA211-'parametres articles'!$H$8+1)</f>
        <v>207</v>
      </c>
      <c r="AE211" s="195">
        <v>210</v>
      </c>
      <c r="AF211" s="187" t="str">
        <f t="shared" ca="1" si="56"/>
        <v>F226</v>
      </c>
      <c r="AG211" s="178"/>
      <c r="AH211" s="178"/>
      <c r="AI211" s="178"/>
      <c r="AJ211" s="178"/>
      <c r="AK211" s="178"/>
    </row>
    <row r="212" spans="1:37" x14ac:dyDescent="0.25">
      <c r="A212" s="186">
        <v>42215</v>
      </c>
      <c r="B212" s="188" t="s">
        <v>21</v>
      </c>
      <c r="C212" s="189">
        <f ca="1">+IF(AD212=0,P212,(SUM(INDIRECT(CONCATENATE("B",AD212,":B",AA212)))/'parametres articles'!$H$8))</f>
        <v>0</v>
      </c>
      <c r="D212" s="187">
        <f>IFERROR(VLOOKUP(A212,'Mvmt stock'!A:B,2,0),0)</f>
        <v>4</v>
      </c>
      <c r="E212" s="188">
        <f>IFERROR(VLOOKUP(A212,'Mvmt stock'!D:E,2,0),0)</f>
        <v>5</v>
      </c>
      <c r="F212" s="188">
        <f t="shared" si="53"/>
        <v>70</v>
      </c>
      <c r="G212" s="208">
        <f>IFERROR(VLOOKUP(A212,'Mvmt stock'!G:H,2,0),0)</f>
        <v>0</v>
      </c>
      <c r="H212" s="190">
        <f>IFERROR(VLOOKUP(A212,Stock!B:C,2,0),H211)</f>
        <v>72</v>
      </c>
      <c r="I212" s="188">
        <f t="shared" si="45"/>
        <v>71</v>
      </c>
      <c r="J212" s="191">
        <f t="shared" si="44"/>
        <v>65.095238095238102</v>
      </c>
      <c r="K212" s="187">
        <f>+HLOOKUP($B212,'parametres articles'!$C$5:$G$25,5,FALSE)</f>
        <v>15</v>
      </c>
      <c r="L212" s="187">
        <f>+HLOOKUP($B212,'parametres articles'!$C$5:$G$25,21,FALSE)</f>
        <v>13</v>
      </c>
      <c r="M212" s="192">
        <f>+HLOOKUP($B212,'parametres articles'!$C$5:$G$25,7,FALSE)</f>
        <v>0.8</v>
      </c>
      <c r="N212" s="192">
        <f>+HLOOKUP($B212,'parametres articles'!$C$5:$G$25,6,FALSE)</f>
        <v>0.4</v>
      </c>
      <c r="O212" s="187">
        <f>+HLOOKUP($B212,'parametres articles'!$C$5:$G$25,8,FALSE)</f>
        <v>0</v>
      </c>
      <c r="P212" s="193">
        <f>IF(B212="E",'parametres articles'!$C$8,HLOOKUP($B212,'parametres articles'!$C$5:$F$25,4,FALSE))</f>
        <v>2.27</v>
      </c>
      <c r="Q212" s="193">
        <f t="shared" si="46"/>
        <v>2.27</v>
      </c>
      <c r="R212" s="199">
        <f t="shared" si="54"/>
        <v>13.62</v>
      </c>
      <c r="S212" s="197">
        <f t="shared" si="47"/>
        <v>24.515999999999998</v>
      </c>
      <c r="T212" s="201">
        <f t="shared" si="48"/>
        <v>58.565999999999995</v>
      </c>
      <c r="U212" s="203">
        <f t="shared" si="55"/>
        <v>72.185999999999993</v>
      </c>
      <c r="V212" s="187">
        <f t="shared" si="49"/>
        <v>24.515999999999998</v>
      </c>
      <c r="W212" s="187">
        <f t="shared" si="50"/>
        <v>34.049999999999997</v>
      </c>
      <c r="X212" s="187">
        <f t="shared" si="51"/>
        <v>13.62</v>
      </c>
      <c r="Y212" s="193">
        <f t="shared" si="52"/>
        <v>31.325999999999997</v>
      </c>
      <c r="Z212" s="194"/>
      <c r="AA212" s="195">
        <f t="shared" ca="1" si="57"/>
        <v>212</v>
      </c>
      <c r="AB212" s="195">
        <f ca="1">+AA212+'parametres articles'!$C$9-1</f>
        <v>226</v>
      </c>
      <c r="AC212" s="195">
        <f ca="1">+AA212+'parametres articles'!$C$24-1</f>
        <v>231</v>
      </c>
      <c r="AD212" s="195">
        <f ca="1">+IF(AE212&lt;='parametres articles'!$H$8,0,AA212-'parametres articles'!$H$8+1)</f>
        <v>208</v>
      </c>
      <c r="AE212" s="195">
        <v>211</v>
      </c>
      <c r="AF212" s="187" t="str">
        <f t="shared" ca="1" si="56"/>
        <v>F227</v>
      </c>
      <c r="AG212" s="178"/>
      <c r="AH212" s="178"/>
      <c r="AI212" s="178"/>
      <c r="AJ212" s="178"/>
      <c r="AK212" s="178"/>
    </row>
    <row r="213" spans="1:37" x14ac:dyDescent="0.25">
      <c r="A213" s="186">
        <v>42216</v>
      </c>
      <c r="B213" s="188" t="s">
        <v>21</v>
      </c>
      <c r="C213" s="189">
        <f ca="1">+IF(AD213=0,P213,(SUM(INDIRECT(CONCATENATE("B",AD213,":B",AA213)))/'parametres articles'!$H$8))</f>
        <v>0</v>
      </c>
      <c r="D213" s="187">
        <f>IFERROR(VLOOKUP(A213,'Mvmt stock'!A:B,2,0),0)</f>
        <v>0</v>
      </c>
      <c r="E213" s="188">
        <f>IFERROR(VLOOKUP(A213,'Mvmt stock'!D:E,2,0),0)</f>
        <v>0</v>
      </c>
      <c r="F213" s="188">
        <f t="shared" si="53"/>
        <v>71</v>
      </c>
      <c r="G213" s="208">
        <f>IFERROR(VLOOKUP(A213,'Mvmt stock'!G:H,2,0),0)</f>
        <v>0</v>
      </c>
      <c r="H213" s="190">
        <f>IFERROR(VLOOKUP(A213,Stock!B:C,2,0),H212)</f>
        <v>73</v>
      </c>
      <c r="I213" s="188">
        <f t="shared" si="45"/>
        <v>71</v>
      </c>
      <c r="J213" s="191">
        <f t="shared" si="44"/>
        <v>65.80952380952381</v>
      </c>
      <c r="K213" s="187">
        <f>+HLOOKUP($B213,'parametres articles'!$C$5:$G$25,5,FALSE)</f>
        <v>15</v>
      </c>
      <c r="L213" s="187">
        <f>+HLOOKUP($B213,'parametres articles'!$C$5:$G$25,21,FALSE)</f>
        <v>13</v>
      </c>
      <c r="M213" s="192">
        <f>+HLOOKUP($B213,'parametres articles'!$C$5:$G$25,7,FALSE)</f>
        <v>0.8</v>
      </c>
      <c r="N213" s="192">
        <f>+HLOOKUP($B213,'parametres articles'!$C$5:$G$25,6,FALSE)</f>
        <v>0.4</v>
      </c>
      <c r="O213" s="187">
        <f>+HLOOKUP($B213,'parametres articles'!$C$5:$G$25,8,FALSE)</f>
        <v>0</v>
      </c>
      <c r="P213" s="193">
        <f>IF(B213="E",'parametres articles'!$C$8,HLOOKUP($B213,'parametres articles'!$C$5:$F$25,4,FALSE))</f>
        <v>2.27</v>
      </c>
      <c r="Q213" s="193">
        <f t="shared" si="46"/>
        <v>2.27</v>
      </c>
      <c r="R213" s="199">
        <f t="shared" si="54"/>
        <v>13.62</v>
      </c>
      <c r="S213" s="197">
        <f t="shared" si="47"/>
        <v>24.515999999999998</v>
      </c>
      <c r="T213" s="201">
        <f t="shared" si="48"/>
        <v>58.565999999999995</v>
      </c>
      <c r="U213" s="203">
        <f t="shared" si="55"/>
        <v>72.185999999999993</v>
      </c>
      <c r="V213" s="187">
        <f t="shared" si="49"/>
        <v>24.515999999999998</v>
      </c>
      <c r="W213" s="187">
        <f t="shared" si="50"/>
        <v>34.049999999999997</v>
      </c>
      <c r="X213" s="187">
        <f t="shared" si="51"/>
        <v>13.62</v>
      </c>
      <c r="Y213" s="193">
        <f t="shared" si="52"/>
        <v>31.325999999999997</v>
      </c>
      <c r="Z213" s="194"/>
      <c r="AA213" s="195">
        <f t="shared" ca="1" si="57"/>
        <v>213</v>
      </c>
      <c r="AB213" s="195">
        <f ca="1">+AA213+'parametres articles'!$C$9-1</f>
        <v>227</v>
      </c>
      <c r="AC213" s="195">
        <f ca="1">+AA213+'parametres articles'!$C$24-1</f>
        <v>232</v>
      </c>
      <c r="AD213" s="195">
        <f ca="1">+IF(AE213&lt;='parametres articles'!$H$8,0,AA213-'parametres articles'!$H$8+1)</f>
        <v>209</v>
      </c>
      <c r="AE213" s="195">
        <v>212</v>
      </c>
      <c r="AF213" s="187" t="str">
        <f t="shared" ca="1" si="56"/>
        <v>F228</v>
      </c>
      <c r="AH213" s="178"/>
      <c r="AI213" s="178"/>
      <c r="AJ213" s="178"/>
      <c r="AK213" s="178"/>
    </row>
    <row r="214" spans="1:37" x14ac:dyDescent="0.25">
      <c r="A214" s="186">
        <v>42217</v>
      </c>
      <c r="B214" s="188" t="s">
        <v>21</v>
      </c>
      <c r="C214" s="189">
        <f ca="1">+IF(AD214=0,P214,(SUM(INDIRECT(CONCATENATE("B",AD214,":B",AA214)))/'parametres articles'!$H$8))</f>
        <v>0</v>
      </c>
      <c r="D214" s="187">
        <f>IFERROR(VLOOKUP(A214,'Mvmt stock'!A:B,2,0),0)</f>
        <v>0</v>
      </c>
      <c r="E214" s="188">
        <f>IFERROR(VLOOKUP(A214,'Mvmt stock'!D:E,2,0),0)</f>
        <v>0</v>
      </c>
      <c r="F214" s="188">
        <f t="shared" si="53"/>
        <v>71</v>
      </c>
      <c r="G214" s="208">
        <f>IFERROR(VLOOKUP(A214,'Mvmt stock'!G:H,2,0),0)</f>
        <v>0</v>
      </c>
      <c r="H214" s="190">
        <f>IFERROR(VLOOKUP(A214,Stock!B:C,2,0),H213)</f>
        <v>73</v>
      </c>
      <c r="I214" s="188">
        <f t="shared" si="45"/>
        <v>71</v>
      </c>
      <c r="J214" s="191">
        <f t="shared" ref="J214:J257" si="58">+AVERAGE(F194:F214)</f>
        <v>66.523809523809518</v>
      </c>
      <c r="K214" s="187">
        <f>+HLOOKUP($B214,'parametres articles'!$C$5:$G$25,5,FALSE)</f>
        <v>15</v>
      </c>
      <c r="L214" s="187">
        <f>+HLOOKUP($B214,'parametres articles'!$C$5:$G$25,21,FALSE)</f>
        <v>13</v>
      </c>
      <c r="M214" s="192">
        <f>+HLOOKUP($B214,'parametres articles'!$C$5:$G$25,7,FALSE)</f>
        <v>0.8</v>
      </c>
      <c r="N214" s="192">
        <f>+HLOOKUP($B214,'parametres articles'!$C$5:$G$25,6,FALSE)</f>
        <v>0.4</v>
      </c>
      <c r="O214" s="187">
        <f>+HLOOKUP($B214,'parametres articles'!$C$5:$G$25,8,FALSE)</f>
        <v>0</v>
      </c>
      <c r="P214" s="193">
        <f>IF(B214="E",'parametres articles'!$C$8,HLOOKUP($B214,'parametres articles'!$C$5:$F$25,4,FALSE))</f>
        <v>2.27</v>
      </c>
      <c r="Q214" s="193">
        <f t="shared" si="46"/>
        <v>2.27</v>
      </c>
      <c r="R214" s="199">
        <f t="shared" si="54"/>
        <v>13.62</v>
      </c>
      <c r="S214" s="197">
        <f t="shared" si="47"/>
        <v>24.515999999999998</v>
      </c>
      <c r="T214" s="201">
        <f t="shared" si="48"/>
        <v>58.565999999999995</v>
      </c>
      <c r="U214" s="203">
        <f t="shared" si="55"/>
        <v>72.185999999999993</v>
      </c>
      <c r="V214" s="187">
        <f t="shared" si="49"/>
        <v>24.515999999999998</v>
      </c>
      <c r="W214" s="187">
        <f t="shared" si="50"/>
        <v>34.049999999999997</v>
      </c>
      <c r="X214" s="187">
        <f t="shared" si="51"/>
        <v>13.62</v>
      </c>
      <c r="Y214" s="193">
        <f t="shared" si="52"/>
        <v>31.325999999999997</v>
      </c>
      <c r="Z214" s="194"/>
      <c r="AA214" s="195">
        <f t="shared" ca="1" si="57"/>
        <v>214</v>
      </c>
      <c r="AB214" s="195">
        <f ca="1">+AA214+'parametres articles'!$C$9-1</f>
        <v>228</v>
      </c>
      <c r="AC214" s="195">
        <f ca="1">+AA214+'parametres articles'!$C$24-1</f>
        <v>233</v>
      </c>
      <c r="AD214" s="195">
        <f ca="1">+IF(AE214&lt;='parametres articles'!$H$8,0,AA214-'parametres articles'!$H$8+1)</f>
        <v>210</v>
      </c>
      <c r="AE214" s="195">
        <v>213</v>
      </c>
      <c r="AF214" s="187" t="str">
        <f t="shared" ca="1" si="56"/>
        <v>F229</v>
      </c>
      <c r="AH214" s="178"/>
      <c r="AI214" s="178"/>
      <c r="AJ214" s="178"/>
      <c r="AK214" s="178"/>
    </row>
    <row r="215" spans="1:37" x14ac:dyDescent="0.25">
      <c r="A215" s="186">
        <v>42218</v>
      </c>
      <c r="B215" s="188" t="s">
        <v>21</v>
      </c>
      <c r="C215" s="189">
        <f ca="1">+IF(AD215=0,P215,(SUM(INDIRECT(CONCATENATE("B",AD215,":B",AA215)))/'parametres articles'!$H$8))</f>
        <v>0</v>
      </c>
      <c r="D215" s="187">
        <f>IFERROR(VLOOKUP(A215,'Mvmt stock'!A:B,2,0),0)</f>
        <v>0</v>
      </c>
      <c r="E215" s="188">
        <f>IFERROR(VLOOKUP(A215,'Mvmt stock'!D:E,2,0),0)</f>
        <v>0</v>
      </c>
      <c r="F215" s="188">
        <f t="shared" si="53"/>
        <v>71</v>
      </c>
      <c r="G215" s="208">
        <f>IFERROR(VLOOKUP(A215,'Mvmt stock'!G:H,2,0),0)</f>
        <v>0</v>
      </c>
      <c r="H215" s="190">
        <f>IFERROR(VLOOKUP(A215,Stock!B:C,2,0),H214)</f>
        <v>73</v>
      </c>
      <c r="I215" s="188">
        <f t="shared" si="45"/>
        <v>71</v>
      </c>
      <c r="J215" s="191">
        <f t="shared" si="58"/>
        <v>67.238095238095241</v>
      </c>
      <c r="K215" s="187">
        <f>+HLOOKUP($B215,'parametres articles'!$C$5:$G$25,5,FALSE)</f>
        <v>15</v>
      </c>
      <c r="L215" s="187">
        <f>+HLOOKUP($B215,'parametres articles'!$C$5:$G$25,21,FALSE)</f>
        <v>13</v>
      </c>
      <c r="M215" s="192">
        <f>+HLOOKUP($B215,'parametres articles'!$C$5:$G$25,7,FALSE)</f>
        <v>0.8</v>
      </c>
      <c r="N215" s="192">
        <f>+HLOOKUP($B215,'parametres articles'!$C$5:$G$25,6,FALSE)</f>
        <v>0.4</v>
      </c>
      <c r="O215" s="187">
        <f>+HLOOKUP($B215,'parametres articles'!$C$5:$G$25,8,FALSE)</f>
        <v>0</v>
      </c>
      <c r="P215" s="193">
        <f>IF(B215="E",'parametres articles'!$C$8,HLOOKUP($B215,'parametres articles'!$C$5:$F$25,4,FALSE))</f>
        <v>2.27</v>
      </c>
      <c r="Q215" s="193">
        <f t="shared" si="46"/>
        <v>2.27</v>
      </c>
      <c r="R215" s="199">
        <f t="shared" si="54"/>
        <v>13.62</v>
      </c>
      <c r="S215" s="197">
        <f t="shared" si="47"/>
        <v>24.515999999999998</v>
      </c>
      <c r="T215" s="201">
        <f t="shared" si="48"/>
        <v>58.565999999999995</v>
      </c>
      <c r="U215" s="203">
        <f t="shared" si="55"/>
        <v>72.185999999999993</v>
      </c>
      <c r="V215" s="187">
        <f t="shared" si="49"/>
        <v>24.515999999999998</v>
      </c>
      <c r="W215" s="187">
        <f t="shared" si="50"/>
        <v>34.049999999999997</v>
      </c>
      <c r="X215" s="187">
        <f t="shared" si="51"/>
        <v>13.62</v>
      </c>
      <c r="Y215" s="193">
        <f t="shared" si="52"/>
        <v>31.325999999999997</v>
      </c>
      <c r="Z215" s="194"/>
      <c r="AA215" s="195">
        <f t="shared" ca="1" si="57"/>
        <v>215</v>
      </c>
      <c r="AB215" s="195">
        <f ca="1">+AA215+'parametres articles'!$C$9-1</f>
        <v>229</v>
      </c>
      <c r="AC215" s="195">
        <f ca="1">+AA215+'parametres articles'!$C$24-1</f>
        <v>234</v>
      </c>
      <c r="AD215" s="195">
        <f ca="1">+IF(AE215&lt;='parametres articles'!$H$8,0,AA215-'parametres articles'!$H$8+1)</f>
        <v>211</v>
      </c>
      <c r="AE215" s="195">
        <v>214</v>
      </c>
      <c r="AF215" s="187" t="str">
        <f t="shared" ca="1" si="56"/>
        <v>F230</v>
      </c>
      <c r="AH215" s="178"/>
      <c r="AI215" s="178"/>
      <c r="AJ215" s="178"/>
      <c r="AK215" s="178"/>
    </row>
    <row r="216" spans="1:37" x14ac:dyDescent="0.25">
      <c r="A216" s="186">
        <v>42219</v>
      </c>
      <c r="B216" s="188" t="s">
        <v>21</v>
      </c>
      <c r="C216" s="189">
        <f ca="1">+IF(AD216=0,P216,(SUM(INDIRECT(CONCATENATE("B",AD216,":B",AA216)))/'parametres articles'!$H$8))</f>
        <v>0</v>
      </c>
      <c r="D216" s="187">
        <f>IFERROR(VLOOKUP(A216,'Mvmt stock'!A:B,2,0),0)</f>
        <v>0</v>
      </c>
      <c r="E216" s="188">
        <f>IFERROR(VLOOKUP(A216,'Mvmt stock'!D:E,2,0),0)</f>
        <v>0</v>
      </c>
      <c r="F216" s="188">
        <f t="shared" si="53"/>
        <v>71</v>
      </c>
      <c r="G216" s="208">
        <f>IFERROR(VLOOKUP(A216,'Mvmt stock'!G:H,2,0),0)</f>
        <v>0</v>
      </c>
      <c r="H216" s="190">
        <f>IFERROR(VLOOKUP(A216,Stock!B:C,2,0),H215)</f>
        <v>73</v>
      </c>
      <c r="I216" s="188">
        <f t="shared" si="45"/>
        <v>71</v>
      </c>
      <c r="J216" s="191">
        <f t="shared" si="58"/>
        <v>67.952380952380949</v>
      </c>
      <c r="K216" s="187">
        <f>+HLOOKUP($B216,'parametres articles'!$C$5:$G$25,5,FALSE)</f>
        <v>15</v>
      </c>
      <c r="L216" s="187">
        <f>+HLOOKUP($B216,'parametres articles'!$C$5:$G$25,21,FALSE)</f>
        <v>13</v>
      </c>
      <c r="M216" s="192">
        <f>+HLOOKUP($B216,'parametres articles'!$C$5:$G$25,7,FALSE)</f>
        <v>0.8</v>
      </c>
      <c r="N216" s="192">
        <f>+HLOOKUP($B216,'parametres articles'!$C$5:$G$25,6,FALSE)</f>
        <v>0.4</v>
      </c>
      <c r="O216" s="187">
        <f>+HLOOKUP($B216,'parametres articles'!$C$5:$G$25,8,FALSE)</f>
        <v>0</v>
      </c>
      <c r="P216" s="193">
        <f>IF(B216="E",'parametres articles'!$C$8,HLOOKUP($B216,'parametres articles'!$C$5:$F$25,4,FALSE))</f>
        <v>2.27</v>
      </c>
      <c r="Q216" s="193">
        <f t="shared" si="46"/>
        <v>2.27</v>
      </c>
      <c r="R216" s="199">
        <f t="shared" si="54"/>
        <v>13.62</v>
      </c>
      <c r="S216" s="197">
        <f t="shared" si="47"/>
        <v>24.515999999999998</v>
      </c>
      <c r="T216" s="201">
        <f t="shared" si="48"/>
        <v>58.565999999999995</v>
      </c>
      <c r="U216" s="203">
        <f t="shared" si="55"/>
        <v>72.185999999999993</v>
      </c>
      <c r="V216" s="187">
        <f t="shared" si="49"/>
        <v>24.515999999999998</v>
      </c>
      <c r="W216" s="187">
        <f t="shared" si="50"/>
        <v>34.049999999999997</v>
      </c>
      <c r="X216" s="187">
        <f t="shared" si="51"/>
        <v>13.62</v>
      </c>
      <c r="Y216" s="193">
        <f t="shared" si="52"/>
        <v>31.325999999999997</v>
      </c>
      <c r="Z216" s="194"/>
      <c r="AA216" s="195">
        <f t="shared" ca="1" si="57"/>
        <v>216</v>
      </c>
      <c r="AB216" s="195">
        <f ca="1">+AA216+'parametres articles'!$C$9-1</f>
        <v>230</v>
      </c>
      <c r="AC216" s="195">
        <f ca="1">+AA216+'parametres articles'!$C$24-1</f>
        <v>235</v>
      </c>
      <c r="AD216" s="195">
        <f ca="1">+IF(AE216&lt;='parametres articles'!$H$8,0,AA216-'parametres articles'!$H$8+1)</f>
        <v>212</v>
      </c>
      <c r="AE216" s="195">
        <v>215</v>
      </c>
      <c r="AF216" s="187" t="str">
        <f t="shared" ca="1" si="56"/>
        <v>F231</v>
      </c>
      <c r="AH216" s="178"/>
      <c r="AI216" s="178"/>
      <c r="AJ216" s="178"/>
      <c r="AK216" s="178"/>
    </row>
    <row r="217" spans="1:37" x14ac:dyDescent="0.25">
      <c r="A217" s="186">
        <v>42220</v>
      </c>
      <c r="B217" s="188" t="s">
        <v>21</v>
      </c>
      <c r="C217" s="189">
        <f ca="1">+IF(AD217=0,P217,(SUM(INDIRECT(CONCATENATE("B",AD217,":B",AA217)))/'parametres articles'!$H$8))</f>
        <v>0</v>
      </c>
      <c r="D217" s="187">
        <f>IFERROR(VLOOKUP(A217,'Mvmt stock'!A:B,2,0),0)</f>
        <v>0</v>
      </c>
      <c r="E217" s="188">
        <f>IFERROR(VLOOKUP(A217,'Mvmt stock'!D:E,2,0),0)</f>
        <v>0</v>
      </c>
      <c r="F217" s="188">
        <f t="shared" si="53"/>
        <v>71</v>
      </c>
      <c r="G217" s="208">
        <f>IFERROR(VLOOKUP(A217,'Mvmt stock'!G:H,2,0),0)</f>
        <v>0</v>
      </c>
      <c r="H217" s="190">
        <f>IFERROR(VLOOKUP(A217,Stock!B:C,2,0),H216)</f>
        <v>73</v>
      </c>
      <c r="I217" s="188">
        <f t="shared" si="45"/>
        <v>71</v>
      </c>
      <c r="J217" s="191">
        <f t="shared" si="58"/>
        <v>68.666666666666671</v>
      </c>
      <c r="K217" s="187">
        <f>+HLOOKUP($B217,'parametres articles'!$C$5:$G$25,5,FALSE)</f>
        <v>15</v>
      </c>
      <c r="L217" s="187">
        <f>+HLOOKUP($B217,'parametres articles'!$C$5:$G$25,21,FALSE)</f>
        <v>13</v>
      </c>
      <c r="M217" s="192">
        <f>+HLOOKUP($B217,'parametres articles'!$C$5:$G$25,7,FALSE)</f>
        <v>0.8</v>
      </c>
      <c r="N217" s="192">
        <f>+HLOOKUP($B217,'parametres articles'!$C$5:$G$25,6,FALSE)</f>
        <v>0.4</v>
      </c>
      <c r="O217" s="187">
        <f>+HLOOKUP($B217,'parametres articles'!$C$5:$G$25,8,FALSE)</f>
        <v>0</v>
      </c>
      <c r="P217" s="193">
        <f>IF(B217="E",'parametres articles'!$C$8,HLOOKUP($B217,'parametres articles'!$C$5:$F$25,4,FALSE))</f>
        <v>2.27</v>
      </c>
      <c r="Q217" s="193">
        <f t="shared" si="46"/>
        <v>2.27</v>
      </c>
      <c r="R217" s="199">
        <f t="shared" si="54"/>
        <v>13.62</v>
      </c>
      <c r="S217" s="197">
        <f t="shared" si="47"/>
        <v>24.515999999999998</v>
      </c>
      <c r="T217" s="201">
        <f t="shared" si="48"/>
        <v>58.565999999999995</v>
      </c>
      <c r="U217" s="203">
        <f t="shared" si="55"/>
        <v>72.185999999999993</v>
      </c>
      <c r="V217" s="187">
        <f t="shared" si="49"/>
        <v>24.515999999999998</v>
      </c>
      <c r="W217" s="187">
        <f t="shared" si="50"/>
        <v>34.049999999999997</v>
      </c>
      <c r="X217" s="187">
        <f t="shared" si="51"/>
        <v>13.62</v>
      </c>
      <c r="Y217" s="193">
        <f t="shared" si="52"/>
        <v>31.325999999999997</v>
      </c>
      <c r="Z217" s="194"/>
      <c r="AA217" s="195">
        <f t="shared" ca="1" si="57"/>
        <v>217</v>
      </c>
      <c r="AB217" s="195">
        <f ca="1">+AA217+'parametres articles'!$C$9-1</f>
        <v>231</v>
      </c>
      <c r="AC217" s="195">
        <f ca="1">+AA217+'parametres articles'!$C$24-1</f>
        <v>236</v>
      </c>
      <c r="AD217" s="195">
        <f ca="1">+IF(AE217&lt;='parametres articles'!$H$8,0,AA217-'parametres articles'!$H$8+1)</f>
        <v>213</v>
      </c>
      <c r="AE217" s="195">
        <v>216</v>
      </c>
      <c r="AF217" s="187" t="str">
        <f t="shared" ca="1" si="56"/>
        <v>F232</v>
      </c>
      <c r="AG217" s="178"/>
      <c r="AH217" s="178"/>
      <c r="AI217" s="178"/>
      <c r="AJ217" s="178"/>
      <c r="AK217" s="178"/>
    </row>
    <row r="218" spans="1:37" x14ac:dyDescent="0.25">
      <c r="A218" s="186">
        <v>42221</v>
      </c>
      <c r="B218" s="188" t="s">
        <v>21</v>
      </c>
      <c r="C218" s="189">
        <f ca="1">+IF(AD218=0,P218,(SUM(INDIRECT(CONCATENATE("B",AD218,":B",AA218)))/'parametres articles'!$H$8))</f>
        <v>0</v>
      </c>
      <c r="D218" s="187">
        <f>IFERROR(VLOOKUP(A218,'Mvmt stock'!A:B,2,0),0)</f>
        <v>0</v>
      </c>
      <c r="E218" s="188">
        <f>IFERROR(VLOOKUP(A218,'Mvmt stock'!D:E,2,0),0)</f>
        <v>0</v>
      </c>
      <c r="F218" s="188">
        <f t="shared" si="53"/>
        <v>71</v>
      </c>
      <c r="G218" s="208">
        <f>IFERROR(VLOOKUP(A218,'Mvmt stock'!G:H,2,0),0)</f>
        <v>0</v>
      </c>
      <c r="H218" s="190">
        <f>IFERROR(VLOOKUP(A218,Stock!B:C,2,0),H217)</f>
        <v>73</v>
      </c>
      <c r="I218" s="188">
        <f t="shared" si="45"/>
        <v>71</v>
      </c>
      <c r="J218" s="191">
        <f t="shared" si="58"/>
        <v>69.38095238095238</v>
      </c>
      <c r="K218" s="187">
        <f>+HLOOKUP($B218,'parametres articles'!$C$5:$G$25,5,FALSE)</f>
        <v>15</v>
      </c>
      <c r="L218" s="187">
        <f>+HLOOKUP($B218,'parametres articles'!$C$5:$G$25,21,FALSE)</f>
        <v>13</v>
      </c>
      <c r="M218" s="192">
        <f>+HLOOKUP($B218,'parametres articles'!$C$5:$G$25,7,FALSE)</f>
        <v>0.8</v>
      </c>
      <c r="N218" s="192">
        <f>+HLOOKUP($B218,'parametres articles'!$C$5:$G$25,6,FALSE)</f>
        <v>0.4</v>
      </c>
      <c r="O218" s="187">
        <f>+HLOOKUP($B218,'parametres articles'!$C$5:$G$25,8,FALSE)</f>
        <v>0</v>
      </c>
      <c r="P218" s="193">
        <f>IF(B218="E",'parametres articles'!$C$8,HLOOKUP($B218,'parametres articles'!$C$5:$F$25,4,FALSE))</f>
        <v>2.27</v>
      </c>
      <c r="Q218" s="193">
        <f t="shared" si="46"/>
        <v>2.27</v>
      </c>
      <c r="R218" s="199">
        <f t="shared" si="54"/>
        <v>13.62</v>
      </c>
      <c r="S218" s="197">
        <f t="shared" si="47"/>
        <v>24.515999999999998</v>
      </c>
      <c r="T218" s="201">
        <f t="shared" si="48"/>
        <v>58.565999999999995</v>
      </c>
      <c r="U218" s="203">
        <f t="shared" si="55"/>
        <v>72.185999999999993</v>
      </c>
      <c r="V218" s="187">
        <f t="shared" si="49"/>
        <v>24.515999999999998</v>
      </c>
      <c r="W218" s="187">
        <f t="shared" si="50"/>
        <v>34.049999999999997</v>
      </c>
      <c r="X218" s="187">
        <f t="shared" si="51"/>
        <v>13.62</v>
      </c>
      <c r="Y218" s="193">
        <f t="shared" si="52"/>
        <v>31.325999999999997</v>
      </c>
      <c r="Z218" s="194"/>
      <c r="AA218" s="195">
        <f t="shared" ca="1" si="57"/>
        <v>218</v>
      </c>
      <c r="AB218" s="195">
        <f ca="1">+AA218+'parametres articles'!$C$9-1</f>
        <v>232</v>
      </c>
      <c r="AC218" s="195">
        <f ca="1">+AA218+'parametres articles'!$C$24-1</f>
        <v>237</v>
      </c>
      <c r="AD218" s="195">
        <f ca="1">+IF(AE218&lt;='parametres articles'!$H$8,0,AA218-'parametres articles'!$H$8+1)</f>
        <v>214</v>
      </c>
      <c r="AE218" s="195">
        <v>217</v>
      </c>
      <c r="AF218" s="187" t="str">
        <f t="shared" ca="1" si="56"/>
        <v>F233</v>
      </c>
      <c r="AG218" s="178"/>
      <c r="AH218" s="178"/>
      <c r="AI218" s="178"/>
      <c r="AJ218" s="178"/>
      <c r="AK218" s="178"/>
    </row>
    <row r="219" spans="1:37" x14ac:dyDescent="0.25">
      <c r="A219" s="186">
        <v>42222</v>
      </c>
      <c r="B219" s="188" t="s">
        <v>21</v>
      </c>
      <c r="C219" s="189">
        <f ca="1">+IF(AD219=0,P219,(SUM(INDIRECT(CONCATENATE("B",AD219,":B",AA219)))/'parametres articles'!$H$8))</f>
        <v>0</v>
      </c>
      <c r="D219" s="187">
        <f>IFERROR(VLOOKUP(A219,'Mvmt stock'!A:B,2,0),0)</f>
        <v>1</v>
      </c>
      <c r="E219" s="188">
        <f>IFERROR(VLOOKUP(A219,'Mvmt stock'!D:E,2,0),0)</f>
        <v>0</v>
      </c>
      <c r="F219" s="188">
        <f t="shared" si="53"/>
        <v>71</v>
      </c>
      <c r="G219" s="208">
        <f>IFERROR(VLOOKUP(A219,'Mvmt stock'!G:H,2,0),0)</f>
        <v>0</v>
      </c>
      <c r="H219" s="190">
        <f>IFERROR(VLOOKUP(A219,Stock!B:C,2,0),H218)</f>
        <v>73</v>
      </c>
      <c r="I219" s="188">
        <f t="shared" si="45"/>
        <v>70</v>
      </c>
      <c r="J219" s="191">
        <f t="shared" si="58"/>
        <v>70.142857142857139</v>
      </c>
      <c r="K219" s="187">
        <f>+HLOOKUP($B219,'parametres articles'!$C$5:$G$25,5,FALSE)</f>
        <v>15</v>
      </c>
      <c r="L219" s="187">
        <f>+HLOOKUP($B219,'parametres articles'!$C$5:$G$25,21,FALSE)</f>
        <v>13</v>
      </c>
      <c r="M219" s="192">
        <f>+HLOOKUP($B219,'parametres articles'!$C$5:$G$25,7,FALSE)</f>
        <v>0.8</v>
      </c>
      <c r="N219" s="192">
        <f>+HLOOKUP($B219,'parametres articles'!$C$5:$G$25,6,FALSE)</f>
        <v>0.4</v>
      </c>
      <c r="O219" s="187">
        <f>+HLOOKUP($B219,'parametres articles'!$C$5:$G$25,8,FALSE)</f>
        <v>0</v>
      </c>
      <c r="P219" s="193">
        <f>IF(B219="E",'parametres articles'!$C$8,HLOOKUP($B219,'parametres articles'!$C$5:$F$25,4,FALSE))</f>
        <v>2.27</v>
      </c>
      <c r="Q219" s="193">
        <f t="shared" si="46"/>
        <v>2.27</v>
      </c>
      <c r="R219" s="199">
        <f t="shared" si="54"/>
        <v>13.62</v>
      </c>
      <c r="S219" s="197">
        <f t="shared" si="47"/>
        <v>24.515999999999998</v>
      </c>
      <c r="T219" s="201">
        <f t="shared" si="48"/>
        <v>58.565999999999995</v>
      </c>
      <c r="U219" s="203">
        <f t="shared" si="55"/>
        <v>72.185999999999993</v>
      </c>
      <c r="V219" s="187">
        <f t="shared" si="49"/>
        <v>24.515999999999998</v>
      </c>
      <c r="W219" s="187">
        <f t="shared" si="50"/>
        <v>34.049999999999997</v>
      </c>
      <c r="X219" s="187">
        <f t="shared" si="51"/>
        <v>13.62</v>
      </c>
      <c r="Y219" s="193">
        <f t="shared" si="52"/>
        <v>31.325999999999997</v>
      </c>
      <c r="Z219" s="194"/>
      <c r="AA219" s="195">
        <f t="shared" ca="1" si="57"/>
        <v>219</v>
      </c>
      <c r="AB219" s="195">
        <f ca="1">+AA219+'parametres articles'!$C$9-1</f>
        <v>233</v>
      </c>
      <c r="AC219" s="195">
        <f ca="1">+AA219+'parametres articles'!$C$24-1</f>
        <v>238</v>
      </c>
      <c r="AD219" s="195">
        <f ca="1">+IF(AE219&lt;='parametres articles'!$H$8,0,AA219-'parametres articles'!$H$8+1)</f>
        <v>215</v>
      </c>
      <c r="AE219" s="195">
        <v>218</v>
      </c>
      <c r="AF219" s="187" t="str">
        <f t="shared" ca="1" si="56"/>
        <v>F234</v>
      </c>
      <c r="AG219" s="178"/>
      <c r="AH219" s="178"/>
      <c r="AI219" s="178"/>
      <c r="AJ219" s="178"/>
      <c r="AK219" s="178"/>
    </row>
    <row r="220" spans="1:37" x14ac:dyDescent="0.25">
      <c r="A220" s="186">
        <v>42223</v>
      </c>
      <c r="B220" s="188" t="s">
        <v>21</v>
      </c>
      <c r="C220" s="189">
        <f ca="1">+IF(AD220=0,P220,(SUM(INDIRECT(CONCATENATE("B",AD220,":B",AA220)))/'parametres articles'!$H$8))</f>
        <v>0</v>
      </c>
      <c r="D220" s="187">
        <f>IFERROR(VLOOKUP(A220,'Mvmt stock'!A:B,2,0),0)</f>
        <v>2</v>
      </c>
      <c r="E220" s="188">
        <f>IFERROR(VLOOKUP(A220,'Mvmt stock'!D:E,2,0),0)</f>
        <v>0</v>
      </c>
      <c r="F220" s="188">
        <f t="shared" si="53"/>
        <v>70</v>
      </c>
      <c r="G220" s="208">
        <f>IFERROR(VLOOKUP(A220,'Mvmt stock'!G:H,2,0),0)</f>
        <v>0</v>
      </c>
      <c r="H220" s="190">
        <f>IFERROR(VLOOKUP(A220,Stock!B:C,2,0),H219)</f>
        <v>72</v>
      </c>
      <c r="I220" s="188">
        <f t="shared" si="45"/>
        <v>68</v>
      </c>
      <c r="J220" s="191">
        <f t="shared" si="58"/>
        <v>70.095238095238102</v>
      </c>
      <c r="K220" s="187">
        <f>+HLOOKUP($B220,'parametres articles'!$C$5:$G$25,5,FALSE)</f>
        <v>15</v>
      </c>
      <c r="L220" s="187">
        <f>+HLOOKUP($B220,'parametres articles'!$C$5:$G$25,21,FALSE)</f>
        <v>13</v>
      </c>
      <c r="M220" s="192">
        <f>+HLOOKUP($B220,'parametres articles'!$C$5:$G$25,7,FALSE)</f>
        <v>0.8</v>
      </c>
      <c r="N220" s="192">
        <f>+HLOOKUP($B220,'parametres articles'!$C$5:$G$25,6,FALSE)</f>
        <v>0.4</v>
      </c>
      <c r="O220" s="187">
        <f>+HLOOKUP($B220,'parametres articles'!$C$5:$G$25,8,FALSE)</f>
        <v>0</v>
      </c>
      <c r="P220" s="193">
        <f>IF(B220="E",'parametres articles'!$C$8,HLOOKUP($B220,'parametres articles'!$C$5:$F$25,4,FALSE))</f>
        <v>2.27</v>
      </c>
      <c r="Q220" s="193">
        <f t="shared" si="46"/>
        <v>2.27</v>
      </c>
      <c r="R220" s="199">
        <f t="shared" si="54"/>
        <v>13.62</v>
      </c>
      <c r="S220" s="197">
        <f t="shared" si="47"/>
        <v>24.515999999999998</v>
      </c>
      <c r="T220" s="201">
        <f t="shared" si="48"/>
        <v>58.565999999999995</v>
      </c>
      <c r="U220" s="203">
        <f t="shared" si="55"/>
        <v>72.185999999999993</v>
      </c>
      <c r="V220" s="187">
        <f t="shared" si="49"/>
        <v>24.515999999999998</v>
      </c>
      <c r="W220" s="187">
        <f t="shared" si="50"/>
        <v>34.049999999999997</v>
      </c>
      <c r="X220" s="187">
        <f t="shared" si="51"/>
        <v>13.62</v>
      </c>
      <c r="Y220" s="193">
        <f t="shared" si="52"/>
        <v>31.325999999999997</v>
      </c>
      <c r="Z220" s="194"/>
      <c r="AA220" s="195">
        <f t="shared" ca="1" si="57"/>
        <v>220</v>
      </c>
      <c r="AB220" s="195">
        <f ca="1">+AA220+'parametres articles'!$C$9-1</f>
        <v>234</v>
      </c>
      <c r="AC220" s="195">
        <f ca="1">+AA220+'parametres articles'!$C$24-1</f>
        <v>239</v>
      </c>
      <c r="AD220" s="195">
        <f ca="1">+IF(AE220&lt;='parametres articles'!$H$8,0,AA220-'parametres articles'!$H$8+1)</f>
        <v>216</v>
      </c>
      <c r="AE220" s="195">
        <v>219</v>
      </c>
      <c r="AF220" s="187" t="str">
        <f t="shared" ca="1" si="56"/>
        <v>F235</v>
      </c>
      <c r="AG220" s="178"/>
      <c r="AH220" s="178"/>
      <c r="AI220" s="178"/>
      <c r="AJ220" s="178"/>
      <c r="AK220" s="178"/>
    </row>
    <row r="221" spans="1:37" x14ac:dyDescent="0.25">
      <c r="A221" s="186">
        <v>42224</v>
      </c>
      <c r="B221" s="188" t="s">
        <v>21</v>
      </c>
      <c r="C221" s="189">
        <f ca="1">+IF(AD221=0,P221,(SUM(INDIRECT(CONCATENATE("B",AD221,":B",AA221)))/'parametres articles'!$H$8))</f>
        <v>0</v>
      </c>
      <c r="D221" s="187">
        <f>IFERROR(VLOOKUP(A221,'Mvmt stock'!A:B,2,0),0)</f>
        <v>0</v>
      </c>
      <c r="E221" s="188">
        <f>IFERROR(VLOOKUP(A221,'Mvmt stock'!D:E,2,0),0)</f>
        <v>0</v>
      </c>
      <c r="F221" s="188">
        <f t="shared" si="53"/>
        <v>68</v>
      </c>
      <c r="G221" s="208">
        <f>IFERROR(VLOOKUP(A221,'Mvmt stock'!G:H,2,0),0)</f>
        <v>0</v>
      </c>
      <c r="H221" s="190">
        <f>IFERROR(VLOOKUP(A221,Stock!B:C,2,0),H220)</f>
        <v>72</v>
      </c>
      <c r="I221" s="188">
        <f t="shared" si="45"/>
        <v>68</v>
      </c>
      <c r="J221" s="191">
        <f t="shared" si="58"/>
        <v>69.952380952380949</v>
      </c>
      <c r="K221" s="187">
        <f>+HLOOKUP($B221,'parametres articles'!$C$5:$G$25,5,FALSE)</f>
        <v>15</v>
      </c>
      <c r="L221" s="187">
        <f>+HLOOKUP($B221,'parametres articles'!$C$5:$G$25,21,FALSE)</f>
        <v>13</v>
      </c>
      <c r="M221" s="192">
        <f>+HLOOKUP($B221,'parametres articles'!$C$5:$G$25,7,FALSE)</f>
        <v>0.8</v>
      </c>
      <c r="N221" s="192">
        <f>+HLOOKUP($B221,'parametres articles'!$C$5:$G$25,6,FALSE)</f>
        <v>0.4</v>
      </c>
      <c r="O221" s="187">
        <f>+HLOOKUP($B221,'parametres articles'!$C$5:$G$25,8,FALSE)</f>
        <v>0</v>
      </c>
      <c r="P221" s="193">
        <f>IF(B221="E",'parametres articles'!$C$8,HLOOKUP($B221,'parametres articles'!$C$5:$F$25,4,FALSE))</f>
        <v>2.27</v>
      </c>
      <c r="Q221" s="193">
        <f t="shared" si="46"/>
        <v>2.27</v>
      </c>
      <c r="R221" s="199">
        <f t="shared" si="54"/>
        <v>13.62</v>
      </c>
      <c r="S221" s="197">
        <f t="shared" si="47"/>
        <v>24.515999999999998</v>
      </c>
      <c r="T221" s="201">
        <f t="shared" si="48"/>
        <v>58.565999999999995</v>
      </c>
      <c r="U221" s="203">
        <f t="shared" si="55"/>
        <v>72.185999999999993</v>
      </c>
      <c r="V221" s="187">
        <f t="shared" si="49"/>
        <v>24.515999999999998</v>
      </c>
      <c r="W221" s="187">
        <f t="shared" si="50"/>
        <v>34.049999999999997</v>
      </c>
      <c r="X221" s="187">
        <f t="shared" si="51"/>
        <v>13.62</v>
      </c>
      <c r="Y221" s="193">
        <f t="shared" si="52"/>
        <v>31.325999999999997</v>
      </c>
      <c r="Z221" s="194"/>
      <c r="AA221" s="195">
        <f t="shared" ca="1" si="57"/>
        <v>221</v>
      </c>
      <c r="AB221" s="195">
        <f ca="1">+AA221+'parametres articles'!$C$9-1</f>
        <v>235</v>
      </c>
      <c r="AC221" s="195">
        <f ca="1">+AA221+'parametres articles'!$C$24-1</f>
        <v>240</v>
      </c>
      <c r="AD221" s="195">
        <f ca="1">+IF(AE221&lt;='parametres articles'!$H$8,0,AA221-'parametres articles'!$H$8+1)</f>
        <v>217</v>
      </c>
      <c r="AE221" s="195">
        <v>220</v>
      </c>
      <c r="AF221" s="187" t="str">
        <f t="shared" ca="1" si="56"/>
        <v>F236</v>
      </c>
      <c r="AG221" s="178"/>
      <c r="AH221" s="178"/>
      <c r="AI221" s="178"/>
      <c r="AJ221" s="178"/>
      <c r="AK221" s="178"/>
    </row>
    <row r="222" spans="1:37" x14ac:dyDescent="0.25">
      <c r="A222" s="186">
        <v>42225</v>
      </c>
      <c r="B222" s="188" t="s">
        <v>21</v>
      </c>
      <c r="C222" s="189">
        <f ca="1">+IF(AD222=0,P222,(SUM(INDIRECT(CONCATENATE("B",AD222,":B",AA222)))/'parametres articles'!$H$8))</f>
        <v>0</v>
      </c>
      <c r="D222" s="187">
        <f>IFERROR(VLOOKUP(A222,'Mvmt stock'!A:B,2,0),0)</f>
        <v>0</v>
      </c>
      <c r="E222" s="188">
        <f>IFERROR(VLOOKUP(A222,'Mvmt stock'!D:E,2,0),0)</f>
        <v>0</v>
      </c>
      <c r="F222" s="188">
        <f t="shared" si="53"/>
        <v>68</v>
      </c>
      <c r="G222" s="208">
        <f>IFERROR(VLOOKUP(A222,'Mvmt stock'!G:H,2,0),0)</f>
        <v>0</v>
      </c>
      <c r="H222" s="190">
        <f>IFERROR(VLOOKUP(A222,Stock!B:C,2,0),H221)</f>
        <v>72</v>
      </c>
      <c r="I222" s="188">
        <f t="shared" si="45"/>
        <v>68</v>
      </c>
      <c r="J222" s="191">
        <f t="shared" si="58"/>
        <v>69.80952380952381</v>
      </c>
      <c r="K222" s="187">
        <f>+HLOOKUP($B222,'parametres articles'!$C$5:$G$25,5,FALSE)</f>
        <v>15</v>
      </c>
      <c r="L222" s="187">
        <f>+HLOOKUP($B222,'parametres articles'!$C$5:$G$25,21,FALSE)</f>
        <v>13</v>
      </c>
      <c r="M222" s="192">
        <f>+HLOOKUP($B222,'parametres articles'!$C$5:$G$25,7,FALSE)</f>
        <v>0.8</v>
      </c>
      <c r="N222" s="192">
        <f>+HLOOKUP($B222,'parametres articles'!$C$5:$G$25,6,FALSE)</f>
        <v>0.4</v>
      </c>
      <c r="O222" s="187">
        <f>+HLOOKUP($B222,'parametres articles'!$C$5:$G$25,8,FALSE)</f>
        <v>0</v>
      </c>
      <c r="P222" s="193">
        <f>IF(B222="E",'parametres articles'!$C$8,HLOOKUP($B222,'parametres articles'!$C$5:$F$25,4,FALSE))</f>
        <v>2.27</v>
      </c>
      <c r="Q222" s="193">
        <f t="shared" si="46"/>
        <v>2.27</v>
      </c>
      <c r="R222" s="199">
        <f t="shared" si="54"/>
        <v>13.62</v>
      </c>
      <c r="S222" s="197">
        <f t="shared" si="47"/>
        <v>24.515999999999998</v>
      </c>
      <c r="T222" s="201">
        <f t="shared" si="48"/>
        <v>58.565999999999995</v>
      </c>
      <c r="U222" s="203">
        <f t="shared" si="55"/>
        <v>72.185999999999993</v>
      </c>
      <c r="V222" s="187">
        <f t="shared" si="49"/>
        <v>24.515999999999998</v>
      </c>
      <c r="W222" s="187">
        <f t="shared" si="50"/>
        <v>34.049999999999997</v>
      </c>
      <c r="X222" s="187">
        <f t="shared" si="51"/>
        <v>13.62</v>
      </c>
      <c r="Y222" s="193">
        <f t="shared" si="52"/>
        <v>31.325999999999997</v>
      </c>
      <c r="Z222" s="194"/>
      <c r="AA222" s="195">
        <f t="shared" ca="1" si="57"/>
        <v>222</v>
      </c>
      <c r="AB222" s="195">
        <f ca="1">+AA222+'parametres articles'!$C$9-1</f>
        <v>236</v>
      </c>
      <c r="AC222" s="195">
        <f ca="1">+AA222+'parametres articles'!$C$24-1</f>
        <v>241</v>
      </c>
      <c r="AD222" s="195">
        <f ca="1">+IF(AE222&lt;='parametres articles'!$H$8,0,AA222-'parametres articles'!$H$8+1)</f>
        <v>218</v>
      </c>
      <c r="AE222" s="195">
        <v>221</v>
      </c>
      <c r="AF222" s="187" t="str">
        <f t="shared" ca="1" si="56"/>
        <v>F237</v>
      </c>
      <c r="AG222" s="178"/>
      <c r="AH222" s="178"/>
      <c r="AI222" s="178"/>
      <c r="AJ222" s="178"/>
      <c r="AK222" s="178"/>
    </row>
    <row r="223" spans="1:37" x14ac:dyDescent="0.25">
      <c r="A223" s="186">
        <v>42226</v>
      </c>
      <c r="B223" s="188" t="s">
        <v>21</v>
      </c>
      <c r="C223" s="189">
        <f ca="1">+IF(AD223=0,P223,(SUM(INDIRECT(CONCATENATE("B",AD223,":B",AA223)))/'parametres articles'!$H$8))</f>
        <v>0</v>
      </c>
      <c r="D223" s="187">
        <f>IFERROR(VLOOKUP(A223,'Mvmt stock'!A:B,2,0),0)</f>
        <v>0</v>
      </c>
      <c r="E223" s="188">
        <f>IFERROR(VLOOKUP(A223,'Mvmt stock'!D:E,2,0),0)</f>
        <v>0</v>
      </c>
      <c r="F223" s="188">
        <f t="shared" si="53"/>
        <v>68</v>
      </c>
      <c r="G223" s="208">
        <f>IFERROR(VLOOKUP(A223,'Mvmt stock'!G:H,2,0),0)</f>
        <v>0</v>
      </c>
      <c r="H223" s="190">
        <f>IFERROR(VLOOKUP(A223,Stock!B:C,2,0),H222)</f>
        <v>70</v>
      </c>
      <c r="I223" s="188">
        <f t="shared" si="45"/>
        <v>68</v>
      </c>
      <c r="J223" s="191">
        <f t="shared" si="58"/>
        <v>69.666666666666671</v>
      </c>
      <c r="K223" s="187">
        <f>+HLOOKUP($B223,'parametres articles'!$C$5:$G$25,5,FALSE)</f>
        <v>15</v>
      </c>
      <c r="L223" s="187">
        <f>+HLOOKUP($B223,'parametres articles'!$C$5:$G$25,21,FALSE)</f>
        <v>13</v>
      </c>
      <c r="M223" s="192">
        <f>+HLOOKUP($B223,'parametres articles'!$C$5:$G$25,7,FALSE)</f>
        <v>0.8</v>
      </c>
      <c r="N223" s="192">
        <f>+HLOOKUP($B223,'parametres articles'!$C$5:$G$25,6,FALSE)</f>
        <v>0.4</v>
      </c>
      <c r="O223" s="187">
        <f>+HLOOKUP($B223,'parametres articles'!$C$5:$G$25,8,FALSE)</f>
        <v>0</v>
      </c>
      <c r="P223" s="193">
        <f>IF(B223="E",'parametres articles'!$C$8,HLOOKUP($B223,'parametres articles'!$C$5:$F$25,4,FALSE))</f>
        <v>2.27</v>
      </c>
      <c r="Q223" s="193">
        <f t="shared" si="46"/>
        <v>2.27</v>
      </c>
      <c r="R223" s="199">
        <f t="shared" si="54"/>
        <v>13.62</v>
      </c>
      <c r="S223" s="197">
        <f t="shared" si="47"/>
        <v>24.515999999999998</v>
      </c>
      <c r="T223" s="201">
        <f t="shared" si="48"/>
        <v>58.565999999999995</v>
      </c>
      <c r="U223" s="203">
        <f t="shared" si="55"/>
        <v>72.185999999999993</v>
      </c>
      <c r="V223" s="187">
        <f t="shared" si="49"/>
        <v>24.515999999999998</v>
      </c>
      <c r="W223" s="187">
        <f t="shared" si="50"/>
        <v>34.049999999999997</v>
      </c>
      <c r="X223" s="187">
        <f t="shared" si="51"/>
        <v>13.62</v>
      </c>
      <c r="Y223" s="193">
        <f t="shared" si="52"/>
        <v>31.325999999999997</v>
      </c>
      <c r="Z223" s="194"/>
      <c r="AA223" s="195">
        <f t="shared" ca="1" si="57"/>
        <v>223</v>
      </c>
      <c r="AB223" s="195">
        <f ca="1">+AA223+'parametres articles'!$C$9-1</f>
        <v>237</v>
      </c>
      <c r="AC223" s="195">
        <f ca="1">+AA223+'parametres articles'!$C$24-1</f>
        <v>242</v>
      </c>
      <c r="AD223" s="195">
        <f ca="1">+IF(AE223&lt;='parametres articles'!$H$8,0,AA223-'parametres articles'!$H$8+1)</f>
        <v>219</v>
      </c>
      <c r="AE223" s="195">
        <v>222</v>
      </c>
      <c r="AF223" s="187" t="str">
        <f t="shared" ca="1" si="56"/>
        <v>F238</v>
      </c>
      <c r="AG223" s="178"/>
      <c r="AH223" s="178"/>
      <c r="AI223" s="178"/>
      <c r="AJ223" s="178"/>
      <c r="AK223" s="178"/>
    </row>
    <row r="224" spans="1:37" x14ac:dyDescent="0.25">
      <c r="A224" s="186">
        <v>42227</v>
      </c>
      <c r="B224" s="188" t="s">
        <v>21</v>
      </c>
      <c r="C224" s="189">
        <f ca="1">+IF(AD224=0,P224,(SUM(INDIRECT(CONCATENATE("B",AD224,":B",AA224)))/'parametres articles'!$H$8))</f>
        <v>0</v>
      </c>
      <c r="D224" s="187">
        <f>IFERROR(VLOOKUP(A224,'Mvmt stock'!A:B,2,0),0)</f>
        <v>0</v>
      </c>
      <c r="E224" s="188">
        <f>IFERROR(VLOOKUP(A224,'Mvmt stock'!D:E,2,0),0)</f>
        <v>0</v>
      </c>
      <c r="F224" s="188">
        <f t="shared" si="53"/>
        <v>68</v>
      </c>
      <c r="G224" s="208">
        <f>IFERROR(VLOOKUP(A224,'Mvmt stock'!G:H,2,0),0)</f>
        <v>0</v>
      </c>
      <c r="H224" s="190">
        <f>IFERROR(VLOOKUP(A224,Stock!B:C,2,0),H223)</f>
        <v>70</v>
      </c>
      <c r="I224" s="188">
        <f t="shared" si="45"/>
        <v>68</v>
      </c>
      <c r="J224" s="191">
        <f t="shared" si="58"/>
        <v>69.523809523809518</v>
      </c>
      <c r="K224" s="187">
        <f>+HLOOKUP($B224,'parametres articles'!$C$5:$G$25,5,FALSE)</f>
        <v>15</v>
      </c>
      <c r="L224" s="187">
        <f>+HLOOKUP($B224,'parametres articles'!$C$5:$G$25,21,FALSE)</f>
        <v>13</v>
      </c>
      <c r="M224" s="192">
        <f>+HLOOKUP($B224,'parametres articles'!$C$5:$G$25,7,FALSE)</f>
        <v>0.8</v>
      </c>
      <c r="N224" s="192">
        <f>+HLOOKUP($B224,'parametres articles'!$C$5:$G$25,6,FALSE)</f>
        <v>0.4</v>
      </c>
      <c r="O224" s="187">
        <f>+HLOOKUP($B224,'parametres articles'!$C$5:$G$25,8,FALSE)</f>
        <v>0</v>
      </c>
      <c r="P224" s="193">
        <f>IF(B224="E",'parametres articles'!$C$8,HLOOKUP($B224,'parametres articles'!$C$5:$F$25,4,FALSE))</f>
        <v>2.27</v>
      </c>
      <c r="Q224" s="193">
        <f t="shared" si="46"/>
        <v>2.27</v>
      </c>
      <c r="R224" s="199">
        <f t="shared" si="54"/>
        <v>13.62</v>
      </c>
      <c r="S224" s="197">
        <f t="shared" si="47"/>
        <v>24.515999999999998</v>
      </c>
      <c r="T224" s="201">
        <f t="shared" si="48"/>
        <v>58.565999999999995</v>
      </c>
      <c r="U224" s="203">
        <f t="shared" si="55"/>
        <v>72.185999999999993</v>
      </c>
      <c r="V224" s="187">
        <f t="shared" si="49"/>
        <v>24.515999999999998</v>
      </c>
      <c r="W224" s="187">
        <f t="shared" si="50"/>
        <v>34.049999999999997</v>
      </c>
      <c r="X224" s="187">
        <f t="shared" si="51"/>
        <v>13.62</v>
      </c>
      <c r="Y224" s="193">
        <f t="shared" si="52"/>
        <v>31.325999999999997</v>
      </c>
      <c r="Z224" s="194"/>
      <c r="AA224" s="195">
        <f t="shared" ca="1" si="57"/>
        <v>224</v>
      </c>
      <c r="AB224" s="195">
        <f ca="1">+AA224+'parametres articles'!$C$9-1</f>
        <v>238</v>
      </c>
      <c r="AC224" s="195">
        <f ca="1">+AA224+'parametres articles'!$C$24-1</f>
        <v>243</v>
      </c>
      <c r="AD224" s="195">
        <f ca="1">+IF(AE224&lt;='parametres articles'!$H$8,0,AA224-'parametres articles'!$H$8+1)</f>
        <v>220</v>
      </c>
      <c r="AE224" s="195">
        <v>223</v>
      </c>
      <c r="AF224" s="187" t="str">
        <f t="shared" ca="1" si="56"/>
        <v>F239</v>
      </c>
      <c r="AG224" s="181"/>
      <c r="AH224" s="178"/>
      <c r="AI224" s="178"/>
      <c r="AJ224" s="178"/>
      <c r="AK224" s="178"/>
    </row>
    <row r="225" spans="1:37" x14ac:dyDescent="0.25">
      <c r="A225" s="186">
        <v>42228</v>
      </c>
      <c r="B225" s="188" t="s">
        <v>21</v>
      </c>
      <c r="C225" s="189">
        <f ca="1">+IF(AD225=0,P225,(SUM(INDIRECT(CONCATENATE("B",AD225,":B",AA225)))/'parametres articles'!$H$8))</f>
        <v>0</v>
      </c>
      <c r="D225" s="187">
        <f>IFERROR(VLOOKUP(A225,'Mvmt stock'!A:B,2,0),0)</f>
        <v>0</v>
      </c>
      <c r="E225" s="188">
        <f>IFERROR(VLOOKUP(A225,'Mvmt stock'!D:E,2,0),0)</f>
        <v>0</v>
      </c>
      <c r="F225" s="188">
        <f t="shared" si="53"/>
        <v>68</v>
      </c>
      <c r="G225" s="208">
        <f>IFERROR(VLOOKUP(A225,'Mvmt stock'!G:H,2,0),0)</f>
        <v>0</v>
      </c>
      <c r="H225" s="190">
        <f>IFERROR(VLOOKUP(A225,Stock!B:C,2,0),H224)</f>
        <v>70</v>
      </c>
      <c r="I225" s="188">
        <f t="shared" si="45"/>
        <v>68</v>
      </c>
      <c r="J225" s="191">
        <f t="shared" si="58"/>
        <v>69.38095238095238</v>
      </c>
      <c r="K225" s="187">
        <f>+HLOOKUP($B225,'parametres articles'!$C$5:$G$25,5,FALSE)</f>
        <v>15</v>
      </c>
      <c r="L225" s="187">
        <f>+HLOOKUP($B225,'parametres articles'!$C$5:$G$25,21,FALSE)</f>
        <v>13</v>
      </c>
      <c r="M225" s="192">
        <f>+HLOOKUP($B225,'parametres articles'!$C$5:$G$25,7,FALSE)</f>
        <v>0.8</v>
      </c>
      <c r="N225" s="192">
        <f>+HLOOKUP($B225,'parametres articles'!$C$5:$G$25,6,FALSE)</f>
        <v>0.4</v>
      </c>
      <c r="O225" s="187">
        <f>+HLOOKUP($B225,'parametres articles'!$C$5:$G$25,8,FALSE)</f>
        <v>0</v>
      </c>
      <c r="P225" s="193">
        <f>IF(B225="E",'parametres articles'!$C$8,HLOOKUP($B225,'parametres articles'!$C$5:$F$25,4,FALSE))</f>
        <v>2.27</v>
      </c>
      <c r="Q225" s="193">
        <f t="shared" si="46"/>
        <v>2.27</v>
      </c>
      <c r="R225" s="199">
        <f t="shared" si="54"/>
        <v>13.62</v>
      </c>
      <c r="S225" s="197">
        <f t="shared" si="47"/>
        <v>24.515999999999998</v>
      </c>
      <c r="T225" s="201">
        <f t="shared" si="48"/>
        <v>58.565999999999995</v>
      </c>
      <c r="U225" s="203">
        <f t="shared" si="55"/>
        <v>72.185999999999993</v>
      </c>
      <c r="V225" s="187">
        <f t="shared" si="49"/>
        <v>24.515999999999998</v>
      </c>
      <c r="W225" s="187">
        <f t="shared" si="50"/>
        <v>34.049999999999997</v>
      </c>
      <c r="X225" s="187">
        <f t="shared" si="51"/>
        <v>13.62</v>
      </c>
      <c r="Y225" s="193">
        <f t="shared" si="52"/>
        <v>31.325999999999997</v>
      </c>
      <c r="Z225" s="194"/>
      <c r="AA225" s="195">
        <f t="shared" ca="1" si="57"/>
        <v>225</v>
      </c>
      <c r="AB225" s="195">
        <f ca="1">+AA225+'parametres articles'!$C$9-1</f>
        <v>239</v>
      </c>
      <c r="AC225" s="195">
        <f ca="1">+AA225+'parametres articles'!$C$24-1</f>
        <v>244</v>
      </c>
      <c r="AD225" s="195">
        <f ca="1">+IF(AE225&lt;='parametres articles'!$H$8,0,AA225-'parametres articles'!$H$8+1)</f>
        <v>221</v>
      </c>
      <c r="AE225" s="195">
        <v>224</v>
      </c>
      <c r="AF225" s="187" t="str">
        <f t="shared" ca="1" si="56"/>
        <v>F240</v>
      </c>
      <c r="AG225" s="181"/>
      <c r="AH225" s="178"/>
      <c r="AI225" s="178"/>
      <c r="AJ225" s="178"/>
      <c r="AK225" s="178"/>
    </row>
    <row r="226" spans="1:37" x14ac:dyDescent="0.25">
      <c r="A226" s="186">
        <v>42229</v>
      </c>
      <c r="B226" s="188" t="s">
        <v>21</v>
      </c>
      <c r="C226" s="189">
        <f ca="1">+IF(AD226=0,P226,(SUM(INDIRECT(CONCATENATE("B",AD226,":B",AA226)))/'parametres articles'!$H$8))</f>
        <v>0</v>
      </c>
      <c r="D226" s="187">
        <f>IFERROR(VLOOKUP(A226,'Mvmt stock'!A:B,2,0),0)</f>
        <v>0</v>
      </c>
      <c r="E226" s="188">
        <f>IFERROR(VLOOKUP(A226,'Mvmt stock'!D:E,2,0),0)</f>
        <v>0</v>
      </c>
      <c r="F226" s="188">
        <f t="shared" si="53"/>
        <v>68</v>
      </c>
      <c r="G226" s="208">
        <f>IFERROR(VLOOKUP(A226,'Mvmt stock'!G:H,2,0),0)</f>
        <v>0</v>
      </c>
      <c r="H226" s="190">
        <f>IFERROR(VLOOKUP(A226,Stock!B:C,2,0),H225)</f>
        <v>70</v>
      </c>
      <c r="I226" s="188">
        <f t="shared" si="45"/>
        <v>68</v>
      </c>
      <c r="J226" s="191">
        <f t="shared" si="58"/>
        <v>69.333333333333329</v>
      </c>
      <c r="K226" s="187">
        <f>+HLOOKUP($B226,'parametres articles'!$C$5:$G$25,5,FALSE)</f>
        <v>15</v>
      </c>
      <c r="L226" s="187">
        <f>+HLOOKUP($B226,'parametres articles'!$C$5:$G$25,21,FALSE)</f>
        <v>13</v>
      </c>
      <c r="M226" s="192">
        <f>+HLOOKUP($B226,'parametres articles'!$C$5:$G$25,7,FALSE)</f>
        <v>0.8</v>
      </c>
      <c r="N226" s="192">
        <f>+HLOOKUP($B226,'parametres articles'!$C$5:$G$25,6,FALSE)</f>
        <v>0.4</v>
      </c>
      <c r="O226" s="187">
        <f>+HLOOKUP($B226,'parametres articles'!$C$5:$G$25,8,FALSE)</f>
        <v>0</v>
      </c>
      <c r="P226" s="193">
        <f>IF(B226="E",'parametres articles'!$C$8,HLOOKUP($B226,'parametres articles'!$C$5:$F$25,4,FALSE))</f>
        <v>2.27</v>
      </c>
      <c r="Q226" s="193">
        <f t="shared" si="46"/>
        <v>2.27</v>
      </c>
      <c r="R226" s="199">
        <f t="shared" si="54"/>
        <v>13.62</v>
      </c>
      <c r="S226" s="197">
        <f t="shared" si="47"/>
        <v>24.515999999999998</v>
      </c>
      <c r="T226" s="201">
        <f t="shared" si="48"/>
        <v>58.565999999999995</v>
      </c>
      <c r="U226" s="203">
        <f t="shared" si="55"/>
        <v>72.185999999999993</v>
      </c>
      <c r="V226" s="187">
        <f t="shared" si="49"/>
        <v>24.515999999999998</v>
      </c>
      <c r="W226" s="187">
        <f t="shared" si="50"/>
        <v>34.049999999999997</v>
      </c>
      <c r="X226" s="187">
        <f t="shared" si="51"/>
        <v>13.62</v>
      </c>
      <c r="Y226" s="193">
        <f t="shared" si="52"/>
        <v>31.325999999999997</v>
      </c>
      <c r="Z226" s="194"/>
      <c r="AA226" s="195">
        <f t="shared" ca="1" si="57"/>
        <v>226</v>
      </c>
      <c r="AB226" s="195">
        <f ca="1">+AA226+'parametres articles'!$C$9-1</f>
        <v>240</v>
      </c>
      <c r="AC226" s="195">
        <f ca="1">+AA226+'parametres articles'!$C$24-1</f>
        <v>245</v>
      </c>
      <c r="AD226" s="195">
        <f ca="1">+IF(AE226&lt;='parametres articles'!$H$8,0,AA226-'parametres articles'!$H$8+1)</f>
        <v>222</v>
      </c>
      <c r="AE226" s="195">
        <v>225</v>
      </c>
      <c r="AF226" s="187" t="str">
        <f t="shared" ca="1" si="56"/>
        <v>F241</v>
      </c>
      <c r="AG226" s="181"/>
      <c r="AH226" s="178"/>
      <c r="AI226" s="178"/>
      <c r="AJ226" s="178"/>
      <c r="AK226" s="178"/>
    </row>
    <row r="227" spans="1:37" x14ac:dyDescent="0.25">
      <c r="A227" s="186">
        <v>42230</v>
      </c>
      <c r="B227" s="188" t="s">
        <v>21</v>
      </c>
      <c r="C227" s="189">
        <f ca="1">+IF(AD227=0,P227,(SUM(INDIRECT(CONCATENATE("B",AD227,":B",AA227)))/'parametres articles'!$H$8))</f>
        <v>0</v>
      </c>
      <c r="D227" s="187">
        <f>IFERROR(VLOOKUP(A227,'Mvmt stock'!A:B,2,0),0)</f>
        <v>0</v>
      </c>
      <c r="E227" s="188">
        <f>IFERROR(VLOOKUP(A227,'Mvmt stock'!D:E,2,0),0)</f>
        <v>0</v>
      </c>
      <c r="F227" s="188">
        <f t="shared" si="53"/>
        <v>68</v>
      </c>
      <c r="G227" s="208">
        <f>IFERROR(VLOOKUP(A227,'Mvmt stock'!G:H,2,0),0)</f>
        <v>0</v>
      </c>
      <c r="H227" s="190">
        <f>IFERROR(VLOOKUP(A227,Stock!B:C,2,0),H226)</f>
        <v>70</v>
      </c>
      <c r="I227" s="188">
        <f t="shared" si="45"/>
        <v>68</v>
      </c>
      <c r="J227" s="191">
        <f t="shared" si="58"/>
        <v>69.285714285714292</v>
      </c>
      <c r="K227" s="187">
        <f>+HLOOKUP($B227,'parametres articles'!$C$5:$G$25,5,FALSE)</f>
        <v>15</v>
      </c>
      <c r="L227" s="187">
        <f>+HLOOKUP($B227,'parametres articles'!$C$5:$G$25,21,FALSE)</f>
        <v>13</v>
      </c>
      <c r="M227" s="192">
        <f>+HLOOKUP($B227,'parametres articles'!$C$5:$G$25,7,FALSE)</f>
        <v>0.8</v>
      </c>
      <c r="N227" s="192">
        <f>+HLOOKUP($B227,'parametres articles'!$C$5:$G$25,6,FALSE)</f>
        <v>0.4</v>
      </c>
      <c r="O227" s="187">
        <f>+HLOOKUP($B227,'parametres articles'!$C$5:$G$25,8,FALSE)</f>
        <v>0</v>
      </c>
      <c r="P227" s="193">
        <f>IF(B227="E",'parametres articles'!$C$8,HLOOKUP($B227,'parametres articles'!$C$5:$F$25,4,FALSE))</f>
        <v>2.27</v>
      </c>
      <c r="Q227" s="193">
        <f t="shared" si="46"/>
        <v>2.27</v>
      </c>
      <c r="R227" s="199">
        <f t="shared" si="54"/>
        <v>13.62</v>
      </c>
      <c r="S227" s="197">
        <f t="shared" si="47"/>
        <v>24.515999999999998</v>
      </c>
      <c r="T227" s="201">
        <f t="shared" si="48"/>
        <v>58.565999999999995</v>
      </c>
      <c r="U227" s="203">
        <f t="shared" si="55"/>
        <v>72.185999999999993</v>
      </c>
      <c r="V227" s="187">
        <f t="shared" si="49"/>
        <v>24.515999999999998</v>
      </c>
      <c r="W227" s="187">
        <f t="shared" si="50"/>
        <v>34.049999999999997</v>
      </c>
      <c r="X227" s="187">
        <f t="shared" si="51"/>
        <v>13.62</v>
      </c>
      <c r="Y227" s="193">
        <f t="shared" si="52"/>
        <v>31.325999999999997</v>
      </c>
      <c r="Z227" s="194"/>
      <c r="AA227" s="195">
        <f t="shared" ca="1" si="57"/>
        <v>227</v>
      </c>
      <c r="AB227" s="195">
        <f ca="1">+AA227+'parametres articles'!$C$9-1</f>
        <v>241</v>
      </c>
      <c r="AC227" s="195">
        <f ca="1">+AA227+'parametres articles'!$C$24-1</f>
        <v>246</v>
      </c>
      <c r="AD227" s="195">
        <f ca="1">+IF(AE227&lt;='parametres articles'!$H$8,0,AA227-'parametres articles'!$H$8+1)</f>
        <v>223</v>
      </c>
      <c r="AE227" s="195">
        <v>226</v>
      </c>
      <c r="AF227" s="187" t="str">
        <f t="shared" ca="1" si="56"/>
        <v>F242</v>
      </c>
      <c r="AG227" s="181"/>
      <c r="AH227" s="178"/>
      <c r="AI227" s="178"/>
      <c r="AJ227" s="178"/>
      <c r="AK227" s="178"/>
    </row>
    <row r="228" spans="1:37" x14ac:dyDescent="0.25">
      <c r="A228" s="186">
        <v>42231</v>
      </c>
      <c r="B228" s="188" t="s">
        <v>21</v>
      </c>
      <c r="C228" s="189">
        <f ca="1">+IF(AD228=0,P228,(SUM(INDIRECT(CONCATENATE("B",AD228,":B",AA228)))/'parametres articles'!$H$8))</f>
        <v>0</v>
      </c>
      <c r="D228" s="187">
        <f>IFERROR(VLOOKUP(A228,'Mvmt stock'!A:B,2,0),0)</f>
        <v>0</v>
      </c>
      <c r="E228" s="188">
        <f>IFERROR(VLOOKUP(A228,'Mvmt stock'!D:E,2,0),0)</f>
        <v>0</v>
      </c>
      <c r="F228" s="188">
        <f t="shared" si="53"/>
        <v>68</v>
      </c>
      <c r="G228" s="208">
        <f>IFERROR(VLOOKUP(A228,'Mvmt stock'!G:H,2,0),0)</f>
        <v>0</v>
      </c>
      <c r="H228" s="190">
        <f>IFERROR(VLOOKUP(A228,Stock!B:C,2,0),H227)</f>
        <v>70</v>
      </c>
      <c r="I228" s="188">
        <f t="shared" si="45"/>
        <v>68</v>
      </c>
      <c r="J228" s="191">
        <f t="shared" si="58"/>
        <v>69.238095238095241</v>
      </c>
      <c r="K228" s="187">
        <f>+HLOOKUP($B228,'parametres articles'!$C$5:$G$25,5,FALSE)</f>
        <v>15</v>
      </c>
      <c r="L228" s="187">
        <f>+HLOOKUP($B228,'parametres articles'!$C$5:$G$25,21,FALSE)</f>
        <v>13</v>
      </c>
      <c r="M228" s="192">
        <f>+HLOOKUP($B228,'parametres articles'!$C$5:$G$25,7,FALSE)</f>
        <v>0.8</v>
      </c>
      <c r="N228" s="192">
        <f>+HLOOKUP($B228,'parametres articles'!$C$5:$G$25,6,FALSE)</f>
        <v>0.4</v>
      </c>
      <c r="O228" s="187">
        <f>+HLOOKUP($B228,'parametres articles'!$C$5:$G$25,8,FALSE)</f>
        <v>0</v>
      </c>
      <c r="P228" s="193">
        <f>IF(B228="E",'parametres articles'!$C$8,HLOOKUP($B228,'parametres articles'!$C$5:$F$25,4,FALSE))</f>
        <v>2.27</v>
      </c>
      <c r="Q228" s="193">
        <f t="shared" si="46"/>
        <v>2.27</v>
      </c>
      <c r="R228" s="199">
        <f t="shared" si="54"/>
        <v>13.62</v>
      </c>
      <c r="S228" s="197">
        <f t="shared" si="47"/>
        <v>24.515999999999998</v>
      </c>
      <c r="T228" s="201">
        <f t="shared" si="48"/>
        <v>58.565999999999995</v>
      </c>
      <c r="U228" s="203">
        <f t="shared" si="55"/>
        <v>72.185999999999993</v>
      </c>
      <c r="V228" s="187">
        <f t="shared" si="49"/>
        <v>24.515999999999998</v>
      </c>
      <c r="W228" s="187">
        <f t="shared" si="50"/>
        <v>34.049999999999997</v>
      </c>
      <c r="X228" s="187">
        <f t="shared" si="51"/>
        <v>13.62</v>
      </c>
      <c r="Y228" s="193">
        <f t="shared" si="52"/>
        <v>31.325999999999997</v>
      </c>
      <c r="Z228" s="194"/>
      <c r="AA228" s="195">
        <f t="shared" ca="1" si="57"/>
        <v>228</v>
      </c>
      <c r="AB228" s="195">
        <f ca="1">+AA228+'parametres articles'!$C$9-1</f>
        <v>242</v>
      </c>
      <c r="AC228" s="195">
        <f ca="1">+AA228+'parametres articles'!$C$24-1</f>
        <v>247</v>
      </c>
      <c r="AD228" s="195">
        <f ca="1">+IF(AE228&lt;='parametres articles'!$H$8,0,AA228-'parametres articles'!$H$8+1)</f>
        <v>224</v>
      </c>
      <c r="AE228" s="195">
        <v>227</v>
      </c>
      <c r="AF228" s="187" t="str">
        <f t="shared" ca="1" si="56"/>
        <v>F243</v>
      </c>
      <c r="AG228" s="178"/>
      <c r="AH228" s="178"/>
      <c r="AI228" s="178"/>
      <c r="AJ228" s="178"/>
      <c r="AK228" s="178"/>
    </row>
    <row r="229" spans="1:37" x14ac:dyDescent="0.25">
      <c r="A229" s="186">
        <v>42232</v>
      </c>
      <c r="B229" s="188" t="s">
        <v>21</v>
      </c>
      <c r="C229" s="189">
        <f ca="1">+IF(AD229=0,P229,(SUM(INDIRECT(CONCATENATE("B",AD229,":B",AA229)))/'parametres articles'!$H$8))</f>
        <v>0</v>
      </c>
      <c r="D229" s="187">
        <f>IFERROR(VLOOKUP(A229,'Mvmt stock'!A:B,2,0),0)</f>
        <v>0</v>
      </c>
      <c r="E229" s="188">
        <f>IFERROR(VLOOKUP(A229,'Mvmt stock'!D:E,2,0),0)</f>
        <v>0</v>
      </c>
      <c r="F229" s="188">
        <f t="shared" si="53"/>
        <v>68</v>
      </c>
      <c r="G229" s="208">
        <f>IFERROR(VLOOKUP(A229,'Mvmt stock'!G:H,2,0),0)</f>
        <v>0</v>
      </c>
      <c r="H229" s="190">
        <f>IFERROR(VLOOKUP(A229,Stock!B:C,2,0),H228)</f>
        <v>70</v>
      </c>
      <c r="I229" s="188">
        <f t="shared" si="45"/>
        <v>68</v>
      </c>
      <c r="J229" s="191">
        <f t="shared" si="58"/>
        <v>69.19047619047619</v>
      </c>
      <c r="K229" s="187">
        <f>+HLOOKUP($B229,'parametres articles'!$C$5:$G$25,5,FALSE)</f>
        <v>15</v>
      </c>
      <c r="L229" s="187">
        <f>+HLOOKUP($B229,'parametres articles'!$C$5:$G$25,21,FALSE)</f>
        <v>13</v>
      </c>
      <c r="M229" s="192">
        <f>+HLOOKUP($B229,'parametres articles'!$C$5:$G$25,7,FALSE)</f>
        <v>0.8</v>
      </c>
      <c r="N229" s="192">
        <f>+HLOOKUP($B229,'parametres articles'!$C$5:$G$25,6,FALSE)</f>
        <v>0.4</v>
      </c>
      <c r="O229" s="187">
        <f>+HLOOKUP($B229,'parametres articles'!$C$5:$G$25,8,FALSE)</f>
        <v>0</v>
      </c>
      <c r="P229" s="193">
        <f>IF(B229="E",'parametres articles'!$C$8,HLOOKUP($B229,'parametres articles'!$C$5:$F$25,4,FALSE))</f>
        <v>2.27</v>
      </c>
      <c r="Q229" s="193">
        <f t="shared" si="46"/>
        <v>2.27</v>
      </c>
      <c r="R229" s="199">
        <f t="shared" si="54"/>
        <v>13.62</v>
      </c>
      <c r="S229" s="197">
        <f t="shared" si="47"/>
        <v>24.515999999999998</v>
      </c>
      <c r="T229" s="201">
        <f t="shared" si="48"/>
        <v>58.565999999999995</v>
      </c>
      <c r="U229" s="203">
        <f t="shared" si="55"/>
        <v>72.185999999999993</v>
      </c>
      <c r="V229" s="187">
        <f t="shared" si="49"/>
        <v>24.515999999999998</v>
      </c>
      <c r="W229" s="187">
        <f t="shared" si="50"/>
        <v>34.049999999999997</v>
      </c>
      <c r="X229" s="187">
        <f t="shared" si="51"/>
        <v>13.62</v>
      </c>
      <c r="Y229" s="193">
        <f t="shared" si="52"/>
        <v>31.325999999999997</v>
      </c>
      <c r="Z229" s="194"/>
      <c r="AA229" s="195">
        <f t="shared" ca="1" si="57"/>
        <v>229</v>
      </c>
      <c r="AB229" s="195">
        <f ca="1">+AA229+'parametres articles'!$C$9-1</f>
        <v>243</v>
      </c>
      <c r="AC229" s="195">
        <f ca="1">+AA229+'parametres articles'!$C$24-1</f>
        <v>248</v>
      </c>
      <c r="AD229" s="195">
        <f ca="1">+IF(AE229&lt;='parametres articles'!$H$8,0,AA229-'parametres articles'!$H$8+1)</f>
        <v>225</v>
      </c>
      <c r="AE229" s="195">
        <v>228</v>
      </c>
      <c r="AF229" s="187" t="str">
        <f t="shared" ca="1" si="56"/>
        <v>F244</v>
      </c>
      <c r="AG229" s="178"/>
      <c r="AH229" s="178"/>
      <c r="AI229" s="178"/>
      <c r="AJ229" s="178"/>
      <c r="AK229" s="178"/>
    </row>
    <row r="230" spans="1:37" x14ac:dyDescent="0.25">
      <c r="A230" s="186">
        <v>42233</v>
      </c>
      <c r="B230" s="188" t="s">
        <v>21</v>
      </c>
      <c r="C230" s="189">
        <f ca="1">+IF(AD230=0,P230,(SUM(INDIRECT(CONCATENATE("B",AD230,":B",AA230)))/'parametres articles'!$H$8))</f>
        <v>0</v>
      </c>
      <c r="D230" s="187">
        <f>IFERROR(VLOOKUP(A230,'Mvmt stock'!A:B,2,0),0)</f>
        <v>0</v>
      </c>
      <c r="E230" s="188">
        <f>IFERROR(VLOOKUP(A230,'Mvmt stock'!D:E,2,0),0)</f>
        <v>0</v>
      </c>
      <c r="F230" s="188">
        <f t="shared" si="53"/>
        <v>68</v>
      </c>
      <c r="G230" s="208">
        <f>IFERROR(VLOOKUP(A230,'Mvmt stock'!G:H,2,0),0)</f>
        <v>0</v>
      </c>
      <c r="H230" s="190">
        <f>IFERROR(VLOOKUP(A230,Stock!B:C,2,0),H229)</f>
        <v>70</v>
      </c>
      <c r="I230" s="188">
        <f t="shared" si="45"/>
        <v>68</v>
      </c>
      <c r="J230" s="191">
        <f t="shared" si="58"/>
        <v>69.142857142857139</v>
      </c>
      <c r="K230" s="187">
        <f>+HLOOKUP($B230,'parametres articles'!$C$5:$G$25,5,FALSE)</f>
        <v>15</v>
      </c>
      <c r="L230" s="187">
        <f>+HLOOKUP($B230,'parametres articles'!$C$5:$G$25,21,FALSE)</f>
        <v>13</v>
      </c>
      <c r="M230" s="192">
        <f>+HLOOKUP($B230,'parametres articles'!$C$5:$G$25,7,FALSE)</f>
        <v>0.8</v>
      </c>
      <c r="N230" s="192">
        <f>+HLOOKUP($B230,'parametres articles'!$C$5:$G$25,6,FALSE)</f>
        <v>0.4</v>
      </c>
      <c r="O230" s="187">
        <f>+HLOOKUP($B230,'parametres articles'!$C$5:$G$25,8,FALSE)</f>
        <v>0</v>
      </c>
      <c r="P230" s="193">
        <f>IF(B230="E",'parametres articles'!$C$8,HLOOKUP($B230,'parametres articles'!$C$5:$F$25,4,FALSE))</f>
        <v>2.27</v>
      </c>
      <c r="Q230" s="193">
        <f t="shared" si="46"/>
        <v>2.27</v>
      </c>
      <c r="R230" s="199">
        <f t="shared" si="54"/>
        <v>13.62</v>
      </c>
      <c r="S230" s="197">
        <f t="shared" si="47"/>
        <v>24.515999999999998</v>
      </c>
      <c r="T230" s="201">
        <f t="shared" si="48"/>
        <v>58.565999999999995</v>
      </c>
      <c r="U230" s="203">
        <f t="shared" si="55"/>
        <v>72.185999999999993</v>
      </c>
      <c r="V230" s="187">
        <f t="shared" si="49"/>
        <v>24.515999999999998</v>
      </c>
      <c r="W230" s="187">
        <f t="shared" si="50"/>
        <v>34.049999999999997</v>
      </c>
      <c r="X230" s="187">
        <f t="shared" si="51"/>
        <v>13.62</v>
      </c>
      <c r="Y230" s="193">
        <f t="shared" si="52"/>
        <v>31.325999999999997</v>
      </c>
      <c r="Z230" s="194"/>
      <c r="AA230" s="195">
        <f t="shared" ca="1" si="57"/>
        <v>230</v>
      </c>
      <c r="AB230" s="195">
        <f ca="1">+AA230+'parametres articles'!$C$9-1</f>
        <v>244</v>
      </c>
      <c r="AC230" s="195">
        <f ca="1">+AA230+'parametres articles'!$C$24-1</f>
        <v>249</v>
      </c>
      <c r="AD230" s="195">
        <f ca="1">+IF(AE230&lt;='parametres articles'!$H$8,0,AA230-'parametres articles'!$H$8+1)</f>
        <v>226</v>
      </c>
      <c r="AE230" s="195">
        <v>229</v>
      </c>
      <c r="AF230" s="187" t="str">
        <f t="shared" ca="1" si="56"/>
        <v>F245</v>
      </c>
      <c r="AG230" s="178"/>
      <c r="AH230" s="178"/>
      <c r="AI230" s="178"/>
      <c r="AJ230" s="178"/>
      <c r="AK230" s="178"/>
    </row>
    <row r="231" spans="1:37" x14ac:dyDescent="0.25">
      <c r="A231" s="186">
        <v>42234</v>
      </c>
      <c r="B231" s="188" t="s">
        <v>21</v>
      </c>
      <c r="C231" s="189">
        <f ca="1">+IF(AD231=0,P231,(SUM(INDIRECT(CONCATENATE("B",AD231,":B",AA231)))/'parametres articles'!$H$8))</f>
        <v>0</v>
      </c>
      <c r="D231" s="187">
        <f>IFERROR(VLOOKUP(A231,'Mvmt stock'!A:B,2,0),0)</f>
        <v>0</v>
      </c>
      <c r="E231" s="188">
        <f>IFERROR(VLOOKUP(A231,'Mvmt stock'!D:E,2,0),0)</f>
        <v>0</v>
      </c>
      <c r="F231" s="188">
        <f t="shared" si="53"/>
        <v>66</v>
      </c>
      <c r="G231" s="208">
        <f>IFERROR(VLOOKUP(A231,'Mvmt stock'!G:H,2,0),0)</f>
        <v>-2</v>
      </c>
      <c r="H231" s="190">
        <f>IFERROR(VLOOKUP(A231,Stock!B:C,2,0),H230)</f>
        <v>68</v>
      </c>
      <c r="I231" s="188">
        <f t="shared" si="45"/>
        <v>66</v>
      </c>
      <c r="J231" s="191">
        <f t="shared" si="58"/>
        <v>69.19047619047619</v>
      </c>
      <c r="K231" s="187">
        <f>+HLOOKUP($B231,'parametres articles'!$C$5:$G$25,5,FALSE)</f>
        <v>15</v>
      </c>
      <c r="L231" s="187">
        <f>+HLOOKUP($B231,'parametres articles'!$C$5:$G$25,21,FALSE)</f>
        <v>13</v>
      </c>
      <c r="M231" s="192">
        <f>+HLOOKUP($B231,'parametres articles'!$C$5:$G$25,7,FALSE)</f>
        <v>0.8</v>
      </c>
      <c r="N231" s="192">
        <f>+HLOOKUP($B231,'parametres articles'!$C$5:$G$25,6,FALSE)</f>
        <v>0.4</v>
      </c>
      <c r="O231" s="187">
        <f>+HLOOKUP($B231,'parametres articles'!$C$5:$G$25,8,FALSE)</f>
        <v>0</v>
      </c>
      <c r="P231" s="193">
        <f>IF(B231="E",'parametres articles'!$C$8,HLOOKUP($B231,'parametres articles'!$C$5:$F$25,4,FALSE))</f>
        <v>2.27</v>
      </c>
      <c r="Q231" s="193">
        <f t="shared" si="46"/>
        <v>2.27</v>
      </c>
      <c r="R231" s="199">
        <f t="shared" si="54"/>
        <v>13.62</v>
      </c>
      <c r="S231" s="197">
        <f t="shared" si="47"/>
        <v>24.515999999999998</v>
      </c>
      <c r="T231" s="201">
        <f t="shared" si="48"/>
        <v>58.565999999999995</v>
      </c>
      <c r="U231" s="203">
        <f t="shared" si="55"/>
        <v>72.185999999999993</v>
      </c>
      <c r="V231" s="187">
        <f t="shared" si="49"/>
        <v>24.515999999999998</v>
      </c>
      <c r="W231" s="187">
        <f t="shared" si="50"/>
        <v>34.049999999999997</v>
      </c>
      <c r="X231" s="187">
        <f t="shared" si="51"/>
        <v>13.62</v>
      </c>
      <c r="Y231" s="193">
        <f t="shared" si="52"/>
        <v>31.325999999999997</v>
      </c>
      <c r="Z231" s="194"/>
      <c r="AA231" s="195">
        <f t="shared" ca="1" si="57"/>
        <v>231</v>
      </c>
      <c r="AB231" s="195">
        <f ca="1">+AA231+'parametres articles'!$C$9-1</f>
        <v>245</v>
      </c>
      <c r="AC231" s="195">
        <f ca="1">+AA231+'parametres articles'!$C$24-1</f>
        <v>250</v>
      </c>
      <c r="AD231" s="195">
        <f ca="1">+IF(AE231&lt;='parametres articles'!$H$8,0,AA231-'parametres articles'!$H$8+1)</f>
        <v>227</v>
      </c>
      <c r="AE231" s="195">
        <v>230</v>
      </c>
      <c r="AF231" s="187" t="str">
        <f t="shared" ca="1" si="56"/>
        <v>F246</v>
      </c>
      <c r="AG231" s="178"/>
      <c r="AH231" s="178"/>
      <c r="AI231" s="178"/>
      <c r="AJ231" s="178"/>
      <c r="AK231" s="178"/>
    </row>
    <row r="232" spans="1:37" x14ac:dyDescent="0.25">
      <c r="A232" s="186">
        <v>42235</v>
      </c>
      <c r="B232" s="188" t="s">
        <v>21</v>
      </c>
      <c r="C232" s="189">
        <f ca="1">+IF(AD232=0,P232,(SUM(INDIRECT(CONCATENATE("B",AD232,":B",AA232)))/'parametres articles'!$H$8))</f>
        <v>0</v>
      </c>
      <c r="D232" s="187">
        <f>IFERROR(VLOOKUP(A232,'Mvmt stock'!A:B,2,0),0)</f>
        <v>0</v>
      </c>
      <c r="E232" s="188">
        <f>IFERROR(VLOOKUP(A232,'Mvmt stock'!D:E,2,0),0)</f>
        <v>0</v>
      </c>
      <c r="F232" s="188">
        <f t="shared" si="53"/>
        <v>66</v>
      </c>
      <c r="G232" s="208">
        <f>IFERROR(VLOOKUP(A232,'Mvmt stock'!G:H,2,0),0)</f>
        <v>0</v>
      </c>
      <c r="H232" s="190">
        <f>IFERROR(VLOOKUP(A232,Stock!B:C,2,0),H231)</f>
        <v>68</v>
      </c>
      <c r="I232" s="188">
        <f t="shared" si="45"/>
        <v>66</v>
      </c>
      <c r="J232" s="191">
        <f t="shared" si="58"/>
        <v>69</v>
      </c>
      <c r="K232" s="187">
        <f>+HLOOKUP($B232,'parametres articles'!$C$5:$G$25,5,FALSE)</f>
        <v>15</v>
      </c>
      <c r="L232" s="187">
        <f>+HLOOKUP($B232,'parametres articles'!$C$5:$G$25,21,FALSE)</f>
        <v>13</v>
      </c>
      <c r="M232" s="192">
        <f>+HLOOKUP($B232,'parametres articles'!$C$5:$G$25,7,FALSE)</f>
        <v>0.8</v>
      </c>
      <c r="N232" s="192">
        <f>+HLOOKUP($B232,'parametres articles'!$C$5:$G$25,6,FALSE)</f>
        <v>0.4</v>
      </c>
      <c r="O232" s="187">
        <f>+HLOOKUP($B232,'parametres articles'!$C$5:$G$25,8,FALSE)</f>
        <v>0</v>
      </c>
      <c r="P232" s="193">
        <f>IF(B232="E",'parametres articles'!$C$8,HLOOKUP($B232,'parametres articles'!$C$5:$F$25,4,FALSE))</f>
        <v>2.27</v>
      </c>
      <c r="Q232" s="193">
        <f t="shared" si="46"/>
        <v>2.27</v>
      </c>
      <c r="R232" s="199">
        <f t="shared" si="54"/>
        <v>13.62</v>
      </c>
      <c r="S232" s="197">
        <f t="shared" si="47"/>
        <v>24.515999999999998</v>
      </c>
      <c r="T232" s="201">
        <f t="shared" si="48"/>
        <v>58.565999999999995</v>
      </c>
      <c r="U232" s="203">
        <f t="shared" si="55"/>
        <v>72.185999999999993</v>
      </c>
      <c r="V232" s="187">
        <f t="shared" si="49"/>
        <v>24.515999999999998</v>
      </c>
      <c r="W232" s="187">
        <f t="shared" si="50"/>
        <v>34.049999999999997</v>
      </c>
      <c r="X232" s="187">
        <f t="shared" si="51"/>
        <v>13.62</v>
      </c>
      <c r="Y232" s="193">
        <f t="shared" si="52"/>
        <v>31.325999999999997</v>
      </c>
      <c r="Z232" s="194"/>
      <c r="AA232" s="195">
        <f t="shared" ca="1" si="57"/>
        <v>232</v>
      </c>
      <c r="AB232" s="195">
        <f ca="1">+AA232+'parametres articles'!$C$9-1</f>
        <v>246</v>
      </c>
      <c r="AC232" s="195">
        <f ca="1">+AA232+'parametres articles'!$C$24-1</f>
        <v>251</v>
      </c>
      <c r="AD232" s="195">
        <f ca="1">+IF(AE232&lt;='parametres articles'!$H$8,0,AA232-'parametres articles'!$H$8+1)</f>
        <v>228</v>
      </c>
      <c r="AE232" s="195">
        <v>231</v>
      </c>
      <c r="AF232" s="187" t="str">
        <f t="shared" ca="1" si="56"/>
        <v>F247</v>
      </c>
      <c r="AG232" s="178"/>
      <c r="AH232" s="178"/>
      <c r="AI232" s="178"/>
      <c r="AJ232" s="178"/>
      <c r="AK232" s="178"/>
    </row>
    <row r="233" spans="1:37" x14ac:dyDescent="0.25">
      <c r="A233" s="186">
        <v>42236</v>
      </c>
      <c r="B233" s="188" t="s">
        <v>21</v>
      </c>
      <c r="C233" s="189">
        <f ca="1">+IF(AD233=0,P233,(SUM(INDIRECT(CONCATENATE("B",AD233,":B",AA233)))/'parametres articles'!$H$8))</f>
        <v>0</v>
      </c>
      <c r="D233" s="187">
        <f>IFERROR(VLOOKUP(A233,'Mvmt stock'!A:B,2,0),0)</f>
        <v>0</v>
      </c>
      <c r="E233" s="188">
        <f>IFERROR(VLOOKUP(A233,'Mvmt stock'!D:E,2,0),0)</f>
        <v>0</v>
      </c>
      <c r="F233" s="188">
        <f t="shared" si="53"/>
        <v>66</v>
      </c>
      <c r="G233" s="208">
        <f>IFERROR(VLOOKUP(A233,'Mvmt stock'!G:H,2,0),0)</f>
        <v>0</v>
      </c>
      <c r="H233" s="190">
        <f>IFERROR(VLOOKUP(A233,Stock!B:C,2,0),H232)</f>
        <v>68</v>
      </c>
      <c r="I233" s="188">
        <f t="shared" si="45"/>
        <v>66</v>
      </c>
      <c r="J233" s="191">
        <f t="shared" si="58"/>
        <v>68.80952380952381</v>
      </c>
      <c r="K233" s="187">
        <f>+HLOOKUP($B233,'parametres articles'!$C$5:$G$25,5,FALSE)</f>
        <v>15</v>
      </c>
      <c r="L233" s="187">
        <f>+HLOOKUP($B233,'parametres articles'!$C$5:$G$25,21,FALSE)</f>
        <v>13</v>
      </c>
      <c r="M233" s="192">
        <f>+HLOOKUP($B233,'parametres articles'!$C$5:$G$25,7,FALSE)</f>
        <v>0.8</v>
      </c>
      <c r="N233" s="192">
        <f>+HLOOKUP($B233,'parametres articles'!$C$5:$G$25,6,FALSE)</f>
        <v>0.4</v>
      </c>
      <c r="O233" s="187">
        <f>+HLOOKUP($B233,'parametres articles'!$C$5:$G$25,8,FALSE)</f>
        <v>0</v>
      </c>
      <c r="P233" s="193">
        <f>IF(B233="E",'parametres articles'!$C$8,HLOOKUP($B233,'parametres articles'!$C$5:$F$25,4,FALSE))</f>
        <v>2.27</v>
      </c>
      <c r="Q233" s="193">
        <f t="shared" si="46"/>
        <v>2.27</v>
      </c>
      <c r="R233" s="199">
        <f t="shared" si="54"/>
        <v>13.62</v>
      </c>
      <c r="S233" s="197">
        <f t="shared" si="47"/>
        <v>24.515999999999998</v>
      </c>
      <c r="T233" s="201">
        <f t="shared" si="48"/>
        <v>58.565999999999995</v>
      </c>
      <c r="U233" s="203">
        <f t="shared" si="55"/>
        <v>72.185999999999993</v>
      </c>
      <c r="V233" s="187">
        <f t="shared" si="49"/>
        <v>24.515999999999998</v>
      </c>
      <c r="W233" s="187">
        <f t="shared" si="50"/>
        <v>34.049999999999997</v>
      </c>
      <c r="X233" s="187">
        <f t="shared" si="51"/>
        <v>13.62</v>
      </c>
      <c r="Y233" s="193">
        <f t="shared" si="52"/>
        <v>31.325999999999997</v>
      </c>
      <c r="Z233" s="194"/>
      <c r="AA233" s="195">
        <f t="shared" ca="1" si="57"/>
        <v>233</v>
      </c>
      <c r="AB233" s="195">
        <f ca="1">+AA233+'parametres articles'!$C$9-1</f>
        <v>247</v>
      </c>
      <c r="AC233" s="195">
        <f ca="1">+AA233+'parametres articles'!$C$24-1</f>
        <v>252</v>
      </c>
      <c r="AD233" s="195">
        <f ca="1">+IF(AE233&lt;='parametres articles'!$H$8,0,AA233-'parametres articles'!$H$8+1)</f>
        <v>229</v>
      </c>
      <c r="AE233" s="195">
        <v>232</v>
      </c>
      <c r="AF233" s="187" t="str">
        <f t="shared" ca="1" si="56"/>
        <v>F248</v>
      </c>
      <c r="AG233" s="178"/>
      <c r="AH233" s="178"/>
      <c r="AI233" s="178"/>
      <c r="AJ233" s="178"/>
      <c r="AK233" s="178"/>
    </row>
    <row r="234" spans="1:37" x14ac:dyDescent="0.25">
      <c r="A234" s="186">
        <v>42237</v>
      </c>
      <c r="B234" s="188" t="s">
        <v>21</v>
      </c>
      <c r="C234" s="189">
        <f ca="1">+IF(AD234=0,P234,(SUM(INDIRECT(CONCATENATE("B",AD234,":B",AA234)))/'parametres articles'!$H$8))</f>
        <v>0</v>
      </c>
      <c r="D234" s="187">
        <f>IFERROR(VLOOKUP(A234,'Mvmt stock'!A:B,2,0),0)</f>
        <v>0</v>
      </c>
      <c r="E234" s="188">
        <f>IFERROR(VLOOKUP(A234,'Mvmt stock'!D:E,2,0),0)</f>
        <v>0</v>
      </c>
      <c r="F234" s="188">
        <f t="shared" si="53"/>
        <v>66</v>
      </c>
      <c r="G234" s="208">
        <f>IFERROR(VLOOKUP(A234,'Mvmt stock'!G:H,2,0),0)</f>
        <v>0</v>
      </c>
      <c r="H234" s="190">
        <f>IFERROR(VLOOKUP(A234,Stock!B:C,2,0),H233)</f>
        <v>68</v>
      </c>
      <c r="I234" s="188">
        <f t="shared" si="45"/>
        <v>66</v>
      </c>
      <c r="J234" s="191">
        <f t="shared" si="58"/>
        <v>68.571428571428569</v>
      </c>
      <c r="K234" s="187">
        <f>+HLOOKUP($B234,'parametres articles'!$C$5:$G$25,5,FALSE)</f>
        <v>15</v>
      </c>
      <c r="L234" s="187">
        <f>+HLOOKUP($B234,'parametres articles'!$C$5:$G$25,21,FALSE)</f>
        <v>13</v>
      </c>
      <c r="M234" s="192">
        <f>+HLOOKUP($B234,'parametres articles'!$C$5:$G$25,7,FALSE)</f>
        <v>0.8</v>
      </c>
      <c r="N234" s="192">
        <f>+HLOOKUP($B234,'parametres articles'!$C$5:$G$25,6,FALSE)</f>
        <v>0.4</v>
      </c>
      <c r="O234" s="187">
        <f>+HLOOKUP($B234,'parametres articles'!$C$5:$G$25,8,FALSE)</f>
        <v>0</v>
      </c>
      <c r="P234" s="193">
        <f>IF(B234="E",'parametres articles'!$C$8,HLOOKUP($B234,'parametres articles'!$C$5:$F$25,4,FALSE))</f>
        <v>2.27</v>
      </c>
      <c r="Q234" s="193">
        <f t="shared" si="46"/>
        <v>2.27</v>
      </c>
      <c r="R234" s="199">
        <f t="shared" si="54"/>
        <v>13.62</v>
      </c>
      <c r="S234" s="197">
        <f t="shared" si="47"/>
        <v>24.515999999999998</v>
      </c>
      <c r="T234" s="201">
        <f t="shared" si="48"/>
        <v>58.565999999999995</v>
      </c>
      <c r="U234" s="203">
        <f t="shared" si="55"/>
        <v>72.185999999999993</v>
      </c>
      <c r="V234" s="187">
        <f t="shared" si="49"/>
        <v>24.515999999999998</v>
      </c>
      <c r="W234" s="187">
        <f t="shared" si="50"/>
        <v>34.049999999999997</v>
      </c>
      <c r="X234" s="187">
        <f t="shared" si="51"/>
        <v>13.62</v>
      </c>
      <c r="Y234" s="193">
        <f t="shared" si="52"/>
        <v>31.325999999999997</v>
      </c>
      <c r="Z234" s="194"/>
      <c r="AA234" s="195">
        <f t="shared" ca="1" si="57"/>
        <v>234</v>
      </c>
      <c r="AB234" s="195">
        <f ca="1">+AA234+'parametres articles'!$C$9-1</f>
        <v>248</v>
      </c>
      <c r="AC234" s="195">
        <f ca="1">+AA234+'parametres articles'!$C$24-1</f>
        <v>253</v>
      </c>
      <c r="AD234" s="195">
        <f ca="1">+IF(AE234&lt;='parametres articles'!$H$8,0,AA234-'parametres articles'!$H$8+1)</f>
        <v>230</v>
      </c>
      <c r="AE234" s="195">
        <v>233</v>
      </c>
      <c r="AF234" s="187" t="str">
        <f t="shared" ca="1" si="56"/>
        <v>F249</v>
      </c>
      <c r="AG234" s="178"/>
      <c r="AH234" s="178"/>
      <c r="AI234" s="178"/>
      <c r="AJ234" s="178"/>
      <c r="AK234" s="178"/>
    </row>
    <row r="235" spans="1:37" x14ac:dyDescent="0.25">
      <c r="A235" s="186">
        <v>42238</v>
      </c>
      <c r="B235" s="188" t="s">
        <v>21</v>
      </c>
      <c r="C235" s="189">
        <f ca="1">+IF(AD235=0,P235,(SUM(INDIRECT(CONCATENATE("B",AD235,":B",AA235)))/'parametres articles'!$H$8))</f>
        <v>0</v>
      </c>
      <c r="D235" s="187">
        <f>IFERROR(VLOOKUP(A235,'Mvmt stock'!A:B,2,0),0)</f>
        <v>0</v>
      </c>
      <c r="E235" s="188">
        <f>IFERROR(VLOOKUP(A235,'Mvmt stock'!D:E,2,0),0)</f>
        <v>0</v>
      </c>
      <c r="F235" s="188">
        <f t="shared" si="53"/>
        <v>66</v>
      </c>
      <c r="G235" s="208">
        <f>IFERROR(VLOOKUP(A235,'Mvmt stock'!G:H,2,0),0)</f>
        <v>0</v>
      </c>
      <c r="H235" s="190">
        <f>IFERROR(VLOOKUP(A235,Stock!B:C,2,0),H234)</f>
        <v>68</v>
      </c>
      <c r="I235" s="188">
        <f t="shared" si="45"/>
        <v>66</v>
      </c>
      <c r="J235" s="191">
        <f t="shared" si="58"/>
        <v>68.333333333333329</v>
      </c>
      <c r="K235" s="187">
        <f>+HLOOKUP($B235,'parametres articles'!$C$5:$G$25,5,FALSE)</f>
        <v>15</v>
      </c>
      <c r="L235" s="187">
        <f>+HLOOKUP($B235,'parametres articles'!$C$5:$G$25,21,FALSE)</f>
        <v>13</v>
      </c>
      <c r="M235" s="192">
        <f>+HLOOKUP($B235,'parametres articles'!$C$5:$G$25,7,FALSE)</f>
        <v>0.8</v>
      </c>
      <c r="N235" s="192">
        <f>+HLOOKUP($B235,'parametres articles'!$C$5:$G$25,6,FALSE)</f>
        <v>0.4</v>
      </c>
      <c r="O235" s="187">
        <f>+HLOOKUP($B235,'parametres articles'!$C$5:$G$25,8,FALSE)</f>
        <v>0</v>
      </c>
      <c r="P235" s="193">
        <f>IF(B235="E",'parametres articles'!$C$8,HLOOKUP($B235,'parametres articles'!$C$5:$F$25,4,FALSE))</f>
        <v>2.27</v>
      </c>
      <c r="Q235" s="193">
        <f t="shared" si="46"/>
        <v>2.27</v>
      </c>
      <c r="R235" s="199">
        <f t="shared" si="54"/>
        <v>13.62</v>
      </c>
      <c r="S235" s="197">
        <f t="shared" si="47"/>
        <v>24.515999999999998</v>
      </c>
      <c r="T235" s="201">
        <f t="shared" si="48"/>
        <v>58.565999999999995</v>
      </c>
      <c r="U235" s="203">
        <f t="shared" si="55"/>
        <v>72.185999999999993</v>
      </c>
      <c r="V235" s="187">
        <f t="shared" si="49"/>
        <v>24.515999999999998</v>
      </c>
      <c r="W235" s="187">
        <f t="shared" si="50"/>
        <v>34.049999999999997</v>
      </c>
      <c r="X235" s="187">
        <f t="shared" si="51"/>
        <v>13.62</v>
      </c>
      <c r="Y235" s="193">
        <f t="shared" si="52"/>
        <v>31.325999999999997</v>
      </c>
      <c r="Z235" s="194"/>
      <c r="AA235" s="195">
        <f t="shared" ca="1" si="57"/>
        <v>235</v>
      </c>
      <c r="AB235" s="195">
        <f ca="1">+AA235+'parametres articles'!$C$9-1</f>
        <v>249</v>
      </c>
      <c r="AC235" s="195">
        <f ca="1">+AA235+'parametres articles'!$C$24-1</f>
        <v>254</v>
      </c>
      <c r="AD235" s="195">
        <f ca="1">+IF(AE235&lt;='parametres articles'!$H$8,0,AA235-'parametres articles'!$H$8+1)</f>
        <v>231</v>
      </c>
      <c r="AE235" s="195">
        <v>234</v>
      </c>
      <c r="AF235" s="187" t="str">
        <f t="shared" ca="1" si="56"/>
        <v>F250</v>
      </c>
      <c r="AG235" s="178"/>
      <c r="AH235" s="178"/>
      <c r="AI235" s="178"/>
      <c r="AJ235" s="178"/>
      <c r="AK235" s="178"/>
    </row>
    <row r="236" spans="1:37" x14ac:dyDescent="0.25">
      <c r="A236" s="186">
        <v>42239</v>
      </c>
      <c r="B236" s="188" t="s">
        <v>21</v>
      </c>
      <c r="C236" s="189">
        <f ca="1">+IF(AD236=0,P236,(SUM(INDIRECT(CONCATENATE("B",AD236,":B",AA236)))/'parametres articles'!$H$8))</f>
        <v>0</v>
      </c>
      <c r="D236" s="187">
        <f>IFERROR(VLOOKUP(A236,'Mvmt stock'!A:B,2,0),0)</f>
        <v>0</v>
      </c>
      <c r="E236" s="188">
        <f>IFERROR(VLOOKUP(A236,'Mvmt stock'!D:E,2,0),0)</f>
        <v>0</v>
      </c>
      <c r="F236" s="188">
        <f t="shared" si="53"/>
        <v>66</v>
      </c>
      <c r="G236" s="208">
        <f>IFERROR(VLOOKUP(A236,'Mvmt stock'!G:H,2,0),0)</f>
        <v>0</v>
      </c>
      <c r="H236" s="190">
        <f>IFERROR(VLOOKUP(A236,Stock!B:C,2,0),H235)</f>
        <v>68</v>
      </c>
      <c r="I236" s="188">
        <f t="shared" si="45"/>
        <v>66</v>
      </c>
      <c r="J236" s="191">
        <f t="shared" si="58"/>
        <v>68.095238095238102</v>
      </c>
      <c r="K236" s="187">
        <f>+HLOOKUP($B236,'parametres articles'!$C$5:$G$25,5,FALSE)</f>
        <v>15</v>
      </c>
      <c r="L236" s="187">
        <f>+HLOOKUP($B236,'parametres articles'!$C$5:$G$25,21,FALSE)</f>
        <v>13</v>
      </c>
      <c r="M236" s="192">
        <f>+HLOOKUP($B236,'parametres articles'!$C$5:$G$25,7,FALSE)</f>
        <v>0.8</v>
      </c>
      <c r="N236" s="192">
        <f>+HLOOKUP($B236,'parametres articles'!$C$5:$G$25,6,FALSE)</f>
        <v>0.4</v>
      </c>
      <c r="O236" s="187">
        <f>+HLOOKUP($B236,'parametres articles'!$C$5:$G$25,8,FALSE)</f>
        <v>0</v>
      </c>
      <c r="P236" s="193">
        <f>IF(B236="E",'parametres articles'!$C$8,HLOOKUP($B236,'parametres articles'!$C$5:$F$25,4,FALSE))</f>
        <v>2.27</v>
      </c>
      <c r="Q236" s="193">
        <f t="shared" si="46"/>
        <v>2.27</v>
      </c>
      <c r="R236" s="199">
        <f t="shared" si="54"/>
        <v>13.62</v>
      </c>
      <c r="S236" s="197">
        <f t="shared" si="47"/>
        <v>24.515999999999998</v>
      </c>
      <c r="T236" s="201">
        <f t="shared" si="48"/>
        <v>58.565999999999995</v>
      </c>
      <c r="U236" s="203">
        <f t="shared" si="55"/>
        <v>72.185999999999993</v>
      </c>
      <c r="V236" s="187">
        <f t="shared" si="49"/>
        <v>24.515999999999998</v>
      </c>
      <c r="W236" s="187">
        <f t="shared" si="50"/>
        <v>34.049999999999997</v>
      </c>
      <c r="X236" s="187">
        <f t="shared" si="51"/>
        <v>13.62</v>
      </c>
      <c r="Y236" s="193">
        <f t="shared" si="52"/>
        <v>31.325999999999997</v>
      </c>
      <c r="Z236" s="194"/>
      <c r="AA236" s="195">
        <f t="shared" ca="1" si="57"/>
        <v>236</v>
      </c>
      <c r="AB236" s="195">
        <f ca="1">+AA236+'parametres articles'!$C$9-1</f>
        <v>250</v>
      </c>
      <c r="AC236" s="195">
        <f ca="1">+AA236+'parametres articles'!$C$24-1</f>
        <v>255</v>
      </c>
      <c r="AD236" s="195">
        <f ca="1">+IF(AE236&lt;='parametres articles'!$H$8,0,AA236-'parametres articles'!$H$8+1)</f>
        <v>232</v>
      </c>
      <c r="AE236" s="195">
        <v>235</v>
      </c>
      <c r="AF236" s="187" t="str">
        <f t="shared" ca="1" si="56"/>
        <v>F251</v>
      </c>
      <c r="AG236" s="178"/>
      <c r="AH236" s="178"/>
      <c r="AI236" s="178"/>
      <c r="AJ236" s="178"/>
      <c r="AK236" s="178"/>
    </row>
    <row r="237" spans="1:37" x14ac:dyDescent="0.25">
      <c r="A237" s="186">
        <v>42240</v>
      </c>
      <c r="B237" s="188" t="s">
        <v>21</v>
      </c>
      <c r="C237" s="189">
        <f ca="1">+IF(AD237=0,P237,(SUM(INDIRECT(CONCATENATE("B",AD237,":B",AA237)))/'parametres articles'!$H$8))</f>
        <v>0</v>
      </c>
      <c r="D237" s="187">
        <f>IFERROR(VLOOKUP(A237,'Mvmt stock'!A:B,2,0),0)</f>
        <v>8</v>
      </c>
      <c r="E237" s="188">
        <f>IFERROR(VLOOKUP(A237,'Mvmt stock'!D:E,2,0),0)</f>
        <v>0</v>
      </c>
      <c r="F237" s="188">
        <f t="shared" si="53"/>
        <v>66</v>
      </c>
      <c r="G237" s="208">
        <f>IFERROR(VLOOKUP(A237,'Mvmt stock'!G:H,2,0),0)</f>
        <v>0</v>
      </c>
      <c r="H237" s="190">
        <f>IFERROR(VLOOKUP(A237,Stock!B:C,2,0),H236)</f>
        <v>68</v>
      </c>
      <c r="I237" s="188">
        <f t="shared" si="45"/>
        <v>58</v>
      </c>
      <c r="J237" s="191">
        <f t="shared" si="58"/>
        <v>67.857142857142861</v>
      </c>
      <c r="K237" s="187">
        <f>+HLOOKUP($B237,'parametres articles'!$C$5:$G$25,5,FALSE)</f>
        <v>15</v>
      </c>
      <c r="L237" s="187">
        <f>+HLOOKUP($B237,'parametres articles'!$C$5:$G$25,21,FALSE)</f>
        <v>13</v>
      </c>
      <c r="M237" s="192">
        <f>+HLOOKUP($B237,'parametres articles'!$C$5:$G$25,7,FALSE)</f>
        <v>0.8</v>
      </c>
      <c r="N237" s="192">
        <f>+HLOOKUP($B237,'parametres articles'!$C$5:$G$25,6,FALSE)</f>
        <v>0.4</v>
      </c>
      <c r="O237" s="187">
        <f>+HLOOKUP($B237,'parametres articles'!$C$5:$G$25,8,FALSE)</f>
        <v>0</v>
      </c>
      <c r="P237" s="193">
        <f>IF(B237="E",'parametres articles'!$C$8,HLOOKUP($B237,'parametres articles'!$C$5:$F$25,4,FALSE))</f>
        <v>2.27</v>
      </c>
      <c r="Q237" s="193">
        <f t="shared" si="46"/>
        <v>2.27</v>
      </c>
      <c r="R237" s="199">
        <f t="shared" si="54"/>
        <v>13.62</v>
      </c>
      <c r="S237" s="197">
        <f t="shared" si="47"/>
        <v>24.515999999999998</v>
      </c>
      <c r="T237" s="201">
        <f t="shared" si="48"/>
        <v>58.565999999999995</v>
      </c>
      <c r="U237" s="203">
        <f t="shared" si="55"/>
        <v>72.185999999999993</v>
      </c>
      <c r="V237" s="187">
        <f t="shared" si="49"/>
        <v>24.515999999999998</v>
      </c>
      <c r="W237" s="187">
        <f t="shared" si="50"/>
        <v>34.049999999999997</v>
      </c>
      <c r="X237" s="187">
        <f t="shared" si="51"/>
        <v>13.62</v>
      </c>
      <c r="Y237" s="193">
        <f t="shared" si="52"/>
        <v>31.325999999999997</v>
      </c>
      <c r="Z237" s="194"/>
      <c r="AA237" s="195">
        <f t="shared" ca="1" si="57"/>
        <v>237</v>
      </c>
      <c r="AB237" s="195">
        <f ca="1">+AA237+'parametres articles'!$C$9-1</f>
        <v>251</v>
      </c>
      <c r="AC237" s="195">
        <f ca="1">+AA237+'parametres articles'!$C$24-1</f>
        <v>256</v>
      </c>
      <c r="AD237" s="195">
        <f ca="1">+IF(AE237&lt;='parametres articles'!$H$8,0,AA237-'parametres articles'!$H$8+1)</f>
        <v>233</v>
      </c>
      <c r="AE237" s="195">
        <v>236</v>
      </c>
      <c r="AF237" s="187" t="str">
        <f t="shared" ca="1" si="56"/>
        <v>F252</v>
      </c>
      <c r="AG237" s="178"/>
      <c r="AH237" s="178"/>
      <c r="AI237" s="178"/>
      <c r="AJ237" s="178"/>
      <c r="AK237" s="178"/>
    </row>
    <row r="238" spans="1:37" x14ac:dyDescent="0.25">
      <c r="A238" s="186">
        <v>42241</v>
      </c>
      <c r="B238" s="188" t="s">
        <v>21</v>
      </c>
      <c r="C238" s="189">
        <f ca="1">+IF(AD238=0,P238,(SUM(INDIRECT(CONCATENATE("B",AD238,":B",AA238)))/'parametres articles'!$H$8))</f>
        <v>0</v>
      </c>
      <c r="D238" s="187">
        <f>IFERROR(VLOOKUP(A238,'Mvmt stock'!A:B,2,0),0)</f>
        <v>0</v>
      </c>
      <c r="E238" s="188">
        <f>IFERROR(VLOOKUP(A238,'Mvmt stock'!D:E,2,0),0)</f>
        <v>0</v>
      </c>
      <c r="F238" s="188">
        <f t="shared" si="53"/>
        <v>58</v>
      </c>
      <c r="G238" s="208">
        <f>IFERROR(VLOOKUP(A238,'Mvmt stock'!G:H,2,0),0)</f>
        <v>0</v>
      </c>
      <c r="H238" s="190">
        <f>IFERROR(VLOOKUP(A238,Stock!B:C,2,0),H237)</f>
        <v>60</v>
      </c>
      <c r="I238" s="188">
        <f t="shared" si="45"/>
        <v>58</v>
      </c>
      <c r="J238" s="191">
        <f t="shared" si="58"/>
        <v>67.238095238095241</v>
      </c>
      <c r="K238" s="187">
        <f>+HLOOKUP($B238,'parametres articles'!$C$5:$G$25,5,FALSE)</f>
        <v>15</v>
      </c>
      <c r="L238" s="187">
        <f>+HLOOKUP($B238,'parametres articles'!$C$5:$G$25,21,FALSE)</f>
        <v>13</v>
      </c>
      <c r="M238" s="192">
        <f>+HLOOKUP($B238,'parametres articles'!$C$5:$G$25,7,FALSE)</f>
        <v>0.8</v>
      </c>
      <c r="N238" s="192">
        <f>+HLOOKUP($B238,'parametres articles'!$C$5:$G$25,6,FALSE)</f>
        <v>0.4</v>
      </c>
      <c r="O238" s="187">
        <f>+HLOOKUP($B238,'parametres articles'!$C$5:$G$25,8,FALSE)</f>
        <v>0</v>
      </c>
      <c r="P238" s="193">
        <f>IF(B238="E",'parametres articles'!$C$8,HLOOKUP($B238,'parametres articles'!$C$5:$F$25,4,FALSE))</f>
        <v>2.27</v>
      </c>
      <c r="Q238" s="193">
        <f t="shared" si="46"/>
        <v>2.27</v>
      </c>
      <c r="R238" s="199">
        <f t="shared" si="54"/>
        <v>13.62</v>
      </c>
      <c r="S238" s="197">
        <f t="shared" si="47"/>
        <v>24.515999999999998</v>
      </c>
      <c r="T238" s="201">
        <f t="shared" si="48"/>
        <v>58.565999999999995</v>
      </c>
      <c r="U238" s="203">
        <f t="shared" si="55"/>
        <v>72.185999999999993</v>
      </c>
      <c r="V238" s="187">
        <f t="shared" si="49"/>
        <v>24.515999999999998</v>
      </c>
      <c r="W238" s="187">
        <f t="shared" si="50"/>
        <v>34.049999999999997</v>
      </c>
      <c r="X238" s="187">
        <f t="shared" si="51"/>
        <v>13.62</v>
      </c>
      <c r="Y238" s="193">
        <f t="shared" si="52"/>
        <v>31.325999999999997</v>
      </c>
      <c r="Z238" s="194"/>
      <c r="AA238" s="195">
        <f t="shared" ca="1" si="57"/>
        <v>238</v>
      </c>
      <c r="AB238" s="195">
        <f ca="1">+AA238+'parametres articles'!$C$9-1</f>
        <v>252</v>
      </c>
      <c r="AC238" s="195">
        <f ca="1">+AA238+'parametres articles'!$C$24-1</f>
        <v>257</v>
      </c>
      <c r="AD238" s="195">
        <f ca="1">+IF(AE238&lt;='parametres articles'!$H$8,0,AA238-'parametres articles'!$H$8+1)</f>
        <v>234</v>
      </c>
      <c r="AE238" s="195">
        <v>237</v>
      </c>
      <c r="AF238" s="187" t="str">
        <f t="shared" ca="1" si="56"/>
        <v>F253</v>
      </c>
      <c r="AG238" s="178"/>
      <c r="AH238" s="178"/>
      <c r="AI238" s="178"/>
      <c r="AJ238" s="178"/>
      <c r="AK238" s="178"/>
    </row>
    <row r="239" spans="1:37" x14ac:dyDescent="0.25">
      <c r="A239" s="186">
        <v>42242</v>
      </c>
      <c r="B239" s="188" t="s">
        <v>21</v>
      </c>
      <c r="C239" s="189">
        <f ca="1">+IF(AD239=0,P239,(SUM(INDIRECT(CONCATENATE("B",AD239,":B",AA239)))/'parametres articles'!$H$8))</f>
        <v>0</v>
      </c>
      <c r="D239" s="187">
        <f>IFERROR(VLOOKUP(A239,'Mvmt stock'!A:B,2,0),0)</f>
        <v>5</v>
      </c>
      <c r="E239" s="188">
        <f>IFERROR(VLOOKUP(A239,'Mvmt stock'!D:E,2,0),0)</f>
        <v>0</v>
      </c>
      <c r="F239" s="188">
        <f t="shared" si="53"/>
        <v>53</v>
      </c>
      <c r="G239" s="208">
        <f>IFERROR(VLOOKUP(A239,'Mvmt stock'!G:H,2,0),0)</f>
        <v>-5</v>
      </c>
      <c r="H239" s="190">
        <f>IFERROR(VLOOKUP(A239,Stock!B:C,2,0),H238)</f>
        <v>55</v>
      </c>
      <c r="I239" s="188">
        <f t="shared" si="45"/>
        <v>48</v>
      </c>
      <c r="J239" s="191">
        <f t="shared" si="58"/>
        <v>66.38095238095238</v>
      </c>
      <c r="K239" s="187">
        <f>+HLOOKUP($B239,'parametres articles'!$C$5:$G$25,5,FALSE)</f>
        <v>15</v>
      </c>
      <c r="L239" s="187">
        <f>+HLOOKUP($B239,'parametres articles'!$C$5:$G$25,21,FALSE)</f>
        <v>13</v>
      </c>
      <c r="M239" s="192">
        <f>+HLOOKUP($B239,'parametres articles'!$C$5:$G$25,7,FALSE)</f>
        <v>0.8</v>
      </c>
      <c r="N239" s="192">
        <f>+HLOOKUP($B239,'parametres articles'!$C$5:$G$25,6,FALSE)</f>
        <v>0.4</v>
      </c>
      <c r="O239" s="187">
        <f>+HLOOKUP($B239,'parametres articles'!$C$5:$G$25,8,FALSE)</f>
        <v>0</v>
      </c>
      <c r="P239" s="193">
        <f>IF(B239="E",'parametres articles'!$C$8,HLOOKUP($B239,'parametres articles'!$C$5:$F$25,4,FALSE))</f>
        <v>2.27</v>
      </c>
      <c r="Q239" s="193">
        <f t="shared" si="46"/>
        <v>2.27</v>
      </c>
      <c r="R239" s="199">
        <f t="shared" si="54"/>
        <v>13.62</v>
      </c>
      <c r="S239" s="197">
        <f t="shared" si="47"/>
        <v>24.515999999999998</v>
      </c>
      <c r="T239" s="201">
        <f t="shared" si="48"/>
        <v>58.565999999999995</v>
      </c>
      <c r="U239" s="203">
        <f t="shared" si="55"/>
        <v>72.185999999999993</v>
      </c>
      <c r="V239" s="187">
        <f t="shared" si="49"/>
        <v>24.515999999999998</v>
      </c>
      <c r="W239" s="187">
        <f t="shared" si="50"/>
        <v>34.049999999999997</v>
      </c>
      <c r="X239" s="187">
        <f t="shared" si="51"/>
        <v>13.62</v>
      </c>
      <c r="Y239" s="193">
        <f t="shared" si="52"/>
        <v>31.325999999999997</v>
      </c>
      <c r="Z239" s="194"/>
      <c r="AA239" s="195">
        <f t="shared" ca="1" si="57"/>
        <v>239</v>
      </c>
      <c r="AB239" s="195">
        <f ca="1">+AA239+'parametres articles'!$C$9-1</f>
        <v>253</v>
      </c>
      <c r="AC239" s="195">
        <f ca="1">+AA239+'parametres articles'!$C$24-1</f>
        <v>258</v>
      </c>
      <c r="AD239" s="195">
        <f ca="1">+IF(AE239&lt;='parametres articles'!$H$8,0,AA239-'parametres articles'!$H$8+1)</f>
        <v>235</v>
      </c>
      <c r="AE239" s="195">
        <v>238</v>
      </c>
      <c r="AF239" s="187" t="str">
        <f t="shared" ca="1" si="56"/>
        <v>F254</v>
      </c>
      <c r="AG239" s="178"/>
      <c r="AH239" s="178"/>
      <c r="AI239" s="178"/>
      <c r="AJ239" s="178"/>
      <c r="AK239" s="178"/>
    </row>
    <row r="240" spans="1:37" x14ac:dyDescent="0.25">
      <c r="A240" s="186">
        <v>42243</v>
      </c>
      <c r="B240" s="188" t="s">
        <v>21</v>
      </c>
      <c r="C240" s="189">
        <f ca="1">+IF(AD240=0,P240,(SUM(INDIRECT(CONCATENATE("B",AD240,":B",AA240)))/'parametres articles'!$H$8))</f>
        <v>0</v>
      </c>
      <c r="D240" s="187">
        <f>IFERROR(VLOOKUP(A240,'Mvmt stock'!A:B,2,0),0)</f>
        <v>0</v>
      </c>
      <c r="E240" s="188">
        <f>IFERROR(VLOOKUP(A240,'Mvmt stock'!D:E,2,0),0)</f>
        <v>0</v>
      </c>
      <c r="F240" s="188">
        <f t="shared" si="53"/>
        <v>48</v>
      </c>
      <c r="G240" s="208">
        <f>IFERROR(VLOOKUP(A240,'Mvmt stock'!G:H,2,0),0)</f>
        <v>0</v>
      </c>
      <c r="H240" s="190">
        <f>IFERROR(VLOOKUP(A240,Stock!B:C,2,0),H239)</f>
        <v>50</v>
      </c>
      <c r="I240" s="188">
        <f t="shared" si="45"/>
        <v>48</v>
      </c>
      <c r="J240" s="191">
        <f t="shared" si="58"/>
        <v>65.285714285714292</v>
      </c>
      <c r="K240" s="187">
        <f>+HLOOKUP($B240,'parametres articles'!$C$5:$G$25,5,FALSE)</f>
        <v>15</v>
      </c>
      <c r="L240" s="187">
        <f>+HLOOKUP($B240,'parametres articles'!$C$5:$G$25,21,FALSE)</f>
        <v>13</v>
      </c>
      <c r="M240" s="192">
        <f>+HLOOKUP($B240,'parametres articles'!$C$5:$G$25,7,FALSE)</f>
        <v>0.8</v>
      </c>
      <c r="N240" s="192">
        <f>+HLOOKUP($B240,'parametres articles'!$C$5:$G$25,6,FALSE)</f>
        <v>0.4</v>
      </c>
      <c r="O240" s="187">
        <f>+HLOOKUP($B240,'parametres articles'!$C$5:$G$25,8,FALSE)</f>
        <v>0</v>
      </c>
      <c r="P240" s="193">
        <f>IF(B240="E",'parametres articles'!$C$8,HLOOKUP($B240,'parametres articles'!$C$5:$F$25,4,FALSE))</f>
        <v>2.27</v>
      </c>
      <c r="Q240" s="193">
        <f t="shared" si="46"/>
        <v>2.27</v>
      </c>
      <c r="R240" s="199">
        <f t="shared" si="54"/>
        <v>13.62</v>
      </c>
      <c r="S240" s="197">
        <f t="shared" si="47"/>
        <v>24.515999999999998</v>
      </c>
      <c r="T240" s="201">
        <f t="shared" si="48"/>
        <v>58.565999999999995</v>
      </c>
      <c r="U240" s="203">
        <f t="shared" si="55"/>
        <v>72.185999999999993</v>
      </c>
      <c r="V240" s="187">
        <f t="shared" si="49"/>
        <v>24.515999999999998</v>
      </c>
      <c r="W240" s="187">
        <f t="shared" si="50"/>
        <v>34.049999999999997</v>
      </c>
      <c r="X240" s="187">
        <f t="shared" si="51"/>
        <v>13.62</v>
      </c>
      <c r="Y240" s="193">
        <f t="shared" si="52"/>
        <v>31.325999999999997</v>
      </c>
      <c r="Z240" s="194"/>
      <c r="AA240" s="195">
        <f t="shared" ca="1" si="57"/>
        <v>240</v>
      </c>
      <c r="AB240" s="195">
        <f ca="1">+AA240+'parametres articles'!$C$9-1</f>
        <v>254</v>
      </c>
      <c r="AC240" s="195">
        <f ca="1">+AA240+'parametres articles'!$C$24-1</f>
        <v>259</v>
      </c>
      <c r="AD240" s="195">
        <f ca="1">+IF(AE240&lt;='parametres articles'!$H$8,0,AA240-'parametres articles'!$H$8+1)</f>
        <v>236</v>
      </c>
      <c r="AE240" s="195">
        <v>239</v>
      </c>
      <c r="AF240" s="187" t="str">
        <f t="shared" ca="1" si="56"/>
        <v>F255</v>
      </c>
      <c r="AG240" s="178"/>
      <c r="AH240" s="178"/>
      <c r="AI240" s="178"/>
      <c r="AJ240" s="178"/>
      <c r="AK240" s="178"/>
    </row>
    <row r="241" spans="1:37" x14ac:dyDescent="0.25">
      <c r="A241" s="186">
        <v>42244</v>
      </c>
      <c r="B241" s="188" t="s">
        <v>21</v>
      </c>
      <c r="C241" s="189">
        <f ca="1">+IF(AD241=0,P241,(SUM(INDIRECT(CONCATENATE("B",AD241,":B",AA241)))/'parametres articles'!$H$8))</f>
        <v>0</v>
      </c>
      <c r="D241" s="187">
        <f>IFERROR(VLOOKUP(A241,'Mvmt stock'!A:B,2,0),0)</f>
        <v>0</v>
      </c>
      <c r="E241" s="188">
        <f>IFERROR(VLOOKUP(A241,'Mvmt stock'!D:E,2,0),0)</f>
        <v>0</v>
      </c>
      <c r="F241" s="188">
        <f t="shared" si="53"/>
        <v>48</v>
      </c>
      <c r="G241" s="208">
        <f>IFERROR(VLOOKUP(A241,'Mvmt stock'!G:H,2,0),0)</f>
        <v>0</v>
      </c>
      <c r="H241" s="190">
        <f>IFERROR(VLOOKUP(A241,Stock!B:C,2,0),H240)</f>
        <v>50</v>
      </c>
      <c r="I241" s="188">
        <f t="shared" si="45"/>
        <v>48</v>
      </c>
      <c r="J241" s="191">
        <f t="shared" si="58"/>
        <v>64.238095238095241</v>
      </c>
      <c r="K241" s="187">
        <f>+HLOOKUP($B241,'parametres articles'!$C$5:$G$25,5,FALSE)</f>
        <v>15</v>
      </c>
      <c r="L241" s="187">
        <f>+HLOOKUP($B241,'parametres articles'!$C$5:$G$25,21,FALSE)</f>
        <v>13</v>
      </c>
      <c r="M241" s="192">
        <f>+HLOOKUP($B241,'parametres articles'!$C$5:$G$25,7,FALSE)</f>
        <v>0.8</v>
      </c>
      <c r="N241" s="192">
        <f>+HLOOKUP($B241,'parametres articles'!$C$5:$G$25,6,FALSE)</f>
        <v>0.4</v>
      </c>
      <c r="O241" s="187">
        <f>+HLOOKUP($B241,'parametres articles'!$C$5:$G$25,8,FALSE)</f>
        <v>0</v>
      </c>
      <c r="P241" s="193">
        <f>IF(B241="E",'parametres articles'!$C$8,HLOOKUP($B241,'parametres articles'!$C$5:$F$25,4,FALSE))</f>
        <v>2.27</v>
      </c>
      <c r="Q241" s="193">
        <f t="shared" si="46"/>
        <v>2.27</v>
      </c>
      <c r="R241" s="199">
        <f t="shared" si="54"/>
        <v>13.62</v>
      </c>
      <c r="S241" s="197">
        <f t="shared" si="47"/>
        <v>24.515999999999998</v>
      </c>
      <c r="T241" s="201">
        <f t="shared" si="48"/>
        <v>58.565999999999995</v>
      </c>
      <c r="U241" s="203">
        <f t="shared" si="55"/>
        <v>72.185999999999993</v>
      </c>
      <c r="V241" s="187">
        <f t="shared" si="49"/>
        <v>24.515999999999998</v>
      </c>
      <c r="W241" s="187">
        <f t="shared" si="50"/>
        <v>34.049999999999997</v>
      </c>
      <c r="X241" s="187">
        <f t="shared" si="51"/>
        <v>13.62</v>
      </c>
      <c r="Y241" s="193">
        <f t="shared" si="52"/>
        <v>31.325999999999997</v>
      </c>
      <c r="Z241" s="194"/>
      <c r="AA241" s="195">
        <f t="shared" ca="1" si="57"/>
        <v>241</v>
      </c>
      <c r="AB241" s="195">
        <f ca="1">+AA241+'parametres articles'!$C$9-1</f>
        <v>255</v>
      </c>
      <c r="AC241" s="195">
        <f ca="1">+AA241+'parametres articles'!$C$24-1</f>
        <v>260</v>
      </c>
      <c r="AD241" s="195">
        <f ca="1">+IF(AE241&lt;='parametres articles'!$H$8,0,AA241-'parametres articles'!$H$8+1)</f>
        <v>237</v>
      </c>
      <c r="AE241" s="195">
        <v>240</v>
      </c>
      <c r="AF241" s="187" t="str">
        <f t="shared" ca="1" si="56"/>
        <v>F256</v>
      </c>
      <c r="AG241" s="178"/>
      <c r="AH241" s="178"/>
      <c r="AI241" s="178"/>
      <c r="AJ241" s="178"/>
      <c r="AK241" s="178"/>
    </row>
    <row r="242" spans="1:37" x14ac:dyDescent="0.25">
      <c r="A242" s="186">
        <v>42245</v>
      </c>
      <c r="B242" s="188" t="s">
        <v>21</v>
      </c>
      <c r="C242" s="189">
        <f ca="1">+IF(AD242=0,P242,(SUM(INDIRECT(CONCATENATE("B",AD242,":B",AA242)))/'parametres articles'!$H$8))</f>
        <v>0</v>
      </c>
      <c r="D242" s="187">
        <f>IFERROR(VLOOKUP(A242,'Mvmt stock'!A:B,2,0),0)</f>
        <v>0</v>
      </c>
      <c r="E242" s="188">
        <f>IFERROR(VLOOKUP(A242,'Mvmt stock'!D:E,2,0),0)</f>
        <v>0</v>
      </c>
      <c r="F242" s="188">
        <f t="shared" si="53"/>
        <v>48</v>
      </c>
      <c r="G242" s="208">
        <f>IFERROR(VLOOKUP(A242,'Mvmt stock'!G:H,2,0),0)</f>
        <v>0</v>
      </c>
      <c r="H242" s="190">
        <f>IFERROR(VLOOKUP(A242,Stock!B:C,2,0),H241)</f>
        <v>50</v>
      </c>
      <c r="I242" s="188">
        <f t="shared" si="45"/>
        <v>48</v>
      </c>
      <c r="J242" s="191">
        <f t="shared" si="58"/>
        <v>63.285714285714285</v>
      </c>
      <c r="K242" s="187">
        <f>+HLOOKUP($B242,'parametres articles'!$C$5:$G$25,5,FALSE)</f>
        <v>15</v>
      </c>
      <c r="L242" s="187">
        <f>+HLOOKUP($B242,'parametres articles'!$C$5:$G$25,21,FALSE)</f>
        <v>13</v>
      </c>
      <c r="M242" s="192">
        <f>+HLOOKUP($B242,'parametres articles'!$C$5:$G$25,7,FALSE)</f>
        <v>0.8</v>
      </c>
      <c r="N242" s="192">
        <f>+HLOOKUP($B242,'parametres articles'!$C$5:$G$25,6,FALSE)</f>
        <v>0.4</v>
      </c>
      <c r="O242" s="187">
        <f>+HLOOKUP($B242,'parametres articles'!$C$5:$G$25,8,FALSE)</f>
        <v>0</v>
      </c>
      <c r="P242" s="193">
        <f>IF(B242="E",'parametres articles'!$C$8,HLOOKUP($B242,'parametres articles'!$C$5:$F$25,4,FALSE))</f>
        <v>2.27</v>
      </c>
      <c r="Q242" s="193">
        <f t="shared" si="46"/>
        <v>2.27</v>
      </c>
      <c r="R242" s="199">
        <f t="shared" si="54"/>
        <v>13.62</v>
      </c>
      <c r="S242" s="197">
        <f t="shared" si="47"/>
        <v>24.515999999999998</v>
      </c>
      <c r="T242" s="201">
        <f t="shared" si="48"/>
        <v>58.565999999999995</v>
      </c>
      <c r="U242" s="203">
        <f t="shared" si="55"/>
        <v>72.185999999999993</v>
      </c>
      <c r="V242" s="187">
        <f t="shared" si="49"/>
        <v>24.515999999999998</v>
      </c>
      <c r="W242" s="187">
        <f t="shared" si="50"/>
        <v>34.049999999999997</v>
      </c>
      <c r="X242" s="187">
        <f t="shared" si="51"/>
        <v>13.62</v>
      </c>
      <c r="Y242" s="193">
        <f t="shared" si="52"/>
        <v>31.325999999999997</v>
      </c>
      <c r="Z242" s="194"/>
      <c r="AA242" s="195">
        <f t="shared" ca="1" si="57"/>
        <v>242</v>
      </c>
      <c r="AB242" s="195">
        <f ca="1">+AA242+'parametres articles'!$C$9-1</f>
        <v>256</v>
      </c>
      <c r="AC242" s="195">
        <f ca="1">+AA242+'parametres articles'!$C$24-1</f>
        <v>261</v>
      </c>
      <c r="AD242" s="195">
        <f ca="1">+IF(AE242&lt;='parametres articles'!$H$8,0,AA242-'parametres articles'!$H$8+1)</f>
        <v>238</v>
      </c>
      <c r="AE242" s="195">
        <v>241</v>
      </c>
      <c r="AF242" s="187" t="str">
        <f t="shared" ca="1" si="56"/>
        <v>F257</v>
      </c>
      <c r="AG242" s="178"/>
      <c r="AH242" s="178"/>
      <c r="AI242" s="178"/>
      <c r="AJ242" s="178"/>
      <c r="AK242" s="178"/>
    </row>
    <row r="243" spans="1:37" x14ac:dyDescent="0.25">
      <c r="A243" s="186">
        <v>42246</v>
      </c>
      <c r="B243" s="188" t="s">
        <v>21</v>
      </c>
      <c r="C243" s="189">
        <f ca="1">+IF(AD243=0,P243,(SUM(INDIRECT(CONCATENATE("B",AD243,":B",AA243)))/'parametres articles'!$H$8))</f>
        <v>0</v>
      </c>
      <c r="D243" s="187">
        <f>IFERROR(VLOOKUP(A243,'Mvmt stock'!A:B,2,0),0)</f>
        <v>0</v>
      </c>
      <c r="E243" s="188">
        <f>IFERROR(VLOOKUP(A243,'Mvmt stock'!D:E,2,0),0)</f>
        <v>0</v>
      </c>
      <c r="F243" s="188">
        <f t="shared" si="53"/>
        <v>48</v>
      </c>
      <c r="G243" s="208">
        <f>IFERROR(VLOOKUP(A243,'Mvmt stock'!G:H,2,0),0)</f>
        <v>0</v>
      </c>
      <c r="H243" s="190">
        <f>IFERROR(VLOOKUP(A243,Stock!B:C,2,0),H242)</f>
        <v>50</v>
      </c>
      <c r="I243" s="188">
        <f t="shared" si="45"/>
        <v>48</v>
      </c>
      <c r="J243" s="191">
        <f t="shared" si="58"/>
        <v>62.333333333333336</v>
      </c>
      <c r="K243" s="187">
        <f>+HLOOKUP($B243,'parametres articles'!$C$5:$G$25,5,FALSE)</f>
        <v>15</v>
      </c>
      <c r="L243" s="187">
        <f>+HLOOKUP($B243,'parametres articles'!$C$5:$G$25,21,FALSE)</f>
        <v>13</v>
      </c>
      <c r="M243" s="192">
        <f>+HLOOKUP($B243,'parametres articles'!$C$5:$G$25,7,FALSE)</f>
        <v>0.8</v>
      </c>
      <c r="N243" s="192">
        <f>+HLOOKUP($B243,'parametres articles'!$C$5:$G$25,6,FALSE)</f>
        <v>0.4</v>
      </c>
      <c r="O243" s="187">
        <f>+HLOOKUP($B243,'parametres articles'!$C$5:$G$25,8,FALSE)</f>
        <v>0</v>
      </c>
      <c r="P243" s="193">
        <f>IF(B243="E",'parametres articles'!$C$8,HLOOKUP($B243,'parametres articles'!$C$5:$F$25,4,FALSE))</f>
        <v>2.27</v>
      </c>
      <c r="Q243" s="193">
        <f t="shared" si="46"/>
        <v>2.27</v>
      </c>
      <c r="R243" s="199">
        <f t="shared" si="54"/>
        <v>13.62</v>
      </c>
      <c r="S243" s="197">
        <f t="shared" si="47"/>
        <v>24.515999999999998</v>
      </c>
      <c r="T243" s="201">
        <f t="shared" si="48"/>
        <v>58.565999999999995</v>
      </c>
      <c r="U243" s="203">
        <f t="shared" si="55"/>
        <v>72.185999999999993</v>
      </c>
      <c r="V243" s="187">
        <f t="shared" si="49"/>
        <v>24.515999999999998</v>
      </c>
      <c r="W243" s="187">
        <f t="shared" si="50"/>
        <v>34.049999999999997</v>
      </c>
      <c r="X243" s="187">
        <f t="shared" si="51"/>
        <v>13.62</v>
      </c>
      <c r="Y243" s="193">
        <f t="shared" si="52"/>
        <v>31.325999999999997</v>
      </c>
      <c r="Z243" s="194"/>
      <c r="AA243" s="195">
        <f t="shared" ca="1" si="57"/>
        <v>243</v>
      </c>
      <c r="AB243" s="195">
        <f ca="1">+AA243+'parametres articles'!$C$9-1</f>
        <v>257</v>
      </c>
      <c r="AC243" s="195">
        <f ca="1">+AA243+'parametres articles'!$C$24-1</f>
        <v>262</v>
      </c>
      <c r="AD243" s="195">
        <f ca="1">+IF(AE243&lt;='parametres articles'!$H$8,0,AA243-'parametres articles'!$H$8+1)</f>
        <v>239</v>
      </c>
      <c r="AE243" s="195">
        <v>242</v>
      </c>
      <c r="AF243" s="187" t="str">
        <f t="shared" ca="1" si="56"/>
        <v>F258</v>
      </c>
      <c r="AG243" s="178"/>
      <c r="AH243" s="178"/>
      <c r="AI243" s="178"/>
      <c r="AJ243" s="178"/>
      <c r="AK243" s="178"/>
    </row>
    <row r="244" spans="1:37" x14ac:dyDescent="0.25">
      <c r="A244" s="186">
        <v>42247</v>
      </c>
      <c r="B244" s="188" t="s">
        <v>21</v>
      </c>
      <c r="C244" s="189">
        <f ca="1">+IF(AD244=0,P244,(SUM(INDIRECT(CONCATENATE("B",AD244,":B",AA244)))/'parametres articles'!$H$8))</f>
        <v>0</v>
      </c>
      <c r="D244" s="187">
        <f>IFERROR(VLOOKUP(A244,'Mvmt stock'!A:B,2,0),0)</f>
        <v>0</v>
      </c>
      <c r="E244" s="188">
        <f>IFERROR(VLOOKUP(A244,'Mvmt stock'!D:E,2,0),0)</f>
        <v>24</v>
      </c>
      <c r="F244" s="188">
        <f t="shared" si="53"/>
        <v>48</v>
      </c>
      <c r="G244" s="208">
        <f>IFERROR(VLOOKUP(A244,'Mvmt stock'!G:H,2,0),0)</f>
        <v>0</v>
      </c>
      <c r="H244" s="190">
        <f>IFERROR(VLOOKUP(A244,Stock!B:C,2,0),H243)</f>
        <v>50</v>
      </c>
      <c r="I244" s="188">
        <f t="shared" si="45"/>
        <v>72</v>
      </c>
      <c r="J244" s="191">
        <f t="shared" si="58"/>
        <v>61.38095238095238</v>
      </c>
      <c r="K244" s="187">
        <f>+HLOOKUP($B244,'parametres articles'!$C$5:$G$25,5,FALSE)</f>
        <v>15</v>
      </c>
      <c r="L244" s="187">
        <f>+HLOOKUP($B244,'parametres articles'!$C$5:$G$25,21,FALSE)</f>
        <v>13</v>
      </c>
      <c r="M244" s="192">
        <f>+HLOOKUP($B244,'parametres articles'!$C$5:$G$25,7,FALSE)</f>
        <v>0.8</v>
      </c>
      <c r="N244" s="192">
        <f>+HLOOKUP($B244,'parametres articles'!$C$5:$G$25,6,FALSE)</f>
        <v>0.4</v>
      </c>
      <c r="O244" s="187">
        <f>+HLOOKUP($B244,'parametres articles'!$C$5:$G$25,8,FALSE)</f>
        <v>0</v>
      </c>
      <c r="P244" s="193">
        <f>IF(B244="E",'parametres articles'!$C$8,HLOOKUP($B244,'parametres articles'!$C$5:$F$25,4,FALSE))</f>
        <v>2.27</v>
      </c>
      <c r="Q244" s="193">
        <f t="shared" si="46"/>
        <v>2.27</v>
      </c>
      <c r="R244" s="199">
        <f t="shared" si="54"/>
        <v>13.62</v>
      </c>
      <c r="S244" s="197">
        <f t="shared" si="47"/>
        <v>24.515999999999998</v>
      </c>
      <c r="T244" s="201">
        <f t="shared" si="48"/>
        <v>58.565999999999995</v>
      </c>
      <c r="U244" s="203">
        <f t="shared" si="55"/>
        <v>72.185999999999993</v>
      </c>
      <c r="V244" s="187">
        <f t="shared" si="49"/>
        <v>24.515999999999998</v>
      </c>
      <c r="W244" s="187">
        <f t="shared" si="50"/>
        <v>34.049999999999997</v>
      </c>
      <c r="X244" s="187">
        <f t="shared" si="51"/>
        <v>13.62</v>
      </c>
      <c r="Y244" s="193">
        <f t="shared" si="52"/>
        <v>31.325999999999997</v>
      </c>
      <c r="Z244" s="194"/>
      <c r="AA244" s="195">
        <f t="shared" ca="1" si="57"/>
        <v>244</v>
      </c>
      <c r="AB244" s="195">
        <f ca="1">+AA244+'parametres articles'!$C$9-1</f>
        <v>258</v>
      </c>
      <c r="AC244" s="195">
        <f ca="1">+AA244+'parametres articles'!$C$24-1</f>
        <v>263</v>
      </c>
      <c r="AD244" s="195">
        <f ca="1">+IF(AE244&lt;='parametres articles'!$H$8,0,AA244-'parametres articles'!$H$8+1)</f>
        <v>240</v>
      </c>
      <c r="AE244" s="195">
        <v>243</v>
      </c>
      <c r="AF244" s="187" t="str">
        <f t="shared" ca="1" si="56"/>
        <v>F259</v>
      </c>
      <c r="AG244" s="178"/>
      <c r="AH244" s="178"/>
      <c r="AI244" s="178"/>
      <c r="AJ244" s="178"/>
      <c r="AK244" s="178"/>
    </row>
    <row r="245" spans="1:37" x14ac:dyDescent="0.25">
      <c r="A245" s="186">
        <v>42248</v>
      </c>
      <c r="B245" s="188" t="s">
        <v>21</v>
      </c>
      <c r="C245" s="189">
        <f ca="1">+IF(AD245=0,P245,(SUM(INDIRECT(CONCATENATE("B",AD245,":B",AA245)))/'parametres articles'!$H$8))</f>
        <v>0</v>
      </c>
      <c r="D245" s="187">
        <f>IFERROR(VLOOKUP(A245,'Mvmt stock'!A:B,2,0),0)</f>
        <v>0</v>
      </c>
      <c r="E245" s="188">
        <f>IFERROR(VLOOKUP(A245,'Mvmt stock'!D:E,2,0),0)</f>
        <v>0</v>
      </c>
      <c r="F245" s="188">
        <f t="shared" si="53"/>
        <v>72</v>
      </c>
      <c r="G245" s="208">
        <f>IFERROR(VLOOKUP(A245,'Mvmt stock'!G:H,2,0),0)</f>
        <v>0</v>
      </c>
      <c r="H245" s="190">
        <f>IFERROR(VLOOKUP(A245,Stock!B:C,2,0),H244)</f>
        <v>74</v>
      </c>
      <c r="I245" s="188">
        <f t="shared" si="45"/>
        <v>72</v>
      </c>
      <c r="J245" s="191">
        <f t="shared" si="58"/>
        <v>61.571428571428569</v>
      </c>
      <c r="K245" s="187">
        <f>+HLOOKUP($B245,'parametres articles'!$C$5:$G$25,5,FALSE)</f>
        <v>15</v>
      </c>
      <c r="L245" s="187">
        <f>+HLOOKUP($B245,'parametres articles'!$C$5:$G$25,21,FALSE)</f>
        <v>13</v>
      </c>
      <c r="M245" s="192">
        <f>+HLOOKUP($B245,'parametres articles'!$C$5:$G$25,7,FALSE)</f>
        <v>0.8</v>
      </c>
      <c r="N245" s="192">
        <f>+HLOOKUP($B245,'parametres articles'!$C$5:$G$25,6,FALSE)</f>
        <v>0.4</v>
      </c>
      <c r="O245" s="187">
        <f>+HLOOKUP($B245,'parametres articles'!$C$5:$G$25,8,FALSE)</f>
        <v>0</v>
      </c>
      <c r="P245" s="193">
        <f>IF(B245="E",'parametres articles'!$C$8,HLOOKUP($B245,'parametres articles'!$C$5:$F$25,4,FALSE))</f>
        <v>2.27</v>
      </c>
      <c r="Q245" s="193">
        <f t="shared" si="46"/>
        <v>2.27</v>
      </c>
      <c r="R245" s="199">
        <f t="shared" si="54"/>
        <v>13.62</v>
      </c>
      <c r="S245" s="197">
        <f t="shared" si="47"/>
        <v>24.515999999999998</v>
      </c>
      <c r="T245" s="201">
        <f t="shared" si="48"/>
        <v>58.565999999999995</v>
      </c>
      <c r="U245" s="203">
        <f t="shared" si="55"/>
        <v>72.185999999999993</v>
      </c>
      <c r="V245" s="187">
        <f t="shared" si="49"/>
        <v>24.515999999999998</v>
      </c>
      <c r="W245" s="187">
        <f t="shared" si="50"/>
        <v>34.049999999999997</v>
      </c>
      <c r="X245" s="187">
        <f t="shared" si="51"/>
        <v>13.62</v>
      </c>
      <c r="Y245" s="193">
        <f t="shared" si="52"/>
        <v>31.325999999999997</v>
      </c>
      <c r="Z245" s="194"/>
      <c r="AA245" s="195">
        <f t="shared" ca="1" si="57"/>
        <v>245</v>
      </c>
      <c r="AB245" s="195">
        <f ca="1">+AA245+'parametres articles'!$C$9-1</f>
        <v>259</v>
      </c>
      <c r="AC245" s="195">
        <f ca="1">+AA245+'parametres articles'!$C$24-1</f>
        <v>264</v>
      </c>
      <c r="AD245" s="195">
        <f ca="1">+IF(AE245&lt;='parametres articles'!$H$8,0,AA245-'parametres articles'!$H$8+1)</f>
        <v>241</v>
      </c>
      <c r="AE245" s="195">
        <v>244</v>
      </c>
      <c r="AF245" s="187" t="str">
        <f t="shared" ca="1" si="56"/>
        <v>F260</v>
      </c>
      <c r="AG245" s="178"/>
      <c r="AH245" s="178"/>
      <c r="AI245" s="178"/>
      <c r="AJ245" s="178"/>
      <c r="AK245" s="178"/>
    </row>
    <row r="246" spans="1:37" x14ac:dyDescent="0.25">
      <c r="A246" s="186">
        <v>42249</v>
      </c>
      <c r="B246" s="188" t="s">
        <v>21</v>
      </c>
      <c r="C246" s="189">
        <f ca="1">+IF(AD246=0,P246,(SUM(INDIRECT(CONCATENATE("B",AD246,":B",AA246)))/'parametres articles'!$H$8))</f>
        <v>0</v>
      </c>
      <c r="D246" s="187">
        <f>IFERROR(VLOOKUP(A246,'Mvmt stock'!A:B,2,0),0)</f>
        <v>6</v>
      </c>
      <c r="E246" s="188">
        <f>IFERROR(VLOOKUP(A246,'Mvmt stock'!D:E,2,0),0)</f>
        <v>0</v>
      </c>
      <c r="F246" s="188">
        <f t="shared" si="53"/>
        <v>72</v>
      </c>
      <c r="G246" s="208">
        <f>IFERROR(VLOOKUP(A246,'Mvmt stock'!G:H,2,0),0)</f>
        <v>0</v>
      </c>
      <c r="H246" s="190">
        <f>IFERROR(VLOOKUP(A246,Stock!B:C,2,0),H245)</f>
        <v>74</v>
      </c>
      <c r="I246" s="188">
        <f t="shared" si="45"/>
        <v>66</v>
      </c>
      <c r="J246" s="191">
        <f t="shared" si="58"/>
        <v>61.761904761904759</v>
      </c>
      <c r="K246" s="187">
        <f>+HLOOKUP($B246,'parametres articles'!$C$5:$G$25,5,FALSE)</f>
        <v>15</v>
      </c>
      <c r="L246" s="187">
        <f>+HLOOKUP($B246,'parametres articles'!$C$5:$G$25,21,FALSE)</f>
        <v>13</v>
      </c>
      <c r="M246" s="192">
        <f>+HLOOKUP($B246,'parametres articles'!$C$5:$G$25,7,FALSE)</f>
        <v>0.8</v>
      </c>
      <c r="N246" s="192">
        <f>+HLOOKUP($B246,'parametres articles'!$C$5:$G$25,6,FALSE)</f>
        <v>0.4</v>
      </c>
      <c r="O246" s="187">
        <f>+HLOOKUP($B246,'parametres articles'!$C$5:$G$25,8,FALSE)</f>
        <v>0</v>
      </c>
      <c r="P246" s="193">
        <f>IF(B246="E",'parametres articles'!$C$8,HLOOKUP($B246,'parametres articles'!$C$5:$F$25,4,FALSE))</f>
        <v>2.27</v>
      </c>
      <c r="Q246" s="193">
        <f t="shared" si="46"/>
        <v>2.27</v>
      </c>
      <c r="R246" s="199">
        <f t="shared" si="54"/>
        <v>13.62</v>
      </c>
      <c r="S246" s="197">
        <f t="shared" si="47"/>
        <v>24.515999999999998</v>
      </c>
      <c r="T246" s="201">
        <f t="shared" si="48"/>
        <v>58.565999999999995</v>
      </c>
      <c r="U246" s="203">
        <f t="shared" si="55"/>
        <v>72.185999999999993</v>
      </c>
      <c r="V246" s="187">
        <f t="shared" si="49"/>
        <v>24.515999999999998</v>
      </c>
      <c r="W246" s="187">
        <f t="shared" si="50"/>
        <v>34.049999999999997</v>
      </c>
      <c r="X246" s="187">
        <f t="shared" si="51"/>
        <v>13.62</v>
      </c>
      <c r="Y246" s="193">
        <f t="shared" si="52"/>
        <v>31.325999999999997</v>
      </c>
      <c r="Z246" s="194"/>
      <c r="AA246" s="195">
        <f t="shared" ca="1" si="57"/>
        <v>246</v>
      </c>
      <c r="AB246" s="195">
        <f ca="1">+AA246+'parametres articles'!$C$9-1</f>
        <v>260</v>
      </c>
      <c r="AC246" s="195">
        <f ca="1">+AA246+'parametres articles'!$C$24-1</f>
        <v>265</v>
      </c>
      <c r="AD246" s="195">
        <f ca="1">+IF(AE246&lt;='parametres articles'!$H$8,0,AA246-'parametres articles'!$H$8+1)</f>
        <v>242</v>
      </c>
      <c r="AE246" s="195">
        <v>245</v>
      </c>
      <c r="AF246" s="187" t="str">
        <f t="shared" ca="1" si="56"/>
        <v>F261</v>
      </c>
      <c r="AG246" s="178"/>
      <c r="AH246" s="178"/>
      <c r="AI246" s="178"/>
      <c r="AJ246" s="178"/>
      <c r="AK246" s="178"/>
    </row>
    <row r="247" spans="1:37" x14ac:dyDescent="0.25">
      <c r="A247" s="186">
        <v>42250</v>
      </c>
      <c r="B247" s="188" t="s">
        <v>21</v>
      </c>
      <c r="C247" s="189">
        <f ca="1">+IF(AD247=0,P247,(SUM(INDIRECT(CONCATENATE("B",AD247,":B",AA247)))/'parametres articles'!$H$8))</f>
        <v>0</v>
      </c>
      <c r="D247" s="187">
        <f>IFERROR(VLOOKUP(A247,'Mvmt stock'!A:B,2,0),0)</f>
        <v>0</v>
      </c>
      <c r="E247" s="188">
        <f>IFERROR(VLOOKUP(A247,'Mvmt stock'!D:E,2,0),0)</f>
        <v>0</v>
      </c>
      <c r="F247" s="188">
        <f t="shared" si="53"/>
        <v>66</v>
      </c>
      <c r="G247" s="208">
        <f>IFERROR(VLOOKUP(A247,'Mvmt stock'!G:H,2,0),0)</f>
        <v>0</v>
      </c>
      <c r="H247" s="190">
        <f>IFERROR(VLOOKUP(A247,Stock!B:C,2,0),H246)</f>
        <v>68</v>
      </c>
      <c r="I247" s="188">
        <f t="shared" si="45"/>
        <v>66</v>
      </c>
      <c r="J247" s="191">
        <f t="shared" si="58"/>
        <v>61.666666666666664</v>
      </c>
      <c r="K247" s="187">
        <f>+HLOOKUP($B247,'parametres articles'!$C$5:$G$25,5,FALSE)</f>
        <v>15</v>
      </c>
      <c r="L247" s="187">
        <f>+HLOOKUP($B247,'parametres articles'!$C$5:$G$25,21,FALSE)</f>
        <v>13</v>
      </c>
      <c r="M247" s="192">
        <f>+HLOOKUP($B247,'parametres articles'!$C$5:$G$25,7,FALSE)</f>
        <v>0.8</v>
      </c>
      <c r="N247" s="192">
        <f>+HLOOKUP($B247,'parametres articles'!$C$5:$G$25,6,FALSE)</f>
        <v>0.4</v>
      </c>
      <c r="O247" s="187">
        <f>+HLOOKUP($B247,'parametres articles'!$C$5:$G$25,8,FALSE)</f>
        <v>0</v>
      </c>
      <c r="P247" s="193">
        <f>IF(B247="E",'parametres articles'!$C$8,HLOOKUP($B247,'parametres articles'!$C$5:$F$25,4,FALSE))</f>
        <v>2.27</v>
      </c>
      <c r="Q247" s="193">
        <f t="shared" si="46"/>
        <v>2.27</v>
      </c>
      <c r="R247" s="199">
        <f t="shared" si="54"/>
        <v>13.62</v>
      </c>
      <c r="S247" s="197">
        <f t="shared" si="47"/>
        <v>24.515999999999998</v>
      </c>
      <c r="T247" s="201">
        <f t="shared" si="48"/>
        <v>58.565999999999995</v>
      </c>
      <c r="U247" s="203">
        <f t="shared" si="55"/>
        <v>72.185999999999993</v>
      </c>
      <c r="V247" s="187">
        <f t="shared" si="49"/>
        <v>24.515999999999998</v>
      </c>
      <c r="W247" s="187">
        <f t="shared" si="50"/>
        <v>34.049999999999997</v>
      </c>
      <c r="X247" s="187">
        <f t="shared" si="51"/>
        <v>13.62</v>
      </c>
      <c r="Y247" s="193">
        <f t="shared" si="52"/>
        <v>31.325999999999997</v>
      </c>
      <c r="Z247" s="194"/>
      <c r="AA247" s="195">
        <f t="shared" ca="1" si="57"/>
        <v>247</v>
      </c>
      <c r="AB247" s="195">
        <f ca="1">+AA247+'parametres articles'!$C$9-1</f>
        <v>261</v>
      </c>
      <c r="AC247" s="195">
        <f ca="1">+AA247+'parametres articles'!$C$24-1</f>
        <v>266</v>
      </c>
      <c r="AD247" s="195">
        <f ca="1">+IF(AE247&lt;='parametres articles'!$H$8,0,AA247-'parametres articles'!$H$8+1)</f>
        <v>243</v>
      </c>
      <c r="AE247" s="195">
        <v>246</v>
      </c>
      <c r="AF247" s="187" t="str">
        <f t="shared" ca="1" si="56"/>
        <v>F262</v>
      </c>
      <c r="AG247" s="178"/>
      <c r="AH247" s="178"/>
      <c r="AI247" s="178"/>
      <c r="AJ247" s="178"/>
      <c r="AK247" s="178"/>
    </row>
    <row r="248" spans="1:37" x14ac:dyDescent="0.25">
      <c r="A248" s="186">
        <v>42251</v>
      </c>
      <c r="B248" s="188" t="s">
        <v>21</v>
      </c>
      <c r="C248" s="189">
        <f ca="1">+IF(AD248=0,P248,(SUM(INDIRECT(CONCATENATE("B",AD248,":B",AA248)))/'parametres articles'!$H$8))</f>
        <v>0</v>
      </c>
      <c r="D248" s="187">
        <f>IFERROR(VLOOKUP(A248,'Mvmt stock'!A:B,2,0),0)</f>
        <v>0</v>
      </c>
      <c r="E248" s="188">
        <f>IFERROR(VLOOKUP(A248,'Mvmt stock'!D:E,2,0),0)</f>
        <v>0</v>
      </c>
      <c r="F248" s="188">
        <f t="shared" si="53"/>
        <v>66</v>
      </c>
      <c r="G248" s="208">
        <f>IFERROR(VLOOKUP(A248,'Mvmt stock'!G:H,2,0),0)</f>
        <v>0</v>
      </c>
      <c r="H248" s="190">
        <f>IFERROR(VLOOKUP(A248,Stock!B:C,2,0),H247)</f>
        <v>68</v>
      </c>
      <c r="I248" s="188">
        <f t="shared" si="45"/>
        <v>66</v>
      </c>
      <c r="J248" s="191">
        <f t="shared" si="58"/>
        <v>61.571428571428569</v>
      </c>
      <c r="K248" s="187">
        <f>+HLOOKUP($B248,'parametres articles'!$C$5:$G$25,5,FALSE)</f>
        <v>15</v>
      </c>
      <c r="L248" s="187">
        <f>+HLOOKUP($B248,'parametres articles'!$C$5:$G$25,21,FALSE)</f>
        <v>13</v>
      </c>
      <c r="M248" s="192">
        <f>+HLOOKUP($B248,'parametres articles'!$C$5:$G$25,7,FALSE)</f>
        <v>0.8</v>
      </c>
      <c r="N248" s="192">
        <f>+HLOOKUP($B248,'parametres articles'!$C$5:$G$25,6,FALSE)</f>
        <v>0.4</v>
      </c>
      <c r="O248" s="187">
        <f>+HLOOKUP($B248,'parametres articles'!$C$5:$G$25,8,FALSE)</f>
        <v>0</v>
      </c>
      <c r="P248" s="193">
        <f>IF(B248="E",'parametres articles'!$C$8,HLOOKUP($B248,'parametres articles'!$C$5:$F$25,4,FALSE))</f>
        <v>2.27</v>
      </c>
      <c r="Q248" s="193">
        <f t="shared" si="46"/>
        <v>2.27</v>
      </c>
      <c r="R248" s="199">
        <f t="shared" si="54"/>
        <v>13.62</v>
      </c>
      <c r="S248" s="197">
        <f t="shared" si="47"/>
        <v>24.515999999999998</v>
      </c>
      <c r="T248" s="201">
        <f t="shared" si="48"/>
        <v>58.565999999999995</v>
      </c>
      <c r="U248" s="203">
        <f t="shared" si="55"/>
        <v>72.185999999999993</v>
      </c>
      <c r="V248" s="187">
        <f t="shared" si="49"/>
        <v>24.515999999999998</v>
      </c>
      <c r="W248" s="187">
        <f t="shared" si="50"/>
        <v>34.049999999999997</v>
      </c>
      <c r="X248" s="187">
        <f t="shared" si="51"/>
        <v>13.62</v>
      </c>
      <c r="Y248" s="193">
        <f t="shared" si="52"/>
        <v>31.325999999999997</v>
      </c>
      <c r="Z248" s="194"/>
      <c r="AA248" s="195">
        <f t="shared" ca="1" si="57"/>
        <v>248</v>
      </c>
      <c r="AB248" s="195">
        <f ca="1">+AA248+'parametres articles'!$C$9-1</f>
        <v>262</v>
      </c>
      <c r="AC248" s="195">
        <f ca="1">+AA248+'parametres articles'!$C$24-1</f>
        <v>267</v>
      </c>
      <c r="AD248" s="195">
        <f ca="1">+IF(AE248&lt;='parametres articles'!$H$8,0,AA248-'parametres articles'!$H$8+1)</f>
        <v>244</v>
      </c>
      <c r="AE248" s="195">
        <v>247</v>
      </c>
      <c r="AF248" s="187" t="str">
        <f t="shared" ca="1" si="56"/>
        <v>F263</v>
      </c>
      <c r="AG248" s="178"/>
      <c r="AH248" s="178"/>
      <c r="AI248" s="178"/>
      <c r="AJ248" s="178"/>
      <c r="AK248" s="178"/>
    </row>
    <row r="249" spans="1:37" x14ac:dyDescent="0.25">
      <c r="A249" s="186">
        <v>42252</v>
      </c>
      <c r="B249" s="188" t="s">
        <v>21</v>
      </c>
      <c r="C249" s="189">
        <f ca="1">+IF(AD249=0,P249,(SUM(INDIRECT(CONCATENATE("B",AD249,":B",AA249)))/'parametres articles'!$H$8))</f>
        <v>0</v>
      </c>
      <c r="D249" s="187">
        <f>IFERROR(VLOOKUP(A249,'Mvmt stock'!A:B,2,0),0)</f>
        <v>0</v>
      </c>
      <c r="E249" s="188">
        <f>IFERROR(VLOOKUP(A249,'Mvmt stock'!D:E,2,0),0)</f>
        <v>0</v>
      </c>
      <c r="F249" s="188">
        <f t="shared" si="53"/>
        <v>66</v>
      </c>
      <c r="G249" s="208">
        <f>IFERROR(VLOOKUP(A249,'Mvmt stock'!G:H,2,0),0)</f>
        <v>0</v>
      </c>
      <c r="H249" s="190">
        <f>IFERROR(VLOOKUP(A249,Stock!B:C,2,0),H248)</f>
        <v>68</v>
      </c>
      <c r="I249" s="188">
        <f t="shared" si="45"/>
        <v>66</v>
      </c>
      <c r="J249" s="191">
        <f t="shared" si="58"/>
        <v>61.476190476190474</v>
      </c>
      <c r="K249" s="187">
        <f>+HLOOKUP($B249,'parametres articles'!$C$5:$G$25,5,FALSE)</f>
        <v>15</v>
      </c>
      <c r="L249" s="187">
        <f>+HLOOKUP($B249,'parametres articles'!$C$5:$G$25,21,FALSE)</f>
        <v>13</v>
      </c>
      <c r="M249" s="192">
        <f>+HLOOKUP($B249,'parametres articles'!$C$5:$G$25,7,FALSE)</f>
        <v>0.8</v>
      </c>
      <c r="N249" s="192">
        <f>+HLOOKUP($B249,'parametres articles'!$C$5:$G$25,6,FALSE)</f>
        <v>0.4</v>
      </c>
      <c r="O249" s="187">
        <f>+HLOOKUP($B249,'parametres articles'!$C$5:$G$25,8,FALSE)</f>
        <v>0</v>
      </c>
      <c r="P249" s="193">
        <f>IF(B249="E",'parametres articles'!$C$8,HLOOKUP($B249,'parametres articles'!$C$5:$F$25,4,FALSE))</f>
        <v>2.27</v>
      </c>
      <c r="Q249" s="193">
        <f t="shared" si="46"/>
        <v>2.27</v>
      </c>
      <c r="R249" s="199">
        <f t="shared" si="54"/>
        <v>13.62</v>
      </c>
      <c r="S249" s="197">
        <f t="shared" si="47"/>
        <v>24.515999999999998</v>
      </c>
      <c r="T249" s="201">
        <f t="shared" si="48"/>
        <v>58.565999999999995</v>
      </c>
      <c r="U249" s="203">
        <f t="shared" si="55"/>
        <v>72.185999999999993</v>
      </c>
      <c r="V249" s="187">
        <f t="shared" si="49"/>
        <v>24.515999999999998</v>
      </c>
      <c r="W249" s="187">
        <f t="shared" si="50"/>
        <v>34.049999999999997</v>
      </c>
      <c r="X249" s="187">
        <f t="shared" si="51"/>
        <v>13.62</v>
      </c>
      <c r="Y249" s="193">
        <f t="shared" si="52"/>
        <v>31.325999999999997</v>
      </c>
      <c r="Z249" s="194"/>
      <c r="AA249" s="195">
        <f t="shared" ca="1" si="57"/>
        <v>249</v>
      </c>
      <c r="AB249" s="195">
        <f ca="1">+AA249+'parametres articles'!$C$9-1</f>
        <v>263</v>
      </c>
      <c r="AC249" s="195">
        <f ca="1">+AA249+'parametres articles'!$C$24-1</f>
        <v>268</v>
      </c>
      <c r="AD249" s="195">
        <f ca="1">+IF(AE249&lt;='parametres articles'!$H$8,0,AA249-'parametres articles'!$H$8+1)</f>
        <v>245</v>
      </c>
      <c r="AE249" s="195">
        <v>248</v>
      </c>
      <c r="AF249" s="187" t="str">
        <f t="shared" ca="1" si="56"/>
        <v>F264</v>
      </c>
      <c r="AG249" s="178"/>
      <c r="AH249" s="178"/>
      <c r="AI249" s="178"/>
      <c r="AJ249" s="178"/>
      <c r="AK249" s="178"/>
    </row>
    <row r="250" spans="1:37" x14ac:dyDescent="0.25">
      <c r="A250" s="186">
        <v>42253</v>
      </c>
      <c r="B250" s="188" t="s">
        <v>21</v>
      </c>
      <c r="C250" s="189">
        <f ca="1">+IF(AD250=0,P250,(SUM(INDIRECT(CONCATENATE("B",AD250,":B",AA250)))/'parametres articles'!$H$8))</f>
        <v>0</v>
      </c>
      <c r="D250" s="187">
        <f>IFERROR(VLOOKUP(A250,'Mvmt stock'!A:B,2,0),0)</f>
        <v>0</v>
      </c>
      <c r="E250" s="188">
        <f>IFERROR(VLOOKUP(A250,'Mvmt stock'!D:E,2,0),0)</f>
        <v>0</v>
      </c>
      <c r="F250" s="188">
        <f t="shared" si="53"/>
        <v>66</v>
      </c>
      <c r="G250" s="208">
        <f>IFERROR(VLOOKUP(A250,'Mvmt stock'!G:H,2,0),0)</f>
        <v>0</v>
      </c>
      <c r="H250" s="190">
        <f>IFERROR(VLOOKUP(A250,Stock!B:C,2,0),H249)</f>
        <v>68</v>
      </c>
      <c r="I250" s="188">
        <f t="shared" si="45"/>
        <v>66</v>
      </c>
      <c r="J250" s="191">
        <f t="shared" si="58"/>
        <v>61.38095238095238</v>
      </c>
      <c r="K250" s="187">
        <f>+HLOOKUP($B250,'parametres articles'!$C$5:$G$25,5,FALSE)</f>
        <v>15</v>
      </c>
      <c r="L250" s="187">
        <f>+HLOOKUP($B250,'parametres articles'!$C$5:$G$25,21,FALSE)</f>
        <v>13</v>
      </c>
      <c r="M250" s="192">
        <f>+HLOOKUP($B250,'parametres articles'!$C$5:$G$25,7,FALSE)</f>
        <v>0.8</v>
      </c>
      <c r="N250" s="192">
        <f>+HLOOKUP($B250,'parametres articles'!$C$5:$G$25,6,FALSE)</f>
        <v>0.4</v>
      </c>
      <c r="O250" s="187">
        <f>+HLOOKUP($B250,'parametres articles'!$C$5:$G$25,8,FALSE)</f>
        <v>0</v>
      </c>
      <c r="P250" s="193">
        <f>IF(B250="E",'parametres articles'!$C$8,HLOOKUP($B250,'parametres articles'!$C$5:$F$25,4,FALSE))</f>
        <v>2.27</v>
      </c>
      <c r="Q250" s="193">
        <f t="shared" si="46"/>
        <v>2.27</v>
      </c>
      <c r="R250" s="199">
        <f t="shared" si="54"/>
        <v>13.62</v>
      </c>
      <c r="S250" s="197">
        <f t="shared" si="47"/>
        <v>24.515999999999998</v>
      </c>
      <c r="T250" s="201">
        <f t="shared" si="48"/>
        <v>58.565999999999995</v>
      </c>
      <c r="U250" s="203">
        <f t="shared" si="55"/>
        <v>72.185999999999993</v>
      </c>
      <c r="V250" s="187">
        <f t="shared" si="49"/>
        <v>24.515999999999998</v>
      </c>
      <c r="W250" s="187">
        <f t="shared" si="50"/>
        <v>34.049999999999997</v>
      </c>
      <c r="X250" s="187">
        <f t="shared" si="51"/>
        <v>13.62</v>
      </c>
      <c r="Y250" s="193">
        <f t="shared" si="52"/>
        <v>31.325999999999997</v>
      </c>
      <c r="Z250" s="194"/>
      <c r="AA250" s="195">
        <f t="shared" ca="1" si="57"/>
        <v>250</v>
      </c>
      <c r="AB250" s="195">
        <f ca="1">+AA250+'parametres articles'!$C$9-1</f>
        <v>264</v>
      </c>
      <c r="AC250" s="195">
        <f ca="1">+AA250+'parametres articles'!$C$24-1</f>
        <v>269</v>
      </c>
      <c r="AD250" s="195">
        <f ca="1">+IF(AE250&lt;='parametres articles'!$H$8,0,AA250-'parametres articles'!$H$8+1)</f>
        <v>246</v>
      </c>
      <c r="AE250" s="195">
        <v>249</v>
      </c>
      <c r="AF250" s="187" t="str">
        <f t="shared" ca="1" si="56"/>
        <v>F265</v>
      </c>
      <c r="AG250" s="178"/>
      <c r="AH250" s="178"/>
      <c r="AI250" s="178"/>
      <c r="AJ250" s="178"/>
      <c r="AK250" s="178"/>
    </row>
    <row r="251" spans="1:37" x14ac:dyDescent="0.25">
      <c r="A251" s="186">
        <v>42254</v>
      </c>
      <c r="B251" s="188" t="s">
        <v>21</v>
      </c>
      <c r="C251" s="189">
        <f ca="1">+IF(AD251=0,P251,(SUM(INDIRECT(CONCATENATE("B",AD251,":B",AA251)))/'parametres articles'!$H$8))</f>
        <v>0</v>
      </c>
      <c r="D251" s="187">
        <f>IFERROR(VLOOKUP(A251,'Mvmt stock'!A:B,2,0),0)</f>
        <v>0</v>
      </c>
      <c r="E251" s="188">
        <f>IFERROR(VLOOKUP(A251,'Mvmt stock'!D:E,2,0),0)</f>
        <v>0</v>
      </c>
      <c r="F251" s="188">
        <f t="shared" si="53"/>
        <v>66</v>
      </c>
      <c r="G251" s="208">
        <f>IFERROR(VLOOKUP(A251,'Mvmt stock'!G:H,2,0),0)</f>
        <v>0</v>
      </c>
      <c r="H251" s="190">
        <f>IFERROR(VLOOKUP(A251,Stock!B:C,2,0),H250)</f>
        <v>68</v>
      </c>
      <c r="I251" s="188">
        <f t="shared" si="45"/>
        <v>66</v>
      </c>
      <c r="J251" s="191">
        <f t="shared" si="58"/>
        <v>61.285714285714285</v>
      </c>
      <c r="K251" s="187">
        <f>+HLOOKUP($B251,'parametres articles'!$C$5:$G$25,5,FALSE)</f>
        <v>15</v>
      </c>
      <c r="L251" s="187">
        <f>+HLOOKUP($B251,'parametres articles'!$C$5:$G$25,21,FALSE)</f>
        <v>13</v>
      </c>
      <c r="M251" s="192">
        <f>+HLOOKUP($B251,'parametres articles'!$C$5:$G$25,7,FALSE)</f>
        <v>0.8</v>
      </c>
      <c r="N251" s="192">
        <f>+HLOOKUP($B251,'parametres articles'!$C$5:$G$25,6,FALSE)</f>
        <v>0.4</v>
      </c>
      <c r="O251" s="187">
        <f>+HLOOKUP($B251,'parametres articles'!$C$5:$G$25,8,FALSE)</f>
        <v>0</v>
      </c>
      <c r="P251" s="193">
        <f>IF(B251="E",'parametres articles'!$C$8,HLOOKUP($B251,'parametres articles'!$C$5:$F$25,4,FALSE))</f>
        <v>2.27</v>
      </c>
      <c r="Q251" s="193">
        <f t="shared" si="46"/>
        <v>2.27</v>
      </c>
      <c r="R251" s="199">
        <f t="shared" si="54"/>
        <v>13.62</v>
      </c>
      <c r="S251" s="197">
        <f t="shared" si="47"/>
        <v>24.515999999999998</v>
      </c>
      <c r="T251" s="201">
        <f t="shared" si="48"/>
        <v>58.565999999999995</v>
      </c>
      <c r="U251" s="203">
        <f t="shared" si="55"/>
        <v>72.185999999999993</v>
      </c>
      <c r="V251" s="187">
        <f t="shared" si="49"/>
        <v>24.515999999999998</v>
      </c>
      <c r="W251" s="187">
        <f t="shared" si="50"/>
        <v>34.049999999999997</v>
      </c>
      <c r="X251" s="187">
        <f t="shared" si="51"/>
        <v>13.62</v>
      </c>
      <c r="Y251" s="193">
        <f t="shared" si="52"/>
        <v>31.325999999999997</v>
      </c>
      <c r="Z251" s="194"/>
      <c r="AA251" s="195">
        <f t="shared" ca="1" si="57"/>
        <v>251</v>
      </c>
      <c r="AB251" s="195">
        <f ca="1">+AA251+'parametres articles'!$C$9-1</f>
        <v>265</v>
      </c>
      <c r="AC251" s="195">
        <f ca="1">+AA251+'parametres articles'!$C$24-1</f>
        <v>270</v>
      </c>
      <c r="AD251" s="195">
        <f ca="1">+IF(AE251&lt;='parametres articles'!$H$8,0,AA251-'parametres articles'!$H$8+1)</f>
        <v>247</v>
      </c>
      <c r="AE251" s="195">
        <v>250</v>
      </c>
      <c r="AF251" s="187" t="str">
        <f t="shared" ca="1" si="56"/>
        <v>F266</v>
      </c>
      <c r="AG251" s="178"/>
      <c r="AH251" s="178"/>
      <c r="AI251" s="178"/>
      <c r="AJ251" s="178"/>
      <c r="AK251" s="178"/>
    </row>
    <row r="252" spans="1:37" x14ac:dyDescent="0.25">
      <c r="A252" s="186">
        <v>42255</v>
      </c>
      <c r="B252" s="188" t="s">
        <v>21</v>
      </c>
      <c r="C252" s="189">
        <f ca="1">+IF(AD252=0,P252,(SUM(INDIRECT(CONCATENATE("B",AD252,":B",AA252)))/'parametres articles'!$H$8))</f>
        <v>0</v>
      </c>
      <c r="D252" s="187">
        <f>IFERROR(VLOOKUP(A252,'Mvmt stock'!A:B,2,0),0)</f>
        <v>1</v>
      </c>
      <c r="E252" s="188">
        <f>IFERROR(VLOOKUP(A252,'Mvmt stock'!D:E,2,0),0)</f>
        <v>0</v>
      </c>
      <c r="F252" s="188">
        <f t="shared" si="53"/>
        <v>66</v>
      </c>
      <c r="G252" s="208">
        <f>IFERROR(VLOOKUP(A252,'Mvmt stock'!G:H,2,0),0)</f>
        <v>0</v>
      </c>
      <c r="H252" s="190">
        <f>IFERROR(VLOOKUP(A252,Stock!B:C,2,0),H251)</f>
        <v>68</v>
      </c>
      <c r="I252" s="188">
        <f t="shared" si="45"/>
        <v>65</v>
      </c>
      <c r="J252" s="191">
        <f t="shared" si="58"/>
        <v>61.285714285714285</v>
      </c>
      <c r="K252" s="187">
        <f>+HLOOKUP($B252,'parametres articles'!$C$5:$G$25,5,FALSE)</f>
        <v>15</v>
      </c>
      <c r="L252" s="187">
        <f>+HLOOKUP($B252,'parametres articles'!$C$5:$G$25,21,FALSE)</f>
        <v>13</v>
      </c>
      <c r="M252" s="192">
        <f>+HLOOKUP($B252,'parametres articles'!$C$5:$G$25,7,FALSE)</f>
        <v>0.8</v>
      </c>
      <c r="N252" s="192">
        <f>+HLOOKUP($B252,'parametres articles'!$C$5:$G$25,6,FALSE)</f>
        <v>0.4</v>
      </c>
      <c r="O252" s="187">
        <f>+HLOOKUP($B252,'parametres articles'!$C$5:$G$25,8,FALSE)</f>
        <v>0</v>
      </c>
      <c r="P252" s="193">
        <f>IF(B252="E",'parametres articles'!$C$8,HLOOKUP($B252,'parametres articles'!$C$5:$F$25,4,FALSE))</f>
        <v>2.27</v>
      </c>
      <c r="Q252" s="193">
        <f t="shared" si="46"/>
        <v>2.27</v>
      </c>
      <c r="R252" s="199">
        <f t="shared" si="54"/>
        <v>13.62</v>
      </c>
      <c r="S252" s="197">
        <f t="shared" si="47"/>
        <v>24.515999999999998</v>
      </c>
      <c r="T252" s="201">
        <f t="shared" si="48"/>
        <v>58.565999999999995</v>
      </c>
      <c r="U252" s="203">
        <f t="shared" si="55"/>
        <v>72.185999999999993</v>
      </c>
      <c r="V252" s="187">
        <f t="shared" si="49"/>
        <v>24.515999999999998</v>
      </c>
      <c r="W252" s="187">
        <f t="shared" si="50"/>
        <v>34.049999999999997</v>
      </c>
      <c r="X252" s="187">
        <f t="shared" si="51"/>
        <v>13.62</v>
      </c>
      <c r="Y252" s="193">
        <f t="shared" si="52"/>
        <v>31.325999999999997</v>
      </c>
      <c r="Z252" s="194"/>
      <c r="AA252" s="195">
        <f t="shared" ca="1" si="57"/>
        <v>252</v>
      </c>
      <c r="AB252" s="195">
        <f ca="1">+AA252+'parametres articles'!$C$9-1</f>
        <v>266</v>
      </c>
      <c r="AC252" s="195">
        <f ca="1">+AA252+'parametres articles'!$C$24-1</f>
        <v>271</v>
      </c>
      <c r="AD252" s="195">
        <f ca="1">+IF(AE252&lt;='parametres articles'!$H$8,0,AA252-'parametres articles'!$H$8+1)</f>
        <v>248</v>
      </c>
      <c r="AE252" s="195">
        <v>251</v>
      </c>
      <c r="AF252" s="187" t="str">
        <f t="shared" ca="1" si="56"/>
        <v>F267</v>
      </c>
      <c r="AG252" s="178"/>
      <c r="AH252" s="178"/>
      <c r="AI252" s="178"/>
      <c r="AJ252" s="178"/>
      <c r="AK252" s="178"/>
    </row>
    <row r="253" spans="1:37" x14ac:dyDescent="0.25">
      <c r="A253" s="186">
        <v>42256</v>
      </c>
      <c r="B253" s="188" t="s">
        <v>21</v>
      </c>
      <c r="C253" s="189">
        <f ca="1">+IF(AD253=0,P253,(SUM(INDIRECT(CONCATENATE("B",AD253,":B",AA253)))/'parametres articles'!$H$8))</f>
        <v>0</v>
      </c>
      <c r="D253" s="187">
        <f>IFERROR(VLOOKUP(A253,'Mvmt stock'!A:B,2,0),0)</f>
        <v>0</v>
      </c>
      <c r="E253" s="188">
        <f>IFERROR(VLOOKUP(A253,'Mvmt stock'!D:E,2,0),0)</f>
        <v>0</v>
      </c>
      <c r="F253" s="188">
        <f t="shared" si="53"/>
        <v>55</v>
      </c>
      <c r="G253" s="208">
        <f>IFERROR(VLOOKUP(A253,'Mvmt stock'!G:H,2,0),0)</f>
        <v>-10</v>
      </c>
      <c r="H253" s="190">
        <f>IFERROR(VLOOKUP(A253,Stock!B:C,2,0),H252)</f>
        <v>57</v>
      </c>
      <c r="I253" s="188">
        <f t="shared" si="45"/>
        <v>55</v>
      </c>
      <c r="J253" s="191">
        <f t="shared" si="58"/>
        <v>60.761904761904759</v>
      </c>
      <c r="K253" s="187">
        <f>+HLOOKUP($B253,'parametres articles'!$C$5:$G$25,5,FALSE)</f>
        <v>15</v>
      </c>
      <c r="L253" s="187">
        <f>+HLOOKUP($B253,'parametres articles'!$C$5:$G$25,21,FALSE)</f>
        <v>13</v>
      </c>
      <c r="M253" s="192">
        <f>+HLOOKUP($B253,'parametres articles'!$C$5:$G$25,7,FALSE)</f>
        <v>0.8</v>
      </c>
      <c r="N253" s="192">
        <f>+HLOOKUP($B253,'parametres articles'!$C$5:$G$25,6,FALSE)</f>
        <v>0.4</v>
      </c>
      <c r="O253" s="187">
        <f>+HLOOKUP($B253,'parametres articles'!$C$5:$G$25,8,FALSE)</f>
        <v>0</v>
      </c>
      <c r="P253" s="193">
        <f>IF(B253="E",'parametres articles'!$C$8,HLOOKUP($B253,'parametres articles'!$C$5:$F$25,4,FALSE))</f>
        <v>2.27</v>
      </c>
      <c r="Q253" s="193">
        <f t="shared" si="46"/>
        <v>2.27</v>
      </c>
      <c r="R253" s="199">
        <f t="shared" si="54"/>
        <v>13.62</v>
      </c>
      <c r="S253" s="197">
        <f t="shared" si="47"/>
        <v>24.515999999999998</v>
      </c>
      <c r="T253" s="201">
        <f t="shared" si="48"/>
        <v>58.565999999999995</v>
      </c>
      <c r="U253" s="203">
        <f t="shared" si="55"/>
        <v>72.185999999999993</v>
      </c>
      <c r="V253" s="187">
        <f t="shared" si="49"/>
        <v>24.515999999999998</v>
      </c>
      <c r="W253" s="187">
        <f t="shared" si="50"/>
        <v>34.049999999999997</v>
      </c>
      <c r="X253" s="187">
        <f t="shared" si="51"/>
        <v>13.62</v>
      </c>
      <c r="Y253" s="193">
        <f t="shared" si="52"/>
        <v>31.325999999999997</v>
      </c>
      <c r="Z253" s="194"/>
      <c r="AA253" s="195">
        <f t="shared" ca="1" si="57"/>
        <v>253</v>
      </c>
      <c r="AB253" s="195">
        <f ca="1">+AA253+'parametres articles'!$C$9-1</f>
        <v>267</v>
      </c>
      <c r="AC253" s="195">
        <f ca="1">+AA253+'parametres articles'!$C$24-1</f>
        <v>272</v>
      </c>
      <c r="AD253" s="195">
        <f ca="1">+IF(AE253&lt;='parametres articles'!$H$8,0,AA253-'parametres articles'!$H$8+1)</f>
        <v>249</v>
      </c>
      <c r="AE253" s="195">
        <v>252</v>
      </c>
      <c r="AF253" s="187" t="str">
        <f t="shared" ca="1" si="56"/>
        <v>F268</v>
      </c>
      <c r="AG253" s="178"/>
      <c r="AH253" s="178"/>
      <c r="AI253" s="178"/>
      <c r="AJ253" s="178"/>
      <c r="AK253" s="178"/>
    </row>
    <row r="254" spans="1:37" x14ac:dyDescent="0.25">
      <c r="A254" s="186">
        <v>42257</v>
      </c>
      <c r="B254" s="188" t="s">
        <v>21</v>
      </c>
      <c r="C254" s="189">
        <f ca="1">+IF(AD254=0,P254,(SUM(INDIRECT(CONCATENATE("B",AD254,":B",AA254)))/'parametres articles'!$H$8))</f>
        <v>0</v>
      </c>
      <c r="D254" s="187">
        <f>IFERROR(VLOOKUP(A254,'Mvmt stock'!A:B,2,0),0)</f>
        <v>0</v>
      </c>
      <c r="E254" s="188">
        <f>IFERROR(VLOOKUP(A254,'Mvmt stock'!D:E,2,0),0)</f>
        <v>5</v>
      </c>
      <c r="F254" s="188">
        <f t="shared" si="53"/>
        <v>55</v>
      </c>
      <c r="G254" s="208">
        <f>IFERROR(VLOOKUP(A254,'Mvmt stock'!G:H,2,0),0)</f>
        <v>0</v>
      </c>
      <c r="H254" s="190">
        <f>IFERROR(VLOOKUP(A254,Stock!B:C,2,0),H253)</f>
        <v>57</v>
      </c>
      <c r="I254" s="188">
        <f t="shared" si="45"/>
        <v>60</v>
      </c>
      <c r="J254" s="191">
        <f t="shared" si="58"/>
        <v>60.238095238095241</v>
      </c>
      <c r="K254" s="187">
        <f>+HLOOKUP($B254,'parametres articles'!$C$5:$G$25,5,FALSE)</f>
        <v>15</v>
      </c>
      <c r="L254" s="187">
        <f>+HLOOKUP($B254,'parametres articles'!$C$5:$G$25,21,FALSE)</f>
        <v>13</v>
      </c>
      <c r="M254" s="192">
        <f>+HLOOKUP($B254,'parametres articles'!$C$5:$G$25,7,FALSE)</f>
        <v>0.8</v>
      </c>
      <c r="N254" s="192">
        <f>+HLOOKUP($B254,'parametres articles'!$C$5:$G$25,6,FALSE)</f>
        <v>0.4</v>
      </c>
      <c r="O254" s="187">
        <f>+HLOOKUP($B254,'parametres articles'!$C$5:$G$25,8,FALSE)</f>
        <v>0</v>
      </c>
      <c r="P254" s="193">
        <f>IF(B254="E",'parametres articles'!$C$8,HLOOKUP($B254,'parametres articles'!$C$5:$F$25,4,FALSE))</f>
        <v>2.27</v>
      </c>
      <c r="Q254" s="193">
        <f t="shared" si="46"/>
        <v>2.27</v>
      </c>
      <c r="R254" s="199">
        <f t="shared" si="54"/>
        <v>13.62</v>
      </c>
      <c r="S254" s="197">
        <f t="shared" si="47"/>
        <v>24.515999999999998</v>
      </c>
      <c r="T254" s="201">
        <f t="shared" si="48"/>
        <v>58.565999999999995</v>
      </c>
      <c r="U254" s="203">
        <f t="shared" si="55"/>
        <v>72.185999999999993</v>
      </c>
      <c r="V254" s="187">
        <f t="shared" si="49"/>
        <v>24.515999999999998</v>
      </c>
      <c r="W254" s="187">
        <f t="shared" si="50"/>
        <v>34.049999999999997</v>
      </c>
      <c r="X254" s="187">
        <f t="shared" si="51"/>
        <v>13.62</v>
      </c>
      <c r="Y254" s="193">
        <f t="shared" si="52"/>
        <v>31.325999999999997</v>
      </c>
      <c r="Z254" s="194"/>
      <c r="AA254" s="195">
        <f t="shared" ca="1" si="57"/>
        <v>254</v>
      </c>
      <c r="AB254" s="195">
        <f ca="1">+AA254+'parametres articles'!$C$9-1</f>
        <v>268</v>
      </c>
      <c r="AC254" s="195">
        <f ca="1">+AA254+'parametres articles'!$C$24-1</f>
        <v>273</v>
      </c>
      <c r="AD254" s="195">
        <f ca="1">+IF(AE254&lt;='parametres articles'!$H$8,0,AA254-'parametres articles'!$H$8+1)</f>
        <v>250</v>
      </c>
      <c r="AE254" s="195">
        <v>253</v>
      </c>
      <c r="AF254" s="187" t="str">
        <f t="shared" ca="1" si="56"/>
        <v>F269</v>
      </c>
      <c r="AG254" s="178"/>
      <c r="AH254" s="178"/>
      <c r="AI254" s="178"/>
      <c r="AJ254" s="178"/>
      <c r="AK254" s="178"/>
    </row>
    <row r="255" spans="1:37" x14ac:dyDescent="0.25">
      <c r="A255" s="186">
        <v>42258</v>
      </c>
      <c r="B255" s="188" t="s">
        <v>21</v>
      </c>
      <c r="C255" s="189">
        <f ca="1">+IF(AD255=0,P255,(SUM(INDIRECT(CONCATENATE("B",AD255,":B",AA255)))/'parametres articles'!$H$8))</f>
        <v>0</v>
      </c>
      <c r="D255" s="187">
        <f>IFERROR(VLOOKUP(A255,'Mvmt stock'!A:B,2,0),0)</f>
        <v>0</v>
      </c>
      <c r="E255" s="188">
        <f>IFERROR(VLOOKUP(A255,'Mvmt stock'!D:E,2,0),0)</f>
        <v>0</v>
      </c>
      <c r="F255" s="188">
        <f t="shared" si="53"/>
        <v>60</v>
      </c>
      <c r="G255" s="208">
        <f>IFERROR(VLOOKUP(A255,'Mvmt stock'!G:H,2,0),0)</f>
        <v>0</v>
      </c>
      <c r="H255" s="190">
        <f>IFERROR(VLOOKUP(A255,Stock!B:C,2,0),H254)</f>
        <v>62</v>
      </c>
      <c r="I255" s="188">
        <f t="shared" si="45"/>
        <v>60</v>
      </c>
      <c r="J255" s="191">
        <f t="shared" si="58"/>
        <v>59.952380952380949</v>
      </c>
      <c r="K255" s="187">
        <f>+HLOOKUP($B255,'parametres articles'!$C$5:$G$25,5,FALSE)</f>
        <v>15</v>
      </c>
      <c r="L255" s="187">
        <f>+HLOOKUP($B255,'parametres articles'!$C$5:$G$25,21,FALSE)</f>
        <v>13</v>
      </c>
      <c r="M255" s="192">
        <f>+HLOOKUP($B255,'parametres articles'!$C$5:$G$25,7,FALSE)</f>
        <v>0.8</v>
      </c>
      <c r="N255" s="192">
        <f>+HLOOKUP($B255,'parametres articles'!$C$5:$G$25,6,FALSE)</f>
        <v>0.4</v>
      </c>
      <c r="O255" s="187">
        <f>+HLOOKUP($B255,'parametres articles'!$C$5:$G$25,8,FALSE)</f>
        <v>0</v>
      </c>
      <c r="P255" s="193">
        <f>IF(B255="E",'parametres articles'!$C$8,HLOOKUP($B255,'parametres articles'!$C$5:$F$25,4,FALSE))</f>
        <v>2.27</v>
      </c>
      <c r="Q255" s="193">
        <f t="shared" si="46"/>
        <v>2.27</v>
      </c>
      <c r="R255" s="199">
        <f t="shared" si="54"/>
        <v>13.62</v>
      </c>
      <c r="S255" s="197">
        <f t="shared" si="47"/>
        <v>24.515999999999998</v>
      </c>
      <c r="T255" s="201">
        <f t="shared" si="48"/>
        <v>58.565999999999995</v>
      </c>
      <c r="U255" s="203">
        <f t="shared" si="55"/>
        <v>72.185999999999993</v>
      </c>
      <c r="V255" s="187">
        <f t="shared" si="49"/>
        <v>24.515999999999998</v>
      </c>
      <c r="W255" s="187">
        <f t="shared" si="50"/>
        <v>34.049999999999997</v>
      </c>
      <c r="X255" s="187">
        <f t="shared" si="51"/>
        <v>13.62</v>
      </c>
      <c r="Y255" s="193">
        <f t="shared" si="52"/>
        <v>31.325999999999997</v>
      </c>
      <c r="Z255" s="194"/>
      <c r="AA255" s="195">
        <f t="shared" ca="1" si="57"/>
        <v>255</v>
      </c>
      <c r="AB255" s="195">
        <f ca="1">+AA255+'parametres articles'!$C$9-1</f>
        <v>269</v>
      </c>
      <c r="AC255" s="195">
        <f ca="1">+AA255+'parametres articles'!$C$24-1</f>
        <v>274</v>
      </c>
      <c r="AD255" s="195">
        <f ca="1">+IF(AE255&lt;='parametres articles'!$H$8,0,AA255-'parametres articles'!$H$8+1)</f>
        <v>251</v>
      </c>
      <c r="AE255" s="195">
        <v>254</v>
      </c>
      <c r="AF255" s="187" t="str">
        <f t="shared" ca="1" si="56"/>
        <v>F270</v>
      </c>
      <c r="AG255" s="178"/>
      <c r="AH255" s="178"/>
      <c r="AI255" s="178"/>
      <c r="AJ255" s="178"/>
      <c r="AK255" s="178"/>
    </row>
    <row r="256" spans="1:37" x14ac:dyDescent="0.25">
      <c r="A256" s="186">
        <v>42259</v>
      </c>
      <c r="B256" s="188" t="s">
        <v>21</v>
      </c>
      <c r="C256" s="189">
        <f ca="1">+IF(AD256=0,P256,(SUM(INDIRECT(CONCATENATE("B",AD256,":B",AA256)))/'parametres articles'!$H$8))</f>
        <v>0</v>
      </c>
      <c r="D256" s="187">
        <f>IFERROR(VLOOKUP(A256,'Mvmt stock'!A:B,2,0),0)</f>
        <v>0</v>
      </c>
      <c r="E256" s="188">
        <f>IFERROR(VLOOKUP(A256,'Mvmt stock'!D:E,2,0),0)</f>
        <v>0</v>
      </c>
      <c r="F256" s="188">
        <f t="shared" si="53"/>
        <v>60</v>
      </c>
      <c r="G256" s="208">
        <f>IFERROR(VLOOKUP(A256,'Mvmt stock'!G:H,2,0),0)</f>
        <v>0</v>
      </c>
      <c r="H256" s="190">
        <f>IFERROR(VLOOKUP(A256,Stock!B:C,2,0),H255)</f>
        <v>62</v>
      </c>
      <c r="I256" s="188">
        <f t="shared" si="45"/>
        <v>60</v>
      </c>
      <c r="J256" s="191">
        <f t="shared" si="58"/>
        <v>59.666666666666664</v>
      </c>
      <c r="K256" s="187">
        <f>+HLOOKUP($B256,'parametres articles'!$C$5:$G$25,5,FALSE)</f>
        <v>15</v>
      </c>
      <c r="L256" s="187">
        <f>+HLOOKUP($B256,'parametres articles'!$C$5:$G$25,21,FALSE)</f>
        <v>13</v>
      </c>
      <c r="M256" s="192">
        <f>+HLOOKUP($B256,'parametres articles'!$C$5:$G$25,7,FALSE)</f>
        <v>0.8</v>
      </c>
      <c r="N256" s="192">
        <f>+HLOOKUP($B256,'parametres articles'!$C$5:$G$25,6,FALSE)</f>
        <v>0.4</v>
      </c>
      <c r="O256" s="187">
        <f>+HLOOKUP($B256,'parametres articles'!$C$5:$G$25,8,FALSE)</f>
        <v>0</v>
      </c>
      <c r="P256" s="193">
        <f>IF(B256="E",'parametres articles'!$C$8,HLOOKUP($B256,'parametres articles'!$C$5:$F$25,4,FALSE))</f>
        <v>2.27</v>
      </c>
      <c r="Q256" s="193">
        <f t="shared" si="46"/>
        <v>2.27</v>
      </c>
      <c r="R256" s="199">
        <f t="shared" si="54"/>
        <v>13.62</v>
      </c>
      <c r="S256" s="197">
        <f t="shared" si="47"/>
        <v>24.515999999999998</v>
      </c>
      <c r="T256" s="201">
        <f t="shared" si="48"/>
        <v>58.565999999999995</v>
      </c>
      <c r="U256" s="203">
        <f t="shared" si="55"/>
        <v>72.185999999999993</v>
      </c>
      <c r="V256" s="187">
        <f t="shared" si="49"/>
        <v>24.515999999999998</v>
      </c>
      <c r="W256" s="187">
        <f t="shared" si="50"/>
        <v>34.049999999999997</v>
      </c>
      <c r="X256" s="187">
        <f t="shared" si="51"/>
        <v>13.62</v>
      </c>
      <c r="Y256" s="193">
        <f t="shared" si="52"/>
        <v>31.325999999999997</v>
      </c>
      <c r="Z256" s="194"/>
      <c r="AA256" s="195">
        <f t="shared" ca="1" si="57"/>
        <v>256</v>
      </c>
      <c r="AB256" s="195">
        <f ca="1">+AA256+'parametres articles'!$C$9-1</f>
        <v>270</v>
      </c>
      <c r="AC256" s="195">
        <f ca="1">+AA256+'parametres articles'!$C$24-1</f>
        <v>275</v>
      </c>
      <c r="AD256" s="195">
        <f ca="1">+IF(AE256&lt;='parametres articles'!$H$8,0,AA256-'parametres articles'!$H$8+1)</f>
        <v>252</v>
      </c>
      <c r="AE256" s="195">
        <v>255</v>
      </c>
      <c r="AF256" s="187" t="str">
        <f t="shared" ca="1" si="56"/>
        <v>F271</v>
      </c>
      <c r="AG256" s="178"/>
      <c r="AH256" s="178"/>
      <c r="AI256" s="178"/>
      <c r="AJ256" s="178"/>
      <c r="AK256" s="178"/>
    </row>
    <row r="257" spans="1:37" x14ac:dyDescent="0.25">
      <c r="A257" s="186">
        <v>42260</v>
      </c>
      <c r="B257" s="188" t="s">
        <v>21</v>
      </c>
      <c r="C257" s="189">
        <f ca="1">+IF(AD257=0,P257,(SUM(INDIRECT(CONCATENATE("B",AD257,":B",AA257)))/'parametres articles'!$H$8))</f>
        <v>0</v>
      </c>
      <c r="D257" s="187">
        <f>IFERROR(VLOOKUP(A257,'Mvmt stock'!A:B,2,0),0)</f>
        <v>0</v>
      </c>
      <c r="E257" s="188">
        <f>IFERROR(VLOOKUP(A257,'Mvmt stock'!D:E,2,0),0)</f>
        <v>0</v>
      </c>
      <c r="F257" s="188">
        <f t="shared" si="53"/>
        <v>60</v>
      </c>
      <c r="G257" s="208">
        <f>IFERROR(VLOOKUP(A257,'Mvmt stock'!G:H,2,0),0)</f>
        <v>0</v>
      </c>
      <c r="H257" s="190">
        <f>IFERROR(VLOOKUP(A257,Stock!B:C,2,0),H256)</f>
        <v>62</v>
      </c>
      <c r="I257" s="188"/>
      <c r="J257" s="191">
        <f t="shared" si="58"/>
        <v>59.38095238095238</v>
      </c>
      <c r="K257" s="187">
        <f>+HLOOKUP($B257,'parametres articles'!$C$5:$G$25,5,FALSE)</f>
        <v>15</v>
      </c>
      <c r="L257" s="187">
        <f>+HLOOKUP($B257,'parametres articles'!$C$5:$G$25,21,FALSE)</f>
        <v>13</v>
      </c>
      <c r="M257" s="192">
        <f>+HLOOKUP($B257,'parametres articles'!$C$5:$G$25,7,FALSE)</f>
        <v>0.8</v>
      </c>
      <c r="N257" s="192">
        <f>+HLOOKUP($B257,'parametres articles'!$C$5:$G$25,6,FALSE)</f>
        <v>0.4</v>
      </c>
      <c r="O257" s="187">
        <f>+HLOOKUP($B257,'parametres articles'!$C$5:$G$25,8,FALSE)</f>
        <v>0</v>
      </c>
      <c r="P257" s="193">
        <f>IF(B257="E",'parametres articles'!$C$8,HLOOKUP($B257,'parametres articles'!$C$5:$F$25,4,FALSE))</f>
        <v>2.27</v>
      </c>
      <c r="Q257" s="193">
        <f t="shared" si="46"/>
        <v>2.27</v>
      </c>
      <c r="R257" s="199">
        <f t="shared" si="54"/>
        <v>13.62</v>
      </c>
      <c r="S257" s="197">
        <f t="shared" si="47"/>
        <v>24.515999999999998</v>
      </c>
      <c r="T257" s="201">
        <f t="shared" si="48"/>
        <v>58.565999999999995</v>
      </c>
      <c r="U257" s="203">
        <f t="shared" si="55"/>
        <v>72.185999999999993</v>
      </c>
      <c r="V257" s="187">
        <f t="shared" si="49"/>
        <v>24.515999999999998</v>
      </c>
      <c r="W257" s="187">
        <f t="shared" si="50"/>
        <v>34.049999999999997</v>
      </c>
      <c r="X257" s="187">
        <f t="shared" si="51"/>
        <v>13.62</v>
      </c>
      <c r="Y257" s="193">
        <f t="shared" si="52"/>
        <v>31.325999999999997</v>
      </c>
      <c r="Z257" s="194"/>
      <c r="AA257" s="195">
        <f t="shared" ca="1" si="57"/>
        <v>257</v>
      </c>
      <c r="AB257" s="195">
        <f ca="1">+AA257+'parametres articles'!$C$9-1</f>
        <v>271</v>
      </c>
      <c r="AC257" s="195">
        <f ca="1">+AA257+'parametres articles'!$C$24-1</f>
        <v>276</v>
      </c>
      <c r="AD257" s="195">
        <f ca="1">+IF(AE257&lt;='parametres articles'!$H$8,0,AA257-'parametres articles'!$H$8+1)</f>
        <v>253</v>
      </c>
      <c r="AE257" s="195">
        <v>256</v>
      </c>
      <c r="AF257" s="187" t="str">
        <f t="shared" ca="1" si="56"/>
        <v>F272</v>
      </c>
      <c r="AG257" s="178"/>
      <c r="AH257" s="178"/>
      <c r="AI257" s="178"/>
      <c r="AJ257" s="178"/>
      <c r="AK257" s="178"/>
    </row>
  </sheetData>
  <conditionalFormatting sqref="F2:F257">
    <cfRule type="cellIs" dxfId="3" priority="1" operator="greaterThanOrEqual">
      <formula>T$2</formula>
    </cfRule>
    <cfRule type="cellIs" dxfId="2" priority="2" operator="between">
      <formula>S$2</formula>
      <formula>T$2</formula>
    </cfRule>
    <cfRule type="cellIs" dxfId="1" priority="3" operator="between">
      <formula>R$2</formula>
      <formula>S$2</formula>
    </cfRule>
    <cfRule type="cellIs" dxfId="0" priority="4" operator="lessThanOrEqual">
      <formula>R$2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A263"/>
  <sheetViews>
    <sheetView tabSelected="1" topLeftCell="Y11" zoomScale="87" zoomScaleNormal="87" workbookViewId="0">
      <selection activeCell="AB35" sqref="AB35"/>
    </sheetView>
  </sheetViews>
  <sheetFormatPr baseColWidth="10" defaultRowHeight="15" x14ac:dyDescent="0.25"/>
  <cols>
    <col min="27" max="27" width="40.85546875" bestFit="1" customWidth="1"/>
  </cols>
  <sheetData>
    <row r="1" spans="2:27" ht="15.75" thickBot="1" x14ac:dyDescent="0.3"/>
    <row r="2" spans="2:27" ht="26.45" customHeight="1" thickBot="1" x14ac:dyDescent="0.5">
      <c r="B2" s="220" t="str">
        <f>+'parametres articles'!A2</f>
        <v>4RCP-SCH6040-20</v>
      </c>
      <c r="C2" s="221"/>
      <c r="D2" s="221"/>
      <c r="E2" s="222"/>
      <c r="F2" s="78" t="str">
        <f>+'parametres articles'!C2</f>
        <v>ECHELLE SOUDEE INOX A GLISSIERES 600X400 MM</v>
      </c>
      <c r="G2" s="78"/>
      <c r="H2" s="78"/>
      <c r="I2" s="78"/>
      <c r="J2" s="79"/>
      <c r="K2" s="80"/>
    </row>
    <row r="7" spans="2:27" x14ac:dyDescent="0.25">
      <c r="AA7" s="204"/>
    </row>
    <row r="8" spans="2:27" x14ac:dyDescent="0.25">
      <c r="AA8" s="204"/>
    </row>
    <row r="9" spans="2:27" x14ac:dyDescent="0.25">
      <c r="AA9" s="204"/>
    </row>
    <row r="10" spans="2:27" x14ac:dyDescent="0.25">
      <c r="AA10" s="204"/>
    </row>
    <row r="11" spans="2:27" x14ac:dyDescent="0.25">
      <c r="AA11" s="204"/>
    </row>
    <row r="12" spans="2:27" x14ac:dyDescent="0.25">
      <c r="AA12" s="204"/>
    </row>
    <row r="13" spans="2:27" x14ac:dyDescent="0.25">
      <c r="AA13" s="204"/>
    </row>
    <row r="14" spans="2:27" x14ac:dyDescent="0.25">
      <c r="AA14" s="204"/>
    </row>
    <row r="15" spans="2:27" x14ac:dyDescent="0.25">
      <c r="AA15" s="204"/>
    </row>
    <row r="16" spans="2:27" x14ac:dyDescent="0.25">
      <c r="AA16" s="204"/>
    </row>
    <row r="17" spans="27:27" x14ac:dyDescent="0.25">
      <c r="AA17" s="204"/>
    </row>
    <row r="18" spans="27:27" x14ac:dyDescent="0.25">
      <c r="AA18" s="204"/>
    </row>
    <row r="19" spans="27:27" x14ac:dyDescent="0.25">
      <c r="AA19" s="204"/>
    </row>
    <row r="20" spans="27:27" x14ac:dyDescent="0.25">
      <c r="AA20" s="204"/>
    </row>
    <row r="21" spans="27:27" x14ac:dyDescent="0.25">
      <c r="AA21" s="204"/>
    </row>
    <row r="22" spans="27:27" x14ac:dyDescent="0.25">
      <c r="AA22" s="204"/>
    </row>
    <row r="23" spans="27:27" x14ac:dyDescent="0.25">
      <c r="AA23" s="204"/>
    </row>
    <row r="24" spans="27:27" x14ac:dyDescent="0.25">
      <c r="AA24" s="204"/>
    </row>
    <row r="25" spans="27:27" x14ac:dyDescent="0.25">
      <c r="AA25" s="204"/>
    </row>
    <row r="26" spans="27:27" x14ac:dyDescent="0.25">
      <c r="AA26" s="204"/>
    </row>
    <row r="27" spans="27:27" x14ac:dyDescent="0.25">
      <c r="AA27" s="204"/>
    </row>
    <row r="28" spans="27:27" x14ac:dyDescent="0.25">
      <c r="AA28" s="204"/>
    </row>
    <row r="29" spans="27:27" x14ac:dyDescent="0.25">
      <c r="AA29" s="204"/>
    </row>
    <row r="30" spans="27:27" x14ac:dyDescent="0.25">
      <c r="AA30" s="204"/>
    </row>
    <row r="31" spans="27:27" x14ac:dyDescent="0.25">
      <c r="AA31" s="204"/>
    </row>
    <row r="32" spans="27:27" x14ac:dyDescent="0.25">
      <c r="AA32" s="204"/>
    </row>
    <row r="33" spans="27:27" x14ac:dyDescent="0.25">
      <c r="AA33" s="204"/>
    </row>
    <row r="34" spans="27:27" x14ac:dyDescent="0.25">
      <c r="AA34" s="204"/>
    </row>
    <row r="35" spans="27:27" x14ac:dyDescent="0.25">
      <c r="AA35" s="204"/>
    </row>
    <row r="36" spans="27:27" x14ac:dyDescent="0.25">
      <c r="AA36" s="204"/>
    </row>
    <row r="37" spans="27:27" x14ac:dyDescent="0.25">
      <c r="AA37" s="204"/>
    </row>
    <row r="38" spans="27:27" x14ac:dyDescent="0.25">
      <c r="AA38" s="204"/>
    </row>
    <row r="39" spans="27:27" x14ac:dyDescent="0.25">
      <c r="AA39" s="204"/>
    </row>
    <row r="40" spans="27:27" x14ac:dyDescent="0.25">
      <c r="AA40" s="204"/>
    </row>
    <row r="41" spans="27:27" x14ac:dyDescent="0.25">
      <c r="AA41" s="204"/>
    </row>
    <row r="42" spans="27:27" x14ac:dyDescent="0.25">
      <c r="AA42" s="204"/>
    </row>
    <row r="43" spans="27:27" x14ac:dyDescent="0.25">
      <c r="AA43" s="204"/>
    </row>
    <row r="44" spans="27:27" x14ac:dyDescent="0.25">
      <c r="AA44" s="204"/>
    </row>
    <row r="45" spans="27:27" x14ac:dyDescent="0.25">
      <c r="AA45" s="204"/>
    </row>
    <row r="46" spans="27:27" x14ac:dyDescent="0.25">
      <c r="AA46" s="204"/>
    </row>
    <row r="47" spans="27:27" x14ac:dyDescent="0.25">
      <c r="AA47" s="204"/>
    </row>
    <row r="48" spans="27:27" x14ac:dyDescent="0.25">
      <c r="AA48" s="204"/>
    </row>
    <row r="49" spans="27:27" x14ac:dyDescent="0.25">
      <c r="AA49" s="204"/>
    </row>
    <row r="50" spans="27:27" x14ac:dyDescent="0.25">
      <c r="AA50" s="204"/>
    </row>
    <row r="51" spans="27:27" x14ac:dyDescent="0.25">
      <c r="AA51" s="204"/>
    </row>
    <row r="52" spans="27:27" x14ac:dyDescent="0.25">
      <c r="AA52" s="204"/>
    </row>
    <row r="53" spans="27:27" x14ac:dyDescent="0.25">
      <c r="AA53" s="204"/>
    </row>
    <row r="54" spans="27:27" x14ac:dyDescent="0.25">
      <c r="AA54" s="204"/>
    </row>
    <row r="55" spans="27:27" x14ac:dyDescent="0.25">
      <c r="AA55" s="204"/>
    </row>
    <row r="56" spans="27:27" x14ac:dyDescent="0.25">
      <c r="AA56" s="204"/>
    </row>
    <row r="57" spans="27:27" x14ac:dyDescent="0.25">
      <c r="AA57" s="204"/>
    </row>
    <row r="58" spans="27:27" x14ac:dyDescent="0.25">
      <c r="AA58" s="204"/>
    </row>
    <row r="59" spans="27:27" x14ac:dyDescent="0.25">
      <c r="AA59" s="204"/>
    </row>
    <row r="60" spans="27:27" x14ac:dyDescent="0.25">
      <c r="AA60" s="204"/>
    </row>
    <row r="61" spans="27:27" x14ac:dyDescent="0.25">
      <c r="AA61" s="204"/>
    </row>
    <row r="62" spans="27:27" x14ac:dyDescent="0.25">
      <c r="AA62" s="204"/>
    </row>
    <row r="63" spans="27:27" x14ac:dyDescent="0.25">
      <c r="AA63" s="204"/>
    </row>
    <row r="64" spans="27:27" x14ac:dyDescent="0.25">
      <c r="AA64" s="204"/>
    </row>
    <row r="65" spans="27:27" x14ac:dyDescent="0.25">
      <c r="AA65" s="204"/>
    </row>
    <row r="66" spans="27:27" x14ac:dyDescent="0.25">
      <c r="AA66" s="204"/>
    </row>
    <row r="67" spans="27:27" x14ac:dyDescent="0.25">
      <c r="AA67" s="204"/>
    </row>
    <row r="68" spans="27:27" x14ac:dyDescent="0.25">
      <c r="AA68" s="204"/>
    </row>
    <row r="69" spans="27:27" x14ac:dyDescent="0.25">
      <c r="AA69" s="204"/>
    </row>
    <row r="70" spans="27:27" x14ac:dyDescent="0.25">
      <c r="AA70" s="204"/>
    </row>
    <row r="71" spans="27:27" x14ac:dyDescent="0.25">
      <c r="AA71" s="204"/>
    </row>
    <row r="72" spans="27:27" x14ac:dyDescent="0.25">
      <c r="AA72" s="204"/>
    </row>
    <row r="73" spans="27:27" x14ac:dyDescent="0.25">
      <c r="AA73" s="204"/>
    </row>
    <row r="74" spans="27:27" x14ac:dyDescent="0.25">
      <c r="AA74" s="204"/>
    </row>
    <row r="75" spans="27:27" x14ac:dyDescent="0.25">
      <c r="AA75" s="204"/>
    </row>
    <row r="76" spans="27:27" x14ac:dyDescent="0.25">
      <c r="AA76" s="204"/>
    </row>
    <row r="77" spans="27:27" x14ac:dyDescent="0.25">
      <c r="AA77" s="204"/>
    </row>
    <row r="78" spans="27:27" x14ac:dyDescent="0.25">
      <c r="AA78" s="204"/>
    </row>
    <row r="79" spans="27:27" x14ac:dyDescent="0.25">
      <c r="AA79" s="204"/>
    </row>
    <row r="80" spans="27:27" x14ac:dyDescent="0.25">
      <c r="AA80" s="204"/>
    </row>
    <row r="81" spans="27:27" x14ac:dyDescent="0.25">
      <c r="AA81" s="204"/>
    </row>
    <row r="82" spans="27:27" x14ac:dyDescent="0.25">
      <c r="AA82" s="204"/>
    </row>
    <row r="83" spans="27:27" x14ac:dyDescent="0.25">
      <c r="AA83" s="204"/>
    </row>
    <row r="84" spans="27:27" x14ac:dyDescent="0.25">
      <c r="AA84" s="204"/>
    </row>
    <row r="85" spans="27:27" x14ac:dyDescent="0.25">
      <c r="AA85" s="204"/>
    </row>
    <row r="86" spans="27:27" x14ac:dyDescent="0.25">
      <c r="AA86" s="204"/>
    </row>
    <row r="87" spans="27:27" x14ac:dyDescent="0.25">
      <c r="AA87" s="204"/>
    </row>
    <row r="88" spans="27:27" x14ac:dyDescent="0.25">
      <c r="AA88" s="204"/>
    </row>
    <row r="89" spans="27:27" x14ac:dyDescent="0.25">
      <c r="AA89" s="204"/>
    </row>
    <row r="90" spans="27:27" x14ac:dyDescent="0.25">
      <c r="AA90" s="204"/>
    </row>
    <row r="91" spans="27:27" x14ac:dyDescent="0.25">
      <c r="AA91" s="204"/>
    </row>
    <row r="92" spans="27:27" x14ac:dyDescent="0.25">
      <c r="AA92" s="204"/>
    </row>
    <row r="93" spans="27:27" x14ac:dyDescent="0.25">
      <c r="AA93" s="204"/>
    </row>
    <row r="94" spans="27:27" x14ac:dyDescent="0.25">
      <c r="AA94" s="204"/>
    </row>
    <row r="95" spans="27:27" x14ac:dyDescent="0.25">
      <c r="AA95" s="204"/>
    </row>
    <row r="96" spans="27:27" x14ac:dyDescent="0.25">
      <c r="AA96" s="204"/>
    </row>
    <row r="97" spans="27:27" x14ac:dyDescent="0.25">
      <c r="AA97" s="204"/>
    </row>
    <row r="98" spans="27:27" x14ac:dyDescent="0.25">
      <c r="AA98" s="204"/>
    </row>
    <row r="99" spans="27:27" x14ac:dyDescent="0.25">
      <c r="AA99" s="204"/>
    </row>
    <row r="100" spans="27:27" x14ac:dyDescent="0.25">
      <c r="AA100" s="204"/>
    </row>
    <row r="101" spans="27:27" x14ac:dyDescent="0.25">
      <c r="AA101" s="204"/>
    </row>
    <row r="102" spans="27:27" x14ac:dyDescent="0.25">
      <c r="AA102" s="204"/>
    </row>
    <row r="103" spans="27:27" x14ac:dyDescent="0.25">
      <c r="AA103" s="204"/>
    </row>
    <row r="104" spans="27:27" x14ac:dyDescent="0.25">
      <c r="AA104" s="204"/>
    </row>
    <row r="105" spans="27:27" x14ac:dyDescent="0.25">
      <c r="AA105" s="204"/>
    </row>
    <row r="106" spans="27:27" x14ac:dyDescent="0.25">
      <c r="AA106" s="204"/>
    </row>
    <row r="107" spans="27:27" x14ac:dyDescent="0.25">
      <c r="AA107" s="204"/>
    </row>
    <row r="108" spans="27:27" x14ac:dyDescent="0.25">
      <c r="AA108" s="204"/>
    </row>
    <row r="109" spans="27:27" x14ac:dyDescent="0.25">
      <c r="AA109" s="204"/>
    </row>
    <row r="110" spans="27:27" x14ac:dyDescent="0.25">
      <c r="AA110" s="204"/>
    </row>
    <row r="111" spans="27:27" x14ac:dyDescent="0.25">
      <c r="AA111" s="204"/>
    </row>
    <row r="112" spans="27:27" x14ac:dyDescent="0.25">
      <c r="AA112" s="204"/>
    </row>
    <row r="113" spans="27:27" x14ac:dyDescent="0.25">
      <c r="AA113" s="204"/>
    </row>
    <row r="114" spans="27:27" x14ac:dyDescent="0.25">
      <c r="AA114" s="204"/>
    </row>
    <row r="115" spans="27:27" x14ac:dyDescent="0.25">
      <c r="AA115" s="204"/>
    </row>
    <row r="116" spans="27:27" x14ac:dyDescent="0.25">
      <c r="AA116" s="204"/>
    </row>
    <row r="117" spans="27:27" x14ac:dyDescent="0.25">
      <c r="AA117" s="204"/>
    </row>
    <row r="118" spans="27:27" x14ac:dyDescent="0.25">
      <c r="AA118" s="204"/>
    </row>
    <row r="119" spans="27:27" x14ac:dyDescent="0.25">
      <c r="AA119" s="204"/>
    </row>
    <row r="120" spans="27:27" x14ac:dyDescent="0.25">
      <c r="AA120" s="204"/>
    </row>
    <row r="121" spans="27:27" x14ac:dyDescent="0.25">
      <c r="AA121" s="204"/>
    </row>
    <row r="122" spans="27:27" x14ac:dyDescent="0.25">
      <c r="AA122" s="204"/>
    </row>
    <row r="123" spans="27:27" x14ac:dyDescent="0.25">
      <c r="AA123" s="204"/>
    </row>
    <row r="124" spans="27:27" x14ac:dyDescent="0.25">
      <c r="AA124" s="204"/>
    </row>
    <row r="125" spans="27:27" x14ac:dyDescent="0.25">
      <c r="AA125" s="204"/>
    </row>
    <row r="126" spans="27:27" x14ac:dyDescent="0.25">
      <c r="AA126" s="204"/>
    </row>
    <row r="127" spans="27:27" x14ac:dyDescent="0.25">
      <c r="AA127" s="204"/>
    </row>
    <row r="128" spans="27:27" x14ac:dyDescent="0.25">
      <c r="AA128" s="204"/>
    </row>
    <row r="129" spans="27:27" x14ac:dyDescent="0.25">
      <c r="AA129" s="204"/>
    </row>
    <row r="130" spans="27:27" x14ac:dyDescent="0.25">
      <c r="AA130" s="204"/>
    </row>
    <row r="131" spans="27:27" x14ac:dyDescent="0.25">
      <c r="AA131" s="204"/>
    </row>
    <row r="132" spans="27:27" x14ac:dyDescent="0.25">
      <c r="AA132" s="204"/>
    </row>
    <row r="133" spans="27:27" x14ac:dyDescent="0.25">
      <c r="AA133" s="204"/>
    </row>
    <row r="134" spans="27:27" x14ac:dyDescent="0.25">
      <c r="AA134" s="204"/>
    </row>
    <row r="135" spans="27:27" x14ac:dyDescent="0.25">
      <c r="AA135" s="204"/>
    </row>
    <row r="136" spans="27:27" x14ac:dyDescent="0.25">
      <c r="AA136" s="204"/>
    </row>
    <row r="137" spans="27:27" x14ac:dyDescent="0.25">
      <c r="AA137" s="204"/>
    </row>
    <row r="138" spans="27:27" x14ac:dyDescent="0.25">
      <c r="AA138" s="204"/>
    </row>
    <row r="139" spans="27:27" x14ac:dyDescent="0.25">
      <c r="AA139" s="204"/>
    </row>
    <row r="140" spans="27:27" x14ac:dyDescent="0.25">
      <c r="AA140" s="204"/>
    </row>
    <row r="141" spans="27:27" x14ac:dyDescent="0.25">
      <c r="AA141" s="204"/>
    </row>
    <row r="142" spans="27:27" x14ac:dyDescent="0.25">
      <c r="AA142" s="204"/>
    </row>
    <row r="143" spans="27:27" x14ac:dyDescent="0.25">
      <c r="AA143" s="204"/>
    </row>
    <row r="144" spans="27:27" x14ac:dyDescent="0.25">
      <c r="AA144" s="204"/>
    </row>
    <row r="145" spans="27:27" x14ac:dyDescent="0.25">
      <c r="AA145" s="204"/>
    </row>
    <row r="146" spans="27:27" x14ac:dyDescent="0.25">
      <c r="AA146" s="204"/>
    </row>
    <row r="147" spans="27:27" x14ac:dyDescent="0.25">
      <c r="AA147" s="204"/>
    </row>
    <row r="148" spans="27:27" x14ac:dyDescent="0.25">
      <c r="AA148" s="204"/>
    </row>
    <row r="149" spans="27:27" x14ac:dyDescent="0.25">
      <c r="AA149" s="204"/>
    </row>
    <row r="150" spans="27:27" x14ac:dyDescent="0.25">
      <c r="AA150" s="204"/>
    </row>
    <row r="151" spans="27:27" x14ac:dyDescent="0.25">
      <c r="AA151" s="204"/>
    </row>
    <row r="152" spans="27:27" x14ac:dyDescent="0.25">
      <c r="AA152" s="204"/>
    </row>
    <row r="153" spans="27:27" x14ac:dyDescent="0.25">
      <c r="AA153" s="204"/>
    </row>
    <row r="154" spans="27:27" x14ac:dyDescent="0.25">
      <c r="AA154" s="204"/>
    </row>
    <row r="155" spans="27:27" x14ac:dyDescent="0.25">
      <c r="AA155" s="204"/>
    </row>
    <row r="156" spans="27:27" x14ac:dyDescent="0.25">
      <c r="AA156" s="204"/>
    </row>
    <row r="157" spans="27:27" x14ac:dyDescent="0.25">
      <c r="AA157" s="204"/>
    </row>
    <row r="158" spans="27:27" x14ac:dyDescent="0.25">
      <c r="AA158" s="204"/>
    </row>
    <row r="159" spans="27:27" x14ac:dyDescent="0.25">
      <c r="AA159" s="204"/>
    </row>
    <row r="160" spans="27:27" x14ac:dyDescent="0.25">
      <c r="AA160" s="204"/>
    </row>
    <row r="161" spans="27:27" x14ac:dyDescent="0.25">
      <c r="AA161" s="204"/>
    </row>
    <row r="162" spans="27:27" x14ac:dyDescent="0.25">
      <c r="AA162" s="204"/>
    </row>
    <row r="163" spans="27:27" x14ac:dyDescent="0.25">
      <c r="AA163" s="204"/>
    </row>
    <row r="164" spans="27:27" x14ac:dyDescent="0.25">
      <c r="AA164" s="204"/>
    </row>
    <row r="165" spans="27:27" x14ac:dyDescent="0.25">
      <c r="AA165" s="204"/>
    </row>
    <row r="166" spans="27:27" x14ac:dyDescent="0.25">
      <c r="AA166" s="204"/>
    </row>
    <row r="167" spans="27:27" x14ac:dyDescent="0.25">
      <c r="AA167" s="204"/>
    </row>
    <row r="168" spans="27:27" x14ac:dyDescent="0.25">
      <c r="AA168" s="204"/>
    </row>
    <row r="169" spans="27:27" x14ac:dyDescent="0.25">
      <c r="AA169" s="204"/>
    </row>
    <row r="170" spans="27:27" x14ac:dyDescent="0.25">
      <c r="AA170" s="204"/>
    </row>
    <row r="171" spans="27:27" x14ac:dyDescent="0.25">
      <c r="AA171" s="204"/>
    </row>
    <row r="172" spans="27:27" x14ac:dyDescent="0.25">
      <c r="AA172" s="204"/>
    </row>
    <row r="173" spans="27:27" x14ac:dyDescent="0.25">
      <c r="AA173" s="204"/>
    </row>
    <row r="174" spans="27:27" x14ac:dyDescent="0.25">
      <c r="AA174" s="204"/>
    </row>
    <row r="175" spans="27:27" x14ac:dyDescent="0.25">
      <c r="AA175" s="204"/>
    </row>
    <row r="176" spans="27:27" x14ac:dyDescent="0.25">
      <c r="AA176" s="204"/>
    </row>
    <row r="177" spans="27:27" x14ac:dyDescent="0.25">
      <c r="AA177" s="204"/>
    </row>
    <row r="178" spans="27:27" x14ac:dyDescent="0.25">
      <c r="AA178" s="204"/>
    </row>
    <row r="179" spans="27:27" x14ac:dyDescent="0.25">
      <c r="AA179" s="204"/>
    </row>
    <row r="180" spans="27:27" x14ac:dyDescent="0.25">
      <c r="AA180" s="204"/>
    </row>
    <row r="181" spans="27:27" x14ac:dyDescent="0.25">
      <c r="AA181" s="204"/>
    </row>
    <row r="182" spans="27:27" x14ac:dyDescent="0.25">
      <c r="AA182" s="204"/>
    </row>
    <row r="183" spans="27:27" x14ac:dyDescent="0.25">
      <c r="AA183" s="204"/>
    </row>
    <row r="184" spans="27:27" x14ac:dyDescent="0.25">
      <c r="AA184" s="204"/>
    </row>
    <row r="185" spans="27:27" x14ac:dyDescent="0.25">
      <c r="AA185" s="204"/>
    </row>
    <row r="186" spans="27:27" x14ac:dyDescent="0.25">
      <c r="AA186" s="204"/>
    </row>
    <row r="187" spans="27:27" x14ac:dyDescent="0.25">
      <c r="AA187" s="204"/>
    </row>
    <row r="188" spans="27:27" x14ac:dyDescent="0.25">
      <c r="AA188" s="204"/>
    </row>
    <row r="189" spans="27:27" x14ac:dyDescent="0.25">
      <c r="AA189" s="204"/>
    </row>
    <row r="190" spans="27:27" x14ac:dyDescent="0.25">
      <c r="AA190" s="204"/>
    </row>
    <row r="191" spans="27:27" x14ac:dyDescent="0.25">
      <c r="AA191" s="204"/>
    </row>
    <row r="192" spans="27:27" x14ac:dyDescent="0.25">
      <c r="AA192" s="204"/>
    </row>
    <row r="193" spans="27:27" x14ac:dyDescent="0.25">
      <c r="AA193" s="204"/>
    </row>
    <row r="194" spans="27:27" x14ac:dyDescent="0.25">
      <c r="AA194" s="204"/>
    </row>
    <row r="195" spans="27:27" x14ac:dyDescent="0.25">
      <c r="AA195" s="204"/>
    </row>
    <row r="196" spans="27:27" x14ac:dyDescent="0.25">
      <c r="AA196" s="204"/>
    </row>
    <row r="197" spans="27:27" x14ac:dyDescent="0.25">
      <c r="AA197" s="204"/>
    </row>
    <row r="198" spans="27:27" x14ac:dyDescent="0.25">
      <c r="AA198" s="204"/>
    </row>
    <row r="199" spans="27:27" x14ac:dyDescent="0.25">
      <c r="AA199" s="204"/>
    </row>
    <row r="200" spans="27:27" x14ac:dyDescent="0.25">
      <c r="AA200" s="204"/>
    </row>
    <row r="201" spans="27:27" x14ac:dyDescent="0.25">
      <c r="AA201" s="204"/>
    </row>
    <row r="202" spans="27:27" x14ac:dyDescent="0.25">
      <c r="AA202" s="204"/>
    </row>
    <row r="203" spans="27:27" x14ac:dyDescent="0.25">
      <c r="AA203" s="204"/>
    </row>
    <row r="204" spans="27:27" x14ac:dyDescent="0.25">
      <c r="AA204" s="204"/>
    </row>
    <row r="205" spans="27:27" x14ac:dyDescent="0.25">
      <c r="AA205" s="204"/>
    </row>
    <row r="206" spans="27:27" x14ac:dyDescent="0.25">
      <c r="AA206" s="204"/>
    </row>
    <row r="207" spans="27:27" x14ac:dyDescent="0.25">
      <c r="AA207" s="204"/>
    </row>
    <row r="208" spans="27:27" x14ac:dyDescent="0.25">
      <c r="AA208" s="204"/>
    </row>
    <row r="209" spans="27:27" x14ac:dyDescent="0.25">
      <c r="AA209" s="204"/>
    </row>
    <row r="210" spans="27:27" x14ac:dyDescent="0.25">
      <c r="AA210" s="204"/>
    </row>
    <row r="211" spans="27:27" x14ac:dyDescent="0.25">
      <c r="AA211" s="204"/>
    </row>
    <row r="212" spans="27:27" x14ac:dyDescent="0.25">
      <c r="AA212" s="204"/>
    </row>
    <row r="213" spans="27:27" x14ac:dyDescent="0.25">
      <c r="AA213" s="204"/>
    </row>
    <row r="214" spans="27:27" x14ac:dyDescent="0.25">
      <c r="AA214" s="204"/>
    </row>
    <row r="215" spans="27:27" x14ac:dyDescent="0.25">
      <c r="AA215" s="204"/>
    </row>
    <row r="216" spans="27:27" x14ac:dyDescent="0.25">
      <c r="AA216" s="204"/>
    </row>
    <row r="217" spans="27:27" x14ac:dyDescent="0.25">
      <c r="AA217" s="204"/>
    </row>
    <row r="218" spans="27:27" x14ac:dyDescent="0.25">
      <c r="AA218" s="204"/>
    </row>
    <row r="219" spans="27:27" x14ac:dyDescent="0.25">
      <c r="AA219" s="204"/>
    </row>
    <row r="220" spans="27:27" x14ac:dyDescent="0.25">
      <c r="AA220" s="204"/>
    </row>
    <row r="221" spans="27:27" x14ac:dyDescent="0.25">
      <c r="AA221" s="204"/>
    </row>
    <row r="222" spans="27:27" x14ac:dyDescent="0.25">
      <c r="AA222" s="204"/>
    </row>
    <row r="223" spans="27:27" x14ac:dyDescent="0.25">
      <c r="AA223" s="204"/>
    </row>
    <row r="224" spans="27:27" x14ac:dyDescent="0.25">
      <c r="AA224" s="204"/>
    </row>
    <row r="225" spans="27:27" x14ac:dyDescent="0.25">
      <c r="AA225" s="204"/>
    </row>
    <row r="226" spans="27:27" x14ac:dyDescent="0.25">
      <c r="AA226" s="204"/>
    </row>
    <row r="227" spans="27:27" x14ac:dyDescent="0.25">
      <c r="AA227" s="204"/>
    </row>
    <row r="228" spans="27:27" x14ac:dyDescent="0.25">
      <c r="AA228" s="204"/>
    </row>
    <row r="229" spans="27:27" x14ac:dyDescent="0.25">
      <c r="AA229" s="204"/>
    </row>
    <row r="230" spans="27:27" x14ac:dyDescent="0.25">
      <c r="AA230" s="204"/>
    </row>
    <row r="231" spans="27:27" x14ac:dyDescent="0.25">
      <c r="AA231" s="204"/>
    </row>
    <row r="232" spans="27:27" x14ac:dyDescent="0.25">
      <c r="AA232" s="204"/>
    </row>
    <row r="233" spans="27:27" x14ac:dyDescent="0.25">
      <c r="AA233" s="204"/>
    </row>
    <row r="234" spans="27:27" x14ac:dyDescent="0.25">
      <c r="AA234" s="204"/>
    </row>
    <row r="235" spans="27:27" x14ac:dyDescent="0.25">
      <c r="AA235" s="204"/>
    </row>
    <row r="236" spans="27:27" x14ac:dyDescent="0.25">
      <c r="AA236" s="204"/>
    </row>
    <row r="237" spans="27:27" x14ac:dyDescent="0.25">
      <c r="AA237" s="204"/>
    </row>
    <row r="238" spans="27:27" x14ac:dyDescent="0.25">
      <c r="AA238" s="204"/>
    </row>
    <row r="239" spans="27:27" x14ac:dyDescent="0.25">
      <c r="AA239" s="204"/>
    </row>
    <row r="240" spans="27:27" x14ac:dyDescent="0.25">
      <c r="AA240" s="204"/>
    </row>
    <row r="241" spans="27:27" x14ac:dyDescent="0.25">
      <c r="AA241" s="204"/>
    </row>
    <row r="242" spans="27:27" x14ac:dyDescent="0.25">
      <c r="AA242" s="204"/>
    </row>
    <row r="243" spans="27:27" x14ac:dyDescent="0.25">
      <c r="AA243" s="204"/>
    </row>
    <row r="244" spans="27:27" x14ac:dyDescent="0.25">
      <c r="AA244" s="204"/>
    </row>
    <row r="245" spans="27:27" x14ac:dyDescent="0.25">
      <c r="AA245" s="204"/>
    </row>
    <row r="246" spans="27:27" x14ac:dyDescent="0.25">
      <c r="AA246" s="204"/>
    </row>
    <row r="247" spans="27:27" x14ac:dyDescent="0.25">
      <c r="AA247" s="204"/>
    </row>
    <row r="248" spans="27:27" x14ac:dyDescent="0.25">
      <c r="AA248" s="204"/>
    </row>
    <row r="249" spans="27:27" x14ac:dyDescent="0.25">
      <c r="AA249" s="204"/>
    </row>
    <row r="250" spans="27:27" x14ac:dyDescent="0.25">
      <c r="AA250" s="204"/>
    </row>
    <row r="251" spans="27:27" x14ac:dyDescent="0.25">
      <c r="AA251" s="204"/>
    </row>
    <row r="252" spans="27:27" x14ac:dyDescent="0.25">
      <c r="AA252" s="204"/>
    </row>
    <row r="253" spans="27:27" x14ac:dyDescent="0.25">
      <c r="AA253" s="204"/>
    </row>
    <row r="254" spans="27:27" x14ac:dyDescent="0.25">
      <c r="AA254" s="204"/>
    </row>
    <row r="255" spans="27:27" x14ac:dyDescent="0.25">
      <c r="AA255" s="204"/>
    </row>
    <row r="256" spans="27:27" x14ac:dyDescent="0.25">
      <c r="AA256" s="204"/>
    </row>
    <row r="257" spans="27:27" x14ac:dyDescent="0.25">
      <c r="AA257" s="204"/>
    </row>
    <row r="258" spans="27:27" x14ac:dyDescent="0.25">
      <c r="AA258" s="204"/>
    </row>
    <row r="259" spans="27:27" x14ac:dyDescent="0.25">
      <c r="AA259" s="204"/>
    </row>
    <row r="260" spans="27:27" x14ac:dyDescent="0.25">
      <c r="AA260" s="204"/>
    </row>
    <row r="261" spans="27:27" x14ac:dyDescent="0.25">
      <c r="AA261" s="204"/>
    </row>
    <row r="262" spans="27:27" x14ac:dyDescent="0.25">
      <c r="AA262" s="204"/>
    </row>
    <row r="263" spans="27:27" x14ac:dyDescent="0.25">
      <c r="AA263" s="204"/>
    </row>
  </sheetData>
  <mergeCells count="1">
    <mergeCell ref="B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parametres articles</vt:lpstr>
      <vt:lpstr>Feuil1</vt:lpstr>
      <vt:lpstr>Achats</vt:lpstr>
      <vt:lpstr>Stock</vt:lpstr>
      <vt:lpstr>Inventaire</vt:lpstr>
      <vt:lpstr>simulation graphique</vt:lpstr>
      <vt:lpstr>base article</vt:lpstr>
      <vt:lpstr>simulation commandes</vt:lpstr>
      <vt:lpstr>profil planification</vt:lpstr>
      <vt:lpstr>Mvmt stock</vt:lpstr>
      <vt:lpstr>Simulation commande F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HARTMANN</dc:creator>
  <cp:lastModifiedBy>Faouzi ALAOUI</cp:lastModifiedBy>
  <cp:lastPrinted>2016-02-20T09:33:04Z</cp:lastPrinted>
  <dcterms:created xsi:type="dcterms:W3CDTF">2016-02-17T11:41:18Z</dcterms:created>
  <dcterms:modified xsi:type="dcterms:W3CDTF">2017-01-05T12:03:55Z</dcterms:modified>
</cp:coreProperties>
</file>