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4" Type="http://schemas.openxmlformats.org/officeDocument/2006/relationships/custom-properties" Target="docProps/custom.xml"/><Relationship Id="rId1" Type="http://schemas.openxmlformats.org/officeDocument/2006/relationships/officeDocument" Target="xl/workbook.xml"/><Relationship Id="rId2" Type="http://schemas.openxmlformats.org/package/2006/relationships/metadata/core-properties" Target="docProps/core.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610" codeName="{8C4F1C90-05EB-6A55-5F09-09C24B55AC0B}"/>
  <workbookPr showInkAnnotation="0" codeName="ThisWorkbook"/>
  <mc:AlternateContent xmlns:mc="http://schemas.openxmlformats.org/markup-compatibility/2006">
    <mc:Choice Requires="x15">
      <x15ac:absPath xmlns:x15ac="http://schemas.microsoft.com/office/spreadsheetml/2010/11/ac" url="/Users/corvisierchristophe/Dropbox/Pointage Index-Equiv/"/>
    </mc:Choice>
  </mc:AlternateContent>
  <bookViews>
    <workbookView xWindow="0" yWindow="460" windowWidth="38400" windowHeight="19720" tabRatio="500" activeTab="1"/>
  </bookViews>
  <sheets>
    <sheet name="Global" sheetId="18" r:id="rId1"/>
    <sheet name="Janvier" sheetId="1" r:id="rId2"/>
    <sheet name="Février" sheetId="2" r:id="rId3"/>
    <sheet name="Mars" sheetId="3" r:id="rId4"/>
    <sheet name="Avril" sheetId="4" r:id="rId5"/>
    <sheet name="Mai" sheetId="5" r:id="rId6"/>
    <sheet name="Juin" sheetId="6" r:id="rId7"/>
    <sheet name="Juillet" sheetId="7" r:id="rId8"/>
    <sheet name="Août" sheetId="8" r:id="rId9"/>
    <sheet name="Septembre" sheetId="9" r:id="rId10"/>
    <sheet name="Octobre" sheetId="10" r:id="rId11"/>
    <sheet name="Novembre" sheetId="11" r:id="rId12"/>
    <sheet name="Décembre" sheetId="12" r:id="rId13"/>
    <sheet name="Noms des employés" sheetId="13" r:id="rId14"/>
    <sheet name="JFériés" sheetId="20" r:id="rId15"/>
    <sheet name="Feuil1" sheetId="14" r:id="rId16"/>
  </sheets>
  <externalReferences>
    <externalReference r:id="rId17"/>
    <externalReference r:id="rId18"/>
    <externalReference r:id="rId19"/>
  </externalReferences>
  <definedNames>
    <definedName name="_xlnm._FilterDatabase" localSheetId="0" hidden="1">Global!$A$6:$OD$56</definedName>
    <definedName name="AnnéeCalendrier" localSheetId="14">[1]Global!$C$3</definedName>
    <definedName name="AnnéeCalendrier">Global!$A$4</definedName>
    <definedName name="CléCongé" localSheetId="0">Global!$F$3</definedName>
    <definedName name="CléCongé" localSheetId="14">[1]Janvier!$E$2</definedName>
    <definedName name="CléCongé">Janvier!$F$3</definedName>
    <definedName name="CléDemiCongés" localSheetId="14">[1]Global!$H$2</definedName>
    <definedName name="CléDemiCongés">Global!$I$3</definedName>
    <definedName name="CléMaladie" localSheetId="14">[1]Janvier!$S$2</definedName>
    <definedName name="CléMaladie">Global!$X$3</definedName>
    <definedName name="CléPersonnalisée1" localSheetId="14">[1]Janvier!$L$2</definedName>
    <definedName name="CléPersonnalisée1">Global!$P$3</definedName>
    <definedName name="CléPersonnalisée2" localSheetId="14">[1]Janvier!$P$2</definedName>
    <definedName name="CléPersonnalisée2">Global!$T$3</definedName>
    <definedName name="CléPersonnalisée3">Global!$AB$3</definedName>
    <definedName name="CléPersonnalisée4">Global!$AG$3</definedName>
    <definedName name="CléPersonnalisée5">Global!$AK$3</definedName>
    <definedName name="CléPersonnel" localSheetId="14">[1]Janvier!$H$2</definedName>
    <definedName name="CléPersonnel">Global!$M$3</definedName>
    <definedName name="CPL">[2]CPL!$A$3:$A$41</definedName>
    <definedName name="CS_AGENTS">[3]Agents!$A:$A</definedName>
    <definedName name="CS_CPL">[3]Agents!$C:$C</definedName>
    <definedName name="Entrez_l’année" localSheetId="0">Global!$A$3</definedName>
    <definedName name="ÉtiquetteCléCongé" localSheetId="0">Global!$G$3</definedName>
    <definedName name="ÉtiquetteCléDemiCongé">Global!$J$3</definedName>
    <definedName name="ÉtiquetteCléMaladie">Global!$Y$3</definedName>
    <definedName name="ÉtiquetteCléPersonnalisée">Global!$N$3</definedName>
    <definedName name="ÉtiquetteCléPersonnalisée1">Global!$Q$3</definedName>
    <definedName name="ÉtiquetteCléPersonnalisée2">Global!$U$3</definedName>
    <definedName name="EtiquetteCléPersonnalisée3">Global!$AC$3</definedName>
    <definedName name="EtiquetteCléPersonnalisée4">Global!$AH$3</definedName>
    <definedName name="EtiquetteCléPersonnalisée5">Global!$AL$3</definedName>
    <definedName name="HPN_deb">[3]HEURES!$B$3</definedName>
    <definedName name="HPN_fin">[3]HEURES!$C$3</definedName>
    <definedName name="HSN_deb">[3]HEURES!$B$1</definedName>
    <definedName name="HSN_fin">[3]HEURES!$C$1</definedName>
    <definedName name="HSNu_deb">[3]HEURES!$B$2</definedName>
    <definedName name="HSNu_fin">[3]HEURES!$C$2</definedName>
    <definedName name="_xlnm.Print_Titles" localSheetId="8">Août!$5:$7</definedName>
    <definedName name="_xlnm.Print_Titles" localSheetId="4">Avril!$5:$7</definedName>
    <definedName name="_xlnm.Print_Titles" localSheetId="12">Décembre!$5:$7</definedName>
    <definedName name="_xlnm.Print_Titles" localSheetId="2">Février!$5:$7</definedName>
    <definedName name="_xlnm.Print_Titles" localSheetId="1">Janvier!$5:$7</definedName>
    <definedName name="_xlnm.Print_Titles" localSheetId="7">Juillet!$5:$7</definedName>
    <definedName name="_xlnm.Print_Titles" localSheetId="6">Juin!$5:$7</definedName>
    <definedName name="_xlnm.Print_Titles" localSheetId="5">Mai!$5:$7</definedName>
    <definedName name="_xlnm.Print_Titles" localSheetId="3">Mars!$5:$7</definedName>
    <definedName name="_xlnm.Print_Titles" localSheetId="11">Novembre!$5:$7</definedName>
    <definedName name="_xlnm.Print_Titles" localSheetId="10">Octobre!$5:$7</definedName>
    <definedName name="_xlnm.Print_Titles" localSheetId="9">Septembre!$5:$7</definedName>
    <definedName name="Nom_clé">Global!$D$3</definedName>
    <definedName name="NomMois" localSheetId="8">Août!$B$5</definedName>
    <definedName name="NomMois" localSheetId="4">Avril!$B$5</definedName>
    <definedName name="NomMois" localSheetId="12">Décembre!$B$5</definedName>
    <definedName name="NomMois" localSheetId="2">Global!$AK$5</definedName>
    <definedName name="NomMois" localSheetId="1">Global!$F$5</definedName>
    <definedName name="NomMois" localSheetId="7">Juillet!$B$5</definedName>
    <definedName name="NomMois" localSheetId="6">Juin!$B$5</definedName>
    <definedName name="NomMois" localSheetId="5">Mai!$B$5</definedName>
    <definedName name="NomMois" localSheetId="3">Mars!$B$5</definedName>
    <definedName name="NomMois" localSheetId="11">Novembre!$B$5</definedName>
    <definedName name="NomMois" localSheetId="10">Octobre!$B$5</definedName>
    <definedName name="NomMois" localSheetId="9">Septembre!$B$5</definedName>
    <definedName name="Print_Titles_0" localSheetId="8">Août!$5:$7</definedName>
    <definedName name="Print_Titles_0" localSheetId="4">Avril!$5:$7</definedName>
    <definedName name="Print_Titles_0" localSheetId="12">Décembre!$5:$7</definedName>
    <definedName name="Print_Titles_0" localSheetId="2">Février!$5:$7</definedName>
    <definedName name="Print_Titles_0" localSheetId="1">Janvier!$5:$7</definedName>
    <definedName name="Print_Titles_0" localSheetId="7">Juillet!$5:$7</definedName>
    <definedName name="Print_Titles_0" localSheetId="6">Juin!$5:$7</definedName>
    <definedName name="Print_Titles_0" localSheetId="5">Mai!$5:$7</definedName>
    <definedName name="Print_Titles_0" localSheetId="3">Mars!$5:$7</definedName>
    <definedName name="Print_Titles_0" localSheetId="11">Novembre!$5:$7</definedName>
    <definedName name="Print_Titles_0" localSheetId="10">Octobre!$5:$7</definedName>
    <definedName name="Print_Titles_0" localSheetId="9">Septembre!$5:$7</definedName>
    <definedName name="RESPONSABLE">#REF!</definedName>
    <definedName name="RIPPEURS">[2]RIPPEURS!$A$4:$A$51</definedName>
    <definedName name="Titre_Absence_Employé" localSheetId="14">[1]Janvier!$C$1</definedName>
    <definedName name="Titre_Absence_Employé">Janvier!$B$2</definedName>
    <definedName name="Titre1" localSheetId="14">[1]!Janvier[[#Headers],[Nom de l’employé]]</definedName>
    <definedName name="Titre1">Janvier[[#Headers],[Noms]]</definedName>
    <definedName name="Titre10" localSheetId="14">[1]!Octobre[[#Headers],[Nom de l’employé]]</definedName>
    <definedName name="Titre10">Octobre[[#Headers],[Noms]]</definedName>
    <definedName name="Titre11" localSheetId="14">[1]!Novembre[[#Headers],[Nom de l’employé]]</definedName>
    <definedName name="Titre11">Novembre[[#Headers],[Noms]]</definedName>
    <definedName name="Titre12" localSheetId="14">[1]!Décembre[[#Headers],[Nom de l’employé]]</definedName>
    <definedName name="Titre12">Décembre[[#Headers],[Noms]]</definedName>
    <definedName name="Titre2" localSheetId="14">[1]!Février[[#Headers],[Nom de l’employé]]</definedName>
    <definedName name="Titre2">Février[[#Headers],[Noms]]</definedName>
    <definedName name="Titre3" localSheetId="14">[1]!Mars[[#Headers],[Nom de l’employé]]</definedName>
    <definedName name="Titre3">Mars[[#Headers],[Noms]]</definedName>
    <definedName name="Titre4" localSheetId="14">[1]!Avril[[#Headers],[Nom de l’employé]]</definedName>
    <definedName name="Titre4">Avril[[#Headers],[Noms]]</definedName>
    <definedName name="Titre5" localSheetId="14">[1]!Mai[[#Headers],[Nom de l’employé]]</definedName>
    <definedName name="Titre5">Mai[[#Headers],[Noms]]</definedName>
    <definedName name="Titre6" localSheetId="14">[1]!Juin[[#Headers],[Nom de l’employé]]</definedName>
    <definedName name="Titre6">Juin[[#Headers],[Noms]]</definedName>
    <definedName name="Titre7" localSheetId="14">[1]!Juillet[[#Headers],[Nom de l’employé]]</definedName>
    <definedName name="Titre7">Juillet[[#Headers],[Noms]]</definedName>
    <definedName name="Titre8" localSheetId="14">[1]!Août[[#Headers],[Nom de l’employé]]</definedName>
    <definedName name="Titre8">Août[[#Headers],[Noms]]</definedName>
    <definedName name="Titre9" localSheetId="14">[1]!Septembre[[#Headers],[Nom de l’employé]]</definedName>
    <definedName name="Titre9">Septembre[[#Headers],[Noms]]</definedName>
    <definedName name="TitreColonne13" localSheetId="14">[1]!NomEmployé[[#Headers],[Nom de l’employé]]</definedName>
    <definedName name="TitreColonne13">NomEmployé[[#Headers],[Nom de l’employé]]</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AU8" i="1" l="1"/>
  <c r="AU9" i="1"/>
  <c r="AU10" i="1"/>
  <c r="AU11" i="1"/>
  <c r="AU12" i="1"/>
  <c r="AU13" i="1"/>
  <c r="AU14" i="1"/>
  <c r="AU15" i="1"/>
  <c r="AU16" i="1"/>
  <c r="AU17" i="1"/>
  <c r="AU18" i="1"/>
  <c r="AU19" i="1"/>
  <c r="AU20" i="1"/>
  <c r="AU21" i="1"/>
  <c r="AU22" i="1"/>
  <c r="AU23" i="1"/>
  <c r="AU24" i="1"/>
  <c r="AU25" i="1"/>
  <c r="AU26" i="1"/>
  <c r="AU27" i="1"/>
  <c r="AU28" i="1"/>
  <c r="AU29" i="1"/>
  <c r="AU30" i="1"/>
  <c r="AU31" i="1"/>
  <c r="AU32" i="1"/>
  <c r="AU33" i="1"/>
  <c r="AU34" i="1"/>
  <c r="AU35" i="1"/>
  <c r="AU36" i="1"/>
  <c r="AU37" i="1"/>
  <c r="AU38" i="1"/>
  <c r="AU39" i="1"/>
  <c r="AU40" i="1"/>
  <c r="AU41" i="1"/>
  <c r="AU42" i="1"/>
  <c r="AU43" i="1"/>
  <c r="AU44" i="1"/>
  <c r="AU45" i="1"/>
  <c r="AU46" i="1"/>
  <c r="AU47" i="1"/>
  <c r="AU48" i="1"/>
  <c r="AU49" i="1"/>
  <c r="AU50" i="1"/>
  <c r="AU51" i="1"/>
  <c r="AU52" i="1"/>
  <c r="AU53" i="1"/>
  <c r="AU54" i="1"/>
  <c r="AU55" i="1"/>
  <c r="AU56" i="1"/>
  <c r="AV8" i="1"/>
  <c r="AV9" i="1"/>
  <c r="AV10" i="1"/>
  <c r="AV11" i="1"/>
  <c r="AV12" i="1"/>
  <c r="AV13" i="1"/>
  <c r="AV14" i="1"/>
  <c r="AV15" i="1"/>
  <c r="AV16" i="1"/>
  <c r="AV17" i="1"/>
  <c r="AV18" i="1"/>
  <c r="AV19" i="1"/>
  <c r="AV20" i="1"/>
  <c r="AV21" i="1"/>
  <c r="AV22" i="1"/>
  <c r="AV23" i="1"/>
  <c r="AV24" i="1"/>
  <c r="AV25" i="1"/>
  <c r="AV26" i="1"/>
  <c r="AV27" i="1"/>
  <c r="AV28" i="1"/>
  <c r="AV29" i="1"/>
  <c r="AV30" i="1"/>
  <c r="AV31" i="1"/>
  <c r="AV32" i="1"/>
  <c r="AV33" i="1"/>
  <c r="AV34" i="1"/>
  <c r="AV35" i="1"/>
  <c r="AV36" i="1"/>
  <c r="AV37" i="1"/>
  <c r="AV38" i="1"/>
  <c r="AV39" i="1"/>
  <c r="AV40" i="1"/>
  <c r="AV41" i="1"/>
  <c r="AV42" i="1"/>
  <c r="AV43" i="1"/>
  <c r="AV44" i="1"/>
  <c r="AV45" i="1"/>
  <c r="AV46" i="1"/>
  <c r="AV47" i="1"/>
  <c r="AV48" i="1"/>
  <c r="AV49" i="1"/>
  <c r="AV50" i="1"/>
  <c r="AV51" i="1"/>
  <c r="AV52" i="1"/>
  <c r="AV53" i="1"/>
  <c r="AV54" i="1"/>
  <c r="AV55" i="1"/>
  <c r="AV56" i="1"/>
  <c r="AK8" i="1"/>
  <c r="AL8" i="1"/>
  <c r="AM8" i="1"/>
  <c r="AN8" i="1"/>
  <c r="AR8" i="1"/>
  <c r="AK9" i="1"/>
  <c r="AL9" i="1"/>
  <c r="AM9" i="1"/>
  <c r="AN9" i="1"/>
  <c r="AR9" i="1"/>
  <c r="AK10" i="1"/>
  <c r="AL10" i="1"/>
  <c r="AM10" i="1"/>
  <c r="AN10" i="1"/>
  <c r="AR10" i="1"/>
  <c r="AK11" i="1"/>
  <c r="AL11" i="1"/>
  <c r="AM11" i="1"/>
  <c r="AN11" i="1"/>
  <c r="AR11" i="1"/>
  <c r="AK12" i="1"/>
  <c r="AL12" i="1"/>
  <c r="AM12" i="1"/>
  <c r="AN12" i="1"/>
  <c r="AR12" i="1"/>
  <c r="AK13" i="1"/>
  <c r="AL13" i="1"/>
  <c r="AM13" i="1"/>
  <c r="AN13" i="1"/>
  <c r="AR13" i="1"/>
  <c r="AK14" i="1"/>
  <c r="AL14" i="1"/>
  <c r="AM14" i="1"/>
  <c r="AN14" i="1"/>
  <c r="AR14" i="1"/>
  <c r="AK15" i="1"/>
  <c r="AL15" i="1"/>
  <c r="AM15" i="1"/>
  <c r="AN15" i="1"/>
  <c r="AR15" i="1"/>
  <c r="AK16" i="1"/>
  <c r="AL16" i="1"/>
  <c r="AM16" i="1"/>
  <c r="AN16" i="1"/>
  <c r="AR16" i="1"/>
  <c r="AK17" i="1"/>
  <c r="AL17" i="1"/>
  <c r="AM17" i="1"/>
  <c r="AN17" i="1"/>
  <c r="AR17" i="1"/>
  <c r="AK18" i="1"/>
  <c r="AL18" i="1"/>
  <c r="AM18" i="1"/>
  <c r="AN18" i="1"/>
  <c r="AR18" i="1"/>
  <c r="AK19" i="1"/>
  <c r="AL19" i="1"/>
  <c r="AM19" i="1"/>
  <c r="AN19" i="1"/>
  <c r="AR19" i="1"/>
  <c r="AK20" i="1"/>
  <c r="AL20" i="1"/>
  <c r="AM20" i="1"/>
  <c r="AN20" i="1"/>
  <c r="AR20" i="1"/>
  <c r="AK21" i="1"/>
  <c r="AL21" i="1"/>
  <c r="AM21" i="1"/>
  <c r="AN21" i="1"/>
  <c r="AR21" i="1"/>
  <c r="AK22" i="1"/>
  <c r="AL22" i="1"/>
  <c r="AM22" i="1"/>
  <c r="AN22" i="1"/>
  <c r="AR22" i="1"/>
  <c r="AK23" i="1"/>
  <c r="AL23" i="1"/>
  <c r="AM23" i="1"/>
  <c r="AN23" i="1"/>
  <c r="AR23" i="1"/>
  <c r="AK24" i="1"/>
  <c r="AL24" i="1"/>
  <c r="AM24" i="1"/>
  <c r="AN24" i="1"/>
  <c r="AR24" i="1"/>
  <c r="AK25" i="1"/>
  <c r="AL25" i="1"/>
  <c r="AM25" i="1"/>
  <c r="AN25" i="1"/>
  <c r="AR25" i="1"/>
  <c r="AK26" i="1"/>
  <c r="AL26" i="1"/>
  <c r="AM26" i="1"/>
  <c r="AN26" i="1"/>
  <c r="AR26" i="1"/>
  <c r="AK27" i="1"/>
  <c r="AL27" i="1"/>
  <c r="AM27" i="1"/>
  <c r="AN27" i="1"/>
  <c r="AR27" i="1"/>
  <c r="AK28" i="1"/>
  <c r="AL28" i="1"/>
  <c r="AM28" i="1"/>
  <c r="AN28" i="1"/>
  <c r="AR28" i="1"/>
  <c r="AK29" i="1"/>
  <c r="AL29" i="1"/>
  <c r="AM29" i="1"/>
  <c r="AN29" i="1"/>
  <c r="AR29" i="1"/>
  <c r="AK30" i="1"/>
  <c r="AL30" i="1"/>
  <c r="AM30" i="1"/>
  <c r="AN30" i="1"/>
  <c r="AR30" i="1"/>
  <c r="AK31" i="1"/>
  <c r="AL31" i="1"/>
  <c r="AM31" i="1"/>
  <c r="AN31" i="1"/>
  <c r="AR31" i="1"/>
  <c r="AK32" i="1"/>
  <c r="AL32" i="1"/>
  <c r="AM32" i="1"/>
  <c r="AN32" i="1"/>
  <c r="AR32" i="1"/>
  <c r="AK33" i="1"/>
  <c r="AL33" i="1"/>
  <c r="AM33" i="1"/>
  <c r="AN33" i="1"/>
  <c r="AR33" i="1"/>
  <c r="AK34" i="1"/>
  <c r="AL34" i="1"/>
  <c r="AM34" i="1"/>
  <c r="AN34" i="1"/>
  <c r="AR34" i="1"/>
  <c r="AK35" i="1"/>
  <c r="AL35" i="1"/>
  <c r="AM35" i="1"/>
  <c r="AN35" i="1"/>
  <c r="AR35" i="1"/>
  <c r="AK36" i="1"/>
  <c r="AL36" i="1"/>
  <c r="AM36" i="1"/>
  <c r="AN36" i="1"/>
  <c r="AR36" i="1"/>
  <c r="AK37" i="1"/>
  <c r="AL37" i="1"/>
  <c r="AM37" i="1"/>
  <c r="AN37" i="1"/>
  <c r="AR37" i="1"/>
  <c r="AK38" i="1"/>
  <c r="AL38" i="1"/>
  <c r="AM38" i="1"/>
  <c r="AN38" i="1"/>
  <c r="AR38" i="1"/>
  <c r="AK39" i="1"/>
  <c r="AL39" i="1"/>
  <c r="AM39" i="1"/>
  <c r="AN39" i="1"/>
  <c r="AR39" i="1"/>
  <c r="AK40" i="1"/>
  <c r="AL40" i="1"/>
  <c r="AM40" i="1"/>
  <c r="AN40" i="1"/>
  <c r="AR40" i="1"/>
  <c r="AK41" i="1"/>
  <c r="AL41" i="1"/>
  <c r="AM41" i="1"/>
  <c r="AN41" i="1"/>
  <c r="AR41" i="1"/>
  <c r="AK42" i="1"/>
  <c r="AL42" i="1"/>
  <c r="AM42" i="1"/>
  <c r="AN42" i="1"/>
  <c r="AR42" i="1"/>
  <c r="AK43" i="1"/>
  <c r="AL43" i="1"/>
  <c r="AM43" i="1"/>
  <c r="AN43" i="1"/>
  <c r="AR43" i="1"/>
  <c r="AK44" i="1"/>
  <c r="AL44" i="1"/>
  <c r="AM44" i="1"/>
  <c r="AN44" i="1"/>
  <c r="AR44" i="1"/>
  <c r="AK45" i="1"/>
  <c r="AL45" i="1"/>
  <c r="AM45" i="1"/>
  <c r="AN45" i="1"/>
  <c r="AR45" i="1"/>
  <c r="AK46" i="1"/>
  <c r="AL46" i="1"/>
  <c r="AM46" i="1"/>
  <c r="AN46" i="1"/>
  <c r="AR46" i="1"/>
  <c r="AK47" i="1"/>
  <c r="AL47" i="1"/>
  <c r="AM47" i="1"/>
  <c r="AN47" i="1"/>
  <c r="AR47" i="1"/>
  <c r="AK48" i="1"/>
  <c r="AL48" i="1"/>
  <c r="AM48" i="1"/>
  <c r="AN48" i="1"/>
  <c r="AR48" i="1"/>
  <c r="AK49" i="1"/>
  <c r="AL49" i="1"/>
  <c r="AM49" i="1"/>
  <c r="AN49" i="1"/>
  <c r="AR49" i="1"/>
  <c r="AK50" i="1"/>
  <c r="AL50" i="1"/>
  <c r="AM50" i="1"/>
  <c r="AN50" i="1"/>
  <c r="AR50" i="1"/>
  <c r="AK51" i="1"/>
  <c r="AL51" i="1"/>
  <c r="AM51" i="1"/>
  <c r="AN51" i="1"/>
  <c r="AR51" i="1"/>
  <c r="AK52" i="1"/>
  <c r="AL52" i="1"/>
  <c r="AM52" i="1"/>
  <c r="AN52" i="1"/>
  <c r="AR52" i="1"/>
  <c r="AK53" i="1"/>
  <c r="AL53" i="1"/>
  <c r="AM53" i="1"/>
  <c r="AN53" i="1"/>
  <c r="AR53" i="1"/>
  <c r="AK54" i="1"/>
  <c r="AL54" i="1"/>
  <c r="AM54" i="1"/>
  <c r="AN54" i="1"/>
  <c r="AR54" i="1"/>
  <c r="AK55" i="1"/>
  <c r="AL55" i="1"/>
  <c r="AM55" i="1"/>
  <c r="AN55" i="1"/>
  <c r="AR55" i="1"/>
  <c r="AK56" i="1"/>
  <c r="AL56" i="1"/>
  <c r="AM56" i="1"/>
  <c r="AN56" i="1"/>
  <c r="AR56" i="1"/>
  <c r="AS8" i="1"/>
  <c r="AS9" i="1"/>
  <c r="AS10" i="1"/>
  <c r="AS11" i="1"/>
  <c r="AS12" i="1"/>
  <c r="AS13" i="1"/>
  <c r="AS14" i="1"/>
  <c r="AS15" i="1"/>
  <c r="AS16" i="1"/>
  <c r="AS17" i="1"/>
  <c r="AS18" i="1"/>
  <c r="AS19" i="1"/>
  <c r="AS20" i="1"/>
  <c r="AS21" i="1"/>
  <c r="AS22" i="1"/>
  <c r="AS23" i="1"/>
  <c r="AS24" i="1"/>
  <c r="AS25" i="1"/>
  <c r="AS26" i="1"/>
  <c r="AS27" i="1"/>
  <c r="AS28" i="1"/>
  <c r="AS29" i="1"/>
  <c r="AS30" i="1"/>
  <c r="AS31" i="1"/>
  <c r="AS32" i="1"/>
  <c r="AS33" i="1"/>
  <c r="AS34" i="1"/>
  <c r="AS35" i="1"/>
  <c r="AS36" i="1"/>
  <c r="AS37" i="1"/>
  <c r="AS38" i="1"/>
  <c r="AS39" i="1"/>
  <c r="AS40" i="1"/>
  <c r="AS41" i="1"/>
  <c r="AS42" i="1"/>
  <c r="AS43" i="1"/>
  <c r="AS44" i="1"/>
  <c r="AS45" i="1"/>
  <c r="AS46" i="1"/>
  <c r="AS47" i="1"/>
  <c r="AS48" i="1"/>
  <c r="AS49" i="1"/>
  <c r="AS50" i="1"/>
  <c r="AS51" i="1"/>
  <c r="AS52" i="1"/>
  <c r="AS53" i="1"/>
  <c r="AS54" i="1"/>
  <c r="AS55" i="1"/>
  <c r="AS56" i="1"/>
  <c r="AT8" i="1"/>
  <c r="AT9" i="1"/>
  <c r="AT10" i="1"/>
  <c r="AT11" i="1"/>
  <c r="AT12" i="1"/>
  <c r="AT13" i="1"/>
  <c r="AT14" i="1"/>
  <c r="AT15" i="1"/>
  <c r="AT16" i="1"/>
  <c r="AT17" i="1"/>
  <c r="AT18" i="1"/>
  <c r="AT19" i="1"/>
  <c r="AT20" i="1"/>
  <c r="AT21" i="1"/>
  <c r="AT22" i="1"/>
  <c r="AT23" i="1"/>
  <c r="AT24" i="1"/>
  <c r="AT25" i="1"/>
  <c r="AT26" i="1"/>
  <c r="AT27" i="1"/>
  <c r="AT28" i="1"/>
  <c r="AT29" i="1"/>
  <c r="AT30" i="1"/>
  <c r="AT31" i="1"/>
  <c r="AT32" i="1"/>
  <c r="AT33" i="1"/>
  <c r="AT34" i="1"/>
  <c r="AT35" i="1"/>
  <c r="AT36" i="1"/>
  <c r="AT37" i="1"/>
  <c r="AT38" i="1"/>
  <c r="AT39" i="1"/>
  <c r="AT40" i="1"/>
  <c r="AT41" i="1"/>
  <c r="AT42" i="1"/>
  <c r="AT43" i="1"/>
  <c r="AT44" i="1"/>
  <c r="AT45" i="1"/>
  <c r="AT46" i="1"/>
  <c r="AT47" i="1"/>
  <c r="AT48" i="1"/>
  <c r="AT49" i="1"/>
  <c r="AT50" i="1"/>
  <c r="AT51" i="1"/>
  <c r="AT52" i="1"/>
  <c r="AT53" i="1"/>
  <c r="AT54" i="1"/>
  <c r="AT55" i="1"/>
  <c r="AT56" i="1"/>
  <c r="AQ8" i="1"/>
  <c r="AQ9" i="1"/>
  <c r="AQ10" i="1"/>
  <c r="AQ11" i="1"/>
  <c r="AQ12" i="1"/>
  <c r="AQ13" i="1"/>
  <c r="AQ14" i="1"/>
  <c r="AQ15" i="1"/>
  <c r="AQ16" i="1"/>
  <c r="AQ17" i="1"/>
  <c r="AQ18" i="1"/>
  <c r="AQ19" i="1"/>
  <c r="AQ20" i="1"/>
  <c r="AQ21" i="1"/>
  <c r="AQ22" i="1"/>
  <c r="AQ23" i="1"/>
  <c r="AQ24" i="1"/>
  <c r="AQ25" i="1"/>
  <c r="AQ26" i="1"/>
  <c r="AQ27" i="1"/>
  <c r="AQ28" i="1"/>
  <c r="AQ29" i="1"/>
  <c r="AQ30" i="1"/>
  <c r="AQ31" i="1"/>
  <c r="AQ32" i="1"/>
  <c r="AQ33" i="1"/>
  <c r="AQ34" i="1"/>
  <c r="AQ35" i="1"/>
  <c r="AQ36" i="1"/>
  <c r="AQ37" i="1"/>
  <c r="AQ38" i="1"/>
  <c r="AQ39" i="1"/>
  <c r="AQ40" i="1"/>
  <c r="AQ41" i="1"/>
  <c r="AQ42" i="1"/>
  <c r="AQ43" i="1"/>
  <c r="AQ44" i="1"/>
  <c r="AQ45" i="1"/>
  <c r="AQ46" i="1"/>
  <c r="AQ47" i="1"/>
  <c r="AQ48" i="1"/>
  <c r="AQ49" i="1"/>
  <c r="AQ50" i="1"/>
  <c r="AQ51" i="1"/>
  <c r="AQ52" i="1"/>
  <c r="AQ53" i="1"/>
  <c r="AQ54" i="1"/>
  <c r="AQ55" i="1"/>
  <c r="AQ56" i="1"/>
  <c r="F8" i="1"/>
  <c r="G8" i="1"/>
  <c r="H8" i="1"/>
  <c r="I8" i="1"/>
  <c r="J8" i="1"/>
  <c r="K8" i="1"/>
  <c r="L8" i="1"/>
  <c r="M8" i="1"/>
  <c r="N8" i="1"/>
  <c r="O8" i="1"/>
  <c r="P8" i="1"/>
  <c r="Q8" i="1"/>
  <c r="R8" i="1"/>
  <c r="S8" i="1"/>
  <c r="T8" i="1"/>
  <c r="U8" i="1"/>
  <c r="V8" i="1"/>
  <c r="W8" i="1"/>
  <c r="X8" i="1"/>
  <c r="Y8" i="1"/>
  <c r="Z8" i="1"/>
  <c r="AA8" i="1"/>
  <c r="AB8" i="1"/>
  <c r="AC8" i="1"/>
  <c r="AD8" i="1"/>
  <c r="AE8" i="1"/>
  <c r="AF8" i="1"/>
  <c r="AG8" i="1"/>
  <c r="AH8" i="1"/>
  <c r="AI8" i="1"/>
  <c r="AJ8" i="1"/>
  <c r="F1" i="1"/>
  <c r="AJ1" i="1"/>
  <c r="E5" i="1"/>
  <c r="AP8" i="1"/>
  <c r="F9" i="1"/>
  <c r="G9" i="1"/>
  <c r="H9" i="1"/>
  <c r="I9" i="1"/>
  <c r="J9" i="1"/>
  <c r="K9" i="1"/>
  <c r="L9" i="1"/>
  <c r="M9" i="1"/>
  <c r="N9" i="1"/>
  <c r="O9" i="1"/>
  <c r="P9" i="1"/>
  <c r="Q9" i="1"/>
  <c r="R9" i="1"/>
  <c r="S9" i="1"/>
  <c r="T9" i="1"/>
  <c r="U9" i="1"/>
  <c r="V9" i="1"/>
  <c r="W9" i="1"/>
  <c r="X9" i="1"/>
  <c r="Y9" i="1"/>
  <c r="Z9" i="1"/>
  <c r="AA9" i="1"/>
  <c r="AB9" i="1"/>
  <c r="AC9" i="1"/>
  <c r="AD9" i="1"/>
  <c r="AE9" i="1"/>
  <c r="AF9" i="1"/>
  <c r="AG9" i="1"/>
  <c r="AH9" i="1"/>
  <c r="AI9" i="1"/>
  <c r="AJ9" i="1"/>
  <c r="AP9" i="1"/>
  <c r="F10" i="1"/>
  <c r="G10" i="1"/>
  <c r="H10" i="1"/>
  <c r="I10" i="1"/>
  <c r="J10" i="1"/>
  <c r="K10" i="1"/>
  <c r="L10" i="1"/>
  <c r="M10" i="1"/>
  <c r="N10" i="1"/>
  <c r="O10" i="1"/>
  <c r="P10" i="1"/>
  <c r="Q10" i="1"/>
  <c r="R10" i="1"/>
  <c r="S10" i="1"/>
  <c r="T10" i="1"/>
  <c r="U10" i="1"/>
  <c r="V10" i="1"/>
  <c r="W10" i="1"/>
  <c r="X10" i="1"/>
  <c r="Y10" i="1"/>
  <c r="Z10" i="1"/>
  <c r="AA10" i="1"/>
  <c r="AB10" i="1"/>
  <c r="AC10" i="1"/>
  <c r="AD10" i="1"/>
  <c r="AE10" i="1"/>
  <c r="AF10" i="1"/>
  <c r="AG10" i="1"/>
  <c r="AH10" i="1"/>
  <c r="AI10" i="1"/>
  <c r="AJ10" i="1"/>
  <c r="AP10" i="1"/>
  <c r="F11" i="1"/>
  <c r="G11" i="1"/>
  <c r="H11" i="1"/>
  <c r="I11" i="1"/>
  <c r="J11" i="1"/>
  <c r="K11" i="1"/>
  <c r="L11" i="1"/>
  <c r="M11" i="1"/>
  <c r="N11" i="1"/>
  <c r="O11" i="1"/>
  <c r="P11" i="1"/>
  <c r="Q11" i="1"/>
  <c r="R11" i="1"/>
  <c r="S11" i="1"/>
  <c r="T11" i="1"/>
  <c r="U11" i="1"/>
  <c r="V11" i="1"/>
  <c r="W11" i="1"/>
  <c r="X11" i="1"/>
  <c r="Y11" i="1"/>
  <c r="Z11" i="1"/>
  <c r="AA11" i="1"/>
  <c r="AB11" i="1"/>
  <c r="AC11" i="1"/>
  <c r="AD11" i="1"/>
  <c r="AE11" i="1"/>
  <c r="AF11" i="1"/>
  <c r="AG11" i="1"/>
  <c r="AH11" i="1"/>
  <c r="AI11" i="1"/>
  <c r="AJ11" i="1"/>
  <c r="AP11" i="1"/>
  <c r="F12" i="1"/>
  <c r="G12" i="1"/>
  <c r="H12" i="1"/>
  <c r="I12" i="1"/>
  <c r="J12" i="1"/>
  <c r="K12" i="1"/>
  <c r="L12" i="1"/>
  <c r="M12" i="1"/>
  <c r="N12" i="1"/>
  <c r="O12" i="1"/>
  <c r="P12" i="1"/>
  <c r="Q12" i="1"/>
  <c r="R12" i="1"/>
  <c r="S12" i="1"/>
  <c r="T12" i="1"/>
  <c r="U12" i="1"/>
  <c r="V12" i="1"/>
  <c r="W12" i="1"/>
  <c r="X12" i="1"/>
  <c r="Y12" i="1"/>
  <c r="Z12" i="1"/>
  <c r="AA12" i="1"/>
  <c r="AB12" i="1"/>
  <c r="AC12" i="1"/>
  <c r="AD12" i="1"/>
  <c r="AE12" i="1"/>
  <c r="AF12" i="1"/>
  <c r="AG12" i="1"/>
  <c r="AH12" i="1"/>
  <c r="AI12" i="1"/>
  <c r="AJ12" i="1"/>
  <c r="AP12" i="1"/>
  <c r="F13" i="1"/>
  <c r="G13" i="1"/>
  <c r="H13" i="1"/>
  <c r="I13" i="1"/>
  <c r="J13" i="1"/>
  <c r="K13" i="1"/>
  <c r="L13" i="1"/>
  <c r="M13" i="1"/>
  <c r="N13" i="1"/>
  <c r="O13" i="1"/>
  <c r="P13" i="1"/>
  <c r="Q13" i="1"/>
  <c r="R13" i="1"/>
  <c r="S13" i="1"/>
  <c r="T13" i="1"/>
  <c r="U13" i="1"/>
  <c r="V13" i="1"/>
  <c r="W13" i="1"/>
  <c r="X13" i="1"/>
  <c r="Y13" i="1"/>
  <c r="Z13" i="1"/>
  <c r="AA13" i="1"/>
  <c r="AB13" i="1"/>
  <c r="AC13" i="1"/>
  <c r="AD13" i="1"/>
  <c r="AE13" i="1"/>
  <c r="AF13" i="1"/>
  <c r="AG13" i="1"/>
  <c r="AH13" i="1"/>
  <c r="AI13" i="1"/>
  <c r="AJ13" i="1"/>
  <c r="AP13" i="1"/>
  <c r="F14" i="1"/>
  <c r="G14" i="1"/>
  <c r="H14" i="1"/>
  <c r="I14" i="1"/>
  <c r="J14" i="1"/>
  <c r="K14" i="1"/>
  <c r="L14" i="1"/>
  <c r="M14" i="1"/>
  <c r="N14" i="1"/>
  <c r="O14" i="1"/>
  <c r="P14" i="1"/>
  <c r="Q14" i="1"/>
  <c r="R14" i="1"/>
  <c r="S14" i="1"/>
  <c r="T14" i="1"/>
  <c r="U14" i="1"/>
  <c r="V14" i="1"/>
  <c r="W14" i="1"/>
  <c r="X14" i="1"/>
  <c r="Y14" i="1"/>
  <c r="Z14" i="1"/>
  <c r="AA14" i="1"/>
  <c r="AB14" i="1"/>
  <c r="AC14" i="1"/>
  <c r="AD14" i="1"/>
  <c r="AE14" i="1"/>
  <c r="AF14" i="1"/>
  <c r="AG14" i="1"/>
  <c r="AH14" i="1"/>
  <c r="AI14" i="1"/>
  <c r="AJ14" i="1"/>
  <c r="AP14" i="1"/>
  <c r="F15" i="1"/>
  <c r="G15" i="1"/>
  <c r="H15" i="1"/>
  <c r="I15" i="1"/>
  <c r="J15" i="1"/>
  <c r="K15" i="1"/>
  <c r="L15" i="1"/>
  <c r="M15" i="1"/>
  <c r="N15" i="1"/>
  <c r="O15" i="1"/>
  <c r="P15" i="1"/>
  <c r="Q15" i="1"/>
  <c r="R15" i="1"/>
  <c r="S15" i="1"/>
  <c r="T15" i="1"/>
  <c r="U15" i="1"/>
  <c r="V15" i="1"/>
  <c r="W15" i="1"/>
  <c r="X15" i="1"/>
  <c r="Y15" i="1"/>
  <c r="Z15" i="1"/>
  <c r="AA15" i="1"/>
  <c r="AB15" i="1"/>
  <c r="AC15" i="1"/>
  <c r="AD15" i="1"/>
  <c r="AE15" i="1"/>
  <c r="AF15" i="1"/>
  <c r="AG15" i="1"/>
  <c r="AH15" i="1"/>
  <c r="AI15" i="1"/>
  <c r="AJ15" i="1"/>
  <c r="AP15" i="1"/>
  <c r="F16" i="1"/>
  <c r="G16" i="1"/>
  <c r="H16" i="1"/>
  <c r="I16" i="1"/>
  <c r="J16" i="1"/>
  <c r="K16" i="1"/>
  <c r="L16" i="1"/>
  <c r="M16" i="1"/>
  <c r="N16" i="1"/>
  <c r="O16" i="1"/>
  <c r="P16" i="1"/>
  <c r="Q16" i="1"/>
  <c r="R16" i="1"/>
  <c r="S16" i="1"/>
  <c r="T16" i="1"/>
  <c r="U16" i="1"/>
  <c r="V16" i="1"/>
  <c r="W16" i="1"/>
  <c r="X16" i="1"/>
  <c r="Y16" i="1"/>
  <c r="Z16" i="1"/>
  <c r="AA16" i="1"/>
  <c r="AB16" i="1"/>
  <c r="AC16" i="1"/>
  <c r="AD16" i="1"/>
  <c r="AE16" i="1"/>
  <c r="AF16" i="1"/>
  <c r="AG16" i="1"/>
  <c r="AH16" i="1"/>
  <c r="AI16" i="1"/>
  <c r="AJ16" i="1"/>
  <c r="AP16" i="1"/>
  <c r="F17" i="1"/>
  <c r="G17" i="1"/>
  <c r="H17" i="1"/>
  <c r="I17" i="1"/>
  <c r="J17" i="1"/>
  <c r="K17" i="1"/>
  <c r="L17" i="1"/>
  <c r="M17" i="1"/>
  <c r="N17" i="1"/>
  <c r="O17" i="1"/>
  <c r="P17" i="1"/>
  <c r="Q17" i="1"/>
  <c r="R17" i="1"/>
  <c r="S17" i="1"/>
  <c r="T17" i="1"/>
  <c r="U17" i="1"/>
  <c r="V17" i="1"/>
  <c r="W17" i="1"/>
  <c r="X17" i="1"/>
  <c r="Y17" i="1"/>
  <c r="Z17" i="1"/>
  <c r="AA17" i="1"/>
  <c r="AB17" i="1"/>
  <c r="AC17" i="1"/>
  <c r="AD17" i="1"/>
  <c r="AE17" i="1"/>
  <c r="AF17" i="1"/>
  <c r="AG17" i="1"/>
  <c r="AH17" i="1"/>
  <c r="AI17" i="1"/>
  <c r="AJ17" i="1"/>
  <c r="AP17" i="1"/>
  <c r="F18" i="1"/>
  <c r="G18" i="1"/>
  <c r="H18" i="1"/>
  <c r="I18" i="1"/>
  <c r="J18" i="1"/>
  <c r="K18" i="1"/>
  <c r="L18" i="1"/>
  <c r="M18" i="1"/>
  <c r="N18" i="1"/>
  <c r="O18" i="1"/>
  <c r="P18" i="1"/>
  <c r="Q18" i="1"/>
  <c r="R18" i="1"/>
  <c r="S18" i="1"/>
  <c r="T18" i="1"/>
  <c r="U18" i="1"/>
  <c r="V18" i="1"/>
  <c r="W18" i="1"/>
  <c r="X18" i="1"/>
  <c r="Y18" i="1"/>
  <c r="Z18" i="1"/>
  <c r="AA18" i="1"/>
  <c r="AB18" i="1"/>
  <c r="AC18" i="1"/>
  <c r="AD18" i="1"/>
  <c r="AE18" i="1"/>
  <c r="AF18" i="1"/>
  <c r="AG18" i="1"/>
  <c r="AH18" i="1"/>
  <c r="AI18" i="1"/>
  <c r="AJ18" i="1"/>
  <c r="AP18" i="1"/>
  <c r="F19" i="1"/>
  <c r="G19" i="1"/>
  <c r="H19" i="1"/>
  <c r="I19" i="1"/>
  <c r="J19" i="1"/>
  <c r="K19" i="1"/>
  <c r="L19" i="1"/>
  <c r="M19" i="1"/>
  <c r="N19" i="1"/>
  <c r="O19" i="1"/>
  <c r="P19" i="1"/>
  <c r="Q19" i="1"/>
  <c r="R19" i="1"/>
  <c r="S19" i="1"/>
  <c r="T19" i="1"/>
  <c r="U19" i="1"/>
  <c r="V19" i="1"/>
  <c r="W19" i="1"/>
  <c r="X19" i="1"/>
  <c r="Y19" i="1"/>
  <c r="Z19" i="1"/>
  <c r="AA19" i="1"/>
  <c r="AB19" i="1"/>
  <c r="AC19" i="1"/>
  <c r="AD19" i="1"/>
  <c r="AE19" i="1"/>
  <c r="AF19" i="1"/>
  <c r="AG19" i="1"/>
  <c r="AH19" i="1"/>
  <c r="AI19" i="1"/>
  <c r="AJ19" i="1"/>
  <c r="AP19" i="1"/>
  <c r="F20" i="1"/>
  <c r="G20" i="1"/>
  <c r="H20" i="1"/>
  <c r="I20" i="1"/>
  <c r="J20" i="1"/>
  <c r="K20" i="1"/>
  <c r="L20" i="1"/>
  <c r="M20" i="1"/>
  <c r="N20" i="1"/>
  <c r="O20" i="1"/>
  <c r="P20" i="1"/>
  <c r="Q20" i="1"/>
  <c r="R20" i="1"/>
  <c r="S20" i="1"/>
  <c r="T20" i="1"/>
  <c r="U20" i="1"/>
  <c r="V20" i="1"/>
  <c r="W20" i="1"/>
  <c r="X20" i="1"/>
  <c r="Y20" i="1"/>
  <c r="Z20" i="1"/>
  <c r="AA20" i="1"/>
  <c r="AB20" i="1"/>
  <c r="AC20" i="1"/>
  <c r="AD20" i="1"/>
  <c r="AE20" i="1"/>
  <c r="AF20" i="1"/>
  <c r="AG20" i="1"/>
  <c r="AH20" i="1"/>
  <c r="AI20" i="1"/>
  <c r="AJ20" i="1"/>
  <c r="AP20" i="1"/>
  <c r="F21" i="1"/>
  <c r="G21" i="1"/>
  <c r="H21" i="1"/>
  <c r="I21" i="1"/>
  <c r="J21" i="1"/>
  <c r="K21" i="1"/>
  <c r="L21" i="1"/>
  <c r="M21" i="1"/>
  <c r="N21" i="1"/>
  <c r="O21" i="1"/>
  <c r="P21" i="1"/>
  <c r="Q21" i="1"/>
  <c r="R21" i="1"/>
  <c r="S21" i="1"/>
  <c r="T21" i="1"/>
  <c r="U21" i="1"/>
  <c r="V21" i="1"/>
  <c r="W21" i="1"/>
  <c r="X21" i="1"/>
  <c r="Y21" i="1"/>
  <c r="Z21" i="1"/>
  <c r="AA21" i="1"/>
  <c r="AB21" i="1"/>
  <c r="AC21" i="1"/>
  <c r="AD21" i="1"/>
  <c r="AE21" i="1"/>
  <c r="AF21" i="1"/>
  <c r="AG21" i="1"/>
  <c r="AH21" i="1"/>
  <c r="AI21" i="1"/>
  <c r="AJ21" i="1"/>
  <c r="AP21" i="1"/>
  <c r="F22" i="1"/>
  <c r="G22" i="1"/>
  <c r="H22" i="1"/>
  <c r="I22" i="1"/>
  <c r="J22" i="1"/>
  <c r="K22" i="1"/>
  <c r="L22" i="1"/>
  <c r="M22" i="1"/>
  <c r="N22" i="1"/>
  <c r="O22" i="1"/>
  <c r="P22" i="1"/>
  <c r="Q22" i="1"/>
  <c r="R22" i="1"/>
  <c r="S22" i="1"/>
  <c r="T22" i="1"/>
  <c r="U22" i="1"/>
  <c r="V22" i="1"/>
  <c r="W22" i="1"/>
  <c r="X22" i="1"/>
  <c r="Y22" i="1"/>
  <c r="Z22" i="1"/>
  <c r="AA22" i="1"/>
  <c r="AB22" i="1"/>
  <c r="AC22" i="1"/>
  <c r="AD22" i="1"/>
  <c r="AE22" i="1"/>
  <c r="AF22" i="1"/>
  <c r="AG22" i="1"/>
  <c r="AH22" i="1"/>
  <c r="AI22" i="1"/>
  <c r="AJ22" i="1"/>
  <c r="AP22" i="1"/>
  <c r="F23" i="1"/>
  <c r="G23" i="1"/>
  <c r="H23" i="1"/>
  <c r="I23" i="1"/>
  <c r="J23" i="1"/>
  <c r="K23" i="1"/>
  <c r="L23" i="1"/>
  <c r="M23" i="1"/>
  <c r="N23" i="1"/>
  <c r="O23" i="1"/>
  <c r="P23" i="1"/>
  <c r="Q23" i="1"/>
  <c r="R23" i="1"/>
  <c r="S23" i="1"/>
  <c r="T23" i="1"/>
  <c r="U23" i="1"/>
  <c r="V23" i="1"/>
  <c r="W23" i="1"/>
  <c r="X23" i="1"/>
  <c r="Y23" i="1"/>
  <c r="Z23" i="1"/>
  <c r="AA23" i="1"/>
  <c r="AB23" i="1"/>
  <c r="AC23" i="1"/>
  <c r="AD23" i="1"/>
  <c r="AE23" i="1"/>
  <c r="AF23" i="1"/>
  <c r="AG23" i="1"/>
  <c r="AH23" i="1"/>
  <c r="AI23" i="1"/>
  <c r="AJ23" i="1"/>
  <c r="AP23" i="1"/>
  <c r="F24" i="1"/>
  <c r="G24" i="1"/>
  <c r="H24" i="1"/>
  <c r="I24" i="1"/>
  <c r="J24" i="1"/>
  <c r="K24" i="1"/>
  <c r="L24" i="1"/>
  <c r="M24" i="1"/>
  <c r="N24" i="1"/>
  <c r="O24" i="1"/>
  <c r="P24" i="1"/>
  <c r="Q24" i="1"/>
  <c r="R24" i="1"/>
  <c r="S24" i="1"/>
  <c r="T24" i="1"/>
  <c r="U24" i="1"/>
  <c r="V24" i="1"/>
  <c r="W24" i="1"/>
  <c r="X24" i="1"/>
  <c r="Y24" i="1"/>
  <c r="Z24" i="1"/>
  <c r="AA24" i="1"/>
  <c r="AB24" i="1"/>
  <c r="AC24" i="1"/>
  <c r="AD24" i="1"/>
  <c r="AE24" i="1"/>
  <c r="AF24" i="1"/>
  <c r="AG24" i="1"/>
  <c r="AH24" i="1"/>
  <c r="AI24" i="1"/>
  <c r="AJ24" i="1"/>
  <c r="AP24" i="1"/>
  <c r="F25" i="1"/>
  <c r="G25" i="1"/>
  <c r="H25" i="1"/>
  <c r="I25" i="1"/>
  <c r="J25" i="1"/>
  <c r="K25" i="1"/>
  <c r="L25" i="1"/>
  <c r="M25" i="1"/>
  <c r="N25" i="1"/>
  <c r="O25" i="1"/>
  <c r="P25" i="1"/>
  <c r="Q25" i="1"/>
  <c r="R25" i="1"/>
  <c r="S25" i="1"/>
  <c r="T25" i="1"/>
  <c r="U25" i="1"/>
  <c r="V25" i="1"/>
  <c r="W25" i="1"/>
  <c r="X25" i="1"/>
  <c r="Y25" i="1"/>
  <c r="Z25" i="1"/>
  <c r="AA25" i="1"/>
  <c r="AB25" i="1"/>
  <c r="AC25" i="1"/>
  <c r="AD25" i="1"/>
  <c r="AE25" i="1"/>
  <c r="AF25" i="1"/>
  <c r="AG25" i="1"/>
  <c r="AH25" i="1"/>
  <c r="AI25" i="1"/>
  <c r="AJ25" i="1"/>
  <c r="AP25" i="1"/>
  <c r="F26" i="1"/>
  <c r="G26" i="1"/>
  <c r="H26" i="1"/>
  <c r="I26" i="1"/>
  <c r="J26" i="1"/>
  <c r="K26" i="1"/>
  <c r="L26" i="1"/>
  <c r="M26" i="1"/>
  <c r="N26" i="1"/>
  <c r="O26" i="1"/>
  <c r="P26" i="1"/>
  <c r="Q26" i="1"/>
  <c r="R26" i="1"/>
  <c r="S26" i="1"/>
  <c r="T26" i="1"/>
  <c r="U26" i="1"/>
  <c r="V26" i="1"/>
  <c r="W26" i="1"/>
  <c r="X26" i="1"/>
  <c r="Y26" i="1"/>
  <c r="Z26" i="1"/>
  <c r="AA26" i="1"/>
  <c r="AB26" i="1"/>
  <c r="AC26" i="1"/>
  <c r="AD26" i="1"/>
  <c r="AE26" i="1"/>
  <c r="AF26" i="1"/>
  <c r="AG26" i="1"/>
  <c r="AH26" i="1"/>
  <c r="AI26" i="1"/>
  <c r="AJ26" i="1"/>
  <c r="AP26" i="1"/>
  <c r="F27" i="1"/>
  <c r="G27" i="1"/>
  <c r="H27" i="1"/>
  <c r="I27" i="1"/>
  <c r="J27" i="1"/>
  <c r="K27" i="1"/>
  <c r="L27" i="1"/>
  <c r="M27" i="1"/>
  <c r="N27" i="1"/>
  <c r="O27" i="1"/>
  <c r="P27" i="1"/>
  <c r="Q27" i="1"/>
  <c r="R27" i="1"/>
  <c r="S27" i="1"/>
  <c r="T27" i="1"/>
  <c r="U27" i="1"/>
  <c r="V27" i="1"/>
  <c r="W27" i="1"/>
  <c r="X27" i="1"/>
  <c r="Y27" i="1"/>
  <c r="Z27" i="1"/>
  <c r="AA27" i="1"/>
  <c r="AB27" i="1"/>
  <c r="AC27" i="1"/>
  <c r="AD27" i="1"/>
  <c r="AE27" i="1"/>
  <c r="AF27" i="1"/>
  <c r="AG27" i="1"/>
  <c r="AH27" i="1"/>
  <c r="AI27" i="1"/>
  <c r="AJ27" i="1"/>
  <c r="AP27" i="1"/>
  <c r="F28" i="1"/>
  <c r="G28" i="1"/>
  <c r="H28" i="1"/>
  <c r="I28" i="1"/>
  <c r="J28" i="1"/>
  <c r="K28" i="1"/>
  <c r="L28" i="1"/>
  <c r="M28" i="1"/>
  <c r="N28" i="1"/>
  <c r="O28" i="1"/>
  <c r="P28" i="1"/>
  <c r="Q28" i="1"/>
  <c r="R28" i="1"/>
  <c r="S28" i="1"/>
  <c r="T28" i="1"/>
  <c r="U28" i="1"/>
  <c r="V28" i="1"/>
  <c r="W28" i="1"/>
  <c r="X28" i="1"/>
  <c r="Y28" i="1"/>
  <c r="Z28" i="1"/>
  <c r="AA28" i="1"/>
  <c r="AB28" i="1"/>
  <c r="AC28" i="1"/>
  <c r="AD28" i="1"/>
  <c r="AE28" i="1"/>
  <c r="AF28" i="1"/>
  <c r="AG28" i="1"/>
  <c r="AH28" i="1"/>
  <c r="AI28" i="1"/>
  <c r="AJ28" i="1"/>
  <c r="AP28" i="1"/>
  <c r="F29" i="1"/>
  <c r="G29" i="1"/>
  <c r="H29" i="1"/>
  <c r="I29" i="1"/>
  <c r="J29" i="1"/>
  <c r="K29" i="1"/>
  <c r="L29" i="1"/>
  <c r="M29" i="1"/>
  <c r="N29" i="1"/>
  <c r="O29" i="1"/>
  <c r="P29" i="1"/>
  <c r="Q29" i="1"/>
  <c r="R29" i="1"/>
  <c r="S29" i="1"/>
  <c r="T29" i="1"/>
  <c r="U29" i="1"/>
  <c r="V29" i="1"/>
  <c r="W29" i="1"/>
  <c r="X29" i="1"/>
  <c r="Y29" i="1"/>
  <c r="Z29" i="1"/>
  <c r="AA29" i="1"/>
  <c r="AB29" i="1"/>
  <c r="AC29" i="1"/>
  <c r="AD29" i="1"/>
  <c r="AE29" i="1"/>
  <c r="AF29" i="1"/>
  <c r="AG29" i="1"/>
  <c r="AH29" i="1"/>
  <c r="AI29" i="1"/>
  <c r="AJ29" i="1"/>
  <c r="AP29" i="1"/>
  <c r="F30" i="1"/>
  <c r="G30" i="1"/>
  <c r="H30" i="1"/>
  <c r="I30" i="1"/>
  <c r="J30" i="1"/>
  <c r="K30" i="1"/>
  <c r="L30" i="1"/>
  <c r="M30" i="1"/>
  <c r="N30" i="1"/>
  <c r="O30" i="1"/>
  <c r="P30" i="1"/>
  <c r="Q30" i="1"/>
  <c r="R30" i="1"/>
  <c r="S30" i="1"/>
  <c r="T30" i="1"/>
  <c r="U30" i="1"/>
  <c r="V30" i="1"/>
  <c r="W30" i="1"/>
  <c r="X30" i="1"/>
  <c r="Y30" i="1"/>
  <c r="Z30" i="1"/>
  <c r="AA30" i="1"/>
  <c r="AB30" i="1"/>
  <c r="AC30" i="1"/>
  <c r="AD30" i="1"/>
  <c r="AE30" i="1"/>
  <c r="AF30" i="1"/>
  <c r="AG30" i="1"/>
  <c r="AH30" i="1"/>
  <c r="AI30" i="1"/>
  <c r="AJ30" i="1"/>
  <c r="AP30" i="1"/>
  <c r="F31" i="1"/>
  <c r="G31" i="1"/>
  <c r="H31" i="1"/>
  <c r="I31" i="1"/>
  <c r="J31" i="1"/>
  <c r="K31" i="1"/>
  <c r="L31" i="1"/>
  <c r="M31" i="1"/>
  <c r="N31" i="1"/>
  <c r="O31" i="1"/>
  <c r="P31" i="1"/>
  <c r="Q31" i="1"/>
  <c r="R31" i="1"/>
  <c r="S31" i="1"/>
  <c r="T31" i="1"/>
  <c r="U31" i="1"/>
  <c r="V31" i="1"/>
  <c r="W31" i="1"/>
  <c r="X31" i="1"/>
  <c r="Y31" i="1"/>
  <c r="Z31" i="1"/>
  <c r="AA31" i="1"/>
  <c r="AB31" i="1"/>
  <c r="AC31" i="1"/>
  <c r="AD31" i="1"/>
  <c r="AE31" i="1"/>
  <c r="AF31" i="1"/>
  <c r="AG31" i="1"/>
  <c r="AH31" i="1"/>
  <c r="AI31" i="1"/>
  <c r="AJ31" i="1"/>
  <c r="AP31" i="1"/>
  <c r="F32" i="1"/>
  <c r="G32" i="1"/>
  <c r="H32" i="1"/>
  <c r="I32" i="1"/>
  <c r="J32" i="1"/>
  <c r="K32" i="1"/>
  <c r="L32" i="1"/>
  <c r="M32" i="1"/>
  <c r="N32" i="1"/>
  <c r="O32" i="1"/>
  <c r="P32" i="1"/>
  <c r="Q32" i="1"/>
  <c r="R32" i="1"/>
  <c r="S32" i="1"/>
  <c r="T32" i="1"/>
  <c r="U32" i="1"/>
  <c r="V32" i="1"/>
  <c r="W32" i="1"/>
  <c r="X32" i="1"/>
  <c r="Y32" i="1"/>
  <c r="Z32" i="1"/>
  <c r="AA32" i="1"/>
  <c r="AB32" i="1"/>
  <c r="AC32" i="1"/>
  <c r="AD32" i="1"/>
  <c r="AE32" i="1"/>
  <c r="AF32" i="1"/>
  <c r="AG32" i="1"/>
  <c r="AH32" i="1"/>
  <c r="AI32" i="1"/>
  <c r="AJ32" i="1"/>
  <c r="AP32" i="1"/>
  <c r="F33" i="1"/>
  <c r="G33" i="1"/>
  <c r="H33" i="1"/>
  <c r="I33" i="1"/>
  <c r="J33" i="1"/>
  <c r="K33" i="1"/>
  <c r="L33" i="1"/>
  <c r="M33" i="1"/>
  <c r="N33" i="1"/>
  <c r="O33" i="1"/>
  <c r="P33" i="1"/>
  <c r="Q33" i="1"/>
  <c r="R33" i="1"/>
  <c r="S33" i="1"/>
  <c r="T33" i="1"/>
  <c r="U33" i="1"/>
  <c r="V33" i="1"/>
  <c r="W33" i="1"/>
  <c r="X33" i="1"/>
  <c r="Y33" i="1"/>
  <c r="Z33" i="1"/>
  <c r="AA33" i="1"/>
  <c r="AB33" i="1"/>
  <c r="AC33" i="1"/>
  <c r="AD33" i="1"/>
  <c r="AE33" i="1"/>
  <c r="AF33" i="1"/>
  <c r="AG33" i="1"/>
  <c r="AH33" i="1"/>
  <c r="AI33" i="1"/>
  <c r="AJ33" i="1"/>
  <c r="AP33" i="1"/>
  <c r="F34" i="1"/>
  <c r="G34" i="1"/>
  <c r="H34" i="1"/>
  <c r="I34" i="1"/>
  <c r="J34" i="1"/>
  <c r="K34" i="1"/>
  <c r="L34" i="1"/>
  <c r="M34" i="1"/>
  <c r="N34" i="1"/>
  <c r="O34" i="1"/>
  <c r="P34" i="1"/>
  <c r="Q34" i="1"/>
  <c r="R34" i="1"/>
  <c r="S34" i="1"/>
  <c r="T34" i="1"/>
  <c r="U34" i="1"/>
  <c r="V34" i="1"/>
  <c r="W34" i="1"/>
  <c r="X34" i="1"/>
  <c r="Y34" i="1"/>
  <c r="Z34" i="1"/>
  <c r="AA34" i="1"/>
  <c r="AB34" i="1"/>
  <c r="AC34" i="1"/>
  <c r="AD34" i="1"/>
  <c r="AE34" i="1"/>
  <c r="AF34" i="1"/>
  <c r="AG34" i="1"/>
  <c r="AH34" i="1"/>
  <c r="AI34" i="1"/>
  <c r="AJ34" i="1"/>
  <c r="AP34" i="1"/>
  <c r="F35" i="1"/>
  <c r="G35" i="1"/>
  <c r="H35" i="1"/>
  <c r="I35" i="1"/>
  <c r="J35" i="1"/>
  <c r="K35" i="1"/>
  <c r="L35" i="1"/>
  <c r="M35" i="1"/>
  <c r="N35" i="1"/>
  <c r="O35" i="1"/>
  <c r="P35" i="1"/>
  <c r="Q35" i="1"/>
  <c r="R35" i="1"/>
  <c r="S35" i="1"/>
  <c r="T35" i="1"/>
  <c r="U35" i="1"/>
  <c r="V35" i="1"/>
  <c r="W35" i="1"/>
  <c r="X35" i="1"/>
  <c r="Y35" i="1"/>
  <c r="Z35" i="1"/>
  <c r="AA35" i="1"/>
  <c r="AB35" i="1"/>
  <c r="AC35" i="1"/>
  <c r="AD35" i="1"/>
  <c r="AE35" i="1"/>
  <c r="AF35" i="1"/>
  <c r="AG35" i="1"/>
  <c r="AH35" i="1"/>
  <c r="AI35" i="1"/>
  <c r="AJ35" i="1"/>
  <c r="AP35" i="1"/>
  <c r="F36" i="1"/>
  <c r="G36" i="1"/>
  <c r="H36" i="1"/>
  <c r="I36" i="1"/>
  <c r="J36" i="1"/>
  <c r="K36" i="1"/>
  <c r="L36" i="1"/>
  <c r="M36" i="1"/>
  <c r="N36" i="1"/>
  <c r="O36" i="1"/>
  <c r="P36" i="1"/>
  <c r="Q36" i="1"/>
  <c r="R36" i="1"/>
  <c r="S36" i="1"/>
  <c r="T36" i="1"/>
  <c r="U36" i="1"/>
  <c r="V36" i="1"/>
  <c r="W36" i="1"/>
  <c r="X36" i="1"/>
  <c r="Y36" i="1"/>
  <c r="Z36" i="1"/>
  <c r="AA36" i="1"/>
  <c r="AB36" i="1"/>
  <c r="AC36" i="1"/>
  <c r="AD36" i="1"/>
  <c r="AE36" i="1"/>
  <c r="AF36" i="1"/>
  <c r="AG36" i="1"/>
  <c r="AH36" i="1"/>
  <c r="AI36" i="1"/>
  <c r="AJ36" i="1"/>
  <c r="AP36" i="1"/>
  <c r="F37" i="1"/>
  <c r="G37" i="1"/>
  <c r="H37" i="1"/>
  <c r="I37" i="1"/>
  <c r="J37" i="1"/>
  <c r="K37" i="1"/>
  <c r="L37" i="1"/>
  <c r="M37" i="1"/>
  <c r="N37" i="1"/>
  <c r="O37" i="1"/>
  <c r="P37" i="1"/>
  <c r="Q37" i="1"/>
  <c r="R37" i="1"/>
  <c r="S37" i="1"/>
  <c r="T37" i="1"/>
  <c r="U37" i="1"/>
  <c r="V37" i="1"/>
  <c r="W37" i="1"/>
  <c r="X37" i="1"/>
  <c r="Y37" i="1"/>
  <c r="Z37" i="1"/>
  <c r="AA37" i="1"/>
  <c r="AB37" i="1"/>
  <c r="AC37" i="1"/>
  <c r="AD37" i="1"/>
  <c r="AE37" i="1"/>
  <c r="AF37" i="1"/>
  <c r="AG37" i="1"/>
  <c r="AH37" i="1"/>
  <c r="AI37" i="1"/>
  <c r="AJ37" i="1"/>
  <c r="AP37" i="1"/>
  <c r="F38" i="1"/>
  <c r="G38" i="1"/>
  <c r="H38" i="1"/>
  <c r="I38" i="1"/>
  <c r="J38" i="1"/>
  <c r="K38" i="1"/>
  <c r="L38" i="1"/>
  <c r="M38" i="1"/>
  <c r="N38" i="1"/>
  <c r="O38" i="1"/>
  <c r="P38" i="1"/>
  <c r="Q38" i="1"/>
  <c r="R38" i="1"/>
  <c r="S38" i="1"/>
  <c r="T38" i="1"/>
  <c r="U38" i="1"/>
  <c r="V38" i="1"/>
  <c r="W38" i="1"/>
  <c r="X38" i="1"/>
  <c r="Y38" i="1"/>
  <c r="Z38" i="1"/>
  <c r="AA38" i="1"/>
  <c r="AB38" i="1"/>
  <c r="AC38" i="1"/>
  <c r="AD38" i="1"/>
  <c r="AE38" i="1"/>
  <c r="AF38" i="1"/>
  <c r="AG38" i="1"/>
  <c r="AH38" i="1"/>
  <c r="AI38" i="1"/>
  <c r="AJ38" i="1"/>
  <c r="AP38" i="1"/>
  <c r="F39" i="1"/>
  <c r="G39" i="1"/>
  <c r="H39" i="1"/>
  <c r="I39" i="1"/>
  <c r="J39" i="1"/>
  <c r="K39" i="1"/>
  <c r="L39" i="1"/>
  <c r="M39" i="1"/>
  <c r="N39" i="1"/>
  <c r="O39" i="1"/>
  <c r="P39" i="1"/>
  <c r="Q39" i="1"/>
  <c r="R39" i="1"/>
  <c r="S39" i="1"/>
  <c r="T39" i="1"/>
  <c r="U39" i="1"/>
  <c r="V39" i="1"/>
  <c r="W39" i="1"/>
  <c r="X39" i="1"/>
  <c r="Y39" i="1"/>
  <c r="Z39" i="1"/>
  <c r="AA39" i="1"/>
  <c r="AB39" i="1"/>
  <c r="AC39" i="1"/>
  <c r="AD39" i="1"/>
  <c r="AE39" i="1"/>
  <c r="AF39" i="1"/>
  <c r="AG39" i="1"/>
  <c r="AH39" i="1"/>
  <c r="AI39" i="1"/>
  <c r="AJ39" i="1"/>
  <c r="AP39" i="1"/>
  <c r="F40" i="1"/>
  <c r="G40" i="1"/>
  <c r="H40" i="1"/>
  <c r="I40" i="1"/>
  <c r="J40" i="1"/>
  <c r="K40" i="1"/>
  <c r="L40" i="1"/>
  <c r="M40" i="1"/>
  <c r="N40" i="1"/>
  <c r="O40" i="1"/>
  <c r="P40" i="1"/>
  <c r="Q40" i="1"/>
  <c r="R40" i="1"/>
  <c r="S40" i="1"/>
  <c r="T40" i="1"/>
  <c r="U40" i="1"/>
  <c r="V40" i="1"/>
  <c r="W40" i="1"/>
  <c r="X40" i="1"/>
  <c r="Y40" i="1"/>
  <c r="Z40" i="1"/>
  <c r="AA40" i="1"/>
  <c r="AB40" i="1"/>
  <c r="AC40" i="1"/>
  <c r="AD40" i="1"/>
  <c r="AE40" i="1"/>
  <c r="AF40" i="1"/>
  <c r="AG40" i="1"/>
  <c r="AH40" i="1"/>
  <c r="AI40" i="1"/>
  <c r="AJ40" i="1"/>
  <c r="AP40" i="1"/>
  <c r="F41" i="1"/>
  <c r="G41" i="1"/>
  <c r="H41" i="1"/>
  <c r="I41" i="1"/>
  <c r="J41" i="1"/>
  <c r="K41" i="1"/>
  <c r="L41" i="1"/>
  <c r="M41" i="1"/>
  <c r="N41" i="1"/>
  <c r="O41" i="1"/>
  <c r="P41" i="1"/>
  <c r="Q41" i="1"/>
  <c r="R41" i="1"/>
  <c r="S41" i="1"/>
  <c r="T41" i="1"/>
  <c r="U41" i="1"/>
  <c r="V41" i="1"/>
  <c r="W41" i="1"/>
  <c r="X41" i="1"/>
  <c r="Y41" i="1"/>
  <c r="Z41" i="1"/>
  <c r="AA41" i="1"/>
  <c r="AB41" i="1"/>
  <c r="AC41" i="1"/>
  <c r="AD41" i="1"/>
  <c r="AE41" i="1"/>
  <c r="AF41" i="1"/>
  <c r="AG41" i="1"/>
  <c r="AH41" i="1"/>
  <c r="AI41" i="1"/>
  <c r="AJ41" i="1"/>
  <c r="AP41" i="1"/>
  <c r="F42" i="1"/>
  <c r="G42" i="1"/>
  <c r="H42" i="1"/>
  <c r="I42" i="1"/>
  <c r="J42" i="1"/>
  <c r="K42" i="1"/>
  <c r="L42" i="1"/>
  <c r="M42" i="1"/>
  <c r="N42" i="1"/>
  <c r="O42" i="1"/>
  <c r="P42" i="1"/>
  <c r="Q42" i="1"/>
  <c r="R42" i="1"/>
  <c r="S42" i="1"/>
  <c r="T42" i="1"/>
  <c r="U42" i="1"/>
  <c r="V42" i="1"/>
  <c r="W42" i="1"/>
  <c r="X42" i="1"/>
  <c r="Y42" i="1"/>
  <c r="Z42" i="1"/>
  <c r="AA42" i="1"/>
  <c r="AB42" i="1"/>
  <c r="AC42" i="1"/>
  <c r="AD42" i="1"/>
  <c r="AE42" i="1"/>
  <c r="AF42" i="1"/>
  <c r="AG42" i="1"/>
  <c r="AH42" i="1"/>
  <c r="AI42" i="1"/>
  <c r="AJ42" i="1"/>
  <c r="AP42" i="1"/>
  <c r="F43" i="1"/>
  <c r="G43" i="1"/>
  <c r="H43" i="1"/>
  <c r="I43" i="1"/>
  <c r="J43" i="1"/>
  <c r="K43" i="1"/>
  <c r="L43" i="1"/>
  <c r="M43" i="1"/>
  <c r="N43" i="1"/>
  <c r="O43" i="1"/>
  <c r="P43" i="1"/>
  <c r="Q43" i="1"/>
  <c r="R43" i="1"/>
  <c r="S43" i="1"/>
  <c r="T43" i="1"/>
  <c r="U43" i="1"/>
  <c r="V43" i="1"/>
  <c r="W43" i="1"/>
  <c r="X43" i="1"/>
  <c r="Y43" i="1"/>
  <c r="Z43" i="1"/>
  <c r="AA43" i="1"/>
  <c r="AB43" i="1"/>
  <c r="AC43" i="1"/>
  <c r="AD43" i="1"/>
  <c r="AE43" i="1"/>
  <c r="AF43" i="1"/>
  <c r="AG43" i="1"/>
  <c r="AH43" i="1"/>
  <c r="AI43" i="1"/>
  <c r="AJ43" i="1"/>
  <c r="AP43" i="1"/>
  <c r="F44" i="1"/>
  <c r="G44" i="1"/>
  <c r="H44" i="1"/>
  <c r="I44" i="1"/>
  <c r="J44" i="1"/>
  <c r="K44" i="1"/>
  <c r="L44" i="1"/>
  <c r="M44" i="1"/>
  <c r="N44" i="1"/>
  <c r="O44" i="1"/>
  <c r="P44" i="1"/>
  <c r="Q44" i="1"/>
  <c r="R44" i="1"/>
  <c r="S44" i="1"/>
  <c r="T44" i="1"/>
  <c r="U44" i="1"/>
  <c r="V44" i="1"/>
  <c r="W44" i="1"/>
  <c r="X44" i="1"/>
  <c r="Y44" i="1"/>
  <c r="Z44" i="1"/>
  <c r="AA44" i="1"/>
  <c r="AB44" i="1"/>
  <c r="AC44" i="1"/>
  <c r="AD44" i="1"/>
  <c r="AE44" i="1"/>
  <c r="AF44" i="1"/>
  <c r="AG44" i="1"/>
  <c r="AH44" i="1"/>
  <c r="AI44" i="1"/>
  <c r="AJ44" i="1"/>
  <c r="AP44" i="1"/>
  <c r="F45" i="1"/>
  <c r="G45" i="1"/>
  <c r="H45" i="1"/>
  <c r="I45" i="1"/>
  <c r="J45" i="1"/>
  <c r="K45" i="1"/>
  <c r="L45" i="1"/>
  <c r="M45" i="1"/>
  <c r="N45" i="1"/>
  <c r="O45" i="1"/>
  <c r="P45" i="1"/>
  <c r="Q45" i="1"/>
  <c r="R45" i="1"/>
  <c r="S45" i="1"/>
  <c r="T45" i="1"/>
  <c r="U45" i="1"/>
  <c r="V45" i="1"/>
  <c r="W45" i="1"/>
  <c r="X45" i="1"/>
  <c r="Y45" i="1"/>
  <c r="Z45" i="1"/>
  <c r="AA45" i="1"/>
  <c r="AB45" i="1"/>
  <c r="AC45" i="1"/>
  <c r="AD45" i="1"/>
  <c r="AE45" i="1"/>
  <c r="AF45" i="1"/>
  <c r="AG45" i="1"/>
  <c r="AH45" i="1"/>
  <c r="AI45" i="1"/>
  <c r="AJ45" i="1"/>
  <c r="AP45" i="1"/>
  <c r="F46" i="1"/>
  <c r="G46" i="1"/>
  <c r="H46" i="1"/>
  <c r="I46" i="1"/>
  <c r="J46" i="1"/>
  <c r="K46" i="1"/>
  <c r="L46" i="1"/>
  <c r="M46" i="1"/>
  <c r="N46" i="1"/>
  <c r="O46" i="1"/>
  <c r="P46" i="1"/>
  <c r="Q46" i="1"/>
  <c r="R46" i="1"/>
  <c r="S46" i="1"/>
  <c r="T46" i="1"/>
  <c r="U46" i="1"/>
  <c r="V46" i="1"/>
  <c r="W46" i="1"/>
  <c r="X46" i="1"/>
  <c r="Y46" i="1"/>
  <c r="Z46" i="1"/>
  <c r="AA46" i="1"/>
  <c r="AB46" i="1"/>
  <c r="AC46" i="1"/>
  <c r="AD46" i="1"/>
  <c r="AE46" i="1"/>
  <c r="AF46" i="1"/>
  <c r="AG46" i="1"/>
  <c r="AH46" i="1"/>
  <c r="AI46" i="1"/>
  <c r="AJ46" i="1"/>
  <c r="AP46" i="1"/>
  <c r="F47" i="1"/>
  <c r="G47" i="1"/>
  <c r="H47" i="1"/>
  <c r="I47" i="1"/>
  <c r="J47" i="1"/>
  <c r="K47" i="1"/>
  <c r="L47" i="1"/>
  <c r="M47" i="1"/>
  <c r="N47" i="1"/>
  <c r="O47" i="1"/>
  <c r="P47" i="1"/>
  <c r="Q47" i="1"/>
  <c r="R47" i="1"/>
  <c r="S47" i="1"/>
  <c r="T47" i="1"/>
  <c r="U47" i="1"/>
  <c r="V47" i="1"/>
  <c r="W47" i="1"/>
  <c r="X47" i="1"/>
  <c r="Y47" i="1"/>
  <c r="Z47" i="1"/>
  <c r="AA47" i="1"/>
  <c r="AB47" i="1"/>
  <c r="AC47" i="1"/>
  <c r="AD47" i="1"/>
  <c r="AE47" i="1"/>
  <c r="AF47" i="1"/>
  <c r="AG47" i="1"/>
  <c r="AH47" i="1"/>
  <c r="AI47" i="1"/>
  <c r="AJ47" i="1"/>
  <c r="AP47" i="1"/>
  <c r="F48" i="1"/>
  <c r="G48" i="1"/>
  <c r="H48" i="1"/>
  <c r="I48" i="1"/>
  <c r="J48" i="1"/>
  <c r="K48" i="1"/>
  <c r="L48" i="1"/>
  <c r="M48" i="1"/>
  <c r="N48" i="1"/>
  <c r="O48" i="1"/>
  <c r="P48" i="1"/>
  <c r="Q48" i="1"/>
  <c r="R48" i="1"/>
  <c r="S48" i="1"/>
  <c r="T48" i="1"/>
  <c r="U48" i="1"/>
  <c r="V48" i="1"/>
  <c r="W48" i="1"/>
  <c r="X48" i="1"/>
  <c r="Y48" i="1"/>
  <c r="Z48" i="1"/>
  <c r="AA48" i="1"/>
  <c r="AB48" i="1"/>
  <c r="AC48" i="1"/>
  <c r="AD48" i="1"/>
  <c r="AE48" i="1"/>
  <c r="AF48" i="1"/>
  <c r="AG48" i="1"/>
  <c r="AH48" i="1"/>
  <c r="AI48" i="1"/>
  <c r="AJ48" i="1"/>
  <c r="AP48" i="1"/>
  <c r="F49" i="1"/>
  <c r="G49" i="1"/>
  <c r="H49" i="1"/>
  <c r="I49" i="1"/>
  <c r="J49" i="1"/>
  <c r="K49" i="1"/>
  <c r="L49" i="1"/>
  <c r="M49" i="1"/>
  <c r="N49" i="1"/>
  <c r="O49" i="1"/>
  <c r="P49" i="1"/>
  <c r="Q49" i="1"/>
  <c r="R49" i="1"/>
  <c r="S49" i="1"/>
  <c r="T49" i="1"/>
  <c r="U49" i="1"/>
  <c r="V49" i="1"/>
  <c r="W49" i="1"/>
  <c r="X49" i="1"/>
  <c r="Y49" i="1"/>
  <c r="Z49" i="1"/>
  <c r="AA49" i="1"/>
  <c r="AB49" i="1"/>
  <c r="AC49" i="1"/>
  <c r="AD49" i="1"/>
  <c r="AE49" i="1"/>
  <c r="AF49" i="1"/>
  <c r="AG49" i="1"/>
  <c r="AH49" i="1"/>
  <c r="AI49" i="1"/>
  <c r="AJ49" i="1"/>
  <c r="AP49" i="1"/>
  <c r="F50" i="1"/>
  <c r="G50" i="1"/>
  <c r="H50" i="1"/>
  <c r="I50" i="1"/>
  <c r="J50" i="1"/>
  <c r="K50" i="1"/>
  <c r="L50" i="1"/>
  <c r="M50" i="1"/>
  <c r="N50" i="1"/>
  <c r="O50" i="1"/>
  <c r="P50" i="1"/>
  <c r="Q50" i="1"/>
  <c r="R50" i="1"/>
  <c r="S50" i="1"/>
  <c r="T50" i="1"/>
  <c r="U50" i="1"/>
  <c r="V50" i="1"/>
  <c r="W50" i="1"/>
  <c r="X50" i="1"/>
  <c r="Y50" i="1"/>
  <c r="Z50" i="1"/>
  <c r="AA50" i="1"/>
  <c r="AB50" i="1"/>
  <c r="AC50" i="1"/>
  <c r="AD50" i="1"/>
  <c r="AE50" i="1"/>
  <c r="AF50" i="1"/>
  <c r="AG50" i="1"/>
  <c r="AH50" i="1"/>
  <c r="AI50" i="1"/>
  <c r="AJ50" i="1"/>
  <c r="AP50" i="1"/>
  <c r="F51" i="1"/>
  <c r="G51" i="1"/>
  <c r="H51" i="1"/>
  <c r="I51" i="1"/>
  <c r="J51" i="1"/>
  <c r="K51" i="1"/>
  <c r="L51" i="1"/>
  <c r="M51" i="1"/>
  <c r="N51" i="1"/>
  <c r="O51" i="1"/>
  <c r="P51" i="1"/>
  <c r="Q51" i="1"/>
  <c r="R51" i="1"/>
  <c r="S51" i="1"/>
  <c r="T51" i="1"/>
  <c r="U51" i="1"/>
  <c r="V51" i="1"/>
  <c r="W51" i="1"/>
  <c r="X51" i="1"/>
  <c r="Y51" i="1"/>
  <c r="Z51" i="1"/>
  <c r="AA51" i="1"/>
  <c r="AB51" i="1"/>
  <c r="AC51" i="1"/>
  <c r="AD51" i="1"/>
  <c r="AE51" i="1"/>
  <c r="AF51" i="1"/>
  <c r="AG51" i="1"/>
  <c r="AH51" i="1"/>
  <c r="AI51" i="1"/>
  <c r="AJ51" i="1"/>
  <c r="AP51" i="1"/>
  <c r="F52" i="1"/>
  <c r="G52" i="1"/>
  <c r="H52" i="1"/>
  <c r="I52" i="1"/>
  <c r="J52" i="1"/>
  <c r="K52" i="1"/>
  <c r="L52" i="1"/>
  <c r="M52" i="1"/>
  <c r="N52" i="1"/>
  <c r="O52" i="1"/>
  <c r="P52" i="1"/>
  <c r="Q52" i="1"/>
  <c r="R52" i="1"/>
  <c r="S52" i="1"/>
  <c r="T52" i="1"/>
  <c r="U52" i="1"/>
  <c r="V52" i="1"/>
  <c r="W52" i="1"/>
  <c r="X52" i="1"/>
  <c r="Y52" i="1"/>
  <c r="Z52" i="1"/>
  <c r="AA52" i="1"/>
  <c r="AB52" i="1"/>
  <c r="AC52" i="1"/>
  <c r="AD52" i="1"/>
  <c r="AE52" i="1"/>
  <c r="AF52" i="1"/>
  <c r="AG52" i="1"/>
  <c r="AH52" i="1"/>
  <c r="AI52" i="1"/>
  <c r="AJ52" i="1"/>
  <c r="AP52" i="1"/>
  <c r="F53" i="1"/>
  <c r="G53" i="1"/>
  <c r="H53" i="1"/>
  <c r="I53" i="1"/>
  <c r="J53" i="1"/>
  <c r="K53" i="1"/>
  <c r="L53" i="1"/>
  <c r="M53" i="1"/>
  <c r="N53" i="1"/>
  <c r="O53" i="1"/>
  <c r="P53" i="1"/>
  <c r="Q53" i="1"/>
  <c r="R53" i="1"/>
  <c r="S53" i="1"/>
  <c r="T53" i="1"/>
  <c r="U53" i="1"/>
  <c r="V53" i="1"/>
  <c r="W53" i="1"/>
  <c r="X53" i="1"/>
  <c r="Y53" i="1"/>
  <c r="Z53" i="1"/>
  <c r="AA53" i="1"/>
  <c r="AB53" i="1"/>
  <c r="AC53" i="1"/>
  <c r="AD53" i="1"/>
  <c r="AE53" i="1"/>
  <c r="AF53" i="1"/>
  <c r="AG53" i="1"/>
  <c r="AH53" i="1"/>
  <c r="AI53" i="1"/>
  <c r="AJ53" i="1"/>
  <c r="AP53" i="1"/>
  <c r="F54" i="1"/>
  <c r="G54" i="1"/>
  <c r="H54" i="1"/>
  <c r="I54" i="1"/>
  <c r="J54" i="1"/>
  <c r="K54" i="1"/>
  <c r="L54" i="1"/>
  <c r="M54" i="1"/>
  <c r="N54" i="1"/>
  <c r="O54" i="1"/>
  <c r="P54" i="1"/>
  <c r="Q54" i="1"/>
  <c r="R54" i="1"/>
  <c r="S54" i="1"/>
  <c r="T54" i="1"/>
  <c r="U54" i="1"/>
  <c r="V54" i="1"/>
  <c r="W54" i="1"/>
  <c r="X54" i="1"/>
  <c r="Y54" i="1"/>
  <c r="Z54" i="1"/>
  <c r="AA54" i="1"/>
  <c r="AB54" i="1"/>
  <c r="AC54" i="1"/>
  <c r="AD54" i="1"/>
  <c r="AE54" i="1"/>
  <c r="AF54" i="1"/>
  <c r="AG54" i="1"/>
  <c r="AH54" i="1"/>
  <c r="AI54" i="1"/>
  <c r="AJ54" i="1"/>
  <c r="AP54" i="1"/>
  <c r="F55" i="1"/>
  <c r="G55" i="1"/>
  <c r="H55" i="1"/>
  <c r="I55" i="1"/>
  <c r="J55" i="1"/>
  <c r="K55" i="1"/>
  <c r="L55" i="1"/>
  <c r="M55" i="1"/>
  <c r="N55" i="1"/>
  <c r="O55" i="1"/>
  <c r="P55" i="1"/>
  <c r="Q55" i="1"/>
  <c r="R55" i="1"/>
  <c r="S55" i="1"/>
  <c r="T55" i="1"/>
  <c r="U55" i="1"/>
  <c r="V55" i="1"/>
  <c r="W55" i="1"/>
  <c r="X55" i="1"/>
  <c r="Y55" i="1"/>
  <c r="Z55" i="1"/>
  <c r="AA55" i="1"/>
  <c r="AB55" i="1"/>
  <c r="AC55" i="1"/>
  <c r="AD55" i="1"/>
  <c r="AE55" i="1"/>
  <c r="AF55" i="1"/>
  <c r="AG55" i="1"/>
  <c r="AH55" i="1"/>
  <c r="AI55" i="1"/>
  <c r="AJ55" i="1"/>
  <c r="AP55" i="1"/>
  <c r="F56" i="1"/>
  <c r="G56" i="1"/>
  <c r="H56" i="1"/>
  <c r="I56" i="1"/>
  <c r="J56" i="1"/>
  <c r="K56" i="1"/>
  <c r="L56" i="1"/>
  <c r="M56" i="1"/>
  <c r="N56" i="1"/>
  <c r="O56" i="1"/>
  <c r="P56" i="1"/>
  <c r="Q56" i="1"/>
  <c r="R56" i="1"/>
  <c r="S56" i="1"/>
  <c r="T56" i="1"/>
  <c r="U56" i="1"/>
  <c r="V56" i="1"/>
  <c r="W56" i="1"/>
  <c r="X56" i="1"/>
  <c r="Y56" i="1"/>
  <c r="Z56" i="1"/>
  <c r="AA56" i="1"/>
  <c r="AB56" i="1"/>
  <c r="AC56" i="1"/>
  <c r="AD56" i="1"/>
  <c r="AE56" i="1"/>
  <c r="AF56" i="1"/>
  <c r="AG56" i="1"/>
  <c r="AH56" i="1"/>
  <c r="AI56" i="1"/>
  <c r="AJ56" i="1"/>
  <c r="AP56" i="1"/>
  <c r="G56" i="18"/>
  <c r="H56" i="18"/>
  <c r="I56" i="18"/>
  <c r="J56" i="18"/>
  <c r="K56" i="18"/>
  <c r="L56" i="18"/>
  <c r="M56" i="18"/>
  <c r="N56" i="18"/>
  <c r="O56" i="18"/>
  <c r="P56" i="18"/>
  <c r="Q56" i="18"/>
  <c r="R56" i="18"/>
  <c r="S56" i="18"/>
  <c r="T56" i="18"/>
  <c r="U56" i="18"/>
  <c r="V56" i="18"/>
  <c r="W56" i="18"/>
  <c r="X56" i="18"/>
  <c r="Y56" i="18"/>
  <c r="Z56" i="18"/>
  <c r="AA56" i="18"/>
  <c r="AB56" i="18"/>
  <c r="AC56" i="18"/>
  <c r="AD56" i="18"/>
  <c r="AE56" i="18"/>
  <c r="AF56" i="18"/>
  <c r="AG56" i="18"/>
  <c r="AH56" i="18"/>
  <c r="AI56" i="18"/>
  <c r="AJ56" i="18"/>
  <c r="F56" i="18"/>
  <c r="AL56" i="18"/>
  <c r="G56" i="2"/>
  <c r="AM56" i="18"/>
  <c r="H56" i="2"/>
  <c r="AN56" i="18"/>
  <c r="I56" i="2"/>
  <c r="AO56" i="18"/>
  <c r="J56" i="2"/>
  <c r="AP56" i="18"/>
  <c r="K56" i="2"/>
  <c r="AQ56" i="18"/>
  <c r="L56" i="2"/>
  <c r="AR56" i="18"/>
  <c r="M56" i="2"/>
  <c r="AS56" i="18"/>
  <c r="N56" i="2"/>
  <c r="AT56" i="18"/>
  <c r="O56" i="2"/>
  <c r="AU56" i="18"/>
  <c r="P56" i="2"/>
  <c r="AV56" i="18"/>
  <c r="Q56" i="2"/>
  <c r="AW56" i="18"/>
  <c r="R56" i="2"/>
  <c r="AX56" i="18"/>
  <c r="S56" i="2"/>
  <c r="AY56" i="18"/>
  <c r="T56" i="2"/>
  <c r="AZ56" i="18"/>
  <c r="U56" i="2"/>
  <c r="BA56" i="18"/>
  <c r="V56" i="2"/>
  <c r="BB56" i="18"/>
  <c r="W56" i="2"/>
  <c r="BC56" i="18"/>
  <c r="X56" i="2"/>
  <c r="BD56" i="18"/>
  <c r="Y56" i="2"/>
  <c r="BE56" i="18"/>
  <c r="Z56" i="2"/>
  <c r="BF56" i="18"/>
  <c r="AA56" i="2"/>
  <c r="BG56" i="18"/>
  <c r="AB56" i="2"/>
  <c r="BH56" i="18"/>
  <c r="AC56" i="2"/>
  <c r="BI56" i="18"/>
  <c r="AD56" i="2"/>
  <c r="BJ56" i="18"/>
  <c r="AE56" i="2"/>
  <c r="BK56" i="18"/>
  <c r="AF56" i="2"/>
  <c r="BL56" i="18"/>
  <c r="AG56" i="2"/>
  <c r="AI56" i="2"/>
  <c r="AK56" i="18"/>
  <c r="F56" i="2"/>
  <c r="AJ56" i="2"/>
  <c r="BN56" i="18"/>
  <c r="G56" i="3"/>
  <c r="BO56" i="18"/>
  <c r="H56" i="3"/>
  <c r="BP56" i="18"/>
  <c r="I56" i="3"/>
  <c r="BQ56" i="18"/>
  <c r="J56" i="3"/>
  <c r="BR56" i="18"/>
  <c r="K56" i="3"/>
  <c r="BS56" i="18"/>
  <c r="L56" i="3"/>
  <c r="BT56" i="18"/>
  <c r="M56" i="3"/>
  <c r="BU56" i="18"/>
  <c r="N56" i="3"/>
  <c r="BV56" i="18"/>
  <c r="O56" i="3"/>
  <c r="BW56" i="18"/>
  <c r="P56" i="3"/>
  <c r="BX56" i="18"/>
  <c r="Q56" i="3"/>
  <c r="BY56" i="18"/>
  <c r="R56" i="3"/>
  <c r="BZ56" i="18"/>
  <c r="S56" i="3"/>
  <c r="CA56" i="18"/>
  <c r="T56" i="3"/>
  <c r="CB56" i="18"/>
  <c r="U56" i="3"/>
  <c r="CC56" i="18"/>
  <c r="V56" i="3"/>
  <c r="CD56" i="18"/>
  <c r="W56" i="3"/>
  <c r="CE56" i="18"/>
  <c r="X56" i="3"/>
  <c r="CF56" i="18"/>
  <c r="Y56" i="3"/>
  <c r="CG56" i="18"/>
  <c r="Z56" i="3"/>
  <c r="CH56" i="18"/>
  <c r="AA56" i="3"/>
  <c r="CI56" i="18"/>
  <c r="AB56" i="3"/>
  <c r="CJ56" i="18"/>
  <c r="AC56" i="3"/>
  <c r="CK56" i="18"/>
  <c r="AD56" i="3"/>
  <c r="CL56" i="18"/>
  <c r="AE56" i="3"/>
  <c r="CM56" i="18"/>
  <c r="AF56" i="3"/>
  <c r="CN56" i="18"/>
  <c r="AG56" i="3"/>
  <c r="CO56" i="18"/>
  <c r="AH56" i="3"/>
  <c r="CP56" i="18"/>
  <c r="AI56" i="3"/>
  <c r="CQ56" i="18"/>
  <c r="AJ56" i="3"/>
  <c r="BM56" i="18"/>
  <c r="F56" i="3"/>
  <c r="AK56" i="3"/>
  <c r="CS56" i="18"/>
  <c r="G56" i="4"/>
  <c r="CT56" i="18"/>
  <c r="H56" i="4"/>
  <c r="CU56" i="18"/>
  <c r="I56" i="4"/>
  <c r="CV56" i="18"/>
  <c r="J56" i="4"/>
  <c r="CW56" i="18"/>
  <c r="K56" i="4"/>
  <c r="CX56" i="18"/>
  <c r="L56" i="4"/>
  <c r="CY56" i="18"/>
  <c r="M56" i="4"/>
  <c r="CZ56" i="18"/>
  <c r="N56" i="4"/>
  <c r="DA56" i="18"/>
  <c r="O56" i="4"/>
  <c r="DB56" i="18"/>
  <c r="P56" i="4"/>
  <c r="DC56" i="18"/>
  <c r="Q56" i="4"/>
  <c r="DD56" i="18"/>
  <c r="R56" i="4"/>
  <c r="DE56" i="18"/>
  <c r="S56" i="4"/>
  <c r="DF56" i="18"/>
  <c r="T56" i="4"/>
  <c r="DG56" i="18"/>
  <c r="U56" i="4"/>
  <c r="DH56" i="18"/>
  <c r="V56" i="4"/>
  <c r="DI56" i="18"/>
  <c r="W56" i="4"/>
  <c r="DJ56" i="18"/>
  <c r="X56" i="4"/>
  <c r="DK56" i="18"/>
  <c r="Y56" i="4"/>
  <c r="DL56" i="18"/>
  <c r="Z56" i="4"/>
  <c r="DM56" i="18"/>
  <c r="AA56" i="4"/>
  <c r="DN56" i="18"/>
  <c r="AB56" i="4"/>
  <c r="DO56" i="18"/>
  <c r="AC56" i="4"/>
  <c r="DP56" i="18"/>
  <c r="AD56" i="4"/>
  <c r="DQ56" i="18"/>
  <c r="AE56" i="4"/>
  <c r="DR56" i="18"/>
  <c r="AF56" i="4"/>
  <c r="DS56" i="18"/>
  <c r="AG56" i="4"/>
  <c r="DT56" i="18"/>
  <c r="AH56" i="4"/>
  <c r="DU56" i="18"/>
  <c r="AI56" i="4"/>
  <c r="CR56" i="18"/>
  <c r="F56" i="4"/>
  <c r="AK56" i="4"/>
  <c r="DW56" i="18"/>
  <c r="G56" i="5"/>
  <c r="DX56" i="18"/>
  <c r="H56" i="5"/>
  <c r="DY56" i="18"/>
  <c r="I56" i="5"/>
  <c r="DZ56" i="18"/>
  <c r="J56" i="5"/>
  <c r="EA56" i="18"/>
  <c r="K56" i="5"/>
  <c r="EB56" i="18"/>
  <c r="L56" i="5"/>
  <c r="EC56" i="18"/>
  <c r="M56" i="5"/>
  <c r="ED56" i="18"/>
  <c r="N56" i="5"/>
  <c r="EE56" i="18"/>
  <c r="O56" i="5"/>
  <c r="EF56" i="18"/>
  <c r="P56" i="5"/>
  <c r="EG56" i="18"/>
  <c r="Q56" i="5"/>
  <c r="EH56" i="18"/>
  <c r="R56" i="5"/>
  <c r="EI56" i="18"/>
  <c r="S56" i="5"/>
  <c r="EJ56" i="18"/>
  <c r="T56" i="5"/>
  <c r="EK56" i="18"/>
  <c r="U56" i="5"/>
  <c r="EL56" i="18"/>
  <c r="V56" i="5"/>
  <c r="EM56" i="18"/>
  <c r="W56" i="5"/>
  <c r="EN56" i="18"/>
  <c r="X56" i="5"/>
  <c r="EO56" i="18"/>
  <c r="Y56" i="5"/>
  <c r="EP56" i="18"/>
  <c r="Z56" i="5"/>
  <c r="EQ56" i="18"/>
  <c r="AA56" i="5"/>
  <c r="ER56" i="18"/>
  <c r="AB56" i="5"/>
  <c r="ES56" i="18"/>
  <c r="AC56" i="5"/>
  <c r="ET56" i="18"/>
  <c r="AD56" i="5"/>
  <c r="EU56" i="18"/>
  <c r="AE56" i="5"/>
  <c r="EV56" i="18"/>
  <c r="AF56" i="5"/>
  <c r="EW56" i="18"/>
  <c r="AG56" i="5"/>
  <c r="EX56" i="18"/>
  <c r="AH56" i="5"/>
  <c r="EY56" i="18"/>
  <c r="AI56" i="5"/>
  <c r="EZ56" i="18"/>
  <c r="AJ56" i="5"/>
  <c r="DV56" i="18"/>
  <c r="F56" i="5"/>
  <c r="AK56" i="5"/>
  <c r="FB56" i="18"/>
  <c r="G56" i="6"/>
  <c r="FC56" i="18"/>
  <c r="H56" i="6"/>
  <c r="FD56" i="18"/>
  <c r="I56" i="6"/>
  <c r="FE56" i="18"/>
  <c r="J56" i="6"/>
  <c r="FF56" i="18"/>
  <c r="K56" i="6"/>
  <c r="FG56" i="18"/>
  <c r="L56" i="6"/>
  <c r="FH56" i="18"/>
  <c r="M56" i="6"/>
  <c r="FI56" i="18"/>
  <c r="N56" i="6"/>
  <c r="FJ56" i="18"/>
  <c r="O56" i="6"/>
  <c r="FK56" i="18"/>
  <c r="P56" i="6"/>
  <c r="FL56" i="18"/>
  <c r="Q56" i="6"/>
  <c r="FM56" i="18"/>
  <c r="R56" i="6"/>
  <c r="FN56" i="18"/>
  <c r="S56" i="6"/>
  <c r="FO56" i="18"/>
  <c r="T56" i="6"/>
  <c r="FP56" i="18"/>
  <c r="U56" i="6"/>
  <c r="FQ56" i="18"/>
  <c r="V56" i="6"/>
  <c r="FR56" i="18"/>
  <c r="W56" i="6"/>
  <c r="FS56" i="18"/>
  <c r="X56" i="6"/>
  <c r="FT56" i="18"/>
  <c r="Y56" i="6"/>
  <c r="FU56" i="18"/>
  <c r="Z56" i="6"/>
  <c r="FV56" i="18"/>
  <c r="AA56" i="6"/>
  <c r="FW56" i="18"/>
  <c r="AB56" i="6"/>
  <c r="FX56" i="18"/>
  <c r="AC56" i="6"/>
  <c r="FY56" i="18"/>
  <c r="AD56" i="6"/>
  <c r="FZ56" i="18"/>
  <c r="AE56" i="6"/>
  <c r="GA56" i="18"/>
  <c r="AF56" i="6"/>
  <c r="GB56" i="18"/>
  <c r="AG56" i="6"/>
  <c r="GC56" i="18"/>
  <c r="AH56" i="6"/>
  <c r="GD56" i="18"/>
  <c r="AI56" i="6"/>
  <c r="FA56" i="18"/>
  <c r="F56" i="6"/>
  <c r="AK56" i="6"/>
  <c r="GF56" i="18"/>
  <c r="G56" i="7"/>
  <c r="GG56" i="18"/>
  <c r="H56" i="7"/>
  <c r="GH56" i="18"/>
  <c r="I56" i="7"/>
  <c r="GI56" i="18"/>
  <c r="J56" i="7"/>
  <c r="GJ56" i="18"/>
  <c r="K56" i="7"/>
  <c r="GK56" i="18"/>
  <c r="L56" i="7"/>
  <c r="GL56" i="18"/>
  <c r="M56" i="7"/>
  <c r="GM56" i="18"/>
  <c r="N56" i="7"/>
  <c r="GN56" i="18"/>
  <c r="O56" i="7"/>
  <c r="GO56" i="18"/>
  <c r="P56" i="7"/>
  <c r="GP56" i="18"/>
  <c r="Q56" i="7"/>
  <c r="GQ56" i="18"/>
  <c r="R56" i="7"/>
  <c r="GR56" i="18"/>
  <c r="S56" i="7"/>
  <c r="GS56" i="18"/>
  <c r="T56" i="7"/>
  <c r="GT56" i="18"/>
  <c r="U56" i="7"/>
  <c r="GU56" i="18"/>
  <c r="V56" i="7"/>
  <c r="GV56" i="18"/>
  <c r="W56" i="7"/>
  <c r="GW56" i="18"/>
  <c r="X56" i="7"/>
  <c r="GX56" i="18"/>
  <c r="Y56" i="7"/>
  <c r="GY56" i="18"/>
  <c r="Z56" i="7"/>
  <c r="GZ56" i="18"/>
  <c r="AA56" i="7"/>
  <c r="HA56" i="18"/>
  <c r="AB56" i="7"/>
  <c r="HB56" i="18"/>
  <c r="AC56" i="7"/>
  <c r="HC56" i="18"/>
  <c r="AD56" i="7"/>
  <c r="HD56" i="18"/>
  <c r="AE56" i="7"/>
  <c r="HE56" i="18"/>
  <c r="AF56" i="7"/>
  <c r="HF56" i="18"/>
  <c r="AG56" i="7"/>
  <c r="HG56" i="18"/>
  <c r="AH56" i="7"/>
  <c r="HH56" i="18"/>
  <c r="AI56" i="7"/>
  <c r="HI56" i="18"/>
  <c r="AJ56" i="7"/>
  <c r="GE56" i="18"/>
  <c r="F56" i="7"/>
  <c r="AK56" i="7"/>
  <c r="HK56" i="18"/>
  <c r="G56" i="8"/>
  <c r="HL56" i="18"/>
  <c r="H56" i="8"/>
  <c r="HM56" i="18"/>
  <c r="I56" i="8"/>
  <c r="HN56" i="18"/>
  <c r="J56" i="8"/>
  <c r="HO56" i="18"/>
  <c r="K56" i="8"/>
  <c r="HP56" i="18"/>
  <c r="L56" i="8"/>
  <c r="HQ56" i="18"/>
  <c r="M56" i="8"/>
  <c r="HR56" i="18"/>
  <c r="N56" i="8"/>
  <c r="HS56" i="18"/>
  <c r="O56" i="8"/>
  <c r="HT56" i="18"/>
  <c r="P56" i="8"/>
  <c r="HU56" i="18"/>
  <c r="Q56" i="8"/>
  <c r="HV56" i="18"/>
  <c r="R56" i="8"/>
  <c r="HW56" i="18"/>
  <c r="S56" i="8"/>
  <c r="HX56" i="18"/>
  <c r="T56" i="8"/>
  <c r="HY56" i="18"/>
  <c r="U56" i="8"/>
  <c r="HZ56" i="18"/>
  <c r="V56" i="8"/>
  <c r="IA56" i="18"/>
  <c r="W56" i="8"/>
  <c r="IB56" i="18"/>
  <c r="X56" i="8"/>
  <c r="IC56" i="18"/>
  <c r="Y56" i="8"/>
  <c r="ID56" i="18"/>
  <c r="Z56" i="8"/>
  <c r="IE56" i="18"/>
  <c r="AA56" i="8"/>
  <c r="IF56" i="18"/>
  <c r="AB56" i="8"/>
  <c r="IG56" i="18"/>
  <c r="AC56" i="8"/>
  <c r="IH56" i="18"/>
  <c r="AD56" i="8"/>
  <c r="II56" i="18"/>
  <c r="AE56" i="8"/>
  <c r="IJ56" i="18"/>
  <c r="AF56" i="8"/>
  <c r="IK56" i="18"/>
  <c r="AG56" i="8"/>
  <c r="IL56" i="18"/>
  <c r="AH56" i="8"/>
  <c r="IM56" i="18"/>
  <c r="AI56" i="8"/>
  <c r="IN56" i="18"/>
  <c r="AJ56" i="8"/>
  <c r="HJ56" i="18"/>
  <c r="F56" i="8"/>
  <c r="AK56" i="8"/>
  <c r="IP56" i="18"/>
  <c r="G56" i="9"/>
  <c r="IQ56" i="18"/>
  <c r="H56" i="9"/>
  <c r="IR56" i="18"/>
  <c r="I56" i="9"/>
  <c r="IS56" i="18"/>
  <c r="J56" i="9"/>
  <c r="IT56" i="18"/>
  <c r="K56" i="9"/>
  <c r="IU56" i="18"/>
  <c r="L56" i="9"/>
  <c r="IV56" i="18"/>
  <c r="M56" i="9"/>
  <c r="IW56" i="18"/>
  <c r="N56" i="9"/>
  <c r="IX56" i="18"/>
  <c r="O56" i="9"/>
  <c r="IY56" i="18"/>
  <c r="P56" i="9"/>
  <c r="IZ56" i="18"/>
  <c r="Q56" i="9"/>
  <c r="JA56" i="18"/>
  <c r="R56" i="9"/>
  <c r="JB56" i="18"/>
  <c r="S56" i="9"/>
  <c r="JC56" i="18"/>
  <c r="T56" i="9"/>
  <c r="JD56" i="18"/>
  <c r="U56" i="9"/>
  <c r="JE56" i="18"/>
  <c r="V56" i="9"/>
  <c r="JF56" i="18"/>
  <c r="W56" i="9"/>
  <c r="JG56" i="18"/>
  <c r="X56" i="9"/>
  <c r="JH56" i="18"/>
  <c r="Y56" i="9"/>
  <c r="JI56" i="18"/>
  <c r="Z56" i="9"/>
  <c r="JJ56" i="18"/>
  <c r="AA56" i="9"/>
  <c r="JK56" i="18"/>
  <c r="AB56" i="9"/>
  <c r="JL56" i="18"/>
  <c r="AC56" i="9"/>
  <c r="JM56" i="18"/>
  <c r="AD56" i="9"/>
  <c r="JN56" i="18"/>
  <c r="AE56" i="9"/>
  <c r="JO56" i="18"/>
  <c r="AF56" i="9"/>
  <c r="JP56" i="18"/>
  <c r="AG56" i="9"/>
  <c r="JQ56" i="18"/>
  <c r="AH56" i="9"/>
  <c r="JR56" i="18"/>
  <c r="AI56" i="9"/>
  <c r="IO56" i="18"/>
  <c r="F56" i="9"/>
  <c r="AK56" i="9"/>
  <c r="JT56" i="18"/>
  <c r="G56" i="10"/>
  <c r="JU56" i="18"/>
  <c r="H56" i="10"/>
  <c r="JV56" i="18"/>
  <c r="I56" i="10"/>
  <c r="JW56" i="18"/>
  <c r="J56" i="10"/>
  <c r="JX56" i="18"/>
  <c r="K56" i="10"/>
  <c r="JY56" i="18"/>
  <c r="L56" i="10"/>
  <c r="JZ56" i="18"/>
  <c r="M56" i="10"/>
  <c r="KA56" i="18"/>
  <c r="N56" i="10"/>
  <c r="KB56" i="18"/>
  <c r="O56" i="10"/>
  <c r="KC56" i="18"/>
  <c r="P56" i="10"/>
  <c r="KD56" i="18"/>
  <c r="Q56" i="10"/>
  <c r="KE56" i="18"/>
  <c r="R56" i="10"/>
  <c r="KF56" i="18"/>
  <c r="S56" i="10"/>
  <c r="KG56" i="18"/>
  <c r="T56" i="10"/>
  <c r="KH56" i="18"/>
  <c r="U56" i="10"/>
  <c r="KI56" i="18"/>
  <c r="V56" i="10"/>
  <c r="KJ56" i="18"/>
  <c r="W56" i="10"/>
  <c r="KK56" i="18"/>
  <c r="X56" i="10"/>
  <c r="KL56" i="18"/>
  <c r="Y56" i="10"/>
  <c r="KM56" i="18"/>
  <c r="Z56" i="10"/>
  <c r="KN56" i="18"/>
  <c r="AA56" i="10"/>
  <c r="KO56" i="18"/>
  <c r="AB56" i="10"/>
  <c r="KP56" i="18"/>
  <c r="AC56" i="10"/>
  <c r="KQ56" i="18"/>
  <c r="AD56" i="10"/>
  <c r="KR56" i="18"/>
  <c r="AE56" i="10"/>
  <c r="KS56" i="18"/>
  <c r="AF56" i="10"/>
  <c r="KT56" i="18"/>
  <c r="AG56" i="10"/>
  <c r="KU56" i="18"/>
  <c r="AH56" i="10"/>
  <c r="KV56" i="18"/>
  <c r="AI56" i="10"/>
  <c r="KW56" i="18"/>
  <c r="AJ56" i="10"/>
  <c r="JS56" i="18"/>
  <c r="F56" i="10"/>
  <c r="AK56" i="10"/>
  <c r="KY56" i="18"/>
  <c r="G56" i="11"/>
  <c r="KZ56" i="18"/>
  <c r="H56" i="11"/>
  <c r="LA56" i="18"/>
  <c r="I56" i="11"/>
  <c r="LB56" i="18"/>
  <c r="J56" i="11"/>
  <c r="LC56" i="18"/>
  <c r="K56" i="11"/>
  <c r="LD56" i="18"/>
  <c r="L56" i="11"/>
  <c r="LE56" i="18"/>
  <c r="M56" i="11"/>
  <c r="LF56" i="18"/>
  <c r="N56" i="11"/>
  <c r="LG56" i="18"/>
  <c r="O56" i="11"/>
  <c r="LH56" i="18"/>
  <c r="P56" i="11"/>
  <c r="LI56" i="18"/>
  <c r="Q56" i="11"/>
  <c r="LJ56" i="18"/>
  <c r="R56" i="11"/>
  <c r="LK56" i="18"/>
  <c r="S56" i="11"/>
  <c r="LL56" i="18"/>
  <c r="T56" i="11"/>
  <c r="LM56" i="18"/>
  <c r="U56" i="11"/>
  <c r="LN56" i="18"/>
  <c r="V56" i="11"/>
  <c r="LO56" i="18"/>
  <c r="W56" i="11"/>
  <c r="LP56" i="18"/>
  <c r="X56" i="11"/>
  <c r="LQ56" i="18"/>
  <c r="Y56" i="11"/>
  <c r="LR56" i="18"/>
  <c r="Z56" i="11"/>
  <c r="LS56" i="18"/>
  <c r="AA56" i="11"/>
  <c r="LT56" i="18"/>
  <c r="AB56" i="11"/>
  <c r="LU56" i="18"/>
  <c r="AC56" i="11"/>
  <c r="LV56" i="18"/>
  <c r="AD56" i="11"/>
  <c r="LW56" i="18"/>
  <c r="AE56" i="11"/>
  <c r="LX56" i="18"/>
  <c r="AF56" i="11"/>
  <c r="LY56" i="18"/>
  <c r="AG56" i="11"/>
  <c r="LZ56" i="18"/>
  <c r="AH56" i="11"/>
  <c r="MA56" i="18"/>
  <c r="AI56" i="11"/>
  <c r="KX56" i="18"/>
  <c r="F56" i="11"/>
  <c r="AK56" i="11"/>
  <c r="MC56" i="18"/>
  <c r="G56" i="12"/>
  <c r="MD56" i="18"/>
  <c r="H56" i="12"/>
  <c r="ME56" i="18"/>
  <c r="I56" i="12"/>
  <c r="MF56" i="18"/>
  <c r="J56" i="12"/>
  <c r="MG56" i="18"/>
  <c r="K56" i="12"/>
  <c r="MH56" i="18"/>
  <c r="L56" i="12"/>
  <c r="MI56" i="18"/>
  <c r="M56" i="12"/>
  <c r="MJ56" i="18"/>
  <c r="N56" i="12"/>
  <c r="MK56" i="18"/>
  <c r="O56" i="12"/>
  <c r="ML56" i="18"/>
  <c r="P56" i="12"/>
  <c r="MM56" i="18"/>
  <c r="Q56" i="12"/>
  <c r="MN56" i="18"/>
  <c r="R56" i="12"/>
  <c r="MO56" i="18"/>
  <c r="S56" i="12"/>
  <c r="MP56" i="18"/>
  <c r="T56" i="12"/>
  <c r="MQ56" i="18"/>
  <c r="U56" i="12"/>
  <c r="MR56" i="18"/>
  <c r="V56" i="12"/>
  <c r="MS56" i="18"/>
  <c r="W56" i="12"/>
  <c r="MT56" i="18"/>
  <c r="X56" i="12"/>
  <c r="MU56" i="18"/>
  <c r="Y56" i="12"/>
  <c r="MV56" i="18"/>
  <c r="Z56" i="12"/>
  <c r="MW56" i="18"/>
  <c r="AA56" i="12"/>
  <c r="MX56" i="18"/>
  <c r="AB56" i="12"/>
  <c r="MY56" i="18"/>
  <c r="AC56" i="12"/>
  <c r="MZ56" i="18"/>
  <c r="AD56" i="12"/>
  <c r="NA56" i="18"/>
  <c r="AE56" i="12"/>
  <c r="NB56" i="18"/>
  <c r="AF56" i="12"/>
  <c r="NC56" i="18"/>
  <c r="AG56" i="12"/>
  <c r="ND56" i="18"/>
  <c r="AH56" i="12"/>
  <c r="NE56" i="18"/>
  <c r="AI56" i="12"/>
  <c r="NF56" i="18"/>
  <c r="AJ56" i="12"/>
  <c r="MB56" i="18"/>
  <c r="F56" i="12"/>
  <c r="AK56" i="12"/>
  <c r="P52" i="13"/>
  <c r="G55" i="18"/>
  <c r="H55" i="18"/>
  <c r="I55" i="18"/>
  <c r="J55" i="18"/>
  <c r="K55" i="18"/>
  <c r="L55" i="18"/>
  <c r="M55" i="18"/>
  <c r="N55" i="18"/>
  <c r="O55" i="18"/>
  <c r="P55" i="18"/>
  <c r="Q55" i="18"/>
  <c r="R55" i="18"/>
  <c r="S55" i="18"/>
  <c r="T55" i="18"/>
  <c r="U55" i="18"/>
  <c r="V55" i="18"/>
  <c r="W55" i="18"/>
  <c r="X55" i="18"/>
  <c r="Y55" i="18"/>
  <c r="Z55" i="18"/>
  <c r="AA55" i="18"/>
  <c r="AB55" i="18"/>
  <c r="AC55" i="18"/>
  <c r="AD55" i="18"/>
  <c r="AE55" i="18"/>
  <c r="AF55" i="18"/>
  <c r="AG55" i="18"/>
  <c r="AH55" i="18"/>
  <c r="AI55" i="18"/>
  <c r="AJ55" i="18"/>
  <c r="F55" i="18"/>
  <c r="AL55" i="18"/>
  <c r="G55" i="2"/>
  <c r="AM55" i="18"/>
  <c r="H55" i="2"/>
  <c r="AN55" i="18"/>
  <c r="I55" i="2"/>
  <c r="AO55" i="18"/>
  <c r="J55" i="2"/>
  <c r="AP55" i="18"/>
  <c r="K55" i="2"/>
  <c r="AQ55" i="18"/>
  <c r="L55" i="2"/>
  <c r="AR55" i="18"/>
  <c r="M55" i="2"/>
  <c r="AS55" i="18"/>
  <c r="N55" i="2"/>
  <c r="AT55" i="18"/>
  <c r="O55" i="2"/>
  <c r="AU55" i="18"/>
  <c r="P55" i="2"/>
  <c r="AV55" i="18"/>
  <c r="Q55" i="2"/>
  <c r="AW55" i="18"/>
  <c r="R55" i="2"/>
  <c r="AX55" i="18"/>
  <c r="S55" i="2"/>
  <c r="AY55" i="18"/>
  <c r="T55" i="2"/>
  <c r="AZ55" i="18"/>
  <c r="U55" i="2"/>
  <c r="BA55" i="18"/>
  <c r="V55" i="2"/>
  <c r="BB55" i="18"/>
  <c r="W55" i="2"/>
  <c r="BC55" i="18"/>
  <c r="X55" i="2"/>
  <c r="BD55" i="18"/>
  <c r="Y55" i="2"/>
  <c r="BE55" i="18"/>
  <c r="Z55" i="2"/>
  <c r="BF55" i="18"/>
  <c r="AA55" i="2"/>
  <c r="BG55" i="18"/>
  <c r="AB55" i="2"/>
  <c r="BH55" i="18"/>
  <c r="AC55" i="2"/>
  <c r="BI55" i="18"/>
  <c r="AD55" i="2"/>
  <c r="BJ55" i="18"/>
  <c r="AE55" i="2"/>
  <c r="BK55" i="18"/>
  <c r="AF55" i="2"/>
  <c r="BL55" i="18"/>
  <c r="AG55" i="2"/>
  <c r="AI55" i="2"/>
  <c r="AK55" i="18"/>
  <c r="F55" i="2"/>
  <c r="AJ55" i="2"/>
  <c r="BN55" i="18"/>
  <c r="G55" i="3"/>
  <c r="BO55" i="18"/>
  <c r="H55" i="3"/>
  <c r="BP55" i="18"/>
  <c r="I55" i="3"/>
  <c r="BQ55" i="18"/>
  <c r="J55" i="3"/>
  <c r="BR55" i="18"/>
  <c r="K55" i="3"/>
  <c r="BS55" i="18"/>
  <c r="L55" i="3"/>
  <c r="BT55" i="18"/>
  <c r="M55" i="3"/>
  <c r="BU55" i="18"/>
  <c r="N55" i="3"/>
  <c r="BV55" i="18"/>
  <c r="O55" i="3"/>
  <c r="BW55" i="18"/>
  <c r="P55" i="3"/>
  <c r="BX55" i="18"/>
  <c r="Q55" i="3"/>
  <c r="BY55" i="18"/>
  <c r="R55" i="3"/>
  <c r="BZ55" i="18"/>
  <c r="S55" i="3"/>
  <c r="CA55" i="18"/>
  <c r="T55" i="3"/>
  <c r="CB55" i="18"/>
  <c r="U55" i="3"/>
  <c r="CC55" i="18"/>
  <c r="V55" i="3"/>
  <c r="CD55" i="18"/>
  <c r="W55" i="3"/>
  <c r="CE55" i="18"/>
  <c r="X55" i="3"/>
  <c r="CF55" i="18"/>
  <c r="Y55" i="3"/>
  <c r="CG55" i="18"/>
  <c r="Z55" i="3"/>
  <c r="CH55" i="18"/>
  <c r="AA55" i="3"/>
  <c r="CI55" i="18"/>
  <c r="AB55" i="3"/>
  <c r="CJ55" i="18"/>
  <c r="AC55" i="3"/>
  <c r="CK55" i="18"/>
  <c r="AD55" i="3"/>
  <c r="CL55" i="18"/>
  <c r="AE55" i="3"/>
  <c r="CM55" i="18"/>
  <c r="AF55" i="3"/>
  <c r="CN55" i="18"/>
  <c r="AG55" i="3"/>
  <c r="CO55" i="18"/>
  <c r="AH55" i="3"/>
  <c r="CP55" i="18"/>
  <c r="AI55" i="3"/>
  <c r="CQ55" i="18"/>
  <c r="AJ55" i="3"/>
  <c r="BM55" i="18"/>
  <c r="F55" i="3"/>
  <c r="AK55" i="3"/>
  <c r="CS55" i="18"/>
  <c r="G55" i="4"/>
  <c r="CT55" i="18"/>
  <c r="H55" i="4"/>
  <c r="CU55" i="18"/>
  <c r="I55" i="4"/>
  <c r="CV55" i="18"/>
  <c r="J55" i="4"/>
  <c r="CW55" i="18"/>
  <c r="K55" i="4"/>
  <c r="CX55" i="18"/>
  <c r="L55" i="4"/>
  <c r="CY55" i="18"/>
  <c r="M55" i="4"/>
  <c r="CZ55" i="18"/>
  <c r="N55" i="4"/>
  <c r="DA55" i="18"/>
  <c r="O55" i="4"/>
  <c r="DB55" i="18"/>
  <c r="P55" i="4"/>
  <c r="DC55" i="18"/>
  <c r="Q55" i="4"/>
  <c r="DD55" i="18"/>
  <c r="R55" i="4"/>
  <c r="DE55" i="18"/>
  <c r="S55" i="4"/>
  <c r="DF55" i="18"/>
  <c r="T55" i="4"/>
  <c r="DG55" i="18"/>
  <c r="U55" i="4"/>
  <c r="DH55" i="18"/>
  <c r="V55" i="4"/>
  <c r="DI55" i="18"/>
  <c r="W55" i="4"/>
  <c r="DJ55" i="18"/>
  <c r="X55" i="4"/>
  <c r="DK55" i="18"/>
  <c r="Y55" i="4"/>
  <c r="DL55" i="18"/>
  <c r="Z55" i="4"/>
  <c r="DM55" i="18"/>
  <c r="AA55" i="4"/>
  <c r="DN55" i="18"/>
  <c r="AB55" i="4"/>
  <c r="DO55" i="18"/>
  <c r="AC55" i="4"/>
  <c r="DP55" i="18"/>
  <c r="AD55" i="4"/>
  <c r="DQ55" i="18"/>
  <c r="AE55" i="4"/>
  <c r="DR55" i="18"/>
  <c r="AF55" i="4"/>
  <c r="DS55" i="18"/>
  <c r="AG55" i="4"/>
  <c r="DT55" i="18"/>
  <c r="AH55" i="4"/>
  <c r="DU55" i="18"/>
  <c r="AI55" i="4"/>
  <c r="CR55" i="18"/>
  <c r="F55" i="4"/>
  <c r="AK55" i="4"/>
  <c r="DW55" i="18"/>
  <c r="G55" i="5"/>
  <c r="DX55" i="18"/>
  <c r="H55" i="5"/>
  <c r="DY55" i="18"/>
  <c r="I55" i="5"/>
  <c r="DZ55" i="18"/>
  <c r="J55" i="5"/>
  <c r="EA55" i="18"/>
  <c r="K55" i="5"/>
  <c r="EB55" i="18"/>
  <c r="L55" i="5"/>
  <c r="EC55" i="18"/>
  <c r="M55" i="5"/>
  <c r="ED55" i="18"/>
  <c r="N55" i="5"/>
  <c r="EE55" i="18"/>
  <c r="O55" i="5"/>
  <c r="EF55" i="18"/>
  <c r="P55" i="5"/>
  <c r="EG55" i="18"/>
  <c r="Q55" i="5"/>
  <c r="EH55" i="18"/>
  <c r="R55" i="5"/>
  <c r="EI55" i="18"/>
  <c r="S55" i="5"/>
  <c r="EJ55" i="18"/>
  <c r="T55" i="5"/>
  <c r="EK55" i="18"/>
  <c r="U55" i="5"/>
  <c r="EL55" i="18"/>
  <c r="V55" i="5"/>
  <c r="EM55" i="18"/>
  <c r="W55" i="5"/>
  <c r="EN55" i="18"/>
  <c r="X55" i="5"/>
  <c r="EO55" i="18"/>
  <c r="Y55" i="5"/>
  <c r="EP55" i="18"/>
  <c r="Z55" i="5"/>
  <c r="EQ55" i="18"/>
  <c r="AA55" i="5"/>
  <c r="ER55" i="18"/>
  <c r="AB55" i="5"/>
  <c r="ES55" i="18"/>
  <c r="AC55" i="5"/>
  <c r="ET55" i="18"/>
  <c r="AD55" i="5"/>
  <c r="EU55" i="18"/>
  <c r="AE55" i="5"/>
  <c r="EV55" i="18"/>
  <c r="AF55" i="5"/>
  <c r="EW55" i="18"/>
  <c r="AG55" i="5"/>
  <c r="EX55" i="18"/>
  <c r="AH55" i="5"/>
  <c r="EY55" i="18"/>
  <c r="AI55" i="5"/>
  <c r="EZ55" i="18"/>
  <c r="AJ55" i="5"/>
  <c r="DV55" i="18"/>
  <c r="F55" i="5"/>
  <c r="AK55" i="5"/>
  <c r="FB55" i="18"/>
  <c r="G55" i="6"/>
  <c r="FC55" i="18"/>
  <c r="H55" i="6"/>
  <c r="FD55" i="18"/>
  <c r="I55" i="6"/>
  <c r="FE55" i="18"/>
  <c r="J55" i="6"/>
  <c r="FF55" i="18"/>
  <c r="K55" i="6"/>
  <c r="FG55" i="18"/>
  <c r="L55" i="6"/>
  <c r="FH55" i="18"/>
  <c r="M55" i="6"/>
  <c r="FI55" i="18"/>
  <c r="N55" i="6"/>
  <c r="FJ55" i="18"/>
  <c r="O55" i="6"/>
  <c r="FK55" i="18"/>
  <c r="P55" i="6"/>
  <c r="FL55" i="18"/>
  <c r="Q55" i="6"/>
  <c r="FM55" i="18"/>
  <c r="R55" i="6"/>
  <c r="FN55" i="18"/>
  <c r="S55" i="6"/>
  <c r="FO55" i="18"/>
  <c r="T55" i="6"/>
  <c r="FP55" i="18"/>
  <c r="U55" i="6"/>
  <c r="FQ55" i="18"/>
  <c r="V55" i="6"/>
  <c r="FR55" i="18"/>
  <c r="W55" i="6"/>
  <c r="FS55" i="18"/>
  <c r="X55" i="6"/>
  <c r="FT55" i="18"/>
  <c r="Y55" i="6"/>
  <c r="FU55" i="18"/>
  <c r="Z55" i="6"/>
  <c r="FV55" i="18"/>
  <c r="AA55" i="6"/>
  <c r="FW55" i="18"/>
  <c r="AB55" i="6"/>
  <c r="FX55" i="18"/>
  <c r="AC55" i="6"/>
  <c r="FY55" i="18"/>
  <c r="AD55" i="6"/>
  <c r="FZ55" i="18"/>
  <c r="AE55" i="6"/>
  <c r="GA55" i="18"/>
  <c r="AF55" i="6"/>
  <c r="GB55" i="18"/>
  <c r="AG55" i="6"/>
  <c r="GC55" i="18"/>
  <c r="AH55" i="6"/>
  <c r="GD55" i="18"/>
  <c r="AI55" i="6"/>
  <c r="FA55" i="18"/>
  <c r="F55" i="6"/>
  <c r="AK55" i="6"/>
  <c r="GF55" i="18"/>
  <c r="G55" i="7"/>
  <c r="GG55" i="18"/>
  <c r="H55" i="7"/>
  <c r="GH55" i="18"/>
  <c r="I55" i="7"/>
  <c r="GI55" i="18"/>
  <c r="J55" i="7"/>
  <c r="GJ55" i="18"/>
  <c r="K55" i="7"/>
  <c r="GK55" i="18"/>
  <c r="L55" i="7"/>
  <c r="GL55" i="18"/>
  <c r="M55" i="7"/>
  <c r="GM55" i="18"/>
  <c r="N55" i="7"/>
  <c r="GN55" i="18"/>
  <c r="O55" i="7"/>
  <c r="GO55" i="18"/>
  <c r="P55" i="7"/>
  <c r="GP55" i="18"/>
  <c r="Q55" i="7"/>
  <c r="GQ55" i="18"/>
  <c r="R55" i="7"/>
  <c r="GR55" i="18"/>
  <c r="S55" i="7"/>
  <c r="GS55" i="18"/>
  <c r="T55" i="7"/>
  <c r="GT55" i="18"/>
  <c r="U55" i="7"/>
  <c r="GU55" i="18"/>
  <c r="V55" i="7"/>
  <c r="GV55" i="18"/>
  <c r="W55" i="7"/>
  <c r="GW55" i="18"/>
  <c r="X55" i="7"/>
  <c r="GX55" i="18"/>
  <c r="Y55" i="7"/>
  <c r="GY55" i="18"/>
  <c r="Z55" i="7"/>
  <c r="GZ55" i="18"/>
  <c r="AA55" i="7"/>
  <c r="HA55" i="18"/>
  <c r="AB55" i="7"/>
  <c r="HB55" i="18"/>
  <c r="AC55" i="7"/>
  <c r="HC55" i="18"/>
  <c r="AD55" i="7"/>
  <c r="HD55" i="18"/>
  <c r="AE55" i="7"/>
  <c r="HE55" i="18"/>
  <c r="AF55" i="7"/>
  <c r="HF55" i="18"/>
  <c r="AG55" i="7"/>
  <c r="HG55" i="18"/>
  <c r="AH55" i="7"/>
  <c r="HH55" i="18"/>
  <c r="AI55" i="7"/>
  <c r="HI55" i="18"/>
  <c r="AJ55" i="7"/>
  <c r="GE55" i="18"/>
  <c r="F55" i="7"/>
  <c r="AK55" i="7"/>
  <c r="HK55" i="18"/>
  <c r="G55" i="8"/>
  <c r="HL55" i="18"/>
  <c r="H55" i="8"/>
  <c r="HM55" i="18"/>
  <c r="I55" i="8"/>
  <c r="HN55" i="18"/>
  <c r="J55" i="8"/>
  <c r="HO55" i="18"/>
  <c r="K55" i="8"/>
  <c r="HP55" i="18"/>
  <c r="L55" i="8"/>
  <c r="HQ55" i="18"/>
  <c r="M55" i="8"/>
  <c r="HR55" i="18"/>
  <c r="N55" i="8"/>
  <c r="HS55" i="18"/>
  <c r="O55" i="8"/>
  <c r="HT55" i="18"/>
  <c r="P55" i="8"/>
  <c r="HU55" i="18"/>
  <c r="Q55" i="8"/>
  <c r="HV55" i="18"/>
  <c r="R55" i="8"/>
  <c r="HW55" i="18"/>
  <c r="S55" i="8"/>
  <c r="HX55" i="18"/>
  <c r="T55" i="8"/>
  <c r="HY55" i="18"/>
  <c r="U55" i="8"/>
  <c r="HZ55" i="18"/>
  <c r="V55" i="8"/>
  <c r="IA55" i="18"/>
  <c r="W55" i="8"/>
  <c r="IB55" i="18"/>
  <c r="X55" i="8"/>
  <c r="IC55" i="18"/>
  <c r="Y55" i="8"/>
  <c r="ID55" i="18"/>
  <c r="Z55" i="8"/>
  <c r="IE55" i="18"/>
  <c r="AA55" i="8"/>
  <c r="IF55" i="18"/>
  <c r="AB55" i="8"/>
  <c r="IG55" i="18"/>
  <c r="AC55" i="8"/>
  <c r="IH55" i="18"/>
  <c r="AD55" i="8"/>
  <c r="II55" i="18"/>
  <c r="AE55" i="8"/>
  <c r="IJ55" i="18"/>
  <c r="AF55" i="8"/>
  <c r="IK55" i="18"/>
  <c r="AG55" i="8"/>
  <c r="IL55" i="18"/>
  <c r="AH55" i="8"/>
  <c r="IM55" i="18"/>
  <c r="AI55" i="8"/>
  <c r="IN55" i="18"/>
  <c r="AJ55" i="8"/>
  <c r="HJ55" i="18"/>
  <c r="F55" i="8"/>
  <c r="AK55" i="8"/>
  <c r="IP55" i="18"/>
  <c r="G55" i="9"/>
  <c r="IQ55" i="18"/>
  <c r="H55" i="9"/>
  <c r="IR55" i="18"/>
  <c r="I55" i="9"/>
  <c r="IS55" i="18"/>
  <c r="J55" i="9"/>
  <c r="IT55" i="18"/>
  <c r="K55" i="9"/>
  <c r="IU55" i="18"/>
  <c r="L55" i="9"/>
  <c r="IV55" i="18"/>
  <c r="M55" i="9"/>
  <c r="IW55" i="18"/>
  <c r="N55" i="9"/>
  <c r="IX55" i="18"/>
  <c r="O55" i="9"/>
  <c r="IY55" i="18"/>
  <c r="P55" i="9"/>
  <c r="IZ55" i="18"/>
  <c r="Q55" i="9"/>
  <c r="JA55" i="18"/>
  <c r="R55" i="9"/>
  <c r="JB55" i="18"/>
  <c r="S55" i="9"/>
  <c r="JC55" i="18"/>
  <c r="T55" i="9"/>
  <c r="JD55" i="18"/>
  <c r="U55" i="9"/>
  <c r="JE55" i="18"/>
  <c r="V55" i="9"/>
  <c r="JF55" i="18"/>
  <c r="W55" i="9"/>
  <c r="JG55" i="18"/>
  <c r="X55" i="9"/>
  <c r="JH55" i="18"/>
  <c r="Y55" i="9"/>
  <c r="JI55" i="18"/>
  <c r="Z55" i="9"/>
  <c r="JJ55" i="18"/>
  <c r="AA55" i="9"/>
  <c r="JK55" i="18"/>
  <c r="AB55" i="9"/>
  <c r="JL55" i="18"/>
  <c r="AC55" i="9"/>
  <c r="JM55" i="18"/>
  <c r="AD55" i="9"/>
  <c r="JN55" i="18"/>
  <c r="AE55" i="9"/>
  <c r="JO55" i="18"/>
  <c r="AF55" i="9"/>
  <c r="JP55" i="18"/>
  <c r="AG55" i="9"/>
  <c r="JQ55" i="18"/>
  <c r="AH55" i="9"/>
  <c r="JR55" i="18"/>
  <c r="AI55" i="9"/>
  <c r="IO55" i="18"/>
  <c r="F55" i="9"/>
  <c r="AK55" i="9"/>
  <c r="JT55" i="18"/>
  <c r="G55" i="10"/>
  <c r="JU55" i="18"/>
  <c r="H55" i="10"/>
  <c r="JV55" i="18"/>
  <c r="I55" i="10"/>
  <c r="JW55" i="18"/>
  <c r="J55" i="10"/>
  <c r="JX55" i="18"/>
  <c r="K55" i="10"/>
  <c r="JY55" i="18"/>
  <c r="L55" i="10"/>
  <c r="JZ55" i="18"/>
  <c r="M55" i="10"/>
  <c r="KA55" i="18"/>
  <c r="N55" i="10"/>
  <c r="KB55" i="18"/>
  <c r="O55" i="10"/>
  <c r="KC55" i="18"/>
  <c r="P55" i="10"/>
  <c r="KD55" i="18"/>
  <c r="Q55" i="10"/>
  <c r="KE55" i="18"/>
  <c r="R55" i="10"/>
  <c r="KF55" i="18"/>
  <c r="S55" i="10"/>
  <c r="KG55" i="18"/>
  <c r="T55" i="10"/>
  <c r="KH55" i="18"/>
  <c r="U55" i="10"/>
  <c r="KI55" i="18"/>
  <c r="V55" i="10"/>
  <c r="KJ55" i="18"/>
  <c r="W55" i="10"/>
  <c r="KK55" i="18"/>
  <c r="X55" i="10"/>
  <c r="KL55" i="18"/>
  <c r="Y55" i="10"/>
  <c r="KM55" i="18"/>
  <c r="Z55" i="10"/>
  <c r="KN55" i="18"/>
  <c r="AA55" i="10"/>
  <c r="KO55" i="18"/>
  <c r="AB55" i="10"/>
  <c r="KP55" i="18"/>
  <c r="AC55" i="10"/>
  <c r="KQ55" i="18"/>
  <c r="AD55" i="10"/>
  <c r="KR55" i="18"/>
  <c r="AE55" i="10"/>
  <c r="KS55" i="18"/>
  <c r="AF55" i="10"/>
  <c r="KT55" i="18"/>
  <c r="AG55" i="10"/>
  <c r="KU55" i="18"/>
  <c r="AH55" i="10"/>
  <c r="KV55" i="18"/>
  <c r="AI55" i="10"/>
  <c r="KW55" i="18"/>
  <c r="AJ55" i="10"/>
  <c r="JS55" i="18"/>
  <c r="F55" i="10"/>
  <c r="AK55" i="10"/>
  <c r="KY55" i="18"/>
  <c r="G55" i="11"/>
  <c r="KZ55" i="18"/>
  <c r="H55" i="11"/>
  <c r="LA55" i="18"/>
  <c r="I55" i="11"/>
  <c r="LB55" i="18"/>
  <c r="J55" i="11"/>
  <c r="LC55" i="18"/>
  <c r="K55" i="11"/>
  <c r="LD55" i="18"/>
  <c r="L55" i="11"/>
  <c r="LE55" i="18"/>
  <c r="M55" i="11"/>
  <c r="LF55" i="18"/>
  <c r="N55" i="11"/>
  <c r="LG55" i="18"/>
  <c r="O55" i="11"/>
  <c r="LH55" i="18"/>
  <c r="P55" i="11"/>
  <c r="LI55" i="18"/>
  <c r="Q55" i="11"/>
  <c r="LJ55" i="18"/>
  <c r="R55" i="11"/>
  <c r="LK55" i="18"/>
  <c r="S55" i="11"/>
  <c r="LL55" i="18"/>
  <c r="T55" i="11"/>
  <c r="LM55" i="18"/>
  <c r="U55" i="11"/>
  <c r="LN55" i="18"/>
  <c r="V55" i="11"/>
  <c r="LO55" i="18"/>
  <c r="W55" i="11"/>
  <c r="LP55" i="18"/>
  <c r="X55" i="11"/>
  <c r="LQ55" i="18"/>
  <c r="Y55" i="11"/>
  <c r="LR55" i="18"/>
  <c r="Z55" i="11"/>
  <c r="LS55" i="18"/>
  <c r="AA55" i="11"/>
  <c r="LT55" i="18"/>
  <c r="AB55" i="11"/>
  <c r="LU55" i="18"/>
  <c r="AC55" i="11"/>
  <c r="LV55" i="18"/>
  <c r="AD55" i="11"/>
  <c r="LW55" i="18"/>
  <c r="AE55" i="11"/>
  <c r="LX55" i="18"/>
  <c r="AF55" i="11"/>
  <c r="LY55" i="18"/>
  <c r="AG55" i="11"/>
  <c r="LZ55" i="18"/>
  <c r="AH55" i="11"/>
  <c r="MA55" i="18"/>
  <c r="AI55" i="11"/>
  <c r="KX55" i="18"/>
  <c r="F55" i="11"/>
  <c r="AK55" i="11"/>
  <c r="MC55" i="18"/>
  <c r="G55" i="12"/>
  <c r="MD55" i="18"/>
  <c r="H55" i="12"/>
  <c r="ME55" i="18"/>
  <c r="I55" i="12"/>
  <c r="MF55" i="18"/>
  <c r="J55" i="12"/>
  <c r="MG55" i="18"/>
  <c r="K55" i="12"/>
  <c r="MH55" i="18"/>
  <c r="L55" i="12"/>
  <c r="MI55" i="18"/>
  <c r="M55" i="12"/>
  <c r="MJ55" i="18"/>
  <c r="N55" i="12"/>
  <c r="MK55" i="18"/>
  <c r="O55" i="12"/>
  <c r="ML55" i="18"/>
  <c r="P55" i="12"/>
  <c r="MM55" i="18"/>
  <c r="Q55" i="12"/>
  <c r="MN55" i="18"/>
  <c r="R55" i="12"/>
  <c r="MO55" i="18"/>
  <c r="S55" i="12"/>
  <c r="MP55" i="18"/>
  <c r="T55" i="12"/>
  <c r="MQ55" i="18"/>
  <c r="U55" i="12"/>
  <c r="MR55" i="18"/>
  <c r="V55" i="12"/>
  <c r="MS55" i="18"/>
  <c r="W55" i="12"/>
  <c r="MT55" i="18"/>
  <c r="X55" i="12"/>
  <c r="MU55" i="18"/>
  <c r="Y55" i="12"/>
  <c r="MV55" i="18"/>
  <c r="Z55" i="12"/>
  <c r="MW55" i="18"/>
  <c r="AA55" i="12"/>
  <c r="MX55" i="18"/>
  <c r="AB55" i="12"/>
  <c r="MY55" i="18"/>
  <c r="AC55" i="12"/>
  <c r="MZ55" i="18"/>
  <c r="AD55" i="12"/>
  <c r="NA55" i="18"/>
  <c r="AE55" i="12"/>
  <c r="NB55" i="18"/>
  <c r="AF55" i="12"/>
  <c r="NC55" i="18"/>
  <c r="AG55" i="12"/>
  <c r="ND55" i="18"/>
  <c r="AH55" i="12"/>
  <c r="NE55" i="18"/>
  <c r="AI55" i="12"/>
  <c r="NF55" i="18"/>
  <c r="AJ55" i="12"/>
  <c r="MB55" i="18"/>
  <c r="F55" i="12"/>
  <c r="AK55" i="12"/>
  <c r="P51" i="13"/>
  <c r="G54" i="18"/>
  <c r="H54" i="18"/>
  <c r="I54" i="18"/>
  <c r="J54" i="18"/>
  <c r="K54" i="18"/>
  <c r="L54" i="18"/>
  <c r="M54" i="18"/>
  <c r="N54" i="18"/>
  <c r="O54" i="18"/>
  <c r="P54" i="18"/>
  <c r="Q54" i="18"/>
  <c r="R54" i="18"/>
  <c r="S54" i="18"/>
  <c r="T54" i="18"/>
  <c r="U54" i="18"/>
  <c r="V54" i="18"/>
  <c r="W54" i="18"/>
  <c r="X54" i="18"/>
  <c r="Y54" i="18"/>
  <c r="Z54" i="18"/>
  <c r="AA54" i="18"/>
  <c r="AB54" i="18"/>
  <c r="AC54" i="18"/>
  <c r="AD54" i="18"/>
  <c r="AE54" i="18"/>
  <c r="AF54" i="18"/>
  <c r="AG54" i="18"/>
  <c r="AH54" i="18"/>
  <c r="AI54" i="18"/>
  <c r="AJ54" i="18"/>
  <c r="F54" i="18"/>
  <c r="AL54" i="18"/>
  <c r="G54" i="2"/>
  <c r="AM54" i="18"/>
  <c r="H54" i="2"/>
  <c r="AN54" i="18"/>
  <c r="I54" i="2"/>
  <c r="AO54" i="18"/>
  <c r="J54" i="2"/>
  <c r="AP54" i="18"/>
  <c r="K54" i="2"/>
  <c r="AQ54" i="18"/>
  <c r="L54" i="2"/>
  <c r="AR54" i="18"/>
  <c r="M54" i="2"/>
  <c r="AS54" i="18"/>
  <c r="N54" i="2"/>
  <c r="AT54" i="18"/>
  <c r="O54" i="2"/>
  <c r="AU54" i="18"/>
  <c r="P54" i="2"/>
  <c r="AV54" i="18"/>
  <c r="Q54" i="2"/>
  <c r="AW54" i="18"/>
  <c r="R54" i="2"/>
  <c r="AX54" i="18"/>
  <c r="S54" i="2"/>
  <c r="AY54" i="18"/>
  <c r="T54" i="2"/>
  <c r="AZ54" i="18"/>
  <c r="U54" i="2"/>
  <c r="BA54" i="18"/>
  <c r="V54" i="2"/>
  <c r="BB54" i="18"/>
  <c r="W54" i="2"/>
  <c r="BC54" i="18"/>
  <c r="X54" i="2"/>
  <c r="BD54" i="18"/>
  <c r="Y54" i="2"/>
  <c r="BE54" i="18"/>
  <c r="Z54" i="2"/>
  <c r="BF54" i="18"/>
  <c r="AA54" i="2"/>
  <c r="BG54" i="18"/>
  <c r="AB54" i="2"/>
  <c r="BH54" i="18"/>
  <c r="AC54" i="2"/>
  <c r="BI54" i="18"/>
  <c r="AD54" i="2"/>
  <c r="BJ54" i="18"/>
  <c r="AE54" i="2"/>
  <c r="BK54" i="18"/>
  <c r="AF54" i="2"/>
  <c r="BL54" i="18"/>
  <c r="AG54" i="2"/>
  <c r="AI54" i="2"/>
  <c r="AK54" i="18"/>
  <c r="F54" i="2"/>
  <c r="AJ54" i="2"/>
  <c r="BN54" i="18"/>
  <c r="G54" i="3"/>
  <c r="BO54" i="18"/>
  <c r="H54" i="3"/>
  <c r="BP54" i="18"/>
  <c r="I54" i="3"/>
  <c r="BQ54" i="18"/>
  <c r="J54" i="3"/>
  <c r="BR54" i="18"/>
  <c r="K54" i="3"/>
  <c r="BS54" i="18"/>
  <c r="L54" i="3"/>
  <c r="BT54" i="18"/>
  <c r="M54" i="3"/>
  <c r="BU54" i="18"/>
  <c r="N54" i="3"/>
  <c r="BV54" i="18"/>
  <c r="O54" i="3"/>
  <c r="BW54" i="18"/>
  <c r="P54" i="3"/>
  <c r="BX54" i="18"/>
  <c r="Q54" i="3"/>
  <c r="BY54" i="18"/>
  <c r="R54" i="3"/>
  <c r="BZ54" i="18"/>
  <c r="S54" i="3"/>
  <c r="CA54" i="18"/>
  <c r="T54" i="3"/>
  <c r="CB54" i="18"/>
  <c r="U54" i="3"/>
  <c r="CC54" i="18"/>
  <c r="V54" i="3"/>
  <c r="CD54" i="18"/>
  <c r="W54" i="3"/>
  <c r="CE54" i="18"/>
  <c r="X54" i="3"/>
  <c r="CF54" i="18"/>
  <c r="Y54" i="3"/>
  <c r="CG54" i="18"/>
  <c r="Z54" i="3"/>
  <c r="CH54" i="18"/>
  <c r="AA54" i="3"/>
  <c r="CI54" i="18"/>
  <c r="AB54" i="3"/>
  <c r="CJ54" i="18"/>
  <c r="AC54" i="3"/>
  <c r="CK54" i="18"/>
  <c r="AD54" i="3"/>
  <c r="CL54" i="18"/>
  <c r="AE54" i="3"/>
  <c r="CM54" i="18"/>
  <c r="AF54" i="3"/>
  <c r="CN54" i="18"/>
  <c r="AG54" i="3"/>
  <c r="CO54" i="18"/>
  <c r="AH54" i="3"/>
  <c r="CP54" i="18"/>
  <c r="AI54" i="3"/>
  <c r="CQ54" i="18"/>
  <c r="AJ54" i="3"/>
  <c r="BM54" i="18"/>
  <c r="F54" i="3"/>
  <c r="AK54" i="3"/>
  <c r="CS54" i="18"/>
  <c r="G54" i="4"/>
  <c r="CT54" i="18"/>
  <c r="H54" i="4"/>
  <c r="CU54" i="18"/>
  <c r="I54" i="4"/>
  <c r="CV54" i="18"/>
  <c r="J54" i="4"/>
  <c r="CW54" i="18"/>
  <c r="K54" i="4"/>
  <c r="CX54" i="18"/>
  <c r="L54" i="4"/>
  <c r="CY54" i="18"/>
  <c r="M54" i="4"/>
  <c r="CZ54" i="18"/>
  <c r="N54" i="4"/>
  <c r="DA54" i="18"/>
  <c r="O54" i="4"/>
  <c r="DB54" i="18"/>
  <c r="P54" i="4"/>
  <c r="DC54" i="18"/>
  <c r="Q54" i="4"/>
  <c r="DD54" i="18"/>
  <c r="R54" i="4"/>
  <c r="DE54" i="18"/>
  <c r="S54" i="4"/>
  <c r="DF54" i="18"/>
  <c r="T54" i="4"/>
  <c r="DG54" i="18"/>
  <c r="U54" i="4"/>
  <c r="DH54" i="18"/>
  <c r="V54" i="4"/>
  <c r="DI54" i="18"/>
  <c r="W54" i="4"/>
  <c r="DJ54" i="18"/>
  <c r="X54" i="4"/>
  <c r="DK54" i="18"/>
  <c r="Y54" i="4"/>
  <c r="DL54" i="18"/>
  <c r="Z54" i="4"/>
  <c r="DM54" i="18"/>
  <c r="AA54" i="4"/>
  <c r="DN54" i="18"/>
  <c r="AB54" i="4"/>
  <c r="DO54" i="18"/>
  <c r="AC54" i="4"/>
  <c r="DP54" i="18"/>
  <c r="AD54" i="4"/>
  <c r="DQ54" i="18"/>
  <c r="AE54" i="4"/>
  <c r="DR54" i="18"/>
  <c r="AF54" i="4"/>
  <c r="DS54" i="18"/>
  <c r="AG54" i="4"/>
  <c r="DT54" i="18"/>
  <c r="AH54" i="4"/>
  <c r="DU54" i="18"/>
  <c r="AI54" i="4"/>
  <c r="CR54" i="18"/>
  <c r="F54" i="4"/>
  <c r="AK54" i="4"/>
  <c r="DW54" i="18"/>
  <c r="G54" i="5"/>
  <c r="DX54" i="18"/>
  <c r="H54" i="5"/>
  <c r="DY54" i="18"/>
  <c r="I54" i="5"/>
  <c r="DZ54" i="18"/>
  <c r="J54" i="5"/>
  <c r="EA54" i="18"/>
  <c r="K54" i="5"/>
  <c r="EB54" i="18"/>
  <c r="L54" i="5"/>
  <c r="EC54" i="18"/>
  <c r="M54" i="5"/>
  <c r="ED54" i="18"/>
  <c r="N54" i="5"/>
  <c r="EE54" i="18"/>
  <c r="O54" i="5"/>
  <c r="EF54" i="18"/>
  <c r="P54" i="5"/>
  <c r="EG54" i="18"/>
  <c r="Q54" i="5"/>
  <c r="EH54" i="18"/>
  <c r="R54" i="5"/>
  <c r="EI54" i="18"/>
  <c r="S54" i="5"/>
  <c r="EJ54" i="18"/>
  <c r="T54" i="5"/>
  <c r="EK54" i="18"/>
  <c r="U54" i="5"/>
  <c r="EL54" i="18"/>
  <c r="V54" i="5"/>
  <c r="EM54" i="18"/>
  <c r="W54" i="5"/>
  <c r="EN54" i="18"/>
  <c r="X54" i="5"/>
  <c r="EO54" i="18"/>
  <c r="Y54" i="5"/>
  <c r="EP54" i="18"/>
  <c r="Z54" i="5"/>
  <c r="EQ54" i="18"/>
  <c r="AA54" i="5"/>
  <c r="ER54" i="18"/>
  <c r="AB54" i="5"/>
  <c r="ES54" i="18"/>
  <c r="AC54" i="5"/>
  <c r="ET54" i="18"/>
  <c r="AD54" i="5"/>
  <c r="EU54" i="18"/>
  <c r="AE54" i="5"/>
  <c r="EV54" i="18"/>
  <c r="AF54" i="5"/>
  <c r="EW54" i="18"/>
  <c r="AG54" i="5"/>
  <c r="EX54" i="18"/>
  <c r="AH54" i="5"/>
  <c r="EY54" i="18"/>
  <c r="AI54" i="5"/>
  <c r="EZ54" i="18"/>
  <c r="AJ54" i="5"/>
  <c r="DV54" i="18"/>
  <c r="F54" i="5"/>
  <c r="AK54" i="5"/>
  <c r="FB54" i="18"/>
  <c r="G54" i="6"/>
  <c r="FC54" i="18"/>
  <c r="H54" i="6"/>
  <c r="FD54" i="18"/>
  <c r="I54" i="6"/>
  <c r="FE54" i="18"/>
  <c r="J54" i="6"/>
  <c r="FF54" i="18"/>
  <c r="K54" i="6"/>
  <c r="FG54" i="18"/>
  <c r="L54" i="6"/>
  <c r="FH54" i="18"/>
  <c r="M54" i="6"/>
  <c r="FI54" i="18"/>
  <c r="N54" i="6"/>
  <c r="FJ54" i="18"/>
  <c r="O54" i="6"/>
  <c r="FK54" i="18"/>
  <c r="P54" i="6"/>
  <c r="FL54" i="18"/>
  <c r="Q54" i="6"/>
  <c r="FM54" i="18"/>
  <c r="R54" i="6"/>
  <c r="FN54" i="18"/>
  <c r="S54" i="6"/>
  <c r="FO54" i="18"/>
  <c r="T54" i="6"/>
  <c r="FP54" i="18"/>
  <c r="U54" i="6"/>
  <c r="FQ54" i="18"/>
  <c r="V54" i="6"/>
  <c r="FR54" i="18"/>
  <c r="W54" i="6"/>
  <c r="FS54" i="18"/>
  <c r="X54" i="6"/>
  <c r="FT54" i="18"/>
  <c r="Y54" i="6"/>
  <c r="FU54" i="18"/>
  <c r="Z54" i="6"/>
  <c r="FV54" i="18"/>
  <c r="AA54" i="6"/>
  <c r="FW54" i="18"/>
  <c r="AB54" i="6"/>
  <c r="FX54" i="18"/>
  <c r="AC54" i="6"/>
  <c r="FY54" i="18"/>
  <c r="AD54" i="6"/>
  <c r="FZ54" i="18"/>
  <c r="AE54" i="6"/>
  <c r="GA54" i="18"/>
  <c r="AF54" i="6"/>
  <c r="GB54" i="18"/>
  <c r="AG54" i="6"/>
  <c r="GC54" i="18"/>
  <c r="AH54" i="6"/>
  <c r="GD54" i="18"/>
  <c r="AI54" i="6"/>
  <c r="FA54" i="18"/>
  <c r="F54" i="6"/>
  <c r="AK54" i="6"/>
  <c r="GF54" i="18"/>
  <c r="G54" i="7"/>
  <c r="GG54" i="18"/>
  <c r="H54" i="7"/>
  <c r="GH54" i="18"/>
  <c r="I54" i="7"/>
  <c r="GI54" i="18"/>
  <c r="J54" i="7"/>
  <c r="GJ54" i="18"/>
  <c r="K54" i="7"/>
  <c r="GK54" i="18"/>
  <c r="L54" i="7"/>
  <c r="GL54" i="18"/>
  <c r="M54" i="7"/>
  <c r="GM54" i="18"/>
  <c r="N54" i="7"/>
  <c r="GN54" i="18"/>
  <c r="O54" i="7"/>
  <c r="GO54" i="18"/>
  <c r="P54" i="7"/>
  <c r="GP54" i="18"/>
  <c r="Q54" i="7"/>
  <c r="GQ54" i="18"/>
  <c r="R54" i="7"/>
  <c r="GR54" i="18"/>
  <c r="S54" i="7"/>
  <c r="GS54" i="18"/>
  <c r="T54" i="7"/>
  <c r="GT54" i="18"/>
  <c r="U54" i="7"/>
  <c r="GU54" i="18"/>
  <c r="V54" i="7"/>
  <c r="GV54" i="18"/>
  <c r="W54" i="7"/>
  <c r="GW54" i="18"/>
  <c r="X54" i="7"/>
  <c r="GX54" i="18"/>
  <c r="Y54" i="7"/>
  <c r="GY54" i="18"/>
  <c r="Z54" i="7"/>
  <c r="GZ54" i="18"/>
  <c r="AA54" i="7"/>
  <c r="HA54" i="18"/>
  <c r="AB54" i="7"/>
  <c r="HB54" i="18"/>
  <c r="AC54" i="7"/>
  <c r="HC54" i="18"/>
  <c r="AD54" i="7"/>
  <c r="HD54" i="18"/>
  <c r="AE54" i="7"/>
  <c r="HE54" i="18"/>
  <c r="AF54" i="7"/>
  <c r="HF54" i="18"/>
  <c r="AG54" i="7"/>
  <c r="HG54" i="18"/>
  <c r="AH54" i="7"/>
  <c r="HH54" i="18"/>
  <c r="AI54" i="7"/>
  <c r="HI54" i="18"/>
  <c r="AJ54" i="7"/>
  <c r="GE54" i="18"/>
  <c r="F54" i="7"/>
  <c r="AK54" i="7"/>
  <c r="HK54" i="18"/>
  <c r="G54" i="8"/>
  <c r="HL54" i="18"/>
  <c r="H54" i="8"/>
  <c r="HM54" i="18"/>
  <c r="I54" i="8"/>
  <c r="HN54" i="18"/>
  <c r="J54" i="8"/>
  <c r="HO54" i="18"/>
  <c r="K54" i="8"/>
  <c r="HP54" i="18"/>
  <c r="L54" i="8"/>
  <c r="HQ54" i="18"/>
  <c r="M54" i="8"/>
  <c r="HR54" i="18"/>
  <c r="N54" i="8"/>
  <c r="HS54" i="18"/>
  <c r="O54" i="8"/>
  <c r="HT54" i="18"/>
  <c r="P54" i="8"/>
  <c r="HU54" i="18"/>
  <c r="Q54" i="8"/>
  <c r="HV54" i="18"/>
  <c r="R54" i="8"/>
  <c r="HW54" i="18"/>
  <c r="S54" i="8"/>
  <c r="HX54" i="18"/>
  <c r="T54" i="8"/>
  <c r="HY54" i="18"/>
  <c r="U54" i="8"/>
  <c r="HZ54" i="18"/>
  <c r="V54" i="8"/>
  <c r="IA54" i="18"/>
  <c r="W54" i="8"/>
  <c r="IB54" i="18"/>
  <c r="X54" i="8"/>
  <c r="IC54" i="18"/>
  <c r="Y54" i="8"/>
  <c r="ID54" i="18"/>
  <c r="Z54" i="8"/>
  <c r="IE54" i="18"/>
  <c r="AA54" i="8"/>
  <c r="IF54" i="18"/>
  <c r="AB54" i="8"/>
  <c r="IG54" i="18"/>
  <c r="AC54" i="8"/>
  <c r="IH54" i="18"/>
  <c r="AD54" i="8"/>
  <c r="II54" i="18"/>
  <c r="AE54" i="8"/>
  <c r="IJ54" i="18"/>
  <c r="AF54" i="8"/>
  <c r="IK54" i="18"/>
  <c r="AG54" i="8"/>
  <c r="IL54" i="18"/>
  <c r="AH54" i="8"/>
  <c r="IM54" i="18"/>
  <c r="AI54" i="8"/>
  <c r="IN54" i="18"/>
  <c r="AJ54" i="8"/>
  <c r="HJ54" i="18"/>
  <c r="F54" i="8"/>
  <c r="AK54" i="8"/>
  <c r="IP54" i="18"/>
  <c r="G54" i="9"/>
  <c r="IQ54" i="18"/>
  <c r="H54" i="9"/>
  <c r="IR54" i="18"/>
  <c r="I54" i="9"/>
  <c r="IS54" i="18"/>
  <c r="J54" i="9"/>
  <c r="IT54" i="18"/>
  <c r="K54" i="9"/>
  <c r="IU54" i="18"/>
  <c r="L54" i="9"/>
  <c r="IV54" i="18"/>
  <c r="M54" i="9"/>
  <c r="IW54" i="18"/>
  <c r="N54" i="9"/>
  <c r="IX54" i="18"/>
  <c r="O54" i="9"/>
  <c r="IY54" i="18"/>
  <c r="P54" i="9"/>
  <c r="IZ54" i="18"/>
  <c r="Q54" i="9"/>
  <c r="JA54" i="18"/>
  <c r="R54" i="9"/>
  <c r="JB54" i="18"/>
  <c r="S54" i="9"/>
  <c r="JC54" i="18"/>
  <c r="T54" i="9"/>
  <c r="JD54" i="18"/>
  <c r="U54" i="9"/>
  <c r="JE54" i="18"/>
  <c r="V54" i="9"/>
  <c r="JF54" i="18"/>
  <c r="W54" i="9"/>
  <c r="JG54" i="18"/>
  <c r="X54" i="9"/>
  <c r="JH54" i="18"/>
  <c r="Y54" i="9"/>
  <c r="JI54" i="18"/>
  <c r="Z54" i="9"/>
  <c r="JJ54" i="18"/>
  <c r="AA54" i="9"/>
  <c r="JK54" i="18"/>
  <c r="AB54" i="9"/>
  <c r="JL54" i="18"/>
  <c r="AC54" i="9"/>
  <c r="JM54" i="18"/>
  <c r="AD54" i="9"/>
  <c r="JN54" i="18"/>
  <c r="AE54" i="9"/>
  <c r="JO54" i="18"/>
  <c r="AF54" i="9"/>
  <c r="JP54" i="18"/>
  <c r="AG54" i="9"/>
  <c r="JQ54" i="18"/>
  <c r="AH54" i="9"/>
  <c r="JR54" i="18"/>
  <c r="AI54" i="9"/>
  <c r="IO54" i="18"/>
  <c r="F54" i="9"/>
  <c r="AK54" i="9"/>
  <c r="JT54" i="18"/>
  <c r="G54" i="10"/>
  <c r="JU54" i="18"/>
  <c r="H54" i="10"/>
  <c r="JV54" i="18"/>
  <c r="I54" i="10"/>
  <c r="JW54" i="18"/>
  <c r="J54" i="10"/>
  <c r="JX54" i="18"/>
  <c r="K54" i="10"/>
  <c r="JY54" i="18"/>
  <c r="L54" i="10"/>
  <c r="JZ54" i="18"/>
  <c r="M54" i="10"/>
  <c r="KA54" i="18"/>
  <c r="N54" i="10"/>
  <c r="KB54" i="18"/>
  <c r="O54" i="10"/>
  <c r="KC54" i="18"/>
  <c r="P54" i="10"/>
  <c r="KD54" i="18"/>
  <c r="Q54" i="10"/>
  <c r="KE54" i="18"/>
  <c r="R54" i="10"/>
  <c r="KF54" i="18"/>
  <c r="S54" i="10"/>
  <c r="KG54" i="18"/>
  <c r="T54" i="10"/>
  <c r="KH54" i="18"/>
  <c r="U54" i="10"/>
  <c r="KI54" i="18"/>
  <c r="V54" i="10"/>
  <c r="KJ54" i="18"/>
  <c r="W54" i="10"/>
  <c r="KK54" i="18"/>
  <c r="X54" i="10"/>
  <c r="KL54" i="18"/>
  <c r="Y54" i="10"/>
  <c r="KM54" i="18"/>
  <c r="Z54" i="10"/>
  <c r="KN54" i="18"/>
  <c r="AA54" i="10"/>
  <c r="KO54" i="18"/>
  <c r="AB54" i="10"/>
  <c r="KP54" i="18"/>
  <c r="AC54" i="10"/>
  <c r="KQ54" i="18"/>
  <c r="AD54" i="10"/>
  <c r="KR54" i="18"/>
  <c r="AE54" i="10"/>
  <c r="KS54" i="18"/>
  <c r="AF54" i="10"/>
  <c r="KT54" i="18"/>
  <c r="AG54" i="10"/>
  <c r="KU54" i="18"/>
  <c r="AH54" i="10"/>
  <c r="KV54" i="18"/>
  <c r="AI54" i="10"/>
  <c r="KW54" i="18"/>
  <c r="AJ54" i="10"/>
  <c r="JS54" i="18"/>
  <c r="F54" i="10"/>
  <c r="AK54" i="10"/>
  <c r="KY54" i="18"/>
  <c r="G54" i="11"/>
  <c r="KZ54" i="18"/>
  <c r="H54" i="11"/>
  <c r="LA54" i="18"/>
  <c r="I54" i="11"/>
  <c r="LB54" i="18"/>
  <c r="J54" i="11"/>
  <c r="LC54" i="18"/>
  <c r="K54" i="11"/>
  <c r="LD54" i="18"/>
  <c r="L54" i="11"/>
  <c r="LE54" i="18"/>
  <c r="M54" i="11"/>
  <c r="LF54" i="18"/>
  <c r="N54" i="11"/>
  <c r="LG54" i="18"/>
  <c r="O54" i="11"/>
  <c r="LH54" i="18"/>
  <c r="P54" i="11"/>
  <c r="LI54" i="18"/>
  <c r="Q54" i="11"/>
  <c r="LJ54" i="18"/>
  <c r="R54" i="11"/>
  <c r="LK54" i="18"/>
  <c r="S54" i="11"/>
  <c r="LL54" i="18"/>
  <c r="T54" i="11"/>
  <c r="LM54" i="18"/>
  <c r="U54" i="11"/>
  <c r="LN54" i="18"/>
  <c r="V54" i="11"/>
  <c r="LO54" i="18"/>
  <c r="W54" i="11"/>
  <c r="LP54" i="18"/>
  <c r="X54" i="11"/>
  <c r="LQ54" i="18"/>
  <c r="Y54" i="11"/>
  <c r="LR54" i="18"/>
  <c r="Z54" i="11"/>
  <c r="LS54" i="18"/>
  <c r="AA54" i="11"/>
  <c r="LT54" i="18"/>
  <c r="AB54" i="11"/>
  <c r="LU54" i="18"/>
  <c r="AC54" i="11"/>
  <c r="LV54" i="18"/>
  <c r="AD54" i="11"/>
  <c r="LW54" i="18"/>
  <c r="AE54" i="11"/>
  <c r="LX54" i="18"/>
  <c r="AF54" i="11"/>
  <c r="LY54" i="18"/>
  <c r="AG54" i="11"/>
  <c r="LZ54" i="18"/>
  <c r="AH54" i="11"/>
  <c r="MA54" i="18"/>
  <c r="AI54" i="11"/>
  <c r="KX54" i="18"/>
  <c r="F54" i="11"/>
  <c r="AK54" i="11"/>
  <c r="MC54" i="18"/>
  <c r="G54" i="12"/>
  <c r="MD54" i="18"/>
  <c r="H54" i="12"/>
  <c r="ME54" i="18"/>
  <c r="I54" i="12"/>
  <c r="MF54" i="18"/>
  <c r="J54" i="12"/>
  <c r="MG54" i="18"/>
  <c r="K54" i="12"/>
  <c r="MH54" i="18"/>
  <c r="L54" i="12"/>
  <c r="MI54" i="18"/>
  <c r="M54" i="12"/>
  <c r="MJ54" i="18"/>
  <c r="N54" i="12"/>
  <c r="MK54" i="18"/>
  <c r="O54" i="12"/>
  <c r="ML54" i="18"/>
  <c r="P54" i="12"/>
  <c r="MM54" i="18"/>
  <c r="Q54" i="12"/>
  <c r="MN54" i="18"/>
  <c r="R54" i="12"/>
  <c r="MO54" i="18"/>
  <c r="S54" i="12"/>
  <c r="MP54" i="18"/>
  <c r="T54" i="12"/>
  <c r="MQ54" i="18"/>
  <c r="U54" i="12"/>
  <c r="MR54" i="18"/>
  <c r="V54" i="12"/>
  <c r="MS54" i="18"/>
  <c r="W54" i="12"/>
  <c r="MT54" i="18"/>
  <c r="X54" i="12"/>
  <c r="MU54" i="18"/>
  <c r="Y54" i="12"/>
  <c r="MV54" i="18"/>
  <c r="Z54" i="12"/>
  <c r="MW54" i="18"/>
  <c r="AA54" i="12"/>
  <c r="MX54" i="18"/>
  <c r="AB54" i="12"/>
  <c r="MY54" i="18"/>
  <c r="AC54" i="12"/>
  <c r="MZ54" i="18"/>
  <c r="AD54" i="12"/>
  <c r="NA54" i="18"/>
  <c r="AE54" i="12"/>
  <c r="NB54" i="18"/>
  <c r="AF54" i="12"/>
  <c r="NC54" i="18"/>
  <c r="AG54" i="12"/>
  <c r="ND54" i="18"/>
  <c r="AH54" i="12"/>
  <c r="NE54" i="18"/>
  <c r="AI54" i="12"/>
  <c r="NF54" i="18"/>
  <c r="AJ54" i="12"/>
  <c r="MB54" i="18"/>
  <c r="F54" i="12"/>
  <c r="AK54" i="12"/>
  <c r="P50" i="13"/>
  <c r="G53" i="18"/>
  <c r="H53" i="18"/>
  <c r="I53" i="18"/>
  <c r="J53" i="18"/>
  <c r="K53" i="18"/>
  <c r="L53" i="18"/>
  <c r="M53" i="18"/>
  <c r="N53" i="18"/>
  <c r="O53" i="18"/>
  <c r="P53" i="18"/>
  <c r="Q53" i="18"/>
  <c r="R53" i="18"/>
  <c r="S53" i="18"/>
  <c r="T53" i="18"/>
  <c r="U53" i="18"/>
  <c r="V53" i="18"/>
  <c r="W53" i="18"/>
  <c r="X53" i="18"/>
  <c r="Y53" i="18"/>
  <c r="Z53" i="18"/>
  <c r="AA53" i="18"/>
  <c r="AB53" i="18"/>
  <c r="AC53" i="18"/>
  <c r="AD53" i="18"/>
  <c r="AE53" i="18"/>
  <c r="AF53" i="18"/>
  <c r="AG53" i="18"/>
  <c r="AH53" i="18"/>
  <c r="AI53" i="18"/>
  <c r="AJ53" i="18"/>
  <c r="F53" i="18"/>
  <c r="AL53" i="18"/>
  <c r="G53" i="2"/>
  <c r="AM53" i="18"/>
  <c r="H53" i="2"/>
  <c r="AN53" i="18"/>
  <c r="I53" i="2"/>
  <c r="AO53" i="18"/>
  <c r="J53" i="2"/>
  <c r="AP53" i="18"/>
  <c r="K53" i="2"/>
  <c r="AQ53" i="18"/>
  <c r="L53" i="2"/>
  <c r="AR53" i="18"/>
  <c r="M53" i="2"/>
  <c r="AS53" i="18"/>
  <c r="N53" i="2"/>
  <c r="AT53" i="18"/>
  <c r="O53" i="2"/>
  <c r="AU53" i="18"/>
  <c r="P53" i="2"/>
  <c r="AV53" i="18"/>
  <c r="Q53" i="2"/>
  <c r="AW53" i="18"/>
  <c r="R53" i="2"/>
  <c r="AX53" i="18"/>
  <c r="S53" i="2"/>
  <c r="AY53" i="18"/>
  <c r="T53" i="2"/>
  <c r="AZ53" i="18"/>
  <c r="U53" i="2"/>
  <c r="BA53" i="18"/>
  <c r="V53" i="2"/>
  <c r="BB53" i="18"/>
  <c r="W53" i="2"/>
  <c r="BC53" i="18"/>
  <c r="X53" i="2"/>
  <c r="BD53" i="18"/>
  <c r="Y53" i="2"/>
  <c r="BE53" i="18"/>
  <c r="Z53" i="2"/>
  <c r="BF53" i="18"/>
  <c r="AA53" i="2"/>
  <c r="BG53" i="18"/>
  <c r="AB53" i="2"/>
  <c r="BH53" i="18"/>
  <c r="AC53" i="2"/>
  <c r="BI53" i="18"/>
  <c r="AD53" i="2"/>
  <c r="BJ53" i="18"/>
  <c r="AE53" i="2"/>
  <c r="BK53" i="18"/>
  <c r="AF53" i="2"/>
  <c r="BL53" i="18"/>
  <c r="AG53" i="2"/>
  <c r="AI53" i="2"/>
  <c r="AK53" i="18"/>
  <c r="F53" i="2"/>
  <c r="AJ53" i="2"/>
  <c r="BN53" i="18"/>
  <c r="G53" i="3"/>
  <c r="BO53" i="18"/>
  <c r="H53" i="3"/>
  <c r="BP53" i="18"/>
  <c r="I53" i="3"/>
  <c r="BQ53" i="18"/>
  <c r="J53" i="3"/>
  <c r="BR53" i="18"/>
  <c r="K53" i="3"/>
  <c r="BS53" i="18"/>
  <c r="L53" i="3"/>
  <c r="BT53" i="18"/>
  <c r="M53" i="3"/>
  <c r="BU53" i="18"/>
  <c r="N53" i="3"/>
  <c r="BV53" i="18"/>
  <c r="O53" i="3"/>
  <c r="BW53" i="18"/>
  <c r="P53" i="3"/>
  <c r="BX53" i="18"/>
  <c r="Q53" i="3"/>
  <c r="BY53" i="18"/>
  <c r="R53" i="3"/>
  <c r="BZ53" i="18"/>
  <c r="S53" i="3"/>
  <c r="CA53" i="18"/>
  <c r="T53" i="3"/>
  <c r="CB53" i="18"/>
  <c r="U53" i="3"/>
  <c r="CC53" i="18"/>
  <c r="V53" i="3"/>
  <c r="CD53" i="18"/>
  <c r="W53" i="3"/>
  <c r="CE53" i="18"/>
  <c r="X53" i="3"/>
  <c r="CF53" i="18"/>
  <c r="Y53" i="3"/>
  <c r="CG53" i="18"/>
  <c r="Z53" i="3"/>
  <c r="CH53" i="18"/>
  <c r="AA53" i="3"/>
  <c r="CI53" i="18"/>
  <c r="AB53" i="3"/>
  <c r="CJ53" i="18"/>
  <c r="AC53" i="3"/>
  <c r="CK53" i="18"/>
  <c r="AD53" i="3"/>
  <c r="CL53" i="18"/>
  <c r="AE53" i="3"/>
  <c r="CM53" i="18"/>
  <c r="AF53" i="3"/>
  <c r="CN53" i="18"/>
  <c r="AG53" i="3"/>
  <c r="CO53" i="18"/>
  <c r="AH53" i="3"/>
  <c r="CP53" i="18"/>
  <c r="AI53" i="3"/>
  <c r="CQ53" i="18"/>
  <c r="AJ53" i="3"/>
  <c r="BM53" i="18"/>
  <c r="F53" i="3"/>
  <c r="AK53" i="3"/>
  <c r="CS53" i="18"/>
  <c r="G53" i="4"/>
  <c r="CT53" i="18"/>
  <c r="H53" i="4"/>
  <c r="CU53" i="18"/>
  <c r="I53" i="4"/>
  <c r="CV53" i="18"/>
  <c r="J53" i="4"/>
  <c r="CW53" i="18"/>
  <c r="K53" i="4"/>
  <c r="CX53" i="18"/>
  <c r="L53" i="4"/>
  <c r="CY53" i="18"/>
  <c r="M53" i="4"/>
  <c r="CZ53" i="18"/>
  <c r="N53" i="4"/>
  <c r="DA53" i="18"/>
  <c r="O53" i="4"/>
  <c r="DB53" i="18"/>
  <c r="P53" i="4"/>
  <c r="DC53" i="18"/>
  <c r="Q53" i="4"/>
  <c r="DD53" i="18"/>
  <c r="R53" i="4"/>
  <c r="DE53" i="18"/>
  <c r="S53" i="4"/>
  <c r="DF53" i="18"/>
  <c r="T53" i="4"/>
  <c r="DG53" i="18"/>
  <c r="U53" i="4"/>
  <c r="DH53" i="18"/>
  <c r="V53" i="4"/>
  <c r="DI53" i="18"/>
  <c r="W53" i="4"/>
  <c r="DJ53" i="18"/>
  <c r="X53" i="4"/>
  <c r="DK53" i="18"/>
  <c r="Y53" i="4"/>
  <c r="DL53" i="18"/>
  <c r="Z53" i="4"/>
  <c r="DM53" i="18"/>
  <c r="AA53" i="4"/>
  <c r="DN53" i="18"/>
  <c r="AB53" i="4"/>
  <c r="DO53" i="18"/>
  <c r="AC53" i="4"/>
  <c r="DP53" i="18"/>
  <c r="AD53" i="4"/>
  <c r="DQ53" i="18"/>
  <c r="AE53" i="4"/>
  <c r="DR53" i="18"/>
  <c r="AF53" i="4"/>
  <c r="DS53" i="18"/>
  <c r="AG53" i="4"/>
  <c r="DT53" i="18"/>
  <c r="AH53" i="4"/>
  <c r="DU53" i="18"/>
  <c r="AI53" i="4"/>
  <c r="CR53" i="18"/>
  <c r="F53" i="4"/>
  <c r="AK53" i="4"/>
  <c r="DW53" i="18"/>
  <c r="G53" i="5"/>
  <c r="DX53" i="18"/>
  <c r="H53" i="5"/>
  <c r="DY53" i="18"/>
  <c r="I53" i="5"/>
  <c r="DZ53" i="18"/>
  <c r="J53" i="5"/>
  <c r="EA53" i="18"/>
  <c r="K53" i="5"/>
  <c r="EB53" i="18"/>
  <c r="L53" i="5"/>
  <c r="EC53" i="18"/>
  <c r="M53" i="5"/>
  <c r="ED53" i="18"/>
  <c r="N53" i="5"/>
  <c r="EE53" i="18"/>
  <c r="O53" i="5"/>
  <c r="EF53" i="18"/>
  <c r="P53" i="5"/>
  <c r="EG53" i="18"/>
  <c r="Q53" i="5"/>
  <c r="EH53" i="18"/>
  <c r="R53" i="5"/>
  <c r="EI53" i="18"/>
  <c r="S53" i="5"/>
  <c r="EJ53" i="18"/>
  <c r="T53" i="5"/>
  <c r="EK53" i="18"/>
  <c r="U53" i="5"/>
  <c r="EL53" i="18"/>
  <c r="V53" i="5"/>
  <c r="EM53" i="18"/>
  <c r="W53" i="5"/>
  <c r="EN53" i="18"/>
  <c r="X53" i="5"/>
  <c r="EO53" i="18"/>
  <c r="Y53" i="5"/>
  <c r="EP53" i="18"/>
  <c r="Z53" i="5"/>
  <c r="EQ53" i="18"/>
  <c r="AA53" i="5"/>
  <c r="ER53" i="18"/>
  <c r="AB53" i="5"/>
  <c r="ES53" i="18"/>
  <c r="AC53" i="5"/>
  <c r="ET53" i="18"/>
  <c r="AD53" i="5"/>
  <c r="EU53" i="18"/>
  <c r="AE53" i="5"/>
  <c r="EV53" i="18"/>
  <c r="AF53" i="5"/>
  <c r="EW53" i="18"/>
  <c r="AG53" i="5"/>
  <c r="EX53" i="18"/>
  <c r="AH53" i="5"/>
  <c r="EY53" i="18"/>
  <c r="AI53" i="5"/>
  <c r="EZ53" i="18"/>
  <c r="AJ53" i="5"/>
  <c r="DV53" i="18"/>
  <c r="F53" i="5"/>
  <c r="AK53" i="5"/>
  <c r="FB53" i="18"/>
  <c r="G53" i="6"/>
  <c r="FC53" i="18"/>
  <c r="H53" i="6"/>
  <c r="FD53" i="18"/>
  <c r="I53" i="6"/>
  <c r="FE53" i="18"/>
  <c r="J53" i="6"/>
  <c r="FF53" i="18"/>
  <c r="K53" i="6"/>
  <c r="FG53" i="18"/>
  <c r="L53" i="6"/>
  <c r="FH53" i="18"/>
  <c r="M53" i="6"/>
  <c r="FI53" i="18"/>
  <c r="N53" i="6"/>
  <c r="FJ53" i="18"/>
  <c r="O53" i="6"/>
  <c r="FK53" i="18"/>
  <c r="P53" i="6"/>
  <c r="FL53" i="18"/>
  <c r="Q53" i="6"/>
  <c r="FM53" i="18"/>
  <c r="R53" i="6"/>
  <c r="FN53" i="18"/>
  <c r="S53" i="6"/>
  <c r="FO53" i="18"/>
  <c r="T53" i="6"/>
  <c r="FP53" i="18"/>
  <c r="U53" i="6"/>
  <c r="FQ53" i="18"/>
  <c r="V53" i="6"/>
  <c r="FR53" i="18"/>
  <c r="W53" i="6"/>
  <c r="FS53" i="18"/>
  <c r="X53" i="6"/>
  <c r="FT53" i="18"/>
  <c r="Y53" i="6"/>
  <c r="FU53" i="18"/>
  <c r="Z53" i="6"/>
  <c r="FV53" i="18"/>
  <c r="AA53" i="6"/>
  <c r="FW53" i="18"/>
  <c r="AB53" i="6"/>
  <c r="FX53" i="18"/>
  <c r="AC53" i="6"/>
  <c r="FY53" i="18"/>
  <c r="AD53" i="6"/>
  <c r="FZ53" i="18"/>
  <c r="AE53" i="6"/>
  <c r="GA53" i="18"/>
  <c r="AF53" i="6"/>
  <c r="GB53" i="18"/>
  <c r="AG53" i="6"/>
  <c r="GC53" i="18"/>
  <c r="AH53" i="6"/>
  <c r="GD53" i="18"/>
  <c r="AI53" i="6"/>
  <c r="FA53" i="18"/>
  <c r="F53" i="6"/>
  <c r="AK53" i="6"/>
  <c r="GF53" i="18"/>
  <c r="G53" i="7"/>
  <c r="GG53" i="18"/>
  <c r="H53" i="7"/>
  <c r="GH53" i="18"/>
  <c r="I53" i="7"/>
  <c r="GI53" i="18"/>
  <c r="J53" i="7"/>
  <c r="GJ53" i="18"/>
  <c r="K53" i="7"/>
  <c r="GK53" i="18"/>
  <c r="L53" i="7"/>
  <c r="GL53" i="18"/>
  <c r="M53" i="7"/>
  <c r="GM53" i="18"/>
  <c r="N53" i="7"/>
  <c r="GN53" i="18"/>
  <c r="O53" i="7"/>
  <c r="GO53" i="18"/>
  <c r="P53" i="7"/>
  <c r="GP53" i="18"/>
  <c r="Q53" i="7"/>
  <c r="GQ53" i="18"/>
  <c r="R53" i="7"/>
  <c r="GR53" i="18"/>
  <c r="S53" i="7"/>
  <c r="GS53" i="18"/>
  <c r="T53" i="7"/>
  <c r="GT53" i="18"/>
  <c r="U53" i="7"/>
  <c r="GU53" i="18"/>
  <c r="V53" i="7"/>
  <c r="GV53" i="18"/>
  <c r="W53" i="7"/>
  <c r="GW53" i="18"/>
  <c r="X53" i="7"/>
  <c r="GX53" i="18"/>
  <c r="Y53" i="7"/>
  <c r="GY53" i="18"/>
  <c r="Z53" i="7"/>
  <c r="GZ53" i="18"/>
  <c r="AA53" i="7"/>
  <c r="HA53" i="18"/>
  <c r="AB53" i="7"/>
  <c r="HB53" i="18"/>
  <c r="AC53" i="7"/>
  <c r="HC53" i="18"/>
  <c r="AD53" i="7"/>
  <c r="HD53" i="18"/>
  <c r="AE53" i="7"/>
  <c r="HE53" i="18"/>
  <c r="AF53" i="7"/>
  <c r="HF53" i="18"/>
  <c r="AG53" i="7"/>
  <c r="HG53" i="18"/>
  <c r="AH53" i="7"/>
  <c r="HH53" i="18"/>
  <c r="AI53" i="7"/>
  <c r="HI53" i="18"/>
  <c r="AJ53" i="7"/>
  <c r="GE53" i="18"/>
  <c r="F53" i="7"/>
  <c r="AK53" i="7"/>
  <c r="HK53" i="18"/>
  <c r="G53" i="8"/>
  <c r="HL53" i="18"/>
  <c r="H53" i="8"/>
  <c r="HM53" i="18"/>
  <c r="I53" i="8"/>
  <c r="HN53" i="18"/>
  <c r="J53" i="8"/>
  <c r="HO53" i="18"/>
  <c r="K53" i="8"/>
  <c r="HP53" i="18"/>
  <c r="L53" i="8"/>
  <c r="HQ53" i="18"/>
  <c r="M53" i="8"/>
  <c r="HR53" i="18"/>
  <c r="N53" i="8"/>
  <c r="HS53" i="18"/>
  <c r="O53" i="8"/>
  <c r="HT53" i="18"/>
  <c r="P53" i="8"/>
  <c r="HU53" i="18"/>
  <c r="Q53" i="8"/>
  <c r="HV53" i="18"/>
  <c r="R53" i="8"/>
  <c r="HW53" i="18"/>
  <c r="S53" i="8"/>
  <c r="HX53" i="18"/>
  <c r="T53" i="8"/>
  <c r="HY53" i="18"/>
  <c r="U53" i="8"/>
  <c r="HZ53" i="18"/>
  <c r="V53" i="8"/>
  <c r="IA53" i="18"/>
  <c r="W53" i="8"/>
  <c r="IB53" i="18"/>
  <c r="X53" i="8"/>
  <c r="IC53" i="18"/>
  <c r="Y53" i="8"/>
  <c r="ID53" i="18"/>
  <c r="Z53" i="8"/>
  <c r="IE53" i="18"/>
  <c r="AA53" i="8"/>
  <c r="IF53" i="18"/>
  <c r="AB53" i="8"/>
  <c r="IG53" i="18"/>
  <c r="AC53" i="8"/>
  <c r="IH53" i="18"/>
  <c r="AD53" i="8"/>
  <c r="II53" i="18"/>
  <c r="AE53" i="8"/>
  <c r="IJ53" i="18"/>
  <c r="AF53" i="8"/>
  <c r="IK53" i="18"/>
  <c r="AG53" i="8"/>
  <c r="IL53" i="18"/>
  <c r="AH53" i="8"/>
  <c r="IM53" i="18"/>
  <c r="AI53" i="8"/>
  <c r="IN53" i="18"/>
  <c r="AJ53" i="8"/>
  <c r="HJ53" i="18"/>
  <c r="F53" i="8"/>
  <c r="AK53" i="8"/>
  <c r="IP53" i="18"/>
  <c r="G53" i="9"/>
  <c r="IQ53" i="18"/>
  <c r="H53" i="9"/>
  <c r="IR53" i="18"/>
  <c r="I53" i="9"/>
  <c r="IS53" i="18"/>
  <c r="J53" i="9"/>
  <c r="IT53" i="18"/>
  <c r="K53" i="9"/>
  <c r="IU53" i="18"/>
  <c r="L53" i="9"/>
  <c r="IV53" i="18"/>
  <c r="M53" i="9"/>
  <c r="IW53" i="18"/>
  <c r="N53" i="9"/>
  <c r="IX53" i="18"/>
  <c r="O53" i="9"/>
  <c r="IY53" i="18"/>
  <c r="P53" i="9"/>
  <c r="IZ53" i="18"/>
  <c r="Q53" i="9"/>
  <c r="JA53" i="18"/>
  <c r="R53" i="9"/>
  <c r="JB53" i="18"/>
  <c r="S53" i="9"/>
  <c r="JC53" i="18"/>
  <c r="T53" i="9"/>
  <c r="JD53" i="18"/>
  <c r="U53" i="9"/>
  <c r="JE53" i="18"/>
  <c r="V53" i="9"/>
  <c r="JF53" i="18"/>
  <c r="W53" i="9"/>
  <c r="JG53" i="18"/>
  <c r="X53" i="9"/>
  <c r="JH53" i="18"/>
  <c r="Y53" i="9"/>
  <c r="JI53" i="18"/>
  <c r="Z53" i="9"/>
  <c r="JJ53" i="18"/>
  <c r="AA53" i="9"/>
  <c r="JK53" i="18"/>
  <c r="AB53" i="9"/>
  <c r="JL53" i="18"/>
  <c r="AC53" i="9"/>
  <c r="JM53" i="18"/>
  <c r="AD53" i="9"/>
  <c r="JN53" i="18"/>
  <c r="AE53" i="9"/>
  <c r="JO53" i="18"/>
  <c r="AF53" i="9"/>
  <c r="JP53" i="18"/>
  <c r="AG53" i="9"/>
  <c r="JQ53" i="18"/>
  <c r="AH53" i="9"/>
  <c r="JR53" i="18"/>
  <c r="AI53" i="9"/>
  <c r="IO53" i="18"/>
  <c r="F53" i="9"/>
  <c r="AK53" i="9"/>
  <c r="JT53" i="18"/>
  <c r="G53" i="10"/>
  <c r="JU53" i="18"/>
  <c r="H53" i="10"/>
  <c r="JV53" i="18"/>
  <c r="I53" i="10"/>
  <c r="JW53" i="18"/>
  <c r="J53" i="10"/>
  <c r="JX53" i="18"/>
  <c r="K53" i="10"/>
  <c r="JY53" i="18"/>
  <c r="L53" i="10"/>
  <c r="JZ53" i="18"/>
  <c r="M53" i="10"/>
  <c r="KA53" i="18"/>
  <c r="N53" i="10"/>
  <c r="KB53" i="18"/>
  <c r="O53" i="10"/>
  <c r="KC53" i="18"/>
  <c r="P53" i="10"/>
  <c r="KD53" i="18"/>
  <c r="Q53" i="10"/>
  <c r="KE53" i="18"/>
  <c r="R53" i="10"/>
  <c r="KF53" i="18"/>
  <c r="S53" i="10"/>
  <c r="KG53" i="18"/>
  <c r="T53" i="10"/>
  <c r="KH53" i="18"/>
  <c r="U53" i="10"/>
  <c r="KI53" i="18"/>
  <c r="V53" i="10"/>
  <c r="KJ53" i="18"/>
  <c r="W53" i="10"/>
  <c r="KK53" i="18"/>
  <c r="X53" i="10"/>
  <c r="KL53" i="18"/>
  <c r="Y53" i="10"/>
  <c r="KM53" i="18"/>
  <c r="Z53" i="10"/>
  <c r="KN53" i="18"/>
  <c r="AA53" i="10"/>
  <c r="KO53" i="18"/>
  <c r="AB53" i="10"/>
  <c r="KP53" i="18"/>
  <c r="AC53" i="10"/>
  <c r="KQ53" i="18"/>
  <c r="AD53" i="10"/>
  <c r="KR53" i="18"/>
  <c r="AE53" i="10"/>
  <c r="KS53" i="18"/>
  <c r="AF53" i="10"/>
  <c r="KT53" i="18"/>
  <c r="AG53" i="10"/>
  <c r="KU53" i="18"/>
  <c r="AH53" i="10"/>
  <c r="KV53" i="18"/>
  <c r="AI53" i="10"/>
  <c r="KW53" i="18"/>
  <c r="AJ53" i="10"/>
  <c r="JS53" i="18"/>
  <c r="F53" i="10"/>
  <c r="AK53" i="10"/>
  <c r="KY53" i="18"/>
  <c r="G53" i="11"/>
  <c r="KZ53" i="18"/>
  <c r="H53" i="11"/>
  <c r="LA53" i="18"/>
  <c r="I53" i="11"/>
  <c r="LB53" i="18"/>
  <c r="J53" i="11"/>
  <c r="LC53" i="18"/>
  <c r="K53" i="11"/>
  <c r="LD53" i="18"/>
  <c r="L53" i="11"/>
  <c r="LE53" i="18"/>
  <c r="M53" i="11"/>
  <c r="LF53" i="18"/>
  <c r="N53" i="11"/>
  <c r="LG53" i="18"/>
  <c r="O53" i="11"/>
  <c r="LH53" i="18"/>
  <c r="P53" i="11"/>
  <c r="LI53" i="18"/>
  <c r="Q53" i="11"/>
  <c r="LJ53" i="18"/>
  <c r="R53" i="11"/>
  <c r="LK53" i="18"/>
  <c r="S53" i="11"/>
  <c r="LL53" i="18"/>
  <c r="T53" i="11"/>
  <c r="LM53" i="18"/>
  <c r="U53" i="11"/>
  <c r="LN53" i="18"/>
  <c r="V53" i="11"/>
  <c r="LO53" i="18"/>
  <c r="W53" i="11"/>
  <c r="LP53" i="18"/>
  <c r="X53" i="11"/>
  <c r="LQ53" i="18"/>
  <c r="Y53" i="11"/>
  <c r="LR53" i="18"/>
  <c r="Z53" i="11"/>
  <c r="LS53" i="18"/>
  <c r="AA53" i="11"/>
  <c r="LT53" i="18"/>
  <c r="AB53" i="11"/>
  <c r="LU53" i="18"/>
  <c r="AC53" i="11"/>
  <c r="LV53" i="18"/>
  <c r="AD53" i="11"/>
  <c r="LW53" i="18"/>
  <c r="AE53" i="11"/>
  <c r="LX53" i="18"/>
  <c r="AF53" i="11"/>
  <c r="LY53" i="18"/>
  <c r="AG53" i="11"/>
  <c r="LZ53" i="18"/>
  <c r="AH53" i="11"/>
  <c r="MA53" i="18"/>
  <c r="AI53" i="11"/>
  <c r="KX53" i="18"/>
  <c r="F53" i="11"/>
  <c r="AK53" i="11"/>
  <c r="MC53" i="18"/>
  <c r="G53" i="12"/>
  <c r="MD53" i="18"/>
  <c r="H53" i="12"/>
  <c r="ME53" i="18"/>
  <c r="I53" i="12"/>
  <c r="MF53" i="18"/>
  <c r="J53" i="12"/>
  <c r="MG53" i="18"/>
  <c r="K53" i="12"/>
  <c r="MH53" i="18"/>
  <c r="L53" i="12"/>
  <c r="MI53" i="18"/>
  <c r="M53" i="12"/>
  <c r="MJ53" i="18"/>
  <c r="N53" i="12"/>
  <c r="MK53" i="18"/>
  <c r="O53" i="12"/>
  <c r="ML53" i="18"/>
  <c r="P53" i="12"/>
  <c r="MM53" i="18"/>
  <c r="Q53" i="12"/>
  <c r="MN53" i="18"/>
  <c r="R53" i="12"/>
  <c r="MO53" i="18"/>
  <c r="S53" i="12"/>
  <c r="MP53" i="18"/>
  <c r="T53" i="12"/>
  <c r="MQ53" i="18"/>
  <c r="U53" i="12"/>
  <c r="MR53" i="18"/>
  <c r="V53" i="12"/>
  <c r="MS53" i="18"/>
  <c r="W53" i="12"/>
  <c r="MT53" i="18"/>
  <c r="X53" i="12"/>
  <c r="MU53" i="18"/>
  <c r="Y53" i="12"/>
  <c r="MV53" i="18"/>
  <c r="Z53" i="12"/>
  <c r="MW53" i="18"/>
  <c r="AA53" i="12"/>
  <c r="MX53" i="18"/>
  <c r="AB53" i="12"/>
  <c r="MY53" i="18"/>
  <c r="AC53" i="12"/>
  <c r="MZ53" i="18"/>
  <c r="AD53" i="12"/>
  <c r="NA53" i="18"/>
  <c r="AE53" i="12"/>
  <c r="NB53" i="18"/>
  <c r="AF53" i="12"/>
  <c r="NC53" i="18"/>
  <c r="AG53" i="12"/>
  <c r="ND53" i="18"/>
  <c r="AH53" i="12"/>
  <c r="NE53" i="18"/>
  <c r="AI53" i="12"/>
  <c r="NF53" i="18"/>
  <c r="AJ53" i="12"/>
  <c r="MB53" i="18"/>
  <c r="F53" i="12"/>
  <c r="AK53" i="12"/>
  <c r="P49" i="13"/>
  <c r="G52" i="18"/>
  <c r="H52" i="18"/>
  <c r="I52" i="18"/>
  <c r="J52" i="18"/>
  <c r="K52" i="18"/>
  <c r="L52" i="18"/>
  <c r="M52" i="18"/>
  <c r="N52" i="18"/>
  <c r="O52" i="18"/>
  <c r="P52" i="18"/>
  <c r="Q52" i="18"/>
  <c r="R52" i="18"/>
  <c r="S52" i="18"/>
  <c r="T52" i="18"/>
  <c r="U52" i="18"/>
  <c r="V52" i="18"/>
  <c r="W52" i="18"/>
  <c r="X52" i="18"/>
  <c r="Y52" i="18"/>
  <c r="Z52" i="18"/>
  <c r="AA52" i="18"/>
  <c r="AB52" i="18"/>
  <c r="AC52" i="18"/>
  <c r="AD52" i="18"/>
  <c r="AE52" i="18"/>
  <c r="AF52" i="18"/>
  <c r="AG52" i="18"/>
  <c r="AH52" i="18"/>
  <c r="AI52" i="18"/>
  <c r="AJ52" i="18"/>
  <c r="F52" i="18"/>
  <c r="AL52" i="18"/>
  <c r="G52" i="2"/>
  <c r="AM52" i="18"/>
  <c r="H52" i="2"/>
  <c r="AN52" i="18"/>
  <c r="I52" i="2"/>
  <c r="AO52" i="18"/>
  <c r="J52" i="2"/>
  <c r="AP52" i="18"/>
  <c r="K52" i="2"/>
  <c r="AQ52" i="18"/>
  <c r="L52" i="2"/>
  <c r="AR52" i="18"/>
  <c r="M52" i="2"/>
  <c r="AS52" i="18"/>
  <c r="N52" i="2"/>
  <c r="AT52" i="18"/>
  <c r="O52" i="2"/>
  <c r="AU52" i="18"/>
  <c r="P52" i="2"/>
  <c r="AV52" i="18"/>
  <c r="Q52" i="2"/>
  <c r="AW52" i="18"/>
  <c r="R52" i="2"/>
  <c r="AX52" i="18"/>
  <c r="S52" i="2"/>
  <c r="AY52" i="18"/>
  <c r="T52" i="2"/>
  <c r="AZ52" i="18"/>
  <c r="U52" i="2"/>
  <c r="BA52" i="18"/>
  <c r="V52" i="2"/>
  <c r="BB52" i="18"/>
  <c r="W52" i="2"/>
  <c r="BC52" i="18"/>
  <c r="X52" i="2"/>
  <c r="BD52" i="18"/>
  <c r="Y52" i="2"/>
  <c r="BE52" i="18"/>
  <c r="Z52" i="2"/>
  <c r="BF52" i="18"/>
  <c r="AA52" i="2"/>
  <c r="BG52" i="18"/>
  <c r="AB52" i="2"/>
  <c r="BH52" i="18"/>
  <c r="AC52" i="2"/>
  <c r="BI52" i="18"/>
  <c r="AD52" i="2"/>
  <c r="BJ52" i="18"/>
  <c r="AE52" i="2"/>
  <c r="BK52" i="18"/>
  <c r="AF52" i="2"/>
  <c r="BL52" i="18"/>
  <c r="AG52" i="2"/>
  <c r="AI52" i="2"/>
  <c r="AK52" i="18"/>
  <c r="F52" i="2"/>
  <c r="AJ52" i="2"/>
  <c r="BN52" i="18"/>
  <c r="G52" i="3"/>
  <c r="BO52" i="18"/>
  <c r="H52" i="3"/>
  <c r="BP52" i="18"/>
  <c r="I52" i="3"/>
  <c r="BQ52" i="18"/>
  <c r="J52" i="3"/>
  <c r="BR52" i="18"/>
  <c r="K52" i="3"/>
  <c r="BS52" i="18"/>
  <c r="L52" i="3"/>
  <c r="BT52" i="18"/>
  <c r="M52" i="3"/>
  <c r="BU52" i="18"/>
  <c r="N52" i="3"/>
  <c r="BV52" i="18"/>
  <c r="O52" i="3"/>
  <c r="BW52" i="18"/>
  <c r="P52" i="3"/>
  <c r="BX52" i="18"/>
  <c r="Q52" i="3"/>
  <c r="BY52" i="18"/>
  <c r="R52" i="3"/>
  <c r="BZ52" i="18"/>
  <c r="S52" i="3"/>
  <c r="CA52" i="18"/>
  <c r="T52" i="3"/>
  <c r="CB52" i="18"/>
  <c r="U52" i="3"/>
  <c r="CC52" i="18"/>
  <c r="V52" i="3"/>
  <c r="CD52" i="18"/>
  <c r="W52" i="3"/>
  <c r="CE52" i="18"/>
  <c r="X52" i="3"/>
  <c r="CF52" i="18"/>
  <c r="Y52" i="3"/>
  <c r="CG52" i="18"/>
  <c r="Z52" i="3"/>
  <c r="CH52" i="18"/>
  <c r="AA52" i="3"/>
  <c r="CI52" i="18"/>
  <c r="AB52" i="3"/>
  <c r="CJ52" i="18"/>
  <c r="AC52" i="3"/>
  <c r="CK52" i="18"/>
  <c r="AD52" i="3"/>
  <c r="CL52" i="18"/>
  <c r="AE52" i="3"/>
  <c r="CM52" i="18"/>
  <c r="AF52" i="3"/>
  <c r="CN52" i="18"/>
  <c r="AG52" i="3"/>
  <c r="CO52" i="18"/>
  <c r="AH52" i="3"/>
  <c r="CP52" i="18"/>
  <c r="AI52" i="3"/>
  <c r="CQ52" i="18"/>
  <c r="AJ52" i="3"/>
  <c r="BM52" i="18"/>
  <c r="F52" i="3"/>
  <c r="AK52" i="3"/>
  <c r="CS52" i="18"/>
  <c r="G52" i="4"/>
  <c r="CT52" i="18"/>
  <c r="H52" i="4"/>
  <c r="CU52" i="18"/>
  <c r="I52" i="4"/>
  <c r="CV52" i="18"/>
  <c r="J52" i="4"/>
  <c r="CW52" i="18"/>
  <c r="K52" i="4"/>
  <c r="CX52" i="18"/>
  <c r="L52" i="4"/>
  <c r="CY52" i="18"/>
  <c r="M52" i="4"/>
  <c r="CZ52" i="18"/>
  <c r="N52" i="4"/>
  <c r="DA52" i="18"/>
  <c r="O52" i="4"/>
  <c r="DB52" i="18"/>
  <c r="P52" i="4"/>
  <c r="DC52" i="18"/>
  <c r="Q52" i="4"/>
  <c r="DD52" i="18"/>
  <c r="R52" i="4"/>
  <c r="DE52" i="18"/>
  <c r="S52" i="4"/>
  <c r="DF52" i="18"/>
  <c r="T52" i="4"/>
  <c r="DG52" i="18"/>
  <c r="U52" i="4"/>
  <c r="DH52" i="18"/>
  <c r="V52" i="4"/>
  <c r="DI52" i="18"/>
  <c r="W52" i="4"/>
  <c r="DJ52" i="18"/>
  <c r="X52" i="4"/>
  <c r="DK52" i="18"/>
  <c r="Y52" i="4"/>
  <c r="DL52" i="18"/>
  <c r="Z52" i="4"/>
  <c r="DM52" i="18"/>
  <c r="AA52" i="4"/>
  <c r="DN52" i="18"/>
  <c r="AB52" i="4"/>
  <c r="DO52" i="18"/>
  <c r="AC52" i="4"/>
  <c r="DP52" i="18"/>
  <c r="AD52" i="4"/>
  <c r="DQ52" i="18"/>
  <c r="AE52" i="4"/>
  <c r="DR52" i="18"/>
  <c r="AF52" i="4"/>
  <c r="DS52" i="18"/>
  <c r="AG52" i="4"/>
  <c r="DT52" i="18"/>
  <c r="AH52" i="4"/>
  <c r="DU52" i="18"/>
  <c r="AI52" i="4"/>
  <c r="CR52" i="18"/>
  <c r="F52" i="4"/>
  <c r="AK52" i="4"/>
  <c r="DW52" i="18"/>
  <c r="G52" i="5"/>
  <c r="DX52" i="18"/>
  <c r="H52" i="5"/>
  <c r="DY52" i="18"/>
  <c r="I52" i="5"/>
  <c r="DZ52" i="18"/>
  <c r="J52" i="5"/>
  <c r="EA52" i="18"/>
  <c r="K52" i="5"/>
  <c r="EB52" i="18"/>
  <c r="L52" i="5"/>
  <c r="EC52" i="18"/>
  <c r="M52" i="5"/>
  <c r="ED52" i="18"/>
  <c r="N52" i="5"/>
  <c r="EE52" i="18"/>
  <c r="O52" i="5"/>
  <c r="EF52" i="18"/>
  <c r="P52" i="5"/>
  <c r="EG52" i="18"/>
  <c r="Q52" i="5"/>
  <c r="EH52" i="18"/>
  <c r="R52" i="5"/>
  <c r="EI52" i="18"/>
  <c r="S52" i="5"/>
  <c r="EJ52" i="18"/>
  <c r="T52" i="5"/>
  <c r="EK52" i="18"/>
  <c r="U52" i="5"/>
  <c r="EL52" i="18"/>
  <c r="V52" i="5"/>
  <c r="EM52" i="18"/>
  <c r="W52" i="5"/>
  <c r="EN52" i="18"/>
  <c r="X52" i="5"/>
  <c r="EO52" i="18"/>
  <c r="Y52" i="5"/>
  <c r="EP52" i="18"/>
  <c r="Z52" i="5"/>
  <c r="EQ52" i="18"/>
  <c r="AA52" i="5"/>
  <c r="ER52" i="18"/>
  <c r="AB52" i="5"/>
  <c r="ES52" i="18"/>
  <c r="AC52" i="5"/>
  <c r="ET52" i="18"/>
  <c r="AD52" i="5"/>
  <c r="EU52" i="18"/>
  <c r="AE52" i="5"/>
  <c r="EV52" i="18"/>
  <c r="AF52" i="5"/>
  <c r="EW52" i="18"/>
  <c r="AG52" i="5"/>
  <c r="EX52" i="18"/>
  <c r="AH52" i="5"/>
  <c r="EY52" i="18"/>
  <c r="AI52" i="5"/>
  <c r="EZ52" i="18"/>
  <c r="AJ52" i="5"/>
  <c r="DV52" i="18"/>
  <c r="F52" i="5"/>
  <c r="AK52" i="5"/>
  <c r="FB52" i="18"/>
  <c r="G52" i="6"/>
  <c r="FC52" i="18"/>
  <c r="H52" i="6"/>
  <c r="FD52" i="18"/>
  <c r="I52" i="6"/>
  <c r="FE52" i="18"/>
  <c r="J52" i="6"/>
  <c r="FF52" i="18"/>
  <c r="K52" i="6"/>
  <c r="FG52" i="18"/>
  <c r="L52" i="6"/>
  <c r="FH52" i="18"/>
  <c r="M52" i="6"/>
  <c r="FI52" i="18"/>
  <c r="N52" i="6"/>
  <c r="FJ52" i="18"/>
  <c r="O52" i="6"/>
  <c r="FK52" i="18"/>
  <c r="P52" i="6"/>
  <c r="FL52" i="18"/>
  <c r="Q52" i="6"/>
  <c r="FM52" i="18"/>
  <c r="R52" i="6"/>
  <c r="FN52" i="18"/>
  <c r="S52" i="6"/>
  <c r="FO52" i="18"/>
  <c r="T52" i="6"/>
  <c r="FP52" i="18"/>
  <c r="U52" i="6"/>
  <c r="FQ52" i="18"/>
  <c r="V52" i="6"/>
  <c r="FR52" i="18"/>
  <c r="W52" i="6"/>
  <c r="FS52" i="18"/>
  <c r="X52" i="6"/>
  <c r="FT52" i="18"/>
  <c r="Y52" i="6"/>
  <c r="FU52" i="18"/>
  <c r="Z52" i="6"/>
  <c r="FV52" i="18"/>
  <c r="AA52" i="6"/>
  <c r="FW52" i="18"/>
  <c r="AB52" i="6"/>
  <c r="FX52" i="18"/>
  <c r="AC52" i="6"/>
  <c r="FY52" i="18"/>
  <c r="AD52" i="6"/>
  <c r="FZ52" i="18"/>
  <c r="AE52" i="6"/>
  <c r="GA52" i="18"/>
  <c r="AF52" i="6"/>
  <c r="GB52" i="18"/>
  <c r="AG52" i="6"/>
  <c r="GC52" i="18"/>
  <c r="AH52" i="6"/>
  <c r="GD52" i="18"/>
  <c r="AI52" i="6"/>
  <c r="FA52" i="18"/>
  <c r="F52" i="6"/>
  <c r="AK52" i="6"/>
  <c r="GF52" i="18"/>
  <c r="G52" i="7"/>
  <c r="GG52" i="18"/>
  <c r="H52" i="7"/>
  <c r="GH52" i="18"/>
  <c r="I52" i="7"/>
  <c r="GI52" i="18"/>
  <c r="J52" i="7"/>
  <c r="GJ52" i="18"/>
  <c r="K52" i="7"/>
  <c r="GK52" i="18"/>
  <c r="L52" i="7"/>
  <c r="GL52" i="18"/>
  <c r="M52" i="7"/>
  <c r="GM52" i="18"/>
  <c r="N52" i="7"/>
  <c r="GN52" i="18"/>
  <c r="O52" i="7"/>
  <c r="GO52" i="18"/>
  <c r="P52" i="7"/>
  <c r="GP52" i="18"/>
  <c r="Q52" i="7"/>
  <c r="GQ52" i="18"/>
  <c r="R52" i="7"/>
  <c r="GR52" i="18"/>
  <c r="S52" i="7"/>
  <c r="GS52" i="18"/>
  <c r="T52" i="7"/>
  <c r="GT52" i="18"/>
  <c r="U52" i="7"/>
  <c r="GU52" i="18"/>
  <c r="V52" i="7"/>
  <c r="GV52" i="18"/>
  <c r="W52" i="7"/>
  <c r="GW52" i="18"/>
  <c r="X52" i="7"/>
  <c r="GX52" i="18"/>
  <c r="Y52" i="7"/>
  <c r="GY52" i="18"/>
  <c r="Z52" i="7"/>
  <c r="GZ52" i="18"/>
  <c r="AA52" i="7"/>
  <c r="HA52" i="18"/>
  <c r="AB52" i="7"/>
  <c r="HB52" i="18"/>
  <c r="AC52" i="7"/>
  <c r="HC52" i="18"/>
  <c r="AD52" i="7"/>
  <c r="HD52" i="18"/>
  <c r="AE52" i="7"/>
  <c r="HE52" i="18"/>
  <c r="AF52" i="7"/>
  <c r="HF52" i="18"/>
  <c r="AG52" i="7"/>
  <c r="HG52" i="18"/>
  <c r="AH52" i="7"/>
  <c r="HH52" i="18"/>
  <c r="AI52" i="7"/>
  <c r="HI52" i="18"/>
  <c r="AJ52" i="7"/>
  <c r="GE52" i="18"/>
  <c r="F52" i="7"/>
  <c r="AK52" i="7"/>
  <c r="HK52" i="18"/>
  <c r="G52" i="8"/>
  <c r="HL52" i="18"/>
  <c r="H52" i="8"/>
  <c r="HM52" i="18"/>
  <c r="I52" i="8"/>
  <c r="HN52" i="18"/>
  <c r="J52" i="8"/>
  <c r="HO52" i="18"/>
  <c r="K52" i="8"/>
  <c r="HP52" i="18"/>
  <c r="L52" i="8"/>
  <c r="HQ52" i="18"/>
  <c r="M52" i="8"/>
  <c r="HR52" i="18"/>
  <c r="N52" i="8"/>
  <c r="HS52" i="18"/>
  <c r="O52" i="8"/>
  <c r="HT52" i="18"/>
  <c r="P52" i="8"/>
  <c r="HU52" i="18"/>
  <c r="Q52" i="8"/>
  <c r="HV52" i="18"/>
  <c r="R52" i="8"/>
  <c r="HW52" i="18"/>
  <c r="S52" i="8"/>
  <c r="HX52" i="18"/>
  <c r="T52" i="8"/>
  <c r="HY52" i="18"/>
  <c r="U52" i="8"/>
  <c r="HZ52" i="18"/>
  <c r="V52" i="8"/>
  <c r="IA52" i="18"/>
  <c r="W52" i="8"/>
  <c r="IB52" i="18"/>
  <c r="X52" i="8"/>
  <c r="IC52" i="18"/>
  <c r="Y52" i="8"/>
  <c r="ID52" i="18"/>
  <c r="Z52" i="8"/>
  <c r="IE52" i="18"/>
  <c r="AA52" i="8"/>
  <c r="IF52" i="18"/>
  <c r="AB52" i="8"/>
  <c r="IG52" i="18"/>
  <c r="AC52" i="8"/>
  <c r="IH52" i="18"/>
  <c r="AD52" i="8"/>
  <c r="II52" i="18"/>
  <c r="AE52" i="8"/>
  <c r="IJ52" i="18"/>
  <c r="AF52" i="8"/>
  <c r="IK52" i="18"/>
  <c r="AG52" i="8"/>
  <c r="IL52" i="18"/>
  <c r="AH52" i="8"/>
  <c r="IM52" i="18"/>
  <c r="AI52" i="8"/>
  <c r="IN52" i="18"/>
  <c r="AJ52" i="8"/>
  <c r="HJ52" i="18"/>
  <c r="F52" i="8"/>
  <c r="AK52" i="8"/>
  <c r="IP52" i="18"/>
  <c r="G52" i="9"/>
  <c r="IQ52" i="18"/>
  <c r="H52" i="9"/>
  <c r="IR52" i="18"/>
  <c r="I52" i="9"/>
  <c r="IS52" i="18"/>
  <c r="J52" i="9"/>
  <c r="IT52" i="18"/>
  <c r="K52" i="9"/>
  <c r="IU52" i="18"/>
  <c r="L52" i="9"/>
  <c r="IV52" i="18"/>
  <c r="M52" i="9"/>
  <c r="IW52" i="18"/>
  <c r="N52" i="9"/>
  <c r="IX52" i="18"/>
  <c r="O52" i="9"/>
  <c r="IY52" i="18"/>
  <c r="P52" i="9"/>
  <c r="IZ52" i="18"/>
  <c r="Q52" i="9"/>
  <c r="JA52" i="18"/>
  <c r="R52" i="9"/>
  <c r="JB52" i="18"/>
  <c r="S52" i="9"/>
  <c r="JC52" i="18"/>
  <c r="T52" i="9"/>
  <c r="JD52" i="18"/>
  <c r="U52" i="9"/>
  <c r="JE52" i="18"/>
  <c r="V52" i="9"/>
  <c r="JF52" i="18"/>
  <c r="W52" i="9"/>
  <c r="JG52" i="18"/>
  <c r="X52" i="9"/>
  <c r="JH52" i="18"/>
  <c r="Y52" i="9"/>
  <c r="JI52" i="18"/>
  <c r="Z52" i="9"/>
  <c r="JJ52" i="18"/>
  <c r="AA52" i="9"/>
  <c r="JK52" i="18"/>
  <c r="AB52" i="9"/>
  <c r="JL52" i="18"/>
  <c r="AC52" i="9"/>
  <c r="JM52" i="18"/>
  <c r="AD52" i="9"/>
  <c r="JN52" i="18"/>
  <c r="AE52" i="9"/>
  <c r="JO52" i="18"/>
  <c r="AF52" i="9"/>
  <c r="JP52" i="18"/>
  <c r="AG52" i="9"/>
  <c r="JQ52" i="18"/>
  <c r="AH52" i="9"/>
  <c r="JR52" i="18"/>
  <c r="AI52" i="9"/>
  <c r="IO52" i="18"/>
  <c r="F52" i="9"/>
  <c r="AK52" i="9"/>
  <c r="JT52" i="18"/>
  <c r="G52" i="10"/>
  <c r="JU52" i="18"/>
  <c r="H52" i="10"/>
  <c r="JV52" i="18"/>
  <c r="I52" i="10"/>
  <c r="JW52" i="18"/>
  <c r="J52" i="10"/>
  <c r="JX52" i="18"/>
  <c r="K52" i="10"/>
  <c r="JY52" i="18"/>
  <c r="L52" i="10"/>
  <c r="JZ52" i="18"/>
  <c r="M52" i="10"/>
  <c r="KA52" i="18"/>
  <c r="N52" i="10"/>
  <c r="KB52" i="18"/>
  <c r="O52" i="10"/>
  <c r="KC52" i="18"/>
  <c r="P52" i="10"/>
  <c r="KD52" i="18"/>
  <c r="Q52" i="10"/>
  <c r="KE52" i="18"/>
  <c r="R52" i="10"/>
  <c r="KF52" i="18"/>
  <c r="S52" i="10"/>
  <c r="KG52" i="18"/>
  <c r="T52" i="10"/>
  <c r="KH52" i="18"/>
  <c r="U52" i="10"/>
  <c r="KI52" i="18"/>
  <c r="V52" i="10"/>
  <c r="KJ52" i="18"/>
  <c r="W52" i="10"/>
  <c r="KK52" i="18"/>
  <c r="X52" i="10"/>
  <c r="KL52" i="18"/>
  <c r="Y52" i="10"/>
  <c r="KM52" i="18"/>
  <c r="Z52" i="10"/>
  <c r="KN52" i="18"/>
  <c r="AA52" i="10"/>
  <c r="KO52" i="18"/>
  <c r="AB52" i="10"/>
  <c r="KP52" i="18"/>
  <c r="AC52" i="10"/>
  <c r="KQ52" i="18"/>
  <c r="AD52" i="10"/>
  <c r="KR52" i="18"/>
  <c r="AE52" i="10"/>
  <c r="KS52" i="18"/>
  <c r="AF52" i="10"/>
  <c r="KT52" i="18"/>
  <c r="AG52" i="10"/>
  <c r="KU52" i="18"/>
  <c r="AH52" i="10"/>
  <c r="KV52" i="18"/>
  <c r="AI52" i="10"/>
  <c r="KW52" i="18"/>
  <c r="AJ52" i="10"/>
  <c r="JS52" i="18"/>
  <c r="F52" i="10"/>
  <c r="AK52" i="10"/>
  <c r="KY52" i="18"/>
  <c r="G52" i="11"/>
  <c r="KZ52" i="18"/>
  <c r="H52" i="11"/>
  <c r="LA52" i="18"/>
  <c r="I52" i="11"/>
  <c r="LB52" i="18"/>
  <c r="J52" i="11"/>
  <c r="LC52" i="18"/>
  <c r="K52" i="11"/>
  <c r="LD52" i="18"/>
  <c r="L52" i="11"/>
  <c r="LE52" i="18"/>
  <c r="M52" i="11"/>
  <c r="LF52" i="18"/>
  <c r="N52" i="11"/>
  <c r="LG52" i="18"/>
  <c r="O52" i="11"/>
  <c r="LH52" i="18"/>
  <c r="P52" i="11"/>
  <c r="LI52" i="18"/>
  <c r="Q52" i="11"/>
  <c r="LJ52" i="18"/>
  <c r="R52" i="11"/>
  <c r="LK52" i="18"/>
  <c r="S52" i="11"/>
  <c r="LL52" i="18"/>
  <c r="T52" i="11"/>
  <c r="LM52" i="18"/>
  <c r="U52" i="11"/>
  <c r="LN52" i="18"/>
  <c r="V52" i="11"/>
  <c r="LO52" i="18"/>
  <c r="W52" i="11"/>
  <c r="LP52" i="18"/>
  <c r="X52" i="11"/>
  <c r="LQ52" i="18"/>
  <c r="Y52" i="11"/>
  <c r="LR52" i="18"/>
  <c r="Z52" i="11"/>
  <c r="LS52" i="18"/>
  <c r="AA52" i="11"/>
  <c r="LT52" i="18"/>
  <c r="AB52" i="11"/>
  <c r="LU52" i="18"/>
  <c r="AC52" i="11"/>
  <c r="LV52" i="18"/>
  <c r="AD52" i="11"/>
  <c r="LW52" i="18"/>
  <c r="AE52" i="11"/>
  <c r="LX52" i="18"/>
  <c r="AF52" i="11"/>
  <c r="LY52" i="18"/>
  <c r="AG52" i="11"/>
  <c r="LZ52" i="18"/>
  <c r="AH52" i="11"/>
  <c r="MA52" i="18"/>
  <c r="AI52" i="11"/>
  <c r="KX52" i="18"/>
  <c r="F52" i="11"/>
  <c r="AK52" i="11"/>
  <c r="MC52" i="18"/>
  <c r="G52" i="12"/>
  <c r="MD52" i="18"/>
  <c r="H52" i="12"/>
  <c r="ME52" i="18"/>
  <c r="I52" i="12"/>
  <c r="MF52" i="18"/>
  <c r="J52" i="12"/>
  <c r="MG52" i="18"/>
  <c r="K52" i="12"/>
  <c r="MH52" i="18"/>
  <c r="L52" i="12"/>
  <c r="MI52" i="18"/>
  <c r="M52" i="12"/>
  <c r="MJ52" i="18"/>
  <c r="N52" i="12"/>
  <c r="MK52" i="18"/>
  <c r="O52" i="12"/>
  <c r="ML52" i="18"/>
  <c r="P52" i="12"/>
  <c r="MM52" i="18"/>
  <c r="Q52" i="12"/>
  <c r="MN52" i="18"/>
  <c r="R52" i="12"/>
  <c r="MO52" i="18"/>
  <c r="S52" i="12"/>
  <c r="MP52" i="18"/>
  <c r="T52" i="12"/>
  <c r="MQ52" i="18"/>
  <c r="U52" i="12"/>
  <c r="MR52" i="18"/>
  <c r="V52" i="12"/>
  <c r="MS52" i="18"/>
  <c r="W52" i="12"/>
  <c r="MT52" i="18"/>
  <c r="X52" i="12"/>
  <c r="MU52" i="18"/>
  <c r="Y52" i="12"/>
  <c r="MV52" i="18"/>
  <c r="Z52" i="12"/>
  <c r="MW52" i="18"/>
  <c r="AA52" i="12"/>
  <c r="MX52" i="18"/>
  <c r="AB52" i="12"/>
  <c r="MY52" i="18"/>
  <c r="AC52" i="12"/>
  <c r="MZ52" i="18"/>
  <c r="AD52" i="12"/>
  <c r="NA52" i="18"/>
  <c r="AE52" i="12"/>
  <c r="NB52" i="18"/>
  <c r="AF52" i="12"/>
  <c r="NC52" i="18"/>
  <c r="AG52" i="12"/>
  <c r="ND52" i="18"/>
  <c r="AH52" i="12"/>
  <c r="NE52" i="18"/>
  <c r="AI52" i="12"/>
  <c r="NF52" i="18"/>
  <c r="AJ52" i="12"/>
  <c r="MB52" i="18"/>
  <c r="F52" i="12"/>
  <c r="AK52" i="12"/>
  <c r="P48" i="13"/>
  <c r="G51" i="18"/>
  <c r="H51" i="18"/>
  <c r="I51" i="18"/>
  <c r="J51" i="18"/>
  <c r="K51" i="18"/>
  <c r="L51" i="18"/>
  <c r="M51" i="18"/>
  <c r="N51" i="18"/>
  <c r="O51" i="18"/>
  <c r="P51" i="18"/>
  <c r="Q51" i="18"/>
  <c r="R51" i="18"/>
  <c r="S51" i="18"/>
  <c r="T51" i="18"/>
  <c r="U51" i="18"/>
  <c r="V51" i="18"/>
  <c r="W51" i="18"/>
  <c r="X51" i="18"/>
  <c r="Y51" i="18"/>
  <c r="Z51" i="18"/>
  <c r="AA51" i="18"/>
  <c r="AB51" i="18"/>
  <c r="AC51" i="18"/>
  <c r="AD51" i="18"/>
  <c r="AE51" i="18"/>
  <c r="AF51" i="18"/>
  <c r="AG51" i="18"/>
  <c r="AH51" i="18"/>
  <c r="AI51" i="18"/>
  <c r="AJ51" i="18"/>
  <c r="F51" i="18"/>
  <c r="AL51" i="18"/>
  <c r="G51" i="2"/>
  <c r="AM51" i="18"/>
  <c r="H51" i="2"/>
  <c r="AN51" i="18"/>
  <c r="I51" i="2"/>
  <c r="AO51" i="18"/>
  <c r="J51" i="2"/>
  <c r="AP51" i="18"/>
  <c r="K51" i="2"/>
  <c r="AQ51" i="18"/>
  <c r="L51" i="2"/>
  <c r="AR51" i="18"/>
  <c r="M51" i="2"/>
  <c r="AS51" i="18"/>
  <c r="N51" i="2"/>
  <c r="AT51" i="18"/>
  <c r="O51" i="2"/>
  <c r="AU51" i="18"/>
  <c r="P51" i="2"/>
  <c r="AV51" i="18"/>
  <c r="Q51" i="2"/>
  <c r="AW51" i="18"/>
  <c r="R51" i="2"/>
  <c r="AX51" i="18"/>
  <c r="S51" i="2"/>
  <c r="AY51" i="18"/>
  <c r="T51" i="2"/>
  <c r="AZ51" i="18"/>
  <c r="U51" i="2"/>
  <c r="BA51" i="18"/>
  <c r="V51" i="2"/>
  <c r="BB51" i="18"/>
  <c r="W51" i="2"/>
  <c r="BC51" i="18"/>
  <c r="X51" i="2"/>
  <c r="BD51" i="18"/>
  <c r="Y51" i="2"/>
  <c r="BE51" i="18"/>
  <c r="Z51" i="2"/>
  <c r="BF51" i="18"/>
  <c r="AA51" i="2"/>
  <c r="BG51" i="18"/>
  <c r="AB51" i="2"/>
  <c r="BH51" i="18"/>
  <c r="AC51" i="2"/>
  <c r="BI51" i="18"/>
  <c r="AD51" i="2"/>
  <c r="BJ51" i="18"/>
  <c r="AE51" i="2"/>
  <c r="BK51" i="18"/>
  <c r="AF51" i="2"/>
  <c r="BL51" i="18"/>
  <c r="AG51" i="2"/>
  <c r="AI51" i="2"/>
  <c r="AK51" i="18"/>
  <c r="F51" i="2"/>
  <c r="AJ51" i="2"/>
  <c r="BN51" i="18"/>
  <c r="G51" i="3"/>
  <c r="BO51" i="18"/>
  <c r="H51" i="3"/>
  <c r="BP51" i="18"/>
  <c r="I51" i="3"/>
  <c r="BQ51" i="18"/>
  <c r="J51" i="3"/>
  <c r="BR51" i="18"/>
  <c r="K51" i="3"/>
  <c r="BS51" i="18"/>
  <c r="L51" i="3"/>
  <c r="BT51" i="18"/>
  <c r="M51" i="3"/>
  <c r="BU51" i="18"/>
  <c r="N51" i="3"/>
  <c r="BV51" i="18"/>
  <c r="O51" i="3"/>
  <c r="BW51" i="18"/>
  <c r="P51" i="3"/>
  <c r="BX51" i="18"/>
  <c r="Q51" i="3"/>
  <c r="BY51" i="18"/>
  <c r="R51" i="3"/>
  <c r="BZ51" i="18"/>
  <c r="S51" i="3"/>
  <c r="CA51" i="18"/>
  <c r="T51" i="3"/>
  <c r="CB51" i="18"/>
  <c r="U51" i="3"/>
  <c r="CC51" i="18"/>
  <c r="V51" i="3"/>
  <c r="CD51" i="18"/>
  <c r="W51" i="3"/>
  <c r="CE51" i="18"/>
  <c r="X51" i="3"/>
  <c r="CF51" i="18"/>
  <c r="Y51" i="3"/>
  <c r="CG51" i="18"/>
  <c r="Z51" i="3"/>
  <c r="CH51" i="18"/>
  <c r="AA51" i="3"/>
  <c r="CI51" i="18"/>
  <c r="AB51" i="3"/>
  <c r="CJ51" i="18"/>
  <c r="AC51" i="3"/>
  <c r="CK51" i="18"/>
  <c r="AD51" i="3"/>
  <c r="CL51" i="18"/>
  <c r="AE51" i="3"/>
  <c r="CM51" i="18"/>
  <c r="AF51" i="3"/>
  <c r="CN51" i="18"/>
  <c r="AG51" i="3"/>
  <c r="CO51" i="18"/>
  <c r="AH51" i="3"/>
  <c r="CP51" i="18"/>
  <c r="AI51" i="3"/>
  <c r="CQ51" i="18"/>
  <c r="AJ51" i="3"/>
  <c r="BM51" i="18"/>
  <c r="F51" i="3"/>
  <c r="AK51" i="3"/>
  <c r="CS51" i="18"/>
  <c r="G51" i="4"/>
  <c r="CT51" i="18"/>
  <c r="H51" i="4"/>
  <c r="CU51" i="18"/>
  <c r="I51" i="4"/>
  <c r="CV51" i="18"/>
  <c r="J51" i="4"/>
  <c r="CW51" i="18"/>
  <c r="K51" i="4"/>
  <c r="CX51" i="18"/>
  <c r="L51" i="4"/>
  <c r="CY51" i="18"/>
  <c r="M51" i="4"/>
  <c r="CZ51" i="18"/>
  <c r="N51" i="4"/>
  <c r="DA51" i="18"/>
  <c r="O51" i="4"/>
  <c r="DB51" i="18"/>
  <c r="P51" i="4"/>
  <c r="DC51" i="18"/>
  <c r="Q51" i="4"/>
  <c r="DD51" i="18"/>
  <c r="R51" i="4"/>
  <c r="DE51" i="18"/>
  <c r="S51" i="4"/>
  <c r="DF51" i="18"/>
  <c r="T51" i="4"/>
  <c r="DG51" i="18"/>
  <c r="U51" i="4"/>
  <c r="DH51" i="18"/>
  <c r="V51" i="4"/>
  <c r="DI51" i="18"/>
  <c r="W51" i="4"/>
  <c r="DJ51" i="18"/>
  <c r="X51" i="4"/>
  <c r="DK51" i="18"/>
  <c r="Y51" i="4"/>
  <c r="DL51" i="18"/>
  <c r="Z51" i="4"/>
  <c r="DM51" i="18"/>
  <c r="AA51" i="4"/>
  <c r="DN51" i="18"/>
  <c r="AB51" i="4"/>
  <c r="DO51" i="18"/>
  <c r="AC51" i="4"/>
  <c r="DP51" i="18"/>
  <c r="AD51" i="4"/>
  <c r="DQ51" i="18"/>
  <c r="AE51" i="4"/>
  <c r="DR51" i="18"/>
  <c r="AF51" i="4"/>
  <c r="DS51" i="18"/>
  <c r="AG51" i="4"/>
  <c r="DT51" i="18"/>
  <c r="AH51" i="4"/>
  <c r="DU51" i="18"/>
  <c r="AI51" i="4"/>
  <c r="CR51" i="18"/>
  <c r="F51" i="4"/>
  <c r="AK51" i="4"/>
  <c r="DW51" i="18"/>
  <c r="G51" i="5"/>
  <c r="DX51" i="18"/>
  <c r="H51" i="5"/>
  <c r="DY51" i="18"/>
  <c r="I51" i="5"/>
  <c r="DZ51" i="18"/>
  <c r="J51" i="5"/>
  <c r="EA51" i="18"/>
  <c r="K51" i="5"/>
  <c r="EB51" i="18"/>
  <c r="L51" i="5"/>
  <c r="EC51" i="18"/>
  <c r="M51" i="5"/>
  <c r="ED51" i="18"/>
  <c r="N51" i="5"/>
  <c r="EE51" i="18"/>
  <c r="O51" i="5"/>
  <c r="EF51" i="18"/>
  <c r="P51" i="5"/>
  <c r="EG51" i="18"/>
  <c r="Q51" i="5"/>
  <c r="EH51" i="18"/>
  <c r="R51" i="5"/>
  <c r="EI51" i="18"/>
  <c r="S51" i="5"/>
  <c r="EJ51" i="18"/>
  <c r="T51" i="5"/>
  <c r="EK51" i="18"/>
  <c r="U51" i="5"/>
  <c r="EL51" i="18"/>
  <c r="V51" i="5"/>
  <c r="EM51" i="18"/>
  <c r="W51" i="5"/>
  <c r="EN51" i="18"/>
  <c r="X51" i="5"/>
  <c r="EO51" i="18"/>
  <c r="Y51" i="5"/>
  <c r="EP51" i="18"/>
  <c r="Z51" i="5"/>
  <c r="EQ51" i="18"/>
  <c r="AA51" i="5"/>
  <c r="ER51" i="18"/>
  <c r="AB51" i="5"/>
  <c r="ES51" i="18"/>
  <c r="AC51" i="5"/>
  <c r="ET51" i="18"/>
  <c r="AD51" i="5"/>
  <c r="EU51" i="18"/>
  <c r="AE51" i="5"/>
  <c r="EV51" i="18"/>
  <c r="AF51" i="5"/>
  <c r="EW51" i="18"/>
  <c r="AG51" i="5"/>
  <c r="EX51" i="18"/>
  <c r="AH51" i="5"/>
  <c r="EY51" i="18"/>
  <c r="AI51" i="5"/>
  <c r="EZ51" i="18"/>
  <c r="AJ51" i="5"/>
  <c r="DV51" i="18"/>
  <c r="F51" i="5"/>
  <c r="AK51" i="5"/>
  <c r="FB51" i="18"/>
  <c r="G51" i="6"/>
  <c r="FC51" i="18"/>
  <c r="H51" i="6"/>
  <c r="FD51" i="18"/>
  <c r="I51" i="6"/>
  <c r="FE51" i="18"/>
  <c r="J51" i="6"/>
  <c r="FF51" i="18"/>
  <c r="K51" i="6"/>
  <c r="FG51" i="18"/>
  <c r="L51" i="6"/>
  <c r="FH51" i="18"/>
  <c r="M51" i="6"/>
  <c r="FI51" i="18"/>
  <c r="N51" i="6"/>
  <c r="FJ51" i="18"/>
  <c r="O51" i="6"/>
  <c r="FK51" i="18"/>
  <c r="P51" i="6"/>
  <c r="FL51" i="18"/>
  <c r="Q51" i="6"/>
  <c r="FM51" i="18"/>
  <c r="R51" i="6"/>
  <c r="FN51" i="18"/>
  <c r="S51" i="6"/>
  <c r="FO51" i="18"/>
  <c r="T51" i="6"/>
  <c r="FP51" i="18"/>
  <c r="U51" i="6"/>
  <c r="FQ51" i="18"/>
  <c r="V51" i="6"/>
  <c r="FR51" i="18"/>
  <c r="W51" i="6"/>
  <c r="FS51" i="18"/>
  <c r="X51" i="6"/>
  <c r="FT51" i="18"/>
  <c r="Y51" i="6"/>
  <c r="FU51" i="18"/>
  <c r="Z51" i="6"/>
  <c r="FV51" i="18"/>
  <c r="AA51" i="6"/>
  <c r="FW51" i="18"/>
  <c r="AB51" i="6"/>
  <c r="FX51" i="18"/>
  <c r="AC51" i="6"/>
  <c r="FY51" i="18"/>
  <c r="AD51" i="6"/>
  <c r="FZ51" i="18"/>
  <c r="AE51" i="6"/>
  <c r="GA51" i="18"/>
  <c r="AF51" i="6"/>
  <c r="GB51" i="18"/>
  <c r="AG51" i="6"/>
  <c r="GC51" i="18"/>
  <c r="AH51" i="6"/>
  <c r="GD51" i="18"/>
  <c r="AI51" i="6"/>
  <c r="FA51" i="18"/>
  <c r="F51" i="6"/>
  <c r="AK51" i="6"/>
  <c r="GF51" i="18"/>
  <c r="G51" i="7"/>
  <c r="GG51" i="18"/>
  <c r="H51" i="7"/>
  <c r="GH51" i="18"/>
  <c r="I51" i="7"/>
  <c r="GI51" i="18"/>
  <c r="J51" i="7"/>
  <c r="GJ51" i="18"/>
  <c r="K51" i="7"/>
  <c r="GK51" i="18"/>
  <c r="L51" i="7"/>
  <c r="GL51" i="18"/>
  <c r="M51" i="7"/>
  <c r="GM51" i="18"/>
  <c r="N51" i="7"/>
  <c r="GN51" i="18"/>
  <c r="O51" i="7"/>
  <c r="GO51" i="18"/>
  <c r="P51" i="7"/>
  <c r="GP51" i="18"/>
  <c r="Q51" i="7"/>
  <c r="GQ51" i="18"/>
  <c r="R51" i="7"/>
  <c r="GR51" i="18"/>
  <c r="S51" i="7"/>
  <c r="GS51" i="18"/>
  <c r="T51" i="7"/>
  <c r="GT51" i="18"/>
  <c r="U51" i="7"/>
  <c r="GU51" i="18"/>
  <c r="V51" i="7"/>
  <c r="GV51" i="18"/>
  <c r="W51" i="7"/>
  <c r="GW51" i="18"/>
  <c r="X51" i="7"/>
  <c r="GX51" i="18"/>
  <c r="Y51" i="7"/>
  <c r="GY51" i="18"/>
  <c r="Z51" i="7"/>
  <c r="GZ51" i="18"/>
  <c r="AA51" i="7"/>
  <c r="HA51" i="18"/>
  <c r="AB51" i="7"/>
  <c r="HB51" i="18"/>
  <c r="AC51" i="7"/>
  <c r="HC51" i="18"/>
  <c r="AD51" i="7"/>
  <c r="HD51" i="18"/>
  <c r="AE51" i="7"/>
  <c r="HE51" i="18"/>
  <c r="AF51" i="7"/>
  <c r="HF51" i="18"/>
  <c r="AG51" i="7"/>
  <c r="HG51" i="18"/>
  <c r="AH51" i="7"/>
  <c r="HH51" i="18"/>
  <c r="AI51" i="7"/>
  <c r="HI51" i="18"/>
  <c r="AJ51" i="7"/>
  <c r="GE51" i="18"/>
  <c r="F51" i="7"/>
  <c r="AK51" i="7"/>
  <c r="HK51" i="18"/>
  <c r="G51" i="8"/>
  <c r="HL51" i="18"/>
  <c r="H51" i="8"/>
  <c r="HM51" i="18"/>
  <c r="I51" i="8"/>
  <c r="HN51" i="18"/>
  <c r="J51" i="8"/>
  <c r="HO51" i="18"/>
  <c r="K51" i="8"/>
  <c r="HP51" i="18"/>
  <c r="L51" i="8"/>
  <c r="HQ51" i="18"/>
  <c r="M51" i="8"/>
  <c r="HR51" i="18"/>
  <c r="N51" i="8"/>
  <c r="HS51" i="18"/>
  <c r="O51" i="8"/>
  <c r="HT51" i="18"/>
  <c r="P51" i="8"/>
  <c r="HU51" i="18"/>
  <c r="Q51" i="8"/>
  <c r="HV51" i="18"/>
  <c r="R51" i="8"/>
  <c r="HW51" i="18"/>
  <c r="S51" i="8"/>
  <c r="HX51" i="18"/>
  <c r="T51" i="8"/>
  <c r="HY51" i="18"/>
  <c r="U51" i="8"/>
  <c r="HZ51" i="18"/>
  <c r="V51" i="8"/>
  <c r="IA51" i="18"/>
  <c r="W51" i="8"/>
  <c r="IB51" i="18"/>
  <c r="X51" i="8"/>
  <c r="IC51" i="18"/>
  <c r="Y51" i="8"/>
  <c r="ID51" i="18"/>
  <c r="Z51" i="8"/>
  <c r="IE51" i="18"/>
  <c r="AA51" i="8"/>
  <c r="IF51" i="18"/>
  <c r="AB51" i="8"/>
  <c r="IG51" i="18"/>
  <c r="AC51" i="8"/>
  <c r="IH51" i="18"/>
  <c r="AD51" i="8"/>
  <c r="II51" i="18"/>
  <c r="AE51" i="8"/>
  <c r="IJ51" i="18"/>
  <c r="AF51" i="8"/>
  <c r="IK51" i="18"/>
  <c r="AG51" i="8"/>
  <c r="IL51" i="18"/>
  <c r="AH51" i="8"/>
  <c r="IM51" i="18"/>
  <c r="AI51" i="8"/>
  <c r="IN51" i="18"/>
  <c r="AJ51" i="8"/>
  <c r="HJ51" i="18"/>
  <c r="F51" i="8"/>
  <c r="AK51" i="8"/>
  <c r="IP51" i="18"/>
  <c r="G51" i="9"/>
  <c r="IQ51" i="18"/>
  <c r="H51" i="9"/>
  <c r="IR51" i="18"/>
  <c r="I51" i="9"/>
  <c r="IS51" i="18"/>
  <c r="J51" i="9"/>
  <c r="IT51" i="18"/>
  <c r="K51" i="9"/>
  <c r="IU51" i="18"/>
  <c r="L51" i="9"/>
  <c r="IV51" i="18"/>
  <c r="M51" i="9"/>
  <c r="IW51" i="18"/>
  <c r="N51" i="9"/>
  <c r="IX51" i="18"/>
  <c r="O51" i="9"/>
  <c r="IY51" i="18"/>
  <c r="P51" i="9"/>
  <c r="IZ51" i="18"/>
  <c r="Q51" i="9"/>
  <c r="JA51" i="18"/>
  <c r="R51" i="9"/>
  <c r="JB51" i="18"/>
  <c r="S51" i="9"/>
  <c r="JC51" i="18"/>
  <c r="T51" i="9"/>
  <c r="JD51" i="18"/>
  <c r="U51" i="9"/>
  <c r="JE51" i="18"/>
  <c r="V51" i="9"/>
  <c r="JF51" i="18"/>
  <c r="W51" i="9"/>
  <c r="JG51" i="18"/>
  <c r="X51" i="9"/>
  <c r="JH51" i="18"/>
  <c r="Y51" i="9"/>
  <c r="JI51" i="18"/>
  <c r="Z51" i="9"/>
  <c r="JJ51" i="18"/>
  <c r="AA51" i="9"/>
  <c r="JK51" i="18"/>
  <c r="AB51" i="9"/>
  <c r="JL51" i="18"/>
  <c r="AC51" i="9"/>
  <c r="JM51" i="18"/>
  <c r="AD51" i="9"/>
  <c r="JN51" i="18"/>
  <c r="AE51" i="9"/>
  <c r="JO51" i="18"/>
  <c r="AF51" i="9"/>
  <c r="JP51" i="18"/>
  <c r="AG51" i="9"/>
  <c r="JQ51" i="18"/>
  <c r="AH51" i="9"/>
  <c r="JR51" i="18"/>
  <c r="AI51" i="9"/>
  <c r="IO51" i="18"/>
  <c r="F51" i="9"/>
  <c r="AK51" i="9"/>
  <c r="JT51" i="18"/>
  <c r="G51" i="10"/>
  <c r="JU51" i="18"/>
  <c r="H51" i="10"/>
  <c r="JV51" i="18"/>
  <c r="I51" i="10"/>
  <c r="JW51" i="18"/>
  <c r="J51" i="10"/>
  <c r="JX51" i="18"/>
  <c r="K51" i="10"/>
  <c r="JY51" i="18"/>
  <c r="L51" i="10"/>
  <c r="JZ51" i="18"/>
  <c r="M51" i="10"/>
  <c r="KA51" i="18"/>
  <c r="N51" i="10"/>
  <c r="KB51" i="18"/>
  <c r="O51" i="10"/>
  <c r="KC51" i="18"/>
  <c r="P51" i="10"/>
  <c r="KD51" i="18"/>
  <c r="Q51" i="10"/>
  <c r="KE51" i="18"/>
  <c r="R51" i="10"/>
  <c r="KF51" i="18"/>
  <c r="S51" i="10"/>
  <c r="KG51" i="18"/>
  <c r="T51" i="10"/>
  <c r="KH51" i="18"/>
  <c r="U51" i="10"/>
  <c r="KI51" i="18"/>
  <c r="V51" i="10"/>
  <c r="KJ51" i="18"/>
  <c r="W51" i="10"/>
  <c r="KK51" i="18"/>
  <c r="X51" i="10"/>
  <c r="KL51" i="18"/>
  <c r="Y51" i="10"/>
  <c r="KM51" i="18"/>
  <c r="Z51" i="10"/>
  <c r="KN51" i="18"/>
  <c r="AA51" i="10"/>
  <c r="KO51" i="18"/>
  <c r="AB51" i="10"/>
  <c r="KP51" i="18"/>
  <c r="AC51" i="10"/>
  <c r="KQ51" i="18"/>
  <c r="AD51" i="10"/>
  <c r="KR51" i="18"/>
  <c r="AE51" i="10"/>
  <c r="KS51" i="18"/>
  <c r="AF51" i="10"/>
  <c r="KT51" i="18"/>
  <c r="AG51" i="10"/>
  <c r="KU51" i="18"/>
  <c r="AH51" i="10"/>
  <c r="KV51" i="18"/>
  <c r="AI51" i="10"/>
  <c r="KW51" i="18"/>
  <c r="AJ51" i="10"/>
  <c r="JS51" i="18"/>
  <c r="F51" i="10"/>
  <c r="AK51" i="10"/>
  <c r="KY51" i="18"/>
  <c r="G51" i="11"/>
  <c r="KZ51" i="18"/>
  <c r="H51" i="11"/>
  <c r="LA51" i="18"/>
  <c r="I51" i="11"/>
  <c r="LB51" i="18"/>
  <c r="J51" i="11"/>
  <c r="LC51" i="18"/>
  <c r="K51" i="11"/>
  <c r="LD51" i="18"/>
  <c r="L51" i="11"/>
  <c r="LE51" i="18"/>
  <c r="M51" i="11"/>
  <c r="LF51" i="18"/>
  <c r="N51" i="11"/>
  <c r="LG51" i="18"/>
  <c r="O51" i="11"/>
  <c r="LH51" i="18"/>
  <c r="P51" i="11"/>
  <c r="LI51" i="18"/>
  <c r="Q51" i="11"/>
  <c r="LJ51" i="18"/>
  <c r="R51" i="11"/>
  <c r="LK51" i="18"/>
  <c r="S51" i="11"/>
  <c r="LL51" i="18"/>
  <c r="T51" i="11"/>
  <c r="LM51" i="18"/>
  <c r="U51" i="11"/>
  <c r="LN51" i="18"/>
  <c r="V51" i="11"/>
  <c r="LO51" i="18"/>
  <c r="W51" i="11"/>
  <c r="LP51" i="18"/>
  <c r="X51" i="11"/>
  <c r="LQ51" i="18"/>
  <c r="Y51" i="11"/>
  <c r="LR51" i="18"/>
  <c r="Z51" i="11"/>
  <c r="LS51" i="18"/>
  <c r="AA51" i="11"/>
  <c r="LT51" i="18"/>
  <c r="AB51" i="11"/>
  <c r="LU51" i="18"/>
  <c r="AC51" i="11"/>
  <c r="LV51" i="18"/>
  <c r="AD51" i="11"/>
  <c r="LW51" i="18"/>
  <c r="AE51" i="11"/>
  <c r="LX51" i="18"/>
  <c r="AF51" i="11"/>
  <c r="LY51" i="18"/>
  <c r="AG51" i="11"/>
  <c r="LZ51" i="18"/>
  <c r="AH51" i="11"/>
  <c r="MA51" i="18"/>
  <c r="AI51" i="11"/>
  <c r="KX51" i="18"/>
  <c r="F51" i="11"/>
  <c r="AK51" i="11"/>
  <c r="MC51" i="18"/>
  <c r="G51" i="12"/>
  <c r="MD51" i="18"/>
  <c r="H51" i="12"/>
  <c r="ME51" i="18"/>
  <c r="I51" i="12"/>
  <c r="MF51" i="18"/>
  <c r="J51" i="12"/>
  <c r="MG51" i="18"/>
  <c r="K51" i="12"/>
  <c r="MH51" i="18"/>
  <c r="L51" i="12"/>
  <c r="MI51" i="18"/>
  <c r="M51" i="12"/>
  <c r="MJ51" i="18"/>
  <c r="N51" i="12"/>
  <c r="MK51" i="18"/>
  <c r="O51" i="12"/>
  <c r="ML51" i="18"/>
  <c r="P51" i="12"/>
  <c r="MM51" i="18"/>
  <c r="Q51" i="12"/>
  <c r="MN51" i="18"/>
  <c r="R51" i="12"/>
  <c r="MO51" i="18"/>
  <c r="S51" i="12"/>
  <c r="MP51" i="18"/>
  <c r="T51" i="12"/>
  <c r="MQ51" i="18"/>
  <c r="U51" i="12"/>
  <c r="MR51" i="18"/>
  <c r="V51" i="12"/>
  <c r="MS51" i="18"/>
  <c r="W51" i="12"/>
  <c r="MT51" i="18"/>
  <c r="X51" i="12"/>
  <c r="MU51" i="18"/>
  <c r="Y51" i="12"/>
  <c r="MV51" i="18"/>
  <c r="Z51" i="12"/>
  <c r="MW51" i="18"/>
  <c r="AA51" i="12"/>
  <c r="MX51" i="18"/>
  <c r="AB51" i="12"/>
  <c r="MY51" i="18"/>
  <c r="AC51" i="12"/>
  <c r="MZ51" i="18"/>
  <c r="AD51" i="12"/>
  <c r="NA51" i="18"/>
  <c r="AE51" i="12"/>
  <c r="NB51" i="18"/>
  <c r="AF51" i="12"/>
  <c r="NC51" i="18"/>
  <c r="AG51" i="12"/>
  <c r="ND51" i="18"/>
  <c r="AH51" i="12"/>
  <c r="NE51" i="18"/>
  <c r="AI51" i="12"/>
  <c r="NF51" i="18"/>
  <c r="AJ51" i="12"/>
  <c r="MB51" i="18"/>
  <c r="F51" i="12"/>
  <c r="AK51" i="12"/>
  <c r="P47" i="13"/>
  <c r="G50" i="18"/>
  <c r="H50" i="18"/>
  <c r="I50" i="18"/>
  <c r="J50" i="18"/>
  <c r="K50" i="18"/>
  <c r="L50" i="18"/>
  <c r="M50" i="18"/>
  <c r="N50" i="18"/>
  <c r="O50" i="18"/>
  <c r="P50" i="18"/>
  <c r="Q50" i="18"/>
  <c r="R50" i="18"/>
  <c r="S50" i="18"/>
  <c r="T50" i="18"/>
  <c r="U50" i="18"/>
  <c r="V50" i="18"/>
  <c r="W50" i="18"/>
  <c r="X50" i="18"/>
  <c r="Y50" i="18"/>
  <c r="Z50" i="18"/>
  <c r="AA50" i="18"/>
  <c r="AB50" i="18"/>
  <c r="AC50" i="18"/>
  <c r="AD50" i="18"/>
  <c r="AE50" i="18"/>
  <c r="AF50" i="18"/>
  <c r="AG50" i="18"/>
  <c r="AH50" i="18"/>
  <c r="AI50" i="18"/>
  <c r="AJ50" i="18"/>
  <c r="F50" i="18"/>
  <c r="AL50" i="18"/>
  <c r="G50" i="2"/>
  <c r="AM50" i="18"/>
  <c r="H50" i="2"/>
  <c r="AN50" i="18"/>
  <c r="I50" i="2"/>
  <c r="AO50" i="18"/>
  <c r="J50" i="2"/>
  <c r="AP50" i="18"/>
  <c r="K50" i="2"/>
  <c r="AQ50" i="18"/>
  <c r="L50" i="2"/>
  <c r="AR50" i="18"/>
  <c r="M50" i="2"/>
  <c r="AS50" i="18"/>
  <c r="N50" i="2"/>
  <c r="AT50" i="18"/>
  <c r="O50" i="2"/>
  <c r="AU50" i="18"/>
  <c r="P50" i="2"/>
  <c r="AV50" i="18"/>
  <c r="Q50" i="2"/>
  <c r="AW50" i="18"/>
  <c r="R50" i="2"/>
  <c r="AX50" i="18"/>
  <c r="S50" i="2"/>
  <c r="AY50" i="18"/>
  <c r="T50" i="2"/>
  <c r="AZ50" i="18"/>
  <c r="U50" i="2"/>
  <c r="BA50" i="18"/>
  <c r="V50" i="2"/>
  <c r="BB50" i="18"/>
  <c r="W50" i="2"/>
  <c r="BC50" i="18"/>
  <c r="X50" i="2"/>
  <c r="BD50" i="18"/>
  <c r="Y50" i="2"/>
  <c r="BE50" i="18"/>
  <c r="Z50" i="2"/>
  <c r="BF50" i="18"/>
  <c r="AA50" i="2"/>
  <c r="BG50" i="18"/>
  <c r="AB50" i="2"/>
  <c r="BH50" i="18"/>
  <c r="AC50" i="2"/>
  <c r="BI50" i="18"/>
  <c r="AD50" i="2"/>
  <c r="BJ50" i="18"/>
  <c r="AE50" i="2"/>
  <c r="BK50" i="18"/>
  <c r="AF50" i="2"/>
  <c r="BL50" i="18"/>
  <c r="AG50" i="2"/>
  <c r="AI50" i="2"/>
  <c r="AK50" i="18"/>
  <c r="F50" i="2"/>
  <c r="AJ50" i="2"/>
  <c r="BN50" i="18"/>
  <c r="G50" i="3"/>
  <c r="BO50" i="18"/>
  <c r="H50" i="3"/>
  <c r="BP50" i="18"/>
  <c r="I50" i="3"/>
  <c r="BQ50" i="18"/>
  <c r="J50" i="3"/>
  <c r="BR50" i="18"/>
  <c r="K50" i="3"/>
  <c r="BS50" i="18"/>
  <c r="L50" i="3"/>
  <c r="BT50" i="18"/>
  <c r="M50" i="3"/>
  <c r="BU50" i="18"/>
  <c r="N50" i="3"/>
  <c r="BV50" i="18"/>
  <c r="O50" i="3"/>
  <c r="BW50" i="18"/>
  <c r="P50" i="3"/>
  <c r="BX50" i="18"/>
  <c r="Q50" i="3"/>
  <c r="BY50" i="18"/>
  <c r="R50" i="3"/>
  <c r="BZ50" i="18"/>
  <c r="S50" i="3"/>
  <c r="CA50" i="18"/>
  <c r="T50" i="3"/>
  <c r="CB50" i="18"/>
  <c r="U50" i="3"/>
  <c r="CC50" i="18"/>
  <c r="V50" i="3"/>
  <c r="CD50" i="18"/>
  <c r="W50" i="3"/>
  <c r="CE50" i="18"/>
  <c r="X50" i="3"/>
  <c r="CF50" i="18"/>
  <c r="Y50" i="3"/>
  <c r="CG50" i="18"/>
  <c r="Z50" i="3"/>
  <c r="CH50" i="18"/>
  <c r="AA50" i="3"/>
  <c r="CI50" i="18"/>
  <c r="AB50" i="3"/>
  <c r="CJ50" i="18"/>
  <c r="AC50" i="3"/>
  <c r="CK50" i="18"/>
  <c r="AD50" i="3"/>
  <c r="CL50" i="18"/>
  <c r="AE50" i="3"/>
  <c r="CM50" i="18"/>
  <c r="AF50" i="3"/>
  <c r="CN50" i="18"/>
  <c r="AG50" i="3"/>
  <c r="CO50" i="18"/>
  <c r="AH50" i="3"/>
  <c r="CP50" i="18"/>
  <c r="AI50" i="3"/>
  <c r="CQ50" i="18"/>
  <c r="AJ50" i="3"/>
  <c r="BM50" i="18"/>
  <c r="F50" i="3"/>
  <c r="AK50" i="3"/>
  <c r="CS50" i="18"/>
  <c r="G50" i="4"/>
  <c r="CT50" i="18"/>
  <c r="H50" i="4"/>
  <c r="CU50" i="18"/>
  <c r="I50" i="4"/>
  <c r="CV50" i="18"/>
  <c r="J50" i="4"/>
  <c r="CW50" i="18"/>
  <c r="K50" i="4"/>
  <c r="CX50" i="18"/>
  <c r="L50" i="4"/>
  <c r="CY50" i="18"/>
  <c r="M50" i="4"/>
  <c r="CZ50" i="18"/>
  <c r="N50" i="4"/>
  <c r="DA50" i="18"/>
  <c r="O50" i="4"/>
  <c r="DB50" i="18"/>
  <c r="P50" i="4"/>
  <c r="DC50" i="18"/>
  <c r="Q50" i="4"/>
  <c r="DD50" i="18"/>
  <c r="R50" i="4"/>
  <c r="DE50" i="18"/>
  <c r="S50" i="4"/>
  <c r="DF50" i="18"/>
  <c r="T50" i="4"/>
  <c r="DG50" i="18"/>
  <c r="U50" i="4"/>
  <c r="DH50" i="18"/>
  <c r="V50" i="4"/>
  <c r="DI50" i="18"/>
  <c r="W50" i="4"/>
  <c r="DJ50" i="18"/>
  <c r="X50" i="4"/>
  <c r="DK50" i="18"/>
  <c r="Y50" i="4"/>
  <c r="DL50" i="18"/>
  <c r="Z50" i="4"/>
  <c r="DM50" i="18"/>
  <c r="AA50" i="4"/>
  <c r="DN50" i="18"/>
  <c r="AB50" i="4"/>
  <c r="DO50" i="18"/>
  <c r="AC50" i="4"/>
  <c r="DP50" i="18"/>
  <c r="AD50" i="4"/>
  <c r="DQ50" i="18"/>
  <c r="AE50" i="4"/>
  <c r="DR50" i="18"/>
  <c r="AF50" i="4"/>
  <c r="DS50" i="18"/>
  <c r="AG50" i="4"/>
  <c r="DT50" i="18"/>
  <c r="AH50" i="4"/>
  <c r="DU50" i="18"/>
  <c r="AI50" i="4"/>
  <c r="CR50" i="18"/>
  <c r="F50" i="4"/>
  <c r="AK50" i="4"/>
  <c r="DW50" i="18"/>
  <c r="G50" i="5"/>
  <c r="DX50" i="18"/>
  <c r="H50" i="5"/>
  <c r="DY50" i="18"/>
  <c r="I50" i="5"/>
  <c r="DZ50" i="18"/>
  <c r="J50" i="5"/>
  <c r="EA50" i="18"/>
  <c r="K50" i="5"/>
  <c r="EB50" i="18"/>
  <c r="L50" i="5"/>
  <c r="EC50" i="18"/>
  <c r="M50" i="5"/>
  <c r="ED50" i="18"/>
  <c r="N50" i="5"/>
  <c r="EE50" i="18"/>
  <c r="O50" i="5"/>
  <c r="EF50" i="18"/>
  <c r="P50" i="5"/>
  <c r="EG50" i="18"/>
  <c r="Q50" i="5"/>
  <c r="EH50" i="18"/>
  <c r="R50" i="5"/>
  <c r="EI50" i="18"/>
  <c r="S50" i="5"/>
  <c r="EJ50" i="18"/>
  <c r="T50" i="5"/>
  <c r="EK50" i="18"/>
  <c r="U50" i="5"/>
  <c r="EL50" i="18"/>
  <c r="V50" i="5"/>
  <c r="EM50" i="18"/>
  <c r="W50" i="5"/>
  <c r="EN50" i="18"/>
  <c r="X50" i="5"/>
  <c r="EO50" i="18"/>
  <c r="Y50" i="5"/>
  <c r="EP50" i="18"/>
  <c r="Z50" i="5"/>
  <c r="EQ50" i="18"/>
  <c r="AA50" i="5"/>
  <c r="ER50" i="18"/>
  <c r="AB50" i="5"/>
  <c r="ES50" i="18"/>
  <c r="AC50" i="5"/>
  <c r="ET50" i="18"/>
  <c r="AD50" i="5"/>
  <c r="EU50" i="18"/>
  <c r="AE50" i="5"/>
  <c r="EV50" i="18"/>
  <c r="AF50" i="5"/>
  <c r="EW50" i="18"/>
  <c r="AG50" i="5"/>
  <c r="EX50" i="18"/>
  <c r="AH50" i="5"/>
  <c r="EY50" i="18"/>
  <c r="AI50" i="5"/>
  <c r="EZ50" i="18"/>
  <c r="AJ50" i="5"/>
  <c r="DV50" i="18"/>
  <c r="F50" i="5"/>
  <c r="AK50" i="5"/>
  <c r="FB50" i="18"/>
  <c r="G50" i="6"/>
  <c r="FC50" i="18"/>
  <c r="H50" i="6"/>
  <c r="FD50" i="18"/>
  <c r="I50" i="6"/>
  <c r="FE50" i="18"/>
  <c r="J50" i="6"/>
  <c r="FF50" i="18"/>
  <c r="K50" i="6"/>
  <c r="FG50" i="18"/>
  <c r="L50" i="6"/>
  <c r="FH50" i="18"/>
  <c r="M50" i="6"/>
  <c r="FI50" i="18"/>
  <c r="N50" i="6"/>
  <c r="FJ50" i="18"/>
  <c r="O50" i="6"/>
  <c r="FK50" i="18"/>
  <c r="P50" i="6"/>
  <c r="FL50" i="18"/>
  <c r="Q50" i="6"/>
  <c r="FM50" i="18"/>
  <c r="R50" i="6"/>
  <c r="FN50" i="18"/>
  <c r="S50" i="6"/>
  <c r="FO50" i="18"/>
  <c r="T50" i="6"/>
  <c r="FP50" i="18"/>
  <c r="U50" i="6"/>
  <c r="FQ50" i="18"/>
  <c r="V50" i="6"/>
  <c r="FR50" i="18"/>
  <c r="W50" i="6"/>
  <c r="FS50" i="18"/>
  <c r="X50" i="6"/>
  <c r="FT50" i="18"/>
  <c r="Y50" i="6"/>
  <c r="FU50" i="18"/>
  <c r="Z50" i="6"/>
  <c r="FV50" i="18"/>
  <c r="AA50" i="6"/>
  <c r="FW50" i="18"/>
  <c r="AB50" i="6"/>
  <c r="FX50" i="18"/>
  <c r="AC50" i="6"/>
  <c r="FY50" i="18"/>
  <c r="AD50" i="6"/>
  <c r="FZ50" i="18"/>
  <c r="AE50" i="6"/>
  <c r="GA50" i="18"/>
  <c r="AF50" i="6"/>
  <c r="GB50" i="18"/>
  <c r="AG50" i="6"/>
  <c r="GC50" i="18"/>
  <c r="AH50" i="6"/>
  <c r="GD50" i="18"/>
  <c r="AI50" i="6"/>
  <c r="FA50" i="18"/>
  <c r="F50" i="6"/>
  <c r="AK50" i="6"/>
  <c r="GF50" i="18"/>
  <c r="G50" i="7"/>
  <c r="GG50" i="18"/>
  <c r="H50" i="7"/>
  <c r="GH50" i="18"/>
  <c r="I50" i="7"/>
  <c r="GI50" i="18"/>
  <c r="J50" i="7"/>
  <c r="GJ50" i="18"/>
  <c r="K50" i="7"/>
  <c r="GK50" i="18"/>
  <c r="L50" i="7"/>
  <c r="GL50" i="18"/>
  <c r="M50" i="7"/>
  <c r="GM50" i="18"/>
  <c r="N50" i="7"/>
  <c r="GN50" i="18"/>
  <c r="O50" i="7"/>
  <c r="GO50" i="18"/>
  <c r="P50" i="7"/>
  <c r="GP50" i="18"/>
  <c r="Q50" i="7"/>
  <c r="GQ50" i="18"/>
  <c r="R50" i="7"/>
  <c r="GR50" i="18"/>
  <c r="S50" i="7"/>
  <c r="GS50" i="18"/>
  <c r="T50" i="7"/>
  <c r="GT50" i="18"/>
  <c r="U50" i="7"/>
  <c r="GU50" i="18"/>
  <c r="V50" i="7"/>
  <c r="GV50" i="18"/>
  <c r="W50" i="7"/>
  <c r="GW50" i="18"/>
  <c r="X50" i="7"/>
  <c r="GX50" i="18"/>
  <c r="Y50" i="7"/>
  <c r="GY50" i="18"/>
  <c r="Z50" i="7"/>
  <c r="GZ50" i="18"/>
  <c r="AA50" i="7"/>
  <c r="HA50" i="18"/>
  <c r="AB50" i="7"/>
  <c r="HB50" i="18"/>
  <c r="AC50" i="7"/>
  <c r="HC50" i="18"/>
  <c r="AD50" i="7"/>
  <c r="HD50" i="18"/>
  <c r="AE50" i="7"/>
  <c r="HE50" i="18"/>
  <c r="AF50" i="7"/>
  <c r="HF50" i="18"/>
  <c r="AG50" i="7"/>
  <c r="HG50" i="18"/>
  <c r="AH50" i="7"/>
  <c r="HH50" i="18"/>
  <c r="AI50" i="7"/>
  <c r="HI50" i="18"/>
  <c r="AJ50" i="7"/>
  <c r="GE50" i="18"/>
  <c r="F50" i="7"/>
  <c r="AK50" i="7"/>
  <c r="HK50" i="18"/>
  <c r="G50" i="8"/>
  <c r="HL50" i="18"/>
  <c r="H50" i="8"/>
  <c r="HM50" i="18"/>
  <c r="I50" i="8"/>
  <c r="HN50" i="18"/>
  <c r="J50" i="8"/>
  <c r="HO50" i="18"/>
  <c r="K50" i="8"/>
  <c r="HP50" i="18"/>
  <c r="L50" i="8"/>
  <c r="HQ50" i="18"/>
  <c r="M50" i="8"/>
  <c r="HR50" i="18"/>
  <c r="N50" i="8"/>
  <c r="HS50" i="18"/>
  <c r="O50" i="8"/>
  <c r="HT50" i="18"/>
  <c r="P50" i="8"/>
  <c r="HU50" i="18"/>
  <c r="Q50" i="8"/>
  <c r="HV50" i="18"/>
  <c r="R50" i="8"/>
  <c r="HW50" i="18"/>
  <c r="S50" i="8"/>
  <c r="HX50" i="18"/>
  <c r="T50" i="8"/>
  <c r="HY50" i="18"/>
  <c r="U50" i="8"/>
  <c r="HZ50" i="18"/>
  <c r="V50" i="8"/>
  <c r="IA50" i="18"/>
  <c r="W50" i="8"/>
  <c r="IB50" i="18"/>
  <c r="X50" i="8"/>
  <c r="IC50" i="18"/>
  <c r="Y50" i="8"/>
  <c r="ID50" i="18"/>
  <c r="Z50" i="8"/>
  <c r="IE50" i="18"/>
  <c r="AA50" i="8"/>
  <c r="IF50" i="18"/>
  <c r="AB50" i="8"/>
  <c r="IG50" i="18"/>
  <c r="AC50" i="8"/>
  <c r="IH50" i="18"/>
  <c r="AD50" i="8"/>
  <c r="II50" i="18"/>
  <c r="AE50" i="8"/>
  <c r="IJ50" i="18"/>
  <c r="AF50" i="8"/>
  <c r="IK50" i="18"/>
  <c r="AG50" i="8"/>
  <c r="IL50" i="18"/>
  <c r="AH50" i="8"/>
  <c r="IM50" i="18"/>
  <c r="AI50" i="8"/>
  <c r="IN50" i="18"/>
  <c r="AJ50" i="8"/>
  <c r="HJ50" i="18"/>
  <c r="F50" i="8"/>
  <c r="AK50" i="8"/>
  <c r="IP50" i="18"/>
  <c r="G50" i="9"/>
  <c r="IQ50" i="18"/>
  <c r="H50" i="9"/>
  <c r="IR50" i="18"/>
  <c r="I50" i="9"/>
  <c r="IS50" i="18"/>
  <c r="J50" i="9"/>
  <c r="IT50" i="18"/>
  <c r="K50" i="9"/>
  <c r="IU50" i="18"/>
  <c r="L50" i="9"/>
  <c r="IV50" i="18"/>
  <c r="M50" i="9"/>
  <c r="IW50" i="18"/>
  <c r="N50" i="9"/>
  <c r="IX50" i="18"/>
  <c r="O50" i="9"/>
  <c r="IY50" i="18"/>
  <c r="P50" i="9"/>
  <c r="IZ50" i="18"/>
  <c r="Q50" i="9"/>
  <c r="JA50" i="18"/>
  <c r="R50" i="9"/>
  <c r="JB50" i="18"/>
  <c r="S50" i="9"/>
  <c r="JC50" i="18"/>
  <c r="T50" i="9"/>
  <c r="JD50" i="18"/>
  <c r="U50" i="9"/>
  <c r="JE50" i="18"/>
  <c r="V50" i="9"/>
  <c r="JF50" i="18"/>
  <c r="W50" i="9"/>
  <c r="JG50" i="18"/>
  <c r="X50" i="9"/>
  <c r="JH50" i="18"/>
  <c r="Y50" i="9"/>
  <c r="JI50" i="18"/>
  <c r="Z50" i="9"/>
  <c r="JJ50" i="18"/>
  <c r="AA50" i="9"/>
  <c r="JK50" i="18"/>
  <c r="AB50" i="9"/>
  <c r="JL50" i="18"/>
  <c r="AC50" i="9"/>
  <c r="JM50" i="18"/>
  <c r="AD50" i="9"/>
  <c r="JN50" i="18"/>
  <c r="AE50" i="9"/>
  <c r="JO50" i="18"/>
  <c r="AF50" i="9"/>
  <c r="JP50" i="18"/>
  <c r="AG50" i="9"/>
  <c r="JQ50" i="18"/>
  <c r="AH50" i="9"/>
  <c r="JR50" i="18"/>
  <c r="AI50" i="9"/>
  <c r="IO50" i="18"/>
  <c r="F50" i="9"/>
  <c r="AK50" i="9"/>
  <c r="JT50" i="18"/>
  <c r="G50" i="10"/>
  <c r="JU50" i="18"/>
  <c r="H50" i="10"/>
  <c r="JV50" i="18"/>
  <c r="I50" i="10"/>
  <c r="JW50" i="18"/>
  <c r="J50" i="10"/>
  <c r="JX50" i="18"/>
  <c r="K50" i="10"/>
  <c r="JY50" i="18"/>
  <c r="L50" i="10"/>
  <c r="JZ50" i="18"/>
  <c r="M50" i="10"/>
  <c r="KA50" i="18"/>
  <c r="N50" i="10"/>
  <c r="KB50" i="18"/>
  <c r="O50" i="10"/>
  <c r="KC50" i="18"/>
  <c r="P50" i="10"/>
  <c r="KD50" i="18"/>
  <c r="Q50" i="10"/>
  <c r="KE50" i="18"/>
  <c r="R50" i="10"/>
  <c r="KF50" i="18"/>
  <c r="S50" i="10"/>
  <c r="KG50" i="18"/>
  <c r="T50" i="10"/>
  <c r="KH50" i="18"/>
  <c r="U50" i="10"/>
  <c r="KI50" i="18"/>
  <c r="V50" i="10"/>
  <c r="KJ50" i="18"/>
  <c r="W50" i="10"/>
  <c r="KK50" i="18"/>
  <c r="X50" i="10"/>
  <c r="KL50" i="18"/>
  <c r="Y50" i="10"/>
  <c r="KM50" i="18"/>
  <c r="Z50" i="10"/>
  <c r="KN50" i="18"/>
  <c r="AA50" i="10"/>
  <c r="KO50" i="18"/>
  <c r="AB50" i="10"/>
  <c r="KP50" i="18"/>
  <c r="AC50" i="10"/>
  <c r="KQ50" i="18"/>
  <c r="AD50" i="10"/>
  <c r="KR50" i="18"/>
  <c r="AE50" i="10"/>
  <c r="KS50" i="18"/>
  <c r="AF50" i="10"/>
  <c r="KT50" i="18"/>
  <c r="AG50" i="10"/>
  <c r="KU50" i="18"/>
  <c r="AH50" i="10"/>
  <c r="KV50" i="18"/>
  <c r="AI50" i="10"/>
  <c r="KW50" i="18"/>
  <c r="AJ50" i="10"/>
  <c r="JS50" i="18"/>
  <c r="F50" i="10"/>
  <c r="AK50" i="10"/>
  <c r="KY50" i="18"/>
  <c r="G50" i="11"/>
  <c r="KZ50" i="18"/>
  <c r="H50" i="11"/>
  <c r="LA50" i="18"/>
  <c r="I50" i="11"/>
  <c r="LB50" i="18"/>
  <c r="J50" i="11"/>
  <c r="LC50" i="18"/>
  <c r="K50" i="11"/>
  <c r="LD50" i="18"/>
  <c r="L50" i="11"/>
  <c r="LE50" i="18"/>
  <c r="M50" i="11"/>
  <c r="LF50" i="18"/>
  <c r="N50" i="11"/>
  <c r="LG50" i="18"/>
  <c r="O50" i="11"/>
  <c r="LH50" i="18"/>
  <c r="P50" i="11"/>
  <c r="LI50" i="18"/>
  <c r="Q50" i="11"/>
  <c r="LJ50" i="18"/>
  <c r="R50" i="11"/>
  <c r="LK50" i="18"/>
  <c r="S50" i="11"/>
  <c r="LL50" i="18"/>
  <c r="T50" i="11"/>
  <c r="LM50" i="18"/>
  <c r="U50" i="11"/>
  <c r="LN50" i="18"/>
  <c r="V50" i="11"/>
  <c r="LO50" i="18"/>
  <c r="W50" i="11"/>
  <c r="LP50" i="18"/>
  <c r="X50" i="11"/>
  <c r="LQ50" i="18"/>
  <c r="Y50" i="11"/>
  <c r="LR50" i="18"/>
  <c r="Z50" i="11"/>
  <c r="LS50" i="18"/>
  <c r="AA50" i="11"/>
  <c r="LT50" i="18"/>
  <c r="AB50" i="11"/>
  <c r="LU50" i="18"/>
  <c r="AC50" i="11"/>
  <c r="LV50" i="18"/>
  <c r="AD50" i="11"/>
  <c r="LW50" i="18"/>
  <c r="AE50" i="11"/>
  <c r="LX50" i="18"/>
  <c r="AF50" i="11"/>
  <c r="LY50" i="18"/>
  <c r="AG50" i="11"/>
  <c r="LZ50" i="18"/>
  <c r="AH50" i="11"/>
  <c r="MA50" i="18"/>
  <c r="AI50" i="11"/>
  <c r="KX50" i="18"/>
  <c r="F50" i="11"/>
  <c r="AK50" i="11"/>
  <c r="MC50" i="18"/>
  <c r="G50" i="12"/>
  <c r="MD50" i="18"/>
  <c r="H50" i="12"/>
  <c r="ME50" i="18"/>
  <c r="I50" i="12"/>
  <c r="MF50" i="18"/>
  <c r="J50" i="12"/>
  <c r="MG50" i="18"/>
  <c r="K50" i="12"/>
  <c r="MH50" i="18"/>
  <c r="L50" i="12"/>
  <c r="MI50" i="18"/>
  <c r="M50" i="12"/>
  <c r="MJ50" i="18"/>
  <c r="N50" i="12"/>
  <c r="MK50" i="18"/>
  <c r="O50" i="12"/>
  <c r="ML50" i="18"/>
  <c r="P50" i="12"/>
  <c r="MM50" i="18"/>
  <c r="Q50" i="12"/>
  <c r="MN50" i="18"/>
  <c r="R50" i="12"/>
  <c r="MO50" i="18"/>
  <c r="S50" i="12"/>
  <c r="MP50" i="18"/>
  <c r="T50" i="12"/>
  <c r="MQ50" i="18"/>
  <c r="U50" i="12"/>
  <c r="MR50" i="18"/>
  <c r="V50" i="12"/>
  <c r="MS50" i="18"/>
  <c r="W50" i="12"/>
  <c r="MT50" i="18"/>
  <c r="X50" i="12"/>
  <c r="MU50" i="18"/>
  <c r="Y50" i="12"/>
  <c r="MV50" i="18"/>
  <c r="Z50" i="12"/>
  <c r="MW50" i="18"/>
  <c r="AA50" i="12"/>
  <c r="MX50" i="18"/>
  <c r="AB50" i="12"/>
  <c r="MY50" i="18"/>
  <c r="AC50" i="12"/>
  <c r="MZ50" i="18"/>
  <c r="AD50" i="12"/>
  <c r="NA50" i="18"/>
  <c r="AE50" i="12"/>
  <c r="NB50" i="18"/>
  <c r="AF50" i="12"/>
  <c r="NC50" i="18"/>
  <c r="AG50" i="12"/>
  <c r="ND50" i="18"/>
  <c r="AH50" i="12"/>
  <c r="NE50" i="18"/>
  <c r="AI50" i="12"/>
  <c r="NF50" i="18"/>
  <c r="AJ50" i="12"/>
  <c r="MB50" i="18"/>
  <c r="F50" i="12"/>
  <c r="AK50" i="12"/>
  <c r="P46" i="13"/>
  <c r="G49" i="18"/>
  <c r="H49" i="18"/>
  <c r="I49" i="18"/>
  <c r="J49" i="18"/>
  <c r="K49" i="18"/>
  <c r="L49" i="18"/>
  <c r="M49" i="18"/>
  <c r="N49" i="18"/>
  <c r="O49" i="18"/>
  <c r="P49" i="18"/>
  <c r="Q49" i="18"/>
  <c r="R49" i="18"/>
  <c r="S49" i="18"/>
  <c r="T49" i="18"/>
  <c r="U49" i="18"/>
  <c r="V49" i="18"/>
  <c r="W49" i="18"/>
  <c r="X49" i="18"/>
  <c r="Y49" i="18"/>
  <c r="Z49" i="18"/>
  <c r="AA49" i="18"/>
  <c r="AB49" i="18"/>
  <c r="AC49" i="18"/>
  <c r="AD49" i="18"/>
  <c r="AE49" i="18"/>
  <c r="AF49" i="18"/>
  <c r="AG49" i="18"/>
  <c r="AH49" i="18"/>
  <c r="AI49" i="18"/>
  <c r="AJ49" i="18"/>
  <c r="F49" i="18"/>
  <c r="AL49" i="18"/>
  <c r="G49" i="2"/>
  <c r="AM49" i="18"/>
  <c r="H49" i="2"/>
  <c r="AN49" i="18"/>
  <c r="I49" i="2"/>
  <c r="AO49" i="18"/>
  <c r="J49" i="2"/>
  <c r="AP49" i="18"/>
  <c r="K49" i="2"/>
  <c r="AQ49" i="18"/>
  <c r="L49" i="2"/>
  <c r="AR49" i="18"/>
  <c r="M49" i="2"/>
  <c r="AS49" i="18"/>
  <c r="N49" i="2"/>
  <c r="AT49" i="18"/>
  <c r="O49" i="2"/>
  <c r="AU49" i="18"/>
  <c r="P49" i="2"/>
  <c r="AV49" i="18"/>
  <c r="Q49" i="2"/>
  <c r="AW49" i="18"/>
  <c r="R49" i="2"/>
  <c r="AX49" i="18"/>
  <c r="S49" i="2"/>
  <c r="AY49" i="18"/>
  <c r="T49" i="2"/>
  <c r="AZ49" i="18"/>
  <c r="U49" i="2"/>
  <c r="BA49" i="18"/>
  <c r="V49" i="2"/>
  <c r="BB49" i="18"/>
  <c r="W49" i="2"/>
  <c r="BC49" i="18"/>
  <c r="X49" i="2"/>
  <c r="BD49" i="18"/>
  <c r="Y49" i="2"/>
  <c r="BE49" i="18"/>
  <c r="Z49" i="2"/>
  <c r="BF49" i="18"/>
  <c r="AA49" i="2"/>
  <c r="BG49" i="18"/>
  <c r="AB49" i="2"/>
  <c r="BH49" i="18"/>
  <c r="AC49" i="2"/>
  <c r="BI49" i="18"/>
  <c r="AD49" i="2"/>
  <c r="BJ49" i="18"/>
  <c r="AE49" i="2"/>
  <c r="BK49" i="18"/>
  <c r="AF49" i="2"/>
  <c r="BL49" i="18"/>
  <c r="AG49" i="2"/>
  <c r="AI49" i="2"/>
  <c r="AK49" i="18"/>
  <c r="F49" i="2"/>
  <c r="AJ49" i="2"/>
  <c r="BN49" i="18"/>
  <c r="G49" i="3"/>
  <c r="BO49" i="18"/>
  <c r="H49" i="3"/>
  <c r="BP49" i="18"/>
  <c r="I49" i="3"/>
  <c r="BQ49" i="18"/>
  <c r="J49" i="3"/>
  <c r="BR49" i="18"/>
  <c r="K49" i="3"/>
  <c r="BS49" i="18"/>
  <c r="L49" i="3"/>
  <c r="BT49" i="18"/>
  <c r="M49" i="3"/>
  <c r="BU49" i="18"/>
  <c r="N49" i="3"/>
  <c r="BV49" i="18"/>
  <c r="O49" i="3"/>
  <c r="BW49" i="18"/>
  <c r="P49" i="3"/>
  <c r="BX49" i="18"/>
  <c r="Q49" i="3"/>
  <c r="BY49" i="18"/>
  <c r="R49" i="3"/>
  <c r="BZ49" i="18"/>
  <c r="S49" i="3"/>
  <c r="CA49" i="18"/>
  <c r="T49" i="3"/>
  <c r="CB49" i="18"/>
  <c r="U49" i="3"/>
  <c r="CC49" i="18"/>
  <c r="V49" i="3"/>
  <c r="CD49" i="18"/>
  <c r="W49" i="3"/>
  <c r="CE49" i="18"/>
  <c r="X49" i="3"/>
  <c r="CF49" i="18"/>
  <c r="Y49" i="3"/>
  <c r="CG49" i="18"/>
  <c r="Z49" i="3"/>
  <c r="CH49" i="18"/>
  <c r="AA49" i="3"/>
  <c r="CI49" i="18"/>
  <c r="AB49" i="3"/>
  <c r="CJ49" i="18"/>
  <c r="AC49" i="3"/>
  <c r="CK49" i="18"/>
  <c r="AD49" i="3"/>
  <c r="CL49" i="18"/>
  <c r="AE49" i="3"/>
  <c r="CM49" i="18"/>
  <c r="AF49" i="3"/>
  <c r="CN49" i="18"/>
  <c r="AG49" i="3"/>
  <c r="CO49" i="18"/>
  <c r="AH49" i="3"/>
  <c r="CP49" i="18"/>
  <c r="AI49" i="3"/>
  <c r="CQ49" i="18"/>
  <c r="AJ49" i="3"/>
  <c r="BM49" i="18"/>
  <c r="F49" i="3"/>
  <c r="AK49" i="3"/>
  <c r="CS49" i="18"/>
  <c r="G49" i="4"/>
  <c r="CT49" i="18"/>
  <c r="H49" i="4"/>
  <c r="CU49" i="18"/>
  <c r="I49" i="4"/>
  <c r="CV49" i="18"/>
  <c r="J49" i="4"/>
  <c r="CW49" i="18"/>
  <c r="K49" i="4"/>
  <c r="CX49" i="18"/>
  <c r="L49" i="4"/>
  <c r="CY49" i="18"/>
  <c r="M49" i="4"/>
  <c r="CZ49" i="18"/>
  <c r="N49" i="4"/>
  <c r="DA49" i="18"/>
  <c r="O49" i="4"/>
  <c r="DB49" i="18"/>
  <c r="P49" i="4"/>
  <c r="DC49" i="18"/>
  <c r="Q49" i="4"/>
  <c r="DD49" i="18"/>
  <c r="R49" i="4"/>
  <c r="DE49" i="18"/>
  <c r="S49" i="4"/>
  <c r="DF49" i="18"/>
  <c r="T49" i="4"/>
  <c r="DG49" i="18"/>
  <c r="U49" i="4"/>
  <c r="DH49" i="18"/>
  <c r="V49" i="4"/>
  <c r="DI49" i="18"/>
  <c r="W49" i="4"/>
  <c r="DJ49" i="18"/>
  <c r="X49" i="4"/>
  <c r="DK49" i="18"/>
  <c r="Y49" i="4"/>
  <c r="DL49" i="18"/>
  <c r="Z49" i="4"/>
  <c r="DM49" i="18"/>
  <c r="AA49" i="4"/>
  <c r="DN49" i="18"/>
  <c r="AB49" i="4"/>
  <c r="DO49" i="18"/>
  <c r="AC49" i="4"/>
  <c r="DP49" i="18"/>
  <c r="AD49" i="4"/>
  <c r="DQ49" i="18"/>
  <c r="AE49" i="4"/>
  <c r="DR49" i="18"/>
  <c r="AF49" i="4"/>
  <c r="DS49" i="18"/>
  <c r="AG49" i="4"/>
  <c r="DT49" i="18"/>
  <c r="AH49" i="4"/>
  <c r="DU49" i="18"/>
  <c r="AI49" i="4"/>
  <c r="CR49" i="18"/>
  <c r="F49" i="4"/>
  <c r="AK49" i="4"/>
  <c r="DW49" i="18"/>
  <c r="G49" i="5"/>
  <c r="DX49" i="18"/>
  <c r="H49" i="5"/>
  <c r="DY49" i="18"/>
  <c r="I49" i="5"/>
  <c r="DZ49" i="18"/>
  <c r="J49" i="5"/>
  <c r="EA49" i="18"/>
  <c r="K49" i="5"/>
  <c r="EB49" i="18"/>
  <c r="L49" i="5"/>
  <c r="EC49" i="18"/>
  <c r="M49" i="5"/>
  <c r="ED49" i="18"/>
  <c r="N49" i="5"/>
  <c r="EE49" i="18"/>
  <c r="O49" i="5"/>
  <c r="EF49" i="18"/>
  <c r="P49" i="5"/>
  <c r="EG49" i="18"/>
  <c r="Q49" i="5"/>
  <c r="EH49" i="18"/>
  <c r="R49" i="5"/>
  <c r="EI49" i="18"/>
  <c r="S49" i="5"/>
  <c r="EJ49" i="18"/>
  <c r="T49" i="5"/>
  <c r="EK49" i="18"/>
  <c r="U49" i="5"/>
  <c r="EL49" i="18"/>
  <c r="V49" i="5"/>
  <c r="EM49" i="18"/>
  <c r="W49" i="5"/>
  <c r="EN49" i="18"/>
  <c r="X49" i="5"/>
  <c r="EO49" i="18"/>
  <c r="Y49" i="5"/>
  <c r="EP49" i="18"/>
  <c r="Z49" i="5"/>
  <c r="EQ49" i="18"/>
  <c r="AA49" i="5"/>
  <c r="ER49" i="18"/>
  <c r="AB49" i="5"/>
  <c r="ES49" i="18"/>
  <c r="AC49" i="5"/>
  <c r="ET49" i="18"/>
  <c r="AD49" i="5"/>
  <c r="EU49" i="18"/>
  <c r="AE49" i="5"/>
  <c r="EV49" i="18"/>
  <c r="AF49" i="5"/>
  <c r="EW49" i="18"/>
  <c r="AG49" i="5"/>
  <c r="EX49" i="18"/>
  <c r="AH49" i="5"/>
  <c r="EY49" i="18"/>
  <c r="AI49" i="5"/>
  <c r="EZ49" i="18"/>
  <c r="AJ49" i="5"/>
  <c r="DV49" i="18"/>
  <c r="F49" i="5"/>
  <c r="AK49" i="5"/>
  <c r="FB49" i="18"/>
  <c r="G49" i="6"/>
  <c r="FC49" i="18"/>
  <c r="H49" i="6"/>
  <c r="FD49" i="18"/>
  <c r="I49" i="6"/>
  <c r="FE49" i="18"/>
  <c r="J49" i="6"/>
  <c r="FF49" i="18"/>
  <c r="K49" i="6"/>
  <c r="FG49" i="18"/>
  <c r="L49" i="6"/>
  <c r="FH49" i="18"/>
  <c r="M49" i="6"/>
  <c r="FI49" i="18"/>
  <c r="N49" i="6"/>
  <c r="FJ49" i="18"/>
  <c r="O49" i="6"/>
  <c r="FK49" i="18"/>
  <c r="P49" i="6"/>
  <c r="FL49" i="18"/>
  <c r="Q49" i="6"/>
  <c r="FM49" i="18"/>
  <c r="R49" i="6"/>
  <c r="FN49" i="18"/>
  <c r="S49" i="6"/>
  <c r="FO49" i="18"/>
  <c r="T49" i="6"/>
  <c r="FP49" i="18"/>
  <c r="U49" i="6"/>
  <c r="FQ49" i="18"/>
  <c r="V49" i="6"/>
  <c r="FR49" i="18"/>
  <c r="W49" i="6"/>
  <c r="FS49" i="18"/>
  <c r="X49" i="6"/>
  <c r="FT49" i="18"/>
  <c r="Y49" i="6"/>
  <c r="FU49" i="18"/>
  <c r="Z49" i="6"/>
  <c r="FV49" i="18"/>
  <c r="AA49" i="6"/>
  <c r="FW49" i="18"/>
  <c r="AB49" i="6"/>
  <c r="FX49" i="18"/>
  <c r="AC49" i="6"/>
  <c r="FY49" i="18"/>
  <c r="AD49" i="6"/>
  <c r="FZ49" i="18"/>
  <c r="AE49" i="6"/>
  <c r="GA49" i="18"/>
  <c r="AF49" i="6"/>
  <c r="GB49" i="18"/>
  <c r="AG49" i="6"/>
  <c r="GC49" i="18"/>
  <c r="AH49" i="6"/>
  <c r="GD49" i="18"/>
  <c r="AI49" i="6"/>
  <c r="FA49" i="18"/>
  <c r="F49" i="6"/>
  <c r="AK49" i="6"/>
  <c r="GF49" i="18"/>
  <c r="G49" i="7"/>
  <c r="GG49" i="18"/>
  <c r="H49" i="7"/>
  <c r="GH49" i="18"/>
  <c r="I49" i="7"/>
  <c r="GI49" i="18"/>
  <c r="J49" i="7"/>
  <c r="GJ49" i="18"/>
  <c r="K49" i="7"/>
  <c r="GK49" i="18"/>
  <c r="L49" i="7"/>
  <c r="GL49" i="18"/>
  <c r="M49" i="7"/>
  <c r="GM49" i="18"/>
  <c r="N49" i="7"/>
  <c r="GN49" i="18"/>
  <c r="O49" i="7"/>
  <c r="GO49" i="18"/>
  <c r="P49" i="7"/>
  <c r="GP49" i="18"/>
  <c r="Q49" i="7"/>
  <c r="GQ49" i="18"/>
  <c r="R49" i="7"/>
  <c r="GR49" i="18"/>
  <c r="S49" i="7"/>
  <c r="GS49" i="18"/>
  <c r="T49" i="7"/>
  <c r="GT49" i="18"/>
  <c r="U49" i="7"/>
  <c r="GU49" i="18"/>
  <c r="V49" i="7"/>
  <c r="GV49" i="18"/>
  <c r="W49" i="7"/>
  <c r="GW49" i="18"/>
  <c r="X49" i="7"/>
  <c r="GX49" i="18"/>
  <c r="Y49" i="7"/>
  <c r="GY49" i="18"/>
  <c r="Z49" i="7"/>
  <c r="GZ49" i="18"/>
  <c r="AA49" i="7"/>
  <c r="HA49" i="18"/>
  <c r="AB49" i="7"/>
  <c r="HB49" i="18"/>
  <c r="AC49" i="7"/>
  <c r="HC49" i="18"/>
  <c r="AD49" i="7"/>
  <c r="HD49" i="18"/>
  <c r="AE49" i="7"/>
  <c r="HE49" i="18"/>
  <c r="AF49" i="7"/>
  <c r="HF49" i="18"/>
  <c r="AG49" i="7"/>
  <c r="HG49" i="18"/>
  <c r="AH49" i="7"/>
  <c r="HH49" i="18"/>
  <c r="AI49" i="7"/>
  <c r="HI49" i="18"/>
  <c r="AJ49" i="7"/>
  <c r="GE49" i="18"/>
  <c r="F49" i="7"/>
  <c r="AK49" i="7"/>
  <c r="HK49" i="18"/>
  <c r="G49" i="8"/>
  <c r="HL49" i="18"/>
  <c r="H49" i="8"/>
  <c r="HM49" i="18"/>
  <c r="I49" i="8"/>
  <c r="HN49" i="18"/>
  <c r="J49" i="8"/>
  <c r="HO49" i="18"/>
  <c r="K49" i="8"/>
  <c r="HP49" i="18"/>
  <c r="L49" i="8"/>
  <c r="HQ49" i="18"/>
  <c r="M49" i="8"/>
  <c r="HR49" i="18"/>
  <c r="N49" i="8"/>
  <c r="HS49" i="18"/>
  <c r="O49" i="8"/>
  <c r="HT49" i="18"/>
  <c r="P49" i="8"/>
  <c r="HU49" i="18"/>
  <c r="Q49" i="8"/>
  <c r="HV49" i="18"/>
  <c r="R49" i="8"/>
  <c r="HW49" i="18"/>
  <c r="S49" i="8"/>
  <c r="HX49" i="18"/>
  <c r="T49" i="8"/>
  <c r="HY49" i="18"/>
  <c r="U49" i="8"/>
  <c r="HZ49" i="18"/>
  <c r="V49" i="8"/>
  <c r="IA49" i="18"/>
  <c r="W49" i="8"/>
  <c r="IB49" i="18"/>
  <c r="X49" i="8"/>
  <c r="IC49" i="18"/>
  <c r="Y49" i="8"/>
  <c r="ID49" i="18"/>
  <c r="Z49" i="8"/>
  <c r="IE49" i="18"/>
  <c r="AA49" i="8"/>
  <c r="IF49" i="18"/>
  <c r="AB49" i="8"/>
  <c r="IG49" i="18"/>
  <c r="AC49" i="8"/>
  <c r="IH49" i="18"/>
  <c r="AD49" i="8"/>
  <c r="II49" i="18"/>
  <c r="AE49" i="8"/>
  <c r="IJ49" i="18"/>
  <c r="AF49" i="8"/>
  <c r="IK49" i="18"/>
  <c r="AG49" i="8"/>
  <c r="IL49" i="18"/>
  <c r="AH49" i="8"/>
  <c r="IM49" i="18"/>
  <c r="AI49" i="8"/>
  <c r="IN49" i="18"/>
  <c r="AJ49" i="8"/>
  <c r="HJ49" i="18"/>
  <c r="F49" i="8"/>
  <c r="AK49" i="8"/>
  <c r="IP49" i="18"/>
  <c r="G49" i="9"/>
  <c r="IQ49" i="18"/>
  <c r="H49" i="9"/>
  <c r="IR49" i="18"/>
  <c r="I49" i="9"/>
  <c r="IS49" i="18"/>
  <c r="J49" i="9"/>
  <c r="IT49" i="18"/>
  <c r="K49" i="9"/>
  <c r="IU49" i="18"/>
  <c r="L49" i="9"/>
  <c r="IV49" i="18"/>
  <c r="M49" i="9"/>
  <c r="IW49" i="18"/>
  <c r="N49" i="9"/>
  <c r="IX49" i="18"/>
  <c r="O49" i="9"/>
  <c r="IY49" i="18"/>
  <c r="P49" i="9"/>
  <c r="IZ49" i="18"/>
  <c r="Q49" i="9"/>
  <c r="JA49" i="18"/>
  <c r="R49" i="9"/>
  <c r="JB49" i="18"/>
  <c r="S49" i="9"/>
  <c r="JC49" i="18"/>
  <c r="T49" i="9"/>
  <c r="JD49" i="18"/>
  <c r="U49" i="9"/>
  <c r="JE49" i="18"/>
  <c r="V49" i="9"/>
  <c r="JF49" i="18"/>
  <c r="W49" i="9"/>
  <c r="JG49" i="18"/>
  <c r="X49" i="9"/>
  <c r="JH49" i="18"/>
  <c r="Y49" i="9"/>
  <c r="JI49" i="18"/>
  <c r="Z49" i="9"/>
  <c r="JJ49" i="18"/>
  <c r="AA49" i="9"/>
  <c r="JK49" i="18"/>
  <c r="AB49" i="9"/>
  <c r="JL49" i="18"/>
  <c r="AC49" i="9"/>
  <c r="JM49" i="18"/>
  <c r="AD49" i="9"/>
  <c r="JN49" i="18"/>
  <c r="AE49" i="9"/>
  <c r="JO49" i="18"/>
  <c r="AF49" i="9"/>
  <c r="JP49" i="18"/>
  <c r="AG49" i="9"/>
  <c r="JQ49" i="18"/>
  <c r="AH49" i="9"/>
  <c r="JR49" i="18"/>
  <c r="AI49" i="9"/>
  <c r="IO49" i="18"/>
  <c r="F49" i="9"/>
  <c r="AK49" i="9"/>
  <c r="JT49" i="18"/>
  <c r="G49" i="10"/>
  <c r="JU49" i="18"/>
  <c r="H49" i="10"/>
  <c r="JV49" i="18"/>
  <c r="I49" i="10"/>
  <c r="JW49" i="18"/>
  <c r="J49" i="10"/>
  <c r="JX49" i="18"/>
  <c r="K49" i="10"/>
  <c r="JY49" i="18"/>
  <c r="L49" i="10"/>
  <c r="JZ49" i="18"/>
  <c r="M49" i="10"/>
  <c r="KA49" i="18"/>
  <c r="N49" i="10"/>
  <c r="KB49" i="18"/>
  <c r="O49" i="10"/>
  <c r="KC49" i="18"/>
  <c r="P49" i="10"/>
  <c r="KD49" i="18"/>
  <c r="Q49" i="10"/>
  <c r="KE49" i="18"/>
  <c r="R49" i="10"/>
  <c r="KF49" i="18"/>
  <c r="S49" i="10"/>
  <c r="KG49" i="18"/>
  <c r="T49" i="10"/>
  <c r="KH49" i="18"/>
  <c r="U49" i="10"/>
  <c r="KI49" i="18"/>
  <c r="V49" i="10"/>
  <c r="KJ49" i="18"/>
  <c r="W49" i="10"/>
  <c r="KK49" i="18"/>
  <c r="X49" i="10"/>
  <c r="KL49" i="18"/>
  <c r="Y49" i="10"/>
  <c r="KM49" i="18"/>
  <c r="Z49" i="10"/>
  <c r="KN49" i="18"/>
  <c r="AA49" i="10"/>
  <c r="KO49" i="18"/>
  <c r="AB49" i="10"/>
  <c r="KP49" i="18"/>
  <c r="AC49" i="10"/>
  <c r="KQ49" i="18"/>
  <c r="AD49" i="10"/>
  <c r="KR49" i="18"/>
  <c r="AE49" i="10"/>
  <c r="KS49" i="18"/>
  <c r="AF49" i="10"/>
  <c r="KT49" i="18"/>
  <c r="AG49" i="10"/>
  <c r="KU49" i="18"/>
  <c r="AH49" i="10"/>
  <c r="KV49" i="18"/>
  <c r="AI49" i="10"/>
  <c r="KW49" i="18"/>
  <c r="AJ49" i="10"/>
  <c r="JS49" i="18"/>
  <c r="F49" i="10"/>
  <c r="AK49" i="10"/>
  <c r="KY49" i="18"/>
  <c r="G49" i="11"/>
  <c r="KZ49" i="18"/>
  <c r="H49" i="11"/>
  <c r="LA49" i="18"/>
  <c r="I49" i="11"/>
  <c r="LB49" i="18"/>
  <c r="J49" i="11"/>
  <c r="LC49" i="18"/>
  <c r="K49" i="11"/>
  <c r="LD49" i="18"/>
  <c r="L49" i="11"/>
  <c r="LE49" i="18"/>
  <c r="M49" i="11"/>
  <c r="LF49" i="18"/>
  <c r="N49" i="11"/>
  <c r="LG49" i="18"/>
  <c r="O49" i="11"/>
  <c r="LH49" i="18"/>
  <c r="P49" i="11"/>
  <c r="LI49" i="18"/>
  <c r="Q49" i="11"/>
  <c r="LJ49" i="18"/>
  <c r="R49" i="11"/>
  <c r="LK49" i="18"/>
  <c r="S49" i="11"/>
  <c r="LL49" i="18"/>
  <c r="T49" i="11"/>
  <c r="LM49" i="18"/>
  <c r="U49" i="11"/>
  <c r="LN49" i="18"/>
  <c r="V49" i="11"/>
  <c r="LO49" i="18"/>
  <c r="W49" i="11"/>
  <c r="LP49" i="18"/>
  <c r="X49" i="11"/>
  <c r="LQ49" i="18"/>
  <c r="Y49" i="11"/>
  <c r="LR49" i="18"/>
  <c r="Z49" i="11"/>
  <c r="LS49" i="18"/>
  <c r="AA49" i="11"/>
  <c r="LT49" i="18"/>
  <c r="AB49" i="11"/>
  <c r="LU49" i="18"/>
  <c r="AC49" i="11"/>
  <c r="LV49" i="18"/>
  <c r="AD49" i="11"/>
  <c r="LW49" i="18"/>
  <c r="AE49" i="11"/>
  <c r="LX49" i="18"/>
  <c r="AF49" i="11"/>
  <c r="LY49" i="18"/>
  <c r="AG49" i="11"/>
  <c r="LZ49" i="18"/>
  <c r="AH49" i="11"/>
  <c r="MA49" i="18"/>
  <c r="AI49" i="11"/>
  <c r="KX49" i="18"/>
  <c r="F49" i="11"/>
  <c r="AK49" i="11"/>
  <c r="MC49" i="18"/>
  <c r="G49" i="12"/>
  <c r="MD49" i="18"/>
  <c r="H49" i="12"/>
  <c r="ME49" i="18"/>
  <c r="I49" i="12"/>
  <c r="MF49" i="18"/>
  <c r="J49" i="12"/>
  <c r="MG49" i="18"/>
  <c r="K49" i="12"/>
  <c r="MH49" i="18"/>
  <c r="L49" i="12"/>
  <c r="MI49" i="18"/>
  <c r="M49" i="12"/>
  <c r="MJ49" i="18"/>
  <c r="N49" i="12"/>
  <c r="MK49" i="18"/>
  <c r="O49" i="12"/>
  <c r="ML49" i="18"/>
  <c r="P49" i="12"/>
  <c r="MM49" i="18"/>
  <c r="Q49" i="12"/>
  <c r="MN49" i="18"/>
  <c r="R49" i="12"/>
  <c r="MO49" i="18"/>
  <c r="S49" i="12"/>
  <c r="MP49" i="18"/>
  <c r="T49" i="12"/>
  <c r="MQ49" i="18"/>
  <c r="U49" i="12"/>
  <c r="MR49" i="18"/>
  <c r="V49" i="12"/>
  <c r="MS49" i="18"/>
  <c r="W49" i="12"/>
  <c r="MT49" i="18"/>
  <c r="X49" i="12"/>
  <c r="MU49" i="18"/>
  <c r="Y49" i="12"/>
  <c r="MV49" i="18"/>
  <c r="Z49" i="12"/>
  <c r="MW49" i="18"/>
  <c r="AA49" i="12"/>
  <c r="MX49" i="18"/>
  <c r="AB49" i="12"/>
  <c r="MY49" i="18"/>
  <c r="AC49" i="12"/>
  <c r="MZ49" i="18"/>
  <c r="AD49" i="12"/>
  <c r="NA49" i="18"/>
  <c r="AE49" i="12"/>
  <c r="NB49" i="18"/>
  <c r="AF49" i="12"/>
  <c r="NC49" i="18"/>
  <c r="AG49" i="12"/>
  <c r="ND49" i="18"/>
  <c r="AH49" i="12"/>
  <c r="NE49" i="18"/>
  <c r="AI49" i="12"/>
  <c r="NF49" i="18"/>
  <c r="AJ49" i="12"/>
  <c r="MB49" i="18"/>
  <c r="F49" i="12"/>
  <c r="AK49" i="12"/>
  <c r="P45" i="13"/>
  <c r="G48" i="18"/>
  <c r="H48" i="18"/>
  <c r="I48" i="18"/>
  <c r="J48" i="18"/>
  <c r="K48" i="18"/>
  <c r="L48" i="18"/>
  <c r="M48" i="18"/>
  <c r="N48" i="18"/>
  <c r="O48" i="18"/>
  <c r="P48" i="18"/>
  <c r="Q48" i="18"/>
  <c r="R48" i="18"/>
  <c r="S48" i="18"/>
  <c r="T48" i="18"/>
  <c r="U48" i="18"/>
  <c r="V48" i="18"/>
  <c r="W48" i="18"/>
  <c r="X48" i="18"/>
  <c r="Y48" i="18"/>
  <c r="Z48" i="18"/>
  <c r="AA48" i="18"/>
  <c r="AB48" i="18"/>
  <c r="AC48" i="18"/>
  <c r="AD48" i="18"/>
  <c r="AE48" i="18"/>
  <c r="AF48" i="18"/>
  <c r="AG48" i="18"/>
  <c r="AH48" i="18"/>
  <c r="AI48" i="18"/>
  <c r="AJ48" i="18"/>
  <c r="F48" i="18"/>
  <c r="AL48" i="18"/>
  <c r="G48" i="2"/>
  <c r="AM48" i="18"/>
  <c r="H48" i="2"/>
  <c r="AN48" i="18"/>
  <c r="I48" i="2"/>
  <c r="AO48" i="18"/>
  <c r="J48" i="2"/>
  <c r="AP48" i="18"/>
  <c r="K48" i="2"/>
  <c r="AQ48" i="18"/>
  <c r="L48" i="2"/>
  <c r="AR48" i="18"/>
  <c r="M48" i="2"/>
  <c r="AS48" i="18"/>
  <c r="N48" i="2"/>
  <c r="AT48" i="18"/>
  <c r="O48" i="2"/>
  <c r="AU48" i="18"/>
  <c r="P48" i="2"/>
  <c r="AV48" i="18"/>
  <c r="Q48" i="2"/>
  <c r="AW48" i="18"/>
  <c r="R48" i="2"/>
  <c r="AX48" i="18"/>
  <c r="S48" i="2"/>
  <c r="AY48" i="18"/>
  <c r="T48" i="2"/>
  <c r="AZ48" i="18"/>
  <c r="U48" i="2"/>
  <c r="BA48" i="18"/>
  <c r="V48" i="2"/>
  <c r="BB48" i="18"/>
  <c r="W48" i="2"/>
  <c r="BC48" i="18"/>
  <c r="X48" i="2"/>
  <c r="BD48" i="18"/>
  <c r="Y48" i="2"/>
  <c r="BE48" i="18"/>
  <c r="Z48" i="2"/>
  <c r="BF48" i="18"/>
  <c r="AA48" i="2"/>
  <c r="BG48" i="18"/>
  <c r="AB48" i="2"/>
  <c r="BH48" i="18"/>
  <c r="AC48" i="2"/>
  <c r="BI48" i="18"/>
  <c r="AD48" i="2"/>
  <c r="BJ48" i="18"/>
  <c r="AE48" i="2"/>
  <c r="BK48" i="18"/>
  <c r="AF48" i="2"/>
  <c r="BL48" i="18"/>
  <c r="AG48" i="2"/>
  <c r="AI48" i="2"/>
  <c r="AK48" i="18"/>
  <c r="F48" i="2"/>
  <c r="AJ48" i="2"/>
  <c r="BN48" i="18"/>
  <c r="G48" i="3"/>
  <c r="BO48" i="18"/>
  <c r="H48" i="3"/>
  <c r="BP48" i="18"/>
  <c r="I48" i="3"/>
  <c r="BQ48" i="18"/>
  <c r="J48" i="3"/>
  <c r="BR48" i="18"/>
  <c r="K48" i="3"/>
  <c r="BS48" i="18"/>
  <c r="L48" i="3"/>
  <c r="BT48" i="18"/>
  <c r="M48" i="3"/>
  <c r="BU48" i="18"/>
  <c r="N48" i="3"/>
  <c r="BV48" i="18"/>
  <c r="O48" i="3"/>
  <c r="BW48" i="18"/>
  <c r="P48" i="3"/>
  <c r="BX48" i="18"/>
  <c r="Q48" i="3"/>
  <c r="BY48" i="18"/>
  <c r="R48" i="3"/>
  <c r="BZ48" i="18"/>
  <c r="S48" i="3"/>
  <c r="CA48" i="18"/>
  <c r="T48" i="3"/>
  <c r="CB48" i="18"/>
  <c r="U48" i="3"/>
  <c r="CC48" i="18"/>
  <c r="V48" i="3"/>
  <c r="CD48" i="18"/>
  <c r="W48" i="3"/>
  <c r="CE48" i="18"/>
  <c r="X48" i="3"/>
  <c r="CF48" i="18"/>
  <c r="Y48" i="3"/>
  <c r="CG48" i="18"/>
  <c r="Z48" i="3"/>
  <c r="CH48" i="18"/>
  <c r="AA48" i="3"/>
  <c r="CI48" i="18"/>
  <c r="AB48" i="3"/>
  <c r="CJ48" i="18"/>
  <c r="AC48" i="3"/>
  <c r="CK48" i="18"/>
  <c r="AD48" i="3"/>
  <c r="CL48" i="18"/>
  <c r="AE48" i="3"/>
  <c r="CM48" i="18"/>
  <c r="AF48" i="3"/>
  <c r="CN48" i="18"/>
  <c r="AG48" i="3"/>
  <c r="CO48" i="18"/>
  <c r="AH48" i="3"/>
  <c r="CP48" i="18"/>
  <c r="AI48" i="3"/>
  <c r="CQ48" i="18"/>
  <c r="AJ48" i="3"/>
  <c r="BM48" i="18"/>
  <c r="F48" i="3"/>
  <c r="AK48" i="3"/>
  <c r="CS48" i="18"/>
  <c r="G48" i="4"/>
  <c r="CT48" i="18"/>
  <c r="H48" i="4"/>
  <c r="CU48" i="18"/>
  <c r="I48" i="4"/>
  <c r="CV48" i="18"/>
  <c r="J48" i="4"/>
  <c r="CW48" i="18"/>
  <c r="K48" i="4"/>
  <c r="CX48" i="18"/>
  <c r="L48" i="4"/>
  <c r="CY48" i="18"/>
  <c r="M48" i="4"/>
  <c r="CZ48" i="18"/>
  <c r="N48" i="4"/>
  <c r="DA48" i="18"/>
  <c r="O48" i="4"/>
  <c r="DB48" i="18"/>
  <c r="P48" i="4"/>
  <c r="DC48" i="18"/>
  <c r="Q48" i="4"/>
  <c r="DD48" i="18"/>
  <c r="R48" i="4"/>
  <c r="DE48" i="18"/>
  <c r="S48" i="4"/>
  <c r="DF48" i="18"/>
  <c r="T48" i="4"/>
  <c r="DG48" i="18"/>
  <c r="U48" i="4"/>
  <c r="DH48" i="18"/>
  <c r="V48" i="4"/>
  <c r="DI48" i="18"/>
  <c r="W48" i="4"/>
  <c r="DJ48" i="18"/>
  <c r="X48" i="4"/>
  <c r="DK48" i="18"/>
  <c r="Y48" i="4"/>
  <c r="DL48" i="18"/>
  <c r="Z48" i="4"/>
  <c r="DM48" i="18"/>
  <c r="AA48" i="4"/>
  <c r="DN48" i="18"/>
  <c r="AB48" i="4"/>
  <c r="DO48" i="18"/>
  <c r="AC48" i="4"/>
  <c r="DP48" i="18"/>
  <c r="AD48" i="4"/>
  <c r="DQ48" i="18"/>
  <c r="AE48" i="4"/>
  <c r="DR48" i="18"/>
  <c r="AF48" i="4"/>
  <c r="DS48" i="18"/>
  <c r="AG48" i="4"/>
  <c r="DT48" i="18"/>
  <c r="AH48" i="4"/>
  <c r="DU48" i="18"/>
  <c r="AI48" i="4"/>
  <c r="CR48" i="18"/>
  <c r="F48" i="4"/>
  <c r="AK48" i="4"/>
  <c r="DW48" i="18"/>
  <c r="G48" i="5"/>
  <c r="DX48" i="18"/>
  <c r="H48" i="5"/>
  <c r="DY48" i="18"/>
  <c r="I48" i="5"/>
  <c r="DZ48" i="18"/>
  <c r="J48" i="5"/>
  <c r="EA48" i="18"/>
  <c r="K48" i="5"/>
  <c r="EB48" i="18"/>
  <c r="L48" i="5"/>
  <c r="EC48" i="18"/>
  <c r="M48" i="5"/>
  <c r="ED48" i="18"/>
  <c r="N48" i="5"/>
  <c r="EE48" i="18"/>
  <c r="O48" i="5"/>
  <c r="EF48" i="18"/>
  <c r="P48" i="5"/>
  <c r="EG48" i="18"/>
  <c r="Q48" i="5"/>
  <c r="EH48" i="18"/>
  <c r="R48" i="5"/>
  <c r="EI48" i="18"/>
  <c r="S48" i="5"/>
  <c r="EJ48" i="18"/>
  <c r="T48" i="5"/>
  <c r="EK48" i="18"/>
  <c r="U48" i="5"/>
  <c r="EL48" i="18"/>
  <c r="V48" i="5"/>
  <c r="EM48" i="18"/>
  <c r="W48" i="5"/>
  <c r="EN48" i="18"/>
  <c r="X48" i="5"/>
  <c r="EO48" i="18"/>
  <c r="Y48" i="5"/>
  <c r="EP48" i="18"/>
  <c r="Z48" i="5"/>
  <c r="EQ48" i="18"/>
  <c r="AA48" i="5"/>
  <c r="ER48" i="18"/>
  <c r="AB48" i="5"/>
  <c r="ES48" i="18"/>
  <c r="AC48" i="5"/>
  <c r="ET48" i="18"/>
  <c r="AD48" i="5"/>
  <c r="EU48" i="18"/>
  <c r="AE48" i="5"/>
  <c r="EV48" i="18"/>
  <c r="AF48" i="5"/>
  <c r="EW48" i="18"/>
  <c r="AG48" i="5"/>
  <c r="EX48" i="18"/>
  <c r="AH48" i="5"/>
  <c r="EY48" i="18"/>
  <c r="AI48" i="5"/>
  <c r="EZ48" i="18"/>
  <c r="AJ48" i="5"/>
  <c r="DV48" i="18"/>
  <c r="F48" i="5"/>
  <c r="AK48" i="5"/>
  <c r="FB48" i="18"/>
  <c r="G48" i="6"/>
  <c r="FC48" i="18"/>
  <c r="H48" i="6"/>
  <c r="FD48" i="18"/>
  <c r="I48" i="6"/>
  <c r="FE48" i="18"/>
  <c r="J48" i="6"/>
  <c r="FF48" i="18"/>
  <c r="K48" i="6"/>
  <c r="FG48" i="18"/>
  <c r="L48" i="6"/>
  <c r="FH48" i="18"/>
  <c r="M48" i="6"/>
  <c r="FI48" i="18"/>
  <c r="N48" i="6"/>
  <c r="FJ48" i="18"/>
  <c r="O48" i="6"/>
  <c r="FK48" i="18"/>
  <c r="P48" i="6"/>
  <c r="FL48" i="18"/>
  <c r="Q48" i="6"/>
  <c r="FM48" i="18"/>
  <c r="R48" i="6"/>
  <c r="FN48" i="18"/>
  <c r="S48" i="6"/>
  <c r="FO48" i="18"/>
  <c r="T48" i="6"/>
  <c r="FP48" i="18"/>
  <c r="U48" i="6"/>
  <c r="FQ48" i="18"/>
  <c r="V48" i="6"/>
  <c r="FR48" i="18"/>
  <c r="W48" i="6"/>
  <c r="FS48" i="18"/>
  <c r="X48" i="6"/>
  <c r="FT48" i="18"/>
  <c r="Y48" i="6"/>
  <c r="FU48" i="18"/>
  <c r="Z48" i="6"/>
  <c r="FV48" i="18"/>
  <c r="AA48" i="6"/>
  <c r="FW48" i="18"/>
  <c r="AB48" i="6"/>
  <c r="FX48" i="18"/>
  <c r="AC48" i="6"/>
  <c r="FY48" i="18"/>
  <c r="AD48" i="6"/>
  <c r="FZ48" i="18"/>
  <c r="AE48" i="6"/>
  <c r="GA48" i="18"/>
  <c r="AF48" i="6"/>
  <c r="GB48" i="18"/>
  <c r="AG48" i="6"/>
  <c r="GC48" i="18"/>
  <c r="AH48" i="6"/>
  <c r="GD48" i="18"/>
  <c r="AI48" i="6"/>
  <c r="FA48" i="18"/>
  <c r="F48" i="6"/>
  <c r="AK48" i="6"/>
  <c r="GF48" i="18"/>
  <c r="G48" i="7"/>
  <c r="GG48" i="18"/>
  <c r="H48" i="7"/>
  <c r="GH48" i="18"/>
  <c r="I48" i="7"/>
  <c r="GI48" i="18"/>
  <c r="J48" i="7"/>
  <c r="GJ48" i="18"/>
  <c r="K48" i="7"/>
  <c r="GK48" i="18"/>
  <c r="L48" i="7"/>
  <c r="GL48" i="18"/>
  <c r="M48" i="7"/>
  <c r="GM48" i="18"/>
  <c r="N48" i="7"/>
  <c r="GN48" i="18"/>
  <c r="O48" i="7"/>
  <c r="GO48" i="18"/>
  <c r="P48" i="7"/>
  <c r="GP48" i="18"/>
  <c r="Q48" i="7"/>
  <c r="GQ48" i="18"/>
  <c r="R48" i="7"/>
  <c r="GR48" i="18"/>
  <c r="S48" i="7"/>
  <c r="GS48" i="18"/>
  <c r="T48" i="7"/>
  <c r="GT48" i="18"/>
  <c r="U48" i="7"/>
  <c r="GU48" i="18"/>
  <c r="V48" i="7"/>
  <c r="GV48" i="18"/>
  <c r="W48" i="7"/>
  <c r="GW48" i="18"/>
  <c r="X48" i="7"/>
  <c r="GX48" i="18"/>
  <c r="Y48" i="7"/>
  <c r="GY48" i="18"/>
  <c r="Z48" i="7"/>
  <c r="GZ48" i="18"/>
  <c r="AA48" i="7"/>
  <c r="HA48" i="18"/>
  <c r="AB48" i="7"/>
  <c r="HB48" i="18"/>
  <c r="AC48" i="7"/>
  <c r="HC48" i="18"/>
  <c r="AD48" i="7"/>
  <c r="HD48" i="18"/>
  <c r="AE48" i="7"/>
  <c r="HE48" i="18"/>
  <c r="AF48" i="7"/>
  <c r="HF48" i="18"/>
  <c r="AG48" i="7"/>
  <c r="HG48" i="18"/>
  <c r="AH48" i="7"/>
  <c r="HH48" i="18"/>
  <c r="AI48" i="7"/>
  <c r="HI48" i="18"/>
  <c r="AJ48" i="7"/>
  <c r="GE48" i="18"/>
  <c r="F48" i="7"/>
  <c r="AK48" i="7"/>
  <c r="HK48" i="18"/>
  <c r="G48" i="8"/>
  <c r="HL48" i="18"/>
  <c r="H48" i="8"/>
  <c r="HM48" i="18"/>
  <c r="I48" i="8"/>
  <c r="HN48" i="18"/>
  <c r="J48" i="8"/>
  <c r="HO48" i="18"/>
  <c r="K48" i="8"/>
  <c r="HP48" i="18"/>
  <c r="L48" i="8"/>
  <c r="HQ48" i="18"/>
  <c r="M48" i="8"/>
  <c r="HR48" i="18"/>
  <c r="N48" i="8"/>
  <c r="HS48" i="18"/>
  <c r="O48" i="8"/>
  <c r="HT48" i="18"/>
  <c r="P48" i="8"/>
  <c r="HU48" i="18"/>
  <c r="Q48" i="8"/>
  <c r="HV48" i="18"/>
  <c r="R48" i="8"/>
  <c r="HW48" i="18"/>
  <c r="S48" i="8"/>
  <c r="HX48" i="18"/>
  <c r="T48" i="8"/>
  <c r="HY48" i="18"/>
  <c r="U48" i="8"/>
  <c r="HZ48" i="18"/>
  <c r="V48" i="8"/>
  <c r="IA48" i="18"/>
  <c r="W48" i="8"/>
  <c r="IB48" i="18"/>
  <c r="X48" i="8"/>
  <c r="IC48" i="18"/>
  <c r="Y48" i="8"/>
  <c r="ID48" i="18"/>
  <c r="Z48" i="8"/>
  <c r="IE48" i="18"/>
  <c r="AA48" i="8"/>
  <c r="IF48" i="18"/>
  <c r="AB48" i="8"/>
  <c r="IG48" i="18"/>
  <c r="AC48" i="8"/>
  <c r="IH48" i="18"/>
  <c r="AD48" i="8"/>
  <c r="II48" i="18"/>
  <c r="AE48" i="8"/>
  <c r="IJ48" i="18"/>
  <c r="AF48" i="8"/>
  <c r="IK48" i="18"/>
  <c r="AG48" i="8"/>
  <c r="IL48" i="18"/>
  <c r="AH48" i="8"/>
  <c r="IM48" i="18"/>
  <c r="AI48" i="8"/>
  <c r="IN48" i="18"/>
  <c r="AJ48" i="8"/>
  <c r="HJ48" i="18"/>
  <c r="F48" i="8"/>
  <c r="AK48" i="8"/>
  <c r="IP48" i="18"/>
  <c r="G48" i="9"/>
  <c r="IQ48" i="18"/>
  <c r="H48" i="9"/>
  <c r="IR48" i="18"/>
  <c r="I48" i="9"/>
  <c r="IS48" i="18"/>
  <c r="J48" i="9"/>
  <c r="IT48" i="18"/>
  <c r="K48" i="9"/>
  <c r="IU48" i="18"/>
  <c r="L48" i="9"/>
  <c r="IV48" i="18"/>
  <c r="M48" i="9"/>
  <c r="IW48" i="18"/>
  <c r="N48" i="9"/>
  <c r="IX48" i="18"/>
  <c r="O48" i="9"/>
  <c r="IY48" i="18"/>
  <c r="P48" i="9"/>
  <c r="IZ48" i="18"/>
  <c r="Q48" i="9"/>
  <c r="JA48" i="18"/>
  <c r="R48" i="9"/>
  <c r="JB48" i="18"/>
  <c r="S48" i="9"/>
  <c r="JC48" i="18"/>
  <c r="T48" i="9"/>
  <c r="JD48" i="18"/>
  <c r="U48" i="9"/>
  <c r="JE48" i="18"/>
  <c r="V48" i="9"/>
  <c r="JF48" i="18"/>
  <c r="W48" i="9"/>
  <c r="JG48" i="18"/>
  <c r="X48" i="9"/>
  <c r="JH48" i="18"/>
  <c r="Y48" i="9"/>
  <c r="JI48" i="18"/>
  <c r="Z48" i="9"/>
  <c r="JJ48" i="18"/>
  <c r="AA48" i="9"/>
  <c r="JK48" i="18"/>
  <c r="AB48" i="9"/>
  <c r="JL48" i="18"/>
  <c r="AC48" i="9"/>
  <c r="JM48" i="18"/>
  <c r="AD48" i="9"/>
  <c r="JN48" i="18"/>
  <c r="AE48" i="9"/>
  <c r="JO48" i="18"/>
  <c r="AF48" i="9"/>
  <c r="JP48" i="18"/>
  <c r="AG48" i="9"/>
  <c r="JQ48" i="18"/>
  <c r="AH48" i="9"/>
  <c r="JR48" i="18"/>
  <c r="AI48" i="9"/>
  <c r="IO48" i="18"/>
  <c r="F48" i="9"/>
  <c r="AK48" i="9"/>
  <c r="JT48" i="18"/>
  <c r="G48" i="10"/>
  <c r="JU48" i="18"/>
  <c r="H48" i="10"/>
  <c r="JV48" i="18"/>
  <c r="I48" i="10"/>
  <c r="JW48" i="18"/>
  <c r="J48" i="10"/>
  <c r="JX48" i="18"/>
  <c r="K48" i="10"/>
  <c r="JY48" i="18"/>
  <c r="L48" i="10"/>
  <c r="JZ48" i="18"/>
  <c r="M48" i="10"/>
  <c r="KA48" i="18"/>
  <c r="N48" i="10"/>
  <c r="KB48" i="18"/>
  <c r="O48" i="10"/>
  <c r="KC48" i="18"/>
  <c r="P48" i="10"/>
  <c r="KD48" i="18"/>
  <c r="Q48" i="10"/>
  <c r="KE48" i="18"/>
  <c r="R48" i="10"/>
  <c r="KF48" i="18"/>
  <c r="S48" i="10"/>
  <c r="KG48" i="18"/>
  <c r="T48" i="10"/>
  <c r="KH48" i="18"/>
  <c r="U48" i="10"/>
  <c r="KI48" i="18"/>
  <c r="V48" i="10"/>
  <c r="KJ48" i="18"/>
  <c r="W48" i="10"/>
  <c r="KK48" i="18"/>
  <c r="X48" i="10"/>
  <c r="KL48" i="18"/>
  <c r="Y48" i="10"/>
  <c r="KM48" i="18"/>
  <c r="Z48" i="10"/>
  <c r="KN48" i="18"/>
  <c r="AA48" i="10"/>
  <c r="KO48" i="18"/>
  <c r="AB48" i="10"/>
  <c r="KP48" i="18"/>
  <c r="AC48" i="10"/>
  <c r="KQ48" i="18"/>
  <c r="AD48" i="10"/>
  <c r="KR48" i="18"/>
  <c r="AE48" i="10"/>
  <c r="KS48" i="18"/>
  <c r="AF48" i="10"/>
  <c r="KT48" i="18"/>
  <c r="AG48" i="10"/>
  <c r="KU48" i="18"/>
  <c r="AH48" i="10"/>
  <c r="KV48" i="18"/>
  <c r="AI48" i="10"/>
  <c r="KW48" i="18"/>
  <c r="AJ48" i="10"/>
  <c r="JS48" i="18"/>
  <c r="F48" i="10"/>
  <c r="AK48" i="10"/>
  <c r="KY48" i="18"/>
  <c r="G48" i="11"/>
  <c r="KZ48" i="18"/>
  <c r="H48" i="11"/>
  <c r="LA48" i="18"/>
  <c r="I48" i="11"/>
  <c r="LB48" i="18"/>
  <c r="J48" i="11"/>
  <c r="LC48" i="18"/>
  <c r="K48" i="11"/>
  <c r="LD48" i="18"/>
  <c r="L48" i="11"/>
  <c r="LE48" i="18"/>
  <c r="M48" i="11"/>
  <c r="LF48" i="18"/>
  <c r="N48" i="11"/>
  <c r="LG48" i="18"/>
  <c r="O48" i="11"/>
  <c r="LH48" i="18"/>
  <c r="P48" i="11"/>
  <c r="LI48" i="18"/>
  <c r="Q48" i="11"/>
  <c r="LJ48" i="18"/>
  <c r="R48" i="11"/>
  <c r="LK48" i="18"/>
  <c r="S48" i="11"/>
  <c r="LL48" i="18"/>
  <c r="T48" i="11"/>
  <c r="LM48" i="18"/>
  <c r="U48" i="11"/>
  <c r="LN48" i="18"/>
  <c r="V48" i="11"/>
  <c r="LO48" i="18"/>
  <c r="W48" i="11"/>
  <c r="LP48" i="18"/>
  <c r="X48" i="11"/>
  <c r="LQ48" i="18"/>
  <c r="Y48" i="11"/>
  <c r="LR48" i="18"/>
  <c r="Z48" i="11"/>
  <c r="LS48" i="18"/>
  <c r="AA48" i="11"/>
  <c r="LT48" i="18"/>
  <c r="AB48" i="11"/>
  <c r="LU48" i="18"/>
  <c r="AC48" i="11"/>
  <c r="LV48" i="18"/>
  <c r="AD48" i="11"/>
  <c r="LW48" i="18"/>
  <c r="AE48" i="11"/>
  <c r="LX48" i="18"/>
  <c r="AF48" i="11"/>
  <c r="LY48" i="18"/>
  <c r="AG48" i="11"/>
  <c r="LZ48" i="18"/>
  <c r="AH48" i="11"/>
  <c r="MA48" i="18"/>
  <c r="AI48" i="11"/>
  <c r="KX48" i="18"/>
  <c r="F48" i="11"/>
  <c r="AK48" i="11"/>
  <c r="MC48" i="18"/>
  <c r="G48" i="12"/>
  <c r="MD48" i="18"/>
  <c r="H48" i="12"/>
  <c r="ME48" i="18"/>
  <c r="I48" i="12"/>
  <c r="MF48" i="18"/>
  <c r="J48" i="12"/>
  <c r="MG48" i="18"/>
  <c r="K48" i="12"/>
  <c r="MH48" i="18"/>
  <c r="L48" i="12"/>
  <c r="MI48" i="18"/>
  <c r="M48" i="12"/>
  <c r="MJ48" i="18"/>
  <c r="N48" i="12"/>
  <c r="MK48" i="18"/>
  <c r="O48" i="12"/>
  <c r="ML48" i="18"/>
  <c r="P48" i="12"/>
  <c r="MM48" i="18"/>
  <c r="Q48" i="12"/>
  <c r="MN48" i="18"/>
  <c r="R48" i="12"/>
  <c r="MO48" i="18"/>
  <c r="S48" i="12"/>
  <c r="MP48" i="18"/>
  <c r="T48" i="12"/>
  <c r="MQ48" i="18"/>
  <c r="U48" i="12"/>
  <c r="MR48" i="18"/>
  <c r="V48" i="12"/>
  <c r="MS48" i="18"/>
  <c r="W48" i="12"/>
  <c r="MT48" i="18"/>
  <c r="X48" i="12"/>
  <c r="MU48" i="18"/>
  <c r="Y48" i="12"/>
  <c r="MV48" i="18"/>
  <c r="Z48" i="12"/>
  <c r="MW48" i="18"/>
  <c r="AA48" i="12"/>
  <c r="MX48" i="18"/>
  <c r="AB48" i="12"/>
  <c r="MY48" i="18"/>
  <c r="AC48" i="12"/>
  <c r="MZ48" i="18"/>
  <c r="AD48" i="12"/>
  <c r="NA48" i="18"/>
  <c r="AE48" i="12"/>
  <c r="NB48" i="18"/>
  <c r="AF48" i="12"/>
  <c r="NC48" i="18"/>
  <c r="AG48" i="12"/>
  <c r="ND48" i="18"/>
  <c r="AH48" i="12"/>
  <c r="NE48" i="18"/>
  <c r="AI48" i="12"/>
  <c r="NF48" i="18"/>
  <c r="AJ48" i="12"/>
  <c r="MB48" i="18"/>
  <c r="F48" i="12"/>
  <c r="AK48" i="12"/>
  <c r="P44" i="13"/>
  <c r="G47" i="18"/>
  <c r="H47" i="18"/>
  <c r="I47" i="18"/>
  <c r="J47" i="18"/>
  <c r="K47" i="18"/>
  <c r="L47" i="18"/>
  <c r="M47" i="18"/>
  <c r="N47" i="18"/>
  <c r="O47" i="18"/>
  <c r="P47" i="18"/>
  <c r="Q47" i="18"/>
  <c r="R47" i="18"/>
  <c r="S47" i="18"/>
  <c r="T47" i="18"/>
  <c r="U47" i="18"/>
  <c r="V47" i="18"/>
  <c r="W47" i="18"/>
  <c r="X47" i="18"/>
  <c r="Y47" i="18"/>
  <c r="Z47" i="18"/>
  <c r="AA47" i="18"/>
  <c r="AB47" i="18"/>
  <c r="AC47" i="18"/>
  <c r="AD47" i="18"/>
  <c r="AE47" i="18"/>
  <c r="AF47" i="18"/>
  <c r="AG47" i="18"/>
  <c r="AH47" i="18"/>
  <c r="AI47" i="18"/>
  <c r="AJ47" i="18"/>
  <c r="F47" i="18"/>
  <c r="AL47" i="18"/>
  <c r="G47" i="2"/>
  <c r="AM47" i="18"/>
  <c r="H47" i="2"/>
  <c r="AN47" i="18"/>
  <c r="I47" i="2"/>
  <c r="AO47" i="18"/>
  <c r="J47" i="2"/>
  <c r="AP47" i="18"/>
  <c r="K47" i="2"/>
  <c r="AQ47" i="18"/>
  <c r="L47" i="2"/>
  <c r="AR47" i="18"/>
  <c r="M47" i="2"/>
  <c r="AS47" i="18"/>
  <c r="N47" i="2"/>
  <c r="AT47" i="18"/>
  <c r="O47" i="2"/>
  <c r="AU47" i="18"/>
  <c r="P47" i="2"/>
  <c r="AV47" i="18"/>
  <c r="Q47" i="2"/>
  <c r="AW47" i="18"/>
  <c r="R47" i="2"/>
  <c r="AX47" i="18"/>
  <c r="S47" i="2"/>
  <c r="AY47" i="18"/>
  <c r="T47" i="2"/>
  <c r="AZ47" i="18"/>
  <c r="U47" i="2"/>
  <c r="BA47" i="18"/>
  <c r="V47" i="2"/>
  <c r="BB47" i="18"/>
  <c r="W47" i="2"/>
  <c r="BC47" i="18"/>
  <c r="X47" i="2"/>
  <c r="BD47" i="18"/>
  <c r="Y47" i="2"/>
  <c r="BE47" i="18"/>
  <c r="Z47" i="2"/>
  <c r="BF47" i="18"/>
  <c r="AA47" i="2"/>
  <c r="BG47" i="18"/>
  <c r="AB47" i="2"/>
  <c r="BH47" i="18"/>
  <c r="AC47" i="2"/>
  <c r="BI47" i="18"/>
  <c r="AD47" i="2"/>
  <c r="BJ47" i="18"/>
  <c r="AE47" i="2"/>
  <c r="BK47" i="18"/>
  <c r="AF47" i="2"/>
  <c r="BL47" i="18"/>
  <c r="AG47" i="2"/>
  <c r="AI47" i="2"/>
  <c r="AK47" i="18"/>
  <c r="F47" i="2"/>
  <c r="AJ47" i="2"/>
  <c r="BN47" i="18"/>
  <c r="G47" i="3"/>
  <c r="BO47" i="18"/>
  <c r="H47" i="3"/>
  <c r="BP47" i="18"/>
  <c r="I47" i="3"/>
  <c r="BQ47" i="18"/>
  <c r="J47" i="3"/>
  <c r="BR47" i="18"/>
  <c r="K47" i="3"/>
  <c r="BS47" i="18"/>
  <c r="L47" i="3"/>
  <c r="BT47" i="18"/>
  <c r="M47" i="3"/>
  <c r="BU47" i="18"/>
  <c r="N47" i="3"/>
  <c r="BV47" i="18"/>
  <c r="O47" i="3"/>
  <c r="BW47" i="18"/>
  <c r="P47" i="3"/>
  <c r="BX47" i="18"/>
  <c r="Q47" i="3"/>
  <c r="BY47" i="18"/>
  <c r="R47" i="3"/>
  <c r="BZ47" i="18"/>
  <c r="S47" i="3"/>
  <c r="CA47" i="18"/>
  <c r="T47" i="3"/>
  <c r="CB47" i="18"/>
  <c r="U47" i="3"/>
  <c r="CC47" i="18"/>
  <c r="V47" i="3"/>
  <c r="CD47" i="18"/>
  <c r="W47" i="3"/>
  <c r="CE47" i="18"/>
  <c r="X47" i="3"/>
  <c r="CF47" i="18"/>
  <c r="Y47" i="3"/>
  <c r="CG47" i="18"/>
  <c r="Z47" i="3"/>
  <c r="CH47" i="18"/>
  <c r="AA47" i="3"/>
  <c r="CI47" i="18"/>
  <c r="AB47" i="3"/>
  <c r="CJ47" i="18"/>
  <c r="AC47" i="3"/>
  <c r="CK47" i="18"/>
  <c r="AD47" i="3"/>
  <c r="CL47" i="18"/>
  <c r="AE47" i="3"/>
  <c r="CM47" i="18"/>
  <c r="AF47" i="3"/>
  <c r="CN47" i="18"/>
  <c r="AG47" i="3"/>
  <c r="CO47" i="18"/>
  <c r="AH47" i="3"/>
  <c r="CP47" i="18"/>
  <c r="AI47" i="3"/>
  <c r="CQ47" i="18"/>
  <c r="AJ47" i="3"/>
  <c r="BM47" i="18"/>
  <c r="F47" i="3"/>
  <c r="AK47" i="3"/>
  <c r="CS47" i="18"/>
  <c r="G47" i="4"/>
  <c r="CT47" i="18"/>
  <c r="H47" i="4"/>
  <c r="CU47" i="18"/>
  <c r="I47" i="4"/>
  <c r="CV47" i="18"/>
  <c r="J47" i="4"/>
  <c r="CW47" i="18"/>
  <c r="K47" i="4"/>
  <c r="CX47" i="18"/>
  <c r="L47" i="4"/>
  <c r="CY47" i="18"/>
  <c r="M47" i="4"/>
  <c r="CZ47" i="18"/>
  <c r="N47" i="4"/>
  <c r="DA47" i="18"/>
  <c r="O47" i="4"/>
  <c r="DB47" i="18"/>
  <c r="P47" i="4"/>
  <c r="DC47" i="18"/>
  <c r="Q47" i="4"/>
  <c r="DD47" i="18"/>
  <c r="R47" i="4"/>
  <c r="DE47" i="18"/>
  <c r="S47" i="4"/>
  <c r="DF47" i="18"/>
  <c r="T47" i="4"/>
  <c r="DG47" i="18"/>
  <c r="U47" i="4"/>
  <c r="DH47" i="18"/>
  <c r="V47" i="4"/>
  <c r="DI47" i="18"/>
  <c r="W47" i="4"/>
  <c r="DJ47" i="18"/>
  <c r="X47" i="4"/>
  <c r="DK47" i="18"/>
  <c r="Y47" i="4"/>
  <c r="DL47" i="18"/>
  <c r="Z47" i="4"/>
  <c r="DM47" i="18"/>
  <c r="AA47" i="4"/>
  <c r="DN47" i="18"/>
  <c r="AB47" i="4"/>
  <c r="DO47" i="18"/>
  <c r="AC47" i="4"/>
  <c r="DP47" i="18"/>
  <c r="AD47" i="4"/>
  <c r="DQ47" i="18"/>
  <c r="AE47" i="4"/>
  <c r="DR47" i="18"/>
  <c r="AF47" i="4"/>
  <c r="DS47" i="18"/>
  <c r="AG47" i="4"/>
  <c r="DT47" i="18"/>
  <c r="AH47" i="4"/>
  <c r="DU47" i="18"/>
  <c r="AI47" i="4"/>
  <c r="CR47" i="18"/>
  <c r="F47" i="4"/>
  <c r="AK47" i="4"/>
  <c r="DW47" i="18"/>
  <c r="G47" i="5"/>
  <c r="DX47" i="18"/>
  <c r="H47" i="5"/>
  <c r="DY47" i="18"/>
  <c r="I47" i="5"/>
  <c r="DZ47" i="18"/>
  <c r="J47" i="5"/>
  <c r="EA47" i="18"/>
  <c r="K47" i="5"/>
  <c r="EB47" i="18"/>
  <c r="L47" i="5"/>
  <c r="EC47" i="18"/>
  <c r="M47" i="5"/>
  <c r="ED47" i="18"/>
  <c r="N47" i="5"/>
  <c r="EE47" i="18"/>
  <c r="O47" i="5"/>
  <c r="EF47" i="18"/>
  <c r="P47" i="5"/>
  <c r="EG47" i="18"/>
  <c r="Q47" i="5"/>
  <c r="EH47" i="18"/>
  <c r="R47" i="5"/>
  <c r="EI47" i="18"/>
  <c r="S47" i="5"/>
  <c r="EJ47" i="18"/>
  <c r="T47" i="5"/>
  <c r="EK47" i="18"/>
  <c r="U47" i="5"/>
  <c r="EL47" i="18"/>
  <c r="V47" i="5"/>
  <c r="EM47" i="18"/>
  <c r="W47" i="5"/>
  <c r="EN47" i="18"/>
  <c r="X47" i="5"/>
  <c r="EO47" i="18"/>
  <c r="Y47" i="5"/>
  <c r="EP47" i="18"/>
  <c r="Z47" i="5"/>
  <c r="EQ47" i="18"/>
  <c r="AA47" i="5"/>
  <c r="ER47" i="18"/>
  <c r="AB47" i="5"/>
  <c r="ES47" i="18"/>
  <c r="AC47" i="5"/>
  <c r="ET47" i="18"/>
  <c r="AD47" i="5"/>
  <c r="EU47" i="18"/>
  <c r="AE47" i="5"/>
  <c r="EV47" i="18"/>
  <c r="AF47" i="5"/>
  <c r="EW47" i="18"/>
  <c r="AG47" i="5"/>
  <c r="EX47" i="18"/>
  <c r="AH47" i="5"/>
  <c r="EY47" i="18"/>
  <c r="AI47" i="5"/>
  <c r="EZ47" i="18"/>
  <c r="AJ47" i="5"/>
  <c r="DV47" i="18"/>
  <c r="F47" i="5"/>
  <c r="AK47" i="5"/>
  <c r="FB47" i="18"/>
  <c r="G47" i="6"/>
  <c r="FC47" i="18"/>
  <c r="H47" i="6"/>
  <c r="FD47" i="18"/>
  <c r="I47" i="6"/>
  <c r="FE47" i="18"/>
  <c r="J47" i="6"/>
  <c r="FF47" i="18"/>
  <c r="K47" i="6"/>
  <c r="FG47" i="18"/>
  <c r="L47" i="6"/>
  <c r="FH47" i="18"/>
  <c r="M47" i="6"/>
  <c r="FI47" i="18"/>
  <c r="N47" i="6"/>
  <c r="FJ47" i="18"/>
  <c r="O47" i="6"/>
  <c r="FK47" i="18"/>
  <c r="P47" i="6"/>
  <c r="FL47" i="18"/>
  <c r="Q47" i="6"/>
  <c r="FM47" i="18"/>
  <c r="R47" i="6"/>
  <c r="FN47" i="18"/>
  <c r="S47" i="6"/>
  <c r="FO47" i="18"/>
  <c r="T47" i="6"/>
  <c r="FP47" i="18"/>
  <c r="U47" i="6"/>
  <c r="FQ47" i="18"/>
  <c r="V47" i="6"/>
  <c r="FR47" i="18"/>
  <c r="W47" i="6"/>
  <c r="FS47" i="18"/>
  <c r="X47" i="6"/>
  <c r="FT47" i="18"/>
  <c r="Y47" i="6"/>
  <c r="FU47" i="18"/>
  <c r="Z47" i="6"/>
  <c r="FV47" i="18"/>
  <c r="AA47" i="6"/>
  <c r="FW47" i="18"/>
  <c r="AB47" i="6"/>
  <c r="FX47" i="18"/>
  <c r="AC47" i="6"/>
  <c r="FY47" i="18"/>
  <c r="AD47" i="6"/>
  <c r="FZ47" i="18"/>
  <c r="AE47" i="6"/>
  <c r="GA47" i="18"/>
  <c r="AF47" i="6"/>
  <c r="GB47" i="18"/>
  <c r="AG47" i="6"/>
  <c r="GC47" i="18"/>
  <c r="AH47" i="6"/>
  <c r="GD47" i="18"/>
  <c r="AI47" i="6"/>
  <c r="FA47" i="18"/>
  <c r="F47" i="6"/>
  <c r="AK47" i="6"/>
  <c r="GF47" i="18"/>
  <c r="G47" i="7"/>
  <c r="GG47" i="18"/>
  <c r="H47" i="7"/>
  <c r="GH47" i="18"/>
  <c r="I47" i="7"/>
  <c r="GI47" i="18"/>
  <c r="J47" i="7"/>
  <c r="GJ47" i="18"/>
  <c r="K47" i="7"/>
  <c r="GK47" i="18"/>
  <c r="L47" i="7"/>
  <c r="GL47" i="18"/>
  <c r="M47" i="7"/>
  <c r="GM47" i="18"/>
  <c r="N47" i="7"/>
  <c r="GN47" i="18"/>
  <c r="O47" i="7"/>
  <c r="GO47" i="18"/>
  <c r="P47" i="7"/>
  <c r="GP47" i="18"/>
  <c r="Q47" i="7"/>
  <c r="GQ47" i="18"/>
  <c r="R47" i="7"/>
  <c r="GR47" i="18"/>
  <c r="S47" i="7"/>
  <c r="GS47" i="18"/>
  <c r="T47" i="7"/>
  <c r="GT47" i="18"/>
  <c r="U47" i="7"/>
  <c r="GU47" i="18"/>
  <c r="V47" i="7"/>
  <c r="GV47" i="18"/>
  <c r="W47" i="7"/>
  <c r="GW47" i="18"/>
  <c r="X47" i="7"/>
  <c r="GX47" i="18"/>
  <c r="Y47" i="7"/>
  <c r="GY47" i="18"/>
  <c r="Z47" i="7"/>
  <c r="GZ47" i="18"/>
  <c r="AA47" i="7"/>
  <c r="HA47" i="18"/>
  <c r="AB47" i="7"/>
  <c r="HB47" i="18"/>
  <c r="AC47" i="7"/>
  <c r="HC47" i="18"/>
  <c r="AD47" i="7"/>
  <c r="HD47" i="18"/>
  <c r="AE47" i="7"/>
  <c r="HE47" i="18"/>
  <c r="AF47" i="7"/>
  <c r="HF47" i="18"/>
  <c r="AG47" i="7"/>
  <c r="HG47" i="18"/>
  <c r="AH47" i="7"/>
  <c r="HH47" i="18"/>
  <c r="AI47" i="7"/>
  <c r="HI47" i="18"/>
  <c r="AJ47" i="7"/>
  <c r="GE47" i="18"/>
  <c r="F47" i="7"/>
  <c r="AK47" i="7"/>
  <c r="HK47" i="18"/>
  <c r="G47" i="8"/>
  <c r="HL47" i="18"/>
  <c r="H47" i="8"/>
  <c r="HM47" i="18"/>
  <c r="I47" i="8"/>
  <c r="HN47" i="18"/>
  <c r="J47" i="8"/>
  <c r="HO47" i="18"/>
  <c r="K47" i="8"/>
  <c r="HP47" i="18"/>
  <c r="L47" i="8"/>
  <c r="HQ47" i="18"/>
  <c r="M47" i="8"/>
  <c r="HR47" i="18"/>
  <c r="N47" i="8"/>
  <c r="HS47" i="18"/>
  <c r="O47" i="8"/>
  <c r="HT47" i="18"/>
  <c r="P47" i="8"/>
  <c r="HU47" i="18"/>
  <c r="Q47" i="8"/>
  <c r="HV47" i="18"/>
  <c r="R47" i="8"/>
  <c r="HW47" i="18"/>
  <c r="S47" i="8"/>
  <c r="HX47" i="18"/>
  <c r="T47" i="8"/>
  <c r="HY47" i="18"/>
  <c r="U47" i="8"/>
  <c r="HZ47" i="18"/>
  <c r="V47" i="8"/>
  <c r="IA47" i="18"/>
  <c r="W47" i="8"/>
  <c r="IB47" i="18"/>
  <c r="X47" i="8"/>
  <c r="IC47" i="18"/>
  <c r="Y47" i="8"/>
  <c r="ID47" i="18"/>
  <c r="Z47" i="8"/>
  <c r="IE47" i="18"/>
  <c r="AA47" i="8"/>
  <c r="IF47" i="18"/>
  <c r="AB47" i="8"/>
  <c r="IG47" i="18"/>
  <c r="AC47" i="8"/>
  <c r="IH47" i="18"/>
  <c r="AD47" i="8"/>
  <c r="II47" i="18"/>
  <c r="AE47" i="8"/>
  <c r="IJ47" i="18"/>
  <c r="AF47" i="8"/>
  <c r="IK47" i="18"/>
  <c r="AG47" i="8"/>
  <c r="IL47" i="18"/>
  <c r="AH47" i="8"/>
  <c r="IM47" i="18"/>
  <c r="AI47" i="8"/>
  <c r="IN47" i="18"/>
  <c r="AJ47" i="8"/>
  <c r="HJ47" i="18"/>
  <c r="F47" i="8"/>
  <c r="AK47" i="8"/>
  <c r="IP47" i="18"/>
  <c r="G47" i="9"/>
  <c r="IQ47" i="18"/>
  <c r="H47" i="9"/>
  <c r="IR47" i="18"/>
  <c r="I47" i="9"/>
  <c r="IS47" i="18"/>
  <c r="J47" i="9"/>
  <c r="IT47" i="18"/>
  <c r="K47" i="9"/>
  <c r="IU47" i="18"/>
  <c r="L47" i="9"/>
  <c r="IV47" i="18"/>
  <c r="M47" i="9"/>
  <c r="IW47" i="18"/>
  <c r="N47" i="9"/>
  <c r="IX47" i="18"/>
  <c r="O47" i="9"/>
  <c r="IY47" i="18"/>
  <c r="P47" i="9"/>
  <c r="IZ47" i="18"/>
  <c r="Q47" i="9"/>
  <c r="JA47" i="18"/>
  <c r="R47" i="9"/>
  <c r="JB47" i="18"/>
  <c r="S47" i="9"/>
  <c r="JC47" i="18"/>
  <c r="T47" i="9"/>
  <c r="JD47" i="18"/>
  <c r="U47" i="9"/>
  <c r="JE47" i="18"/>
  <c r="V47" i="9"/>
  <c r="JF47" i="18"/>
  <c r="W47" i="9"/>
  <c r="JG47" i="18"/>
  <c r="X47" i="9"/>
  <c r="JH47" i="18"/>
  <c r="Y47" i="9"/>
  <c r="JI47" i="18"/>
  <c r="Z47" i="9"/>
  <c r="JJ47" i="18"/>
  <c r="AA47" i="9"/>
  <c r="JK47" i="18"/>
  <c r="AB47" i="9"/>
  <c r="JL47" i="18"/>
  <c r="AC47" i="9"/>
  <c r="JM47" i="18"/>
  <c r="AD47" i="9"/>
  <c r="JN47" i="18"/>
  <c r="AE47" i="9"/>
  <c r="JO47" i="18"/>
  <c r="AF47" i="9"/>
  <c r="JP47" i="18"/>
  <c r="AG47" i="9"/>
  <c r="JQ47" i="18"/>
  <c r="AH47" i="9"/>
  <c r="JR47" i="18"/>
  <c r="AI47" i="9"/>
  <c r="IO47" i="18"/>
  <c r="F47" i="9"/>
  <c r="AK47" i="9"/>
  <c r="JT47" i="18"/>
  <c r="G47" i="10"/>
  <c r="JU47" i="18"/>
  <c r="H47" i="10"/>
  <c r="JV47" i="18"/>
  <c r="I47" i="10"/>
  <c r="JW47" i="18"/>
  <c r="J47" i="10"/>
  <c r="JX47" i="18"/>
  <c r="K47" i="10"/>
  <c r="JY47" i="18"/>
  <c r="L47" i="10"/>
  <c r="JZ47" i="18"/>
  <c r="M47" i="10"/>
  <c r="KA47" i="18"/>
  <c r="N47" i="10"/>
  <c r="KB47" i="18"/>
  <c r="O47" i="10"/>
  <c r="KC47" i="18"/>
  <c r="P47" i="10"/>
  <c r="KD47" i="18"/>
  <c r="Q47" i="10"/>
  <c r="KE47" i="18"/>
  <c r="R47" i="10"/>
  <c r="KF47" i="18"/>
  <c r="S47" i="10"/>
  <c r="KG47" i="18"/>
  <c r="T47" i="10"/>
  <c r="KH47" i="18"/>
  <c r="U47" i="10"/>
  <c r="KI47" i="18"/>
  <c r="V47" i="10"/>
  <c r="KJ47" i="18"/>
  <c r="W47" i="10"/>
  <c r="KK47" i="18"/>
  <c r="X47" i="10"/>
  <c r="KL47" i="18"/>
  <c r="Y47" i="10"/>
  <c r="KM47" i="18"/>
  <c r="Z47" i="10"/>
  <c r="KN47" i="18"/>
  <c r="AA47" i="10"/>
  <c r="KO47" i="18"/>
  <c r="AB47" i="10"/>
  <c r="KP47" i="18"/>
  <c r="AC47" i="10"/>
  <c r="KQ47" i="18"/>
  <c r="AD47" i="10"/>
  <c r="KR47" i="18"/>
  <c r="AE47" i="10"/>
  <c r="KS47" i="18"/>
  <c r="AF47" i="10"/>
  <c r="KT47" i="18"/>
  <c r="AG47" i="10"/>
  <c r="KU47" i="18"/>
  <c r="AH47" i="10"/>
  <c r="KV47" i="18"/>
  <c r="AI47" i="10"/>
  <c r="KW47" i="18"/>
  <c r="AJ47" i="10"/>
  <c r="JS47" i="18"/>
  <c r="F47" i="10"/>
  <c r="AK47" i="10"/>
  <c r="KY47" i="18"/>
  <c r="G47" i="11"/>
  <c r="KZ47" i="18"/>
  <c r="H47" i="11"/>
  <c r="LA47" i="18"/>
  <c r="I47" i="11"/>
  <c r="LB47" i="18"/>
  <c r="J47" i="11"/>
  <c r="LC47" i="18"/>
  <c r="K47" i="11"/>
  <c r="LD47" i="18"/>
  <c r="L47" i="11"/>
  <c r="LE47" i="18"/>
  <c r="M47" i="11"/>
  <c r="LF47" i="18"/>
  <c r="N47" i="11"/>
  <c r="LG47" i="18"/>
  <c r="O47" i="11"/>
  <c r="LH47" i="18"/>
  <c r="P47" i="11"/>
  <c r="LI47" i="18"/>
  <c r="Q47" i="11"/>
  <c r="LJ47" i="18"/>
  <c r="R47" i="11"/>
  <c r="LK47" i="18"/>
  <c r="S47" i="11"/>
  <c r="LL47" i="18"/>
  <c r="T47" i="11"/>
  <c r="LM47" i="18"/>
  <c r="U47" i="11"/>
  <c r="LN47" i="18"/>
  <c r="V47" i="11"/>
  <c r="LO47" i="18"/>
  <c r="W47" i="11"/>
  <c r="LP47" i="18"/>
  <c r="X47" i="11"/>
  <c r="LQ47" i="18"/>
  <c r="Y47" i="11"/>
  <c r="LR47" i="18"/>
  <c r="Z47" i="11"/>
  <c r="LS47" i="18"/>
  <c r="AA47" i="11"/>
  <c r="LT47" i="18"/>
  <c r="AB47" i="11"/>
  <c r="LU47" i="18"/>
  <c r="AC47" i="11"/>
  <c r="LV47" i="18"/>
  <c r="AD47" i="11"/>
  <c r="LW47" i="18"/>
  <c r="AE47" i="11"/>
  <c r="LX47" i="18"/>
  <c r="AF47" i="11"/>
  <c r="LY47" i="18"/>
  <c r="AG47" i="11"/>
  <c r="LZ47" i="18"/>
  <c r="AH47" i="11"/>
  <c r="MA47" i="18"/>
  <c r="AI47" i="11"/>
  <c r="KX47" i="18"/>
  <c r="F47" i="11"/>
  <c r="AK47" i="11"/>
  <c r="MC47" i="18"/>
  <c r="G47" i="12"/>
  <c r="MD47" i="18"/>
  <c r="H47" i="12"/>
  <c r="ME47" i="18"/>
  <c r="I47" i="12"/>
  <c r="MF47" i="18"/>
  <c r="J47" i="12"/>
  <c r="MG47" i="18"/>
  <c r="K47" i="12"/>
  <c r="MH47" i="18"/>
  <c r="L47" i="12"/>
  <c r="MI47" i="18"/>
  <c r="M47" i="12"/>
  <c r="MJ47" i="18"/>
  <c r="N47" i="12"/>
  <c r="MK47" i="18"/>
  <c r="O47" i="12"/>
  <c r="ML47" i="18"/>
  <c r="P47" i="12"/>
  <c r="MM47" i="18"/>
  <c r="Q47" i="12"/>
  <c r="MN47" i="18"/>
  <c r="R47" i="12"/>
  <c r="MO47" i="18"/>
  <c r="S47" i="12"/>
  <c r="MP47" i="18"/>
  <c r="T47" i="12"/>
  <c r="MQ47" i="18"/>
  <c r="U47" i="12"/>
  <c r="MR47" i="18"/>
  <c r="V47" i="12"/>
  <c r="MS47" i="18"/>
  <c r="W47" i="12"/>
  <c r="MT47" i="18"/>
  <c r="X47" i="12"/>
  <c r="MU47" i="18"/>
  <c r="Y47" i="12"/>
  <c r="MV47" i="18"/>
  <c r="Z47" i="12"/>
  <c r="MW47" i="18"/>
  <c r="AA47" i="12"/>
  <c r="MX47" i="18"/>
  <c r="AB47" i="12"/>
  <c r="MY47" i="18"/>
  <c r="AC47" i="12"/>
  <c r="MZ47" i="18"/>
  <c r="AD47" i="12"/>
  <c r="NA47" i="18"/>
  <c r="AE47" i="12"/>
  <c r="NB47" i="18"/>
  <c r="AF47" i="12"/>
  <c r="NC47" i="18"/>
  <c r="AG47" i="12"/>
  <c r="ND47" i="18"/>
  <c r="AH47" i="12"/>
  <c r="NE47" i="18"/>
  <c r="AI47" i="12"/>
  <c r="NF47" i="18"/>
  <c r="AJ47" i="12"/>
  <c r="MB47" i="18"/>
  <c r="F47" i="12"/>
  <c r="AK47" i="12"/>
  <c r="P43" i="13"/>
  <c r="G46" i="18"/>
  <c r="H46" i="18"/>
  <c r="I46" i="18"/>
  <c r="J46" i="18"/>
  <c r="K46" i="18"/>
  <c r="L46" i="18"/>
  <c r="M46" i="18"/>
  <c r="N46" i="18"/>
  <c r="O46" i="18"/>
  <c r="P46" i="18"/>
  <c r="Q46" i="18"/>
  <c r="R46" i="18"/>
  <c r="S46" i="18"/>
  <c r="T46" i="18"/>
  <c r="U46" i="18"/>
  <c r="V46" i="18"/>
  <c r="W46" i="18"/>
  <c r="X46" i="18"/>
  <c r="Y46" i="18"/>
  <c r="Z46" i="18"/>
  <c r="AA46" i="18"/>
  <c r="AB46" i="18"/>
  <c r="AC46" i="18"/>
  <c r="AD46" i="18"/>
  <c r="AE46" i="18"/>
  <c r="AF46" i="18"/>
  <c r="AG46" i="18"/>
  <c r="AH46" i="18"/>
  <c r="AI46" i="18"/>
  <c r="AJ46" i="18"/>
  <c r="F46" i="18"/>
  <c r="AL46" i="18"/>
  <c r="G46" i="2"/>
  <c r="AM46" i="18"/>
  <c r="H46" i="2"/>
  <c r="AN46" i="18"/>
  <c r="I46" i="2"/>
  <c r="AO46" i="18"/>
  <c r="J46" i="2"/>
  <c r="AP46" i="18"/>
  <c r="K46" i="2"/>
  <c r="AQ46" i="18"/>
  <c r="L46" i="2"/>
  <c r="AR46" i="18"/>
  <c r="M46" i="2"/>
  <c r="AS46" i="18"/>
  <c r="N46" i="2"/>
  <c r="AT46" i="18"/>
  <c r="O46" i="2"/>
  <c r="AU46" i="18"/>
  <c r="P46" i="2"/>
  <c r="AV46" i="18"/>
  <c r="Q46" i="2"/>
  <c r="AW46" i="18"/>
  <c r="R46" i="2"/>
  <c r="AX46" i="18"/>
  <c r="S46" i="2"/>
  <c r="AY46" i="18"/>
  <c r="T46" i="2"/>
  <c r="AZ46" i="18"/>
  <c r="U46" i="2"/>
  <c r="BA46" i="18"/>
  <c r="V46" i="2"/>
  <c r="BB46" i="18"/>
  <c r="W46" i="2"/>
  <c r="BC46" i="18"/>
  <c r="X46" i="2"/>
  <c r="BD46" i="18"/>
  <c r="Y46" i="2"/>
  <c r="BE46" i="18"/>
  <c r="Z46" i="2"/>
  <c r="BF46" i="18"/>
  <c r="AA46" i="2"/>
  <c r="BG46" i="18"/>
  <c r="AB46" i="2"/>
  <c r="BH46" i="18"/>
  <c r="AC46" i="2"/>
  <c r="BI46" i="18"/>
  <c r="AD46" i="2"/>
  <c r="BJ46" i="18"/>
  <c r="AE46" i="2"/>
  <c r="BK46" i="18"/>
  <c r="AF46" i="2"/>
  <c r="BL46" i="18"/>
  <c r="AG46" i="2"/>
  <c r="AI46" i="2"/>
  <c r="AK46" i="18"/>
  <c r="F46" i="2"/>
  <c r="AJ46" i="2"/>
  <c r="BN46" i="18"/>
  <c r="G46" i="3"/>
  <c r="BO46" i="18"/>
  <c r="H46" i="3"/>
  <c r="BP46" i="18"/>
  <c r="I46" i="3"/>
  <c r="BQ46" i="18"/>
  <c r="J46" i="3"/>
  <c r="BR46" i="18"/>
  <c r="K46" i="3"/>
  <c r="BS46" i="18"/>
  <c r="L46" i="3"/>
  <c r="BT46" i="18"/>
  <c r="M46" i="3"/>
  <c r="BU46" i="18"/>
  <c r="N46" i="3"/>
  <c r="BV46" i="18"/>
  <c r="O46" i="3"/>
  <c r="BW46" i="18"/>
  <c r="P46" i="3"/>
  <c r="BX46" i="18"/>
  <c r="Q46" i="3"/>
  <c r="BY46" i="18"/>
  <c r="R46" i="3"/>
  <c r="BZ46" i="18"/>
  <c r="S46" i="3"/>
  <c r="CA46" i="18"/>
  <c r="T46" i="3"/>
  <c r="CB46" i="18"/>
  <c r="U46" i="3"/>
  <c r="CC46" i="18"/>
  <c r="V46" i="3"/>
  <c r="CD46" i="18"/>
  <c r="W46" i="3"/>
  <c r="CE46" i="18"/>
  <c r="X46" i="3"/>
  <c r="CF46" i="18"/>
  <c r="Y46" i="3"/>
  <c r="CG46" i="18"/>
  <c r="Z46" i="3"/>
  <c r="CH46" i="18"/>
  <c r="AA46" i="3"/>
  <c r="CI46" i="18"/>
  <c r="AB46" i="3"/>
  <c r="CJ46" i="18"/>
  <c r="AC46" i="3"/>
  <c r="CK46" i="18"/>
  <c r="AD46" i="3"/>
  <c r="CL46" i="18"/>
  <c r="AE46" i="3"/>
  <c r="CM46" i="18"/>
  <c r="AF46" i="3"/>
  <c r="CN46" i="18"/>
  <c r="AG46" i="3"/>
  <c r="CO46" i="18"/>
  <c r="AH46" i="3"/>
  <c r="CP46" i="18"/>
  <c r="AI46" i="3"/>
  <c r="CQ46" i="18"/>
  <c r="AJ46" i="3"/>
  <c r="BM46" i="18"/>
  <c r="F46" i="3"/>
  <c r="AK46" i="3"/>
  <c r="CS46" i="18"/>
  <c r="G46" i="4"/>
  <c r="CT46" i="18"/>
  <c r="H46" i="4"/>
  <c r="CU46" i="18"/>
  <c r="I46" i="4"/>
  <c r="CV46" i="18"/>
  <c r="J46" i="4"/>
  <c r="CW46" i="18"/>
  <c r="K46" i="4"/>
  <c r="CX46" i="18"/>
  <c r="L46" i="4"/>
  <c r="CY46" i="18"/>
  <c r="M46" i="4"/>
  <c r="CZ46" i="18"/>
  <c r="N46" i="4"/>
  <c r="DA46" i="18"/>
  <c r="O46" i="4"/>
  <c r="DB46" i="18"/>
  <c r="P46" i="4"/>
  <c r="DC46" i="18"/>
  <c r="Q46" i="4"/>
  <c r="DD46" i="18"/>
  <c r="R46" i="4"/>
  <c r="DE46" i="18"/>
  <c r="S46" i="4"/>
  <c r="DF46" i="18"/>
  <c r="T46" i="4"/>
  <c r="DG46" i="18"/>
  <c r="U46" i="4"/>
  <c r="DH46" i="18"/>
  <c r="V46" i="4"/>
  <c r="DI46" i="18"/>
  <c r="W46" i="4"/>
  <c r="DJ46" i="18"/>
  <c r="X46" i="4"/>
  <c r="DK46" i="18"/>
  <c r="Y46" i="4"/>
  <c r="DL46" i="18"/>
  <c r="Z46" i="4"/>
  <c r="DM46" i="18"/>
  <c r="AA46" i="4"/>
  <c r="DN46" i="18"/>
  <c r="AB46" i="4"/>
  <c r="DO46" i="18"/>
  <c r="AC46" i="4"/>
  <c r="DP46" i="18"/>
  <c r="AD46" i="4"/>
  <c r="DQ46" i="18"/>
  <c r="AE46" i="4"/>
  <c r="DR46" i="18"/>
  <c r="AF46" i="4"/>
  <c r="DS46" i="18"/>
  <c r="AG46" i="4"/>
  <c r="DT46" i="18"/>
  <c r="AH46" i="4"/>
  <c r="DU46" i="18"/>
  <c r="AI46" i="4"/>
  <c r="CR46" i="18"/>
  <c r="F46" i="4"/>
  <c r="AK46" i="4"/>
  <c r="DW46" i="18"/>
  <c r="G46" i="5"/>
  <c r="DX46" i="18"/>
  <c r="H46" i="5"/>
  <c r="DY46" i="18"/>
  <c r="I46" i="5"/>
  <c r="DZ46" i="18"/>
  <c r="J46" i="5"/>
  <c r="EA46" i="18"/>
  <c r="K46" i="5"/>
  <c r="EB46" i="18"/>
  <c r="L46" i="5"/>
  <c r="EC46" i="18"/>
  <c r="M46" i="5"/>
  <c r="ED46" i="18"/>
  <c r="N46" i="5"/>
  <c r="EE46" i="18"/>
  <c r="O46" i="5"/>
  <c r="EF46" i="18"/>
  <c r="P46" i="5"/>
  <c r="EG46" i="18"/>
  <c r="Q46" i="5"/>
  <c r="EH46" i="18"/>
  <c r="R46" i="5"/>
  <c r="EI46" i="18"/>
  <c r="S46" i="5"/>
  <c r="EJ46" i="18"/>
  <c r="T46" i="5"/>
  <c r="EK46" i="18"/>
  <c r="U46" i="5"/>
  <c r="EL46" i="18"/>
  <c r="V46" i="5"/>
  <c r="EM46" i="18"/>
  <c r="W46" i="5"/>
  <c r="EN46" i="18"/>
  <c r="X46" i="5"/>
  <c r="EO46" i="18"/>
  <c r="Y46" i="5"/>
  <c r="EP46" i="18"/>
  <c r="Z46" i="5"/>
  <c r="EQ46" i="18"/>
  <c r="AA46" i="5"/>
  <c r="ER46" i="18"/>
  <c r="AB46" i="5"/>
  <c r="ES46" i="18"/>
  <c r="AC46" i="5"/>
  <c r="ET46" i="18"/>
  <c r="AD46" i="5"/>
  <c r="EU46" i="18"/>
  <c r="AE46" i="5"/>
  <c r="EV46" i="18"/>
  <c r="AF46" i="5"/>
  <c r="EW46" i="18"/>
  <c r="AG46" i="5"/>
  <c r="EX46" i="18"/>
  <c r="AH46" i="5"/>
  <c r="EY46" i="18"/>
  <c r="AI46" i="5"/>
  <c r="EZ46" i="18"/>
  <c r="AJ46" i="5"/>
  <c r="DV46" i="18"/>
  <c r="F46" i="5"/>
  <c r="AK46" i="5"/>
  <c r="FB46" i="18"/>
  <c r="G46" i="6"/>
  <c r="FC46" i="18"/>
  <c r="H46" i="6"/>
  <c r="FD46" i="18"/>
  <c r="I46" i="6"/>
  <c r="FE46" i="18"/>
  <c r="J46" i="6"/>
  <c r="FF46" i="18"/>
  <c r="K46" i="6"/>
  <c r="FG46" i="18"/>
  <c r="L46" i="6"/>
  <c r="FH46" i="18"/>
  <c r="M46" i="6"/>
  <c r="FI46" i="18"/>
  <c r="N46" i="6"/>
  <c r="FJ46" i="18"/>
  <c r="O46" i="6"/>
  <c r="FK46" i="18"/>
  <c r="P46" i="6"/>
  <c r="FL46" i="18"/>
  <c r="Q46" i="6"/>
  <c r="FM46" i="18"/>
  <c r="R46" i="6"/>
  <c r="FN46" i="18"/>
  <c r="S46" i="6"/>
  <c r="FO46" i="18"/>
  <c r="T46" i="6"/>
  <c r="FP46" i="18"/>
  <c r="U46" i="6"/>
  <c r="FQ46" i="18"/>
  <c r="V46" i="6"/>
  <c r="FR46" i="18"/>
  <c r="W46" i="6"/>
  <c r="FS46" i="18"/>
  <c r="X46" i="6"/>
  <c r="FT46" i="18"/>
  <c r="Y46" i="6"/>
  <c r="FU46" i="18"/>
  <c r="Z46" i="6"/>
  <c r="FV46" i="18"/>
  <c r="AA46" i="6"/>
  <c r="FW46" i="18"/>
  <c r="AB46" i="6"/>
  <c r="FX46" i="18"/>
  <c r="AC46" i="6"/>
  <c r="FY46" i="18"/>
  <c r="AD46" i="6"/>
  <c r="FZ46" i="18"/>
  <c r="AE46" i="6"/>
  <c r="GA46" i="18"/>
  <c r="AF46" i="6"/>
  <c r="GB46" i="18"/>
  <c r="AG46" i="6"/>
  <c r="GC46" i="18"/>
  <c r="AH46" i="6"/>
  <c r="GD46" i="18"/>
  <c r="AI46" i="6"/>
  <c r="FA46" i="18"/>
  <c r="F46" i="6"/>
  <c r="AK46" i="6"/>
  <c r="GF46" i="18"/>
  <c r="G46" i="7"/>
  <c r="GG46" i="18"/>
  <c r="H46" i="7"/>
  <c r="GH46" i="18"/>
  <c r="I46" i="7"/>
  <c r="GI46" i="18"/>
  <c r="J46" i="7"/>
  <c r="GJ46" i="18"/>
  <c r="K46" i="7"/>
  <c r="GK46" i="18"/>
  <c r="L46" i="7"/>
  <c r="GL46" i="18"/>
  <c r="M46" i="7"/>
  <c r="GM46" i="18"/>
  <c r="N46" i="7"/>
  <c r="GN46" i="18"/>
  <c r="O46" i="7"/>
  <c r="GO46" i="18"/>
  <c r="P46" i="7"/>
  <c r="GP46" i="18"/>
  <c r="Q46" i="7"/>
  <c r="GQ46" i="18"/>
  <c r="R46" i="7"/>
  <c r="GR46" i="18"/>
  <c r="S46" i="7"/>
  <c r="GS46" i="18"/>
  <c r="T46" i="7"/>
  <c r="GT46" i="18"/>
  <c r="U46" i="7"/>
  <c r="GU46" i="18"/>
  <c r="V46" i="7"/>
  <c r="GV46" i="18"/>
  <c r="W46" i="7"/>
  <c r="GW46" i="18"/>
  <c r="X46" i="7"/>
  <c r="GX46" i="18"/>
  <c r="Y46" i="7"/>
  <c r="GY46" i="18"/>
  <c r="Z46" i="7"/>
  <c r="GZ46" i="18"/>
  <c r="AA46" i="7"/>
  <c r="HA46" i="18"/>
  <c r="AB46" i="7"/>
  <c r="HB46" i="18"/>
  <c r="AC46" i="7"/>
  <c r="HC46" i="18"/>
  <c r="AD46" i="7"/>
  <c r="HD46" i="18"/>
  <c r="AE46" i="7"/>
  <c r="HE46" i="18"/>
  <c r="AF46" i="7"/>
  <c r="HF46" i="18"/>
  <c r="AG46" i="7"/>
  <c r="HG46" i="18"/>
  <c r="AH46" i="7"/>
  <c r="HH46" i="18"/>
  <c r="AI46" i="7"/>
  <c r="HI46" i="18"/>
  <c r="AJ46" i="7"/>
  <c r="GE46" i="18"/>
  <c r="F46" i="7"/>
  <c r="AK46" i="7"/>
  <c r="HK46" i="18"/>
  <c r="G46" i="8"/>
  <c r="HL46" i="18"/>
  <c r="H46" i="8"/>
  <c r="HM46" i="18"/>
  <c r="I46" i="8"/>
  <c r="HN46" i="18"/>
  <c r="J46" i="8"/>
  <c r="HO46" i="18"/>
  <c r="K46" i="8"/>
  <c r="HP46" i="18"/>
  <c r="L46" i="8"/>
  <c r="HQ46" i="18"/>
  <c r="M46" i="8"/>
  <c r="HR46" i="18"/>
  <c r="N46" i="8"/>
  <c r="HS46" i="18"/>
  <c r="O46" i="8"/>
  <c r="HT46" i="18"/>
  <c r="P46" i="8"/>
  <c r="HU46" i="18"/>
  <c r="Q46" i="8"/>
  <c r="HV46" i="18"/>
  <c r="R46" i="8"/>
  <c r="HW46" i="18"/>
  <c r="S46" i="8"/>
  <c r="HX46" i="18"/>
  <c r="T46" i="8"/>
  <c r="HY46" i="18"/>
  <c r="U46" i="8"/>
  <c r="HZ46" i="18"/>
  <c r="V46" i="8"/>
  <c r="IA46" i="18"/>
  <c r="W46" i="8"/>
  <c r="IB46" i="18"/>
  <c r="X46" i="8"/>
  <c r="IC46" i="18"/>
  <c r="Y46" i="8"/>
  <c r="ID46" i="18"/>
  <c r="Z46" i="8"/>
  <c r="IE46" i="18"/>
  <c r="AA46" i="8"/>
  <c r="IF46" i="18"/>
  <c r="AB46" i="8"/>
  <c r="IG46" i="18"/>
  <c r="AC46" i="8"/>
  <c r="IH46" i="18"/>
  <c r="AD46" i="8"/>
  <c r="II46" i="18"/>
  <c r="AE46" i="8"/>
  <c r="IJ46" i="18"/>
  <c r="AF46" i="8"/>
  <c r="IK46" i="18"/>
  <c r="AG46" i="8"/>
  <c r="IL46" i="18"/>
  <c r="AH46" i="8"/>
  <c r="IM46" i="18"/>
  <c r="AI46" i="8"/>
  <c r="IN46" i="18"/>
  <c r="AJ46" i="8"/>
  <c r="HJ46" i="18"/>
  <c r="F46" i="8"/>
  <c r="AK46" i="8"/>
  <c r="IP46" i="18"/>
  <c r="G46" i="9"/>
  <c r="IQ46" i="18"/>
  <c r="H46" i="9"/>
  <c r="IR46" i="18"/>
  <c r="I46" i="9"/>
  <c r="IS46" i="18"/>
  <c r="J46" i="9"/>
  <c r="IT46" i="18"/>
  <c r="K46" i="9"/>
  <c r="IU46" i="18"/>
  <c r="L46" i="9"/>
  <c r="IV46" i="18"/>
  <c r="M46" i="9"/>
  <c r="IW46" i="18"/>
  <c r="N46" i="9"/>
  <c r="IX46" i="18"/>
  <c r="O46" i="9"/>
  <c r="IY46" i="18"/>
  <c r="P46" i="9"/>
  <c r="IZ46" i="18"/>
  <c r="Q46" i="9"/>
  <c r="JA46" i="18"/>
  <c r="R46" i="9"/>
  <c r="JB46" i="18"/>
  <c r="S46" i="9"/>
  <c r="JC46" i="18"/>
  <c r="T46" i="9"/>
  <c r="JD46" i="18"/>
  <c r="U46" i="9"/>
  <c r="JE46" i="18"/>
  <c r="V46" i="9"/>
  <c r="JF46" i="18"/>
  <c r="W46" i="9"/>
  <c r="JG46" i="18"/>
  <c r="X46" i="9"/>
  <c r="JH46" i="18"/>
  <c r="Y46" i="9"/>
  <c r="JI46" i="18"/>
  <c r="Z46" i="9"/>
  <c r="JJ46" i="18"/>
  <c r="AA46" i="9"/>
  <c r="JK46" i="18"/>
  <c r="AB46" i="9"/>
  <c r="JL46" i="18"/>
  <c r="AC46" i="9"/>
  <c r="JM46" i="18"/>
  <c r="AD46" i="9"/>
  <c r="JN46" i="18"/>
  <c r="AE46" i="9"/>
  <c r="JO46" i="18"/>
  <c r="AF46" i="9"/>
  <c r="JP46" i="18"/>
  <c r="AG46" i="9"/>
  <c r="JQ46" i="18"/>
  <c r="AH46" i="9"/>
  <c r="JR46" i="18"/>
  <c r="AI46" i="9"/>
  <c r="IO46" i="18"/>
  <c r="F46" i="9"/>
  <c r="AK46" i="9"/>
  <c r="JT46" i="18"/>
  <c r="G46" i="10"/>
  <c r="JU46" i="18"/>
  <c r="H46" i="10"/>
  <c r="JV46" i="18"/>
  <c r="I46" i="10"/>
  <c r="JW46" i="18"/>
  <c r="J46" i="10"/>
  <c r="JX46" i="18"/>
  <c r="K46" i="10"/>
  <c r="JY46" i="18"/>
  <c r="L46" i="10"/>
  <c r="JZ46" i="18"/>
  <c r="M46" i="10"/>
  <c r="KA46" i="18"/>
  <c r="N46" i="10"/>
  <c r="KB46" i="18"/>
  <c r="O46" i="10"/>
  <c r="KC46" i="18"/>
  <c r="P46" i="10"/>
  <c r="KD46" i="18"/>
  <c r="Q46" i="10"/>
  <c r="KE46" i="18"/>
  <c r="R46" i="10"/>
  <c r="KF46" i="18"/>
  <c r="S46" i="10"/>
  <c r="KG46" i="18"/>
  <c r="T46" i="10"/>
  <c r="KH46" i="18"/>
  <c r="U46" i="10"/>
  <c r="KI46" i="18"/>
  <c r="V46" i="10"/>
  <c r="KJ46" i="18"/>
  <c r="W46" i="10"/>
  <c r="KK46" i="18"/>
  <c r="X46" i="10"/>
  <c r="KL46" i="18"/>
  <c r="Y46" i="10"/>
  <c r="KM46" i="18"/>
  <c r="Z46" i="10"/>
  <c r="KN46" i="18"/>
  <c r="AA46" i="10"/>
  <c r="KO46" i="18"/>
  <c r="AB46" i="10"/>
  <c r="KP46" i="18"/>
  <c r="AC46" i="10"/>
  <c r="KQ46" i="18"/>
  <c r="AD46" i="10"/>
  <c r="KR46" i="18"/>
  <c r="AE46" i="10"/>
  <c r="KS46" i="18"/>
  <c r="AF46" i="10"/>
  <c r="KT46" i="18"/>
  <c r="AG46" i="10"/>
  <c r="KU46" i="18"/>
  <c r="AH46" i="10"/>
  <c r="KV46" i="18"/>
  <c r="AI46" i="10"/>
  <c r="KW46" i="18"/>
  <c r="AJ46" i="10"/>
  <c r="JS46" i="18"/>
  <c r="F46" i="10"/>
  <c r="AK46" i="10"/>
  <c r="KY46" i="18"/>
  <c r="G46" i="11"/>
  <c r="KZ46" i="18"/>
  <c r="H46" i="11"/>
  <c r="LA46" i="18"/>
  <c r="I46" i="11"/>
  <c r="LB46" i="18"/>
  <c r="J46" i="11"/>
  <c r="LC46" i="18"/>
  <c r="K46" i="11"/>
  <c r="LD46" i="18"/>
  <c r="L46" i="11"/>
  <c r="LE46" i="18"/>
  <c r="M46" i="11"/>
  <c r="LF46" i="18"/>
  <c r="N46" i="11"/>
  <c r="LG46" i="18"/>
  <c r="O46" i="11"/>
  <c r="LH46" i="18"/>
  <c r="P46" i="11"/>
  <c r="LI46" i="18"/>
  <c r="Q46" i="11"/>
  <c r="LJ46" i="18"/>
  <c r="R46" i="11"/>
  <c r="LK46" i="18"/>
  <c r="S46" i="11"/>
  <c r="LL46" i="18"/>
  <c r="T46" i="11"/>
  <c r="LM46" i="18"/>
  <c r="U46" i="11"/>
  <c r="LN46" i="18"/>
  <c r="V46" i="11"/>
  <c r="LO46" i="18"/>
  <c r="W46" i="11"/>
  <c r="LP46" i="18"/>
  <c r="X46" i="11"/>
  <c r="LQ46" i="18"/>
  <c r="Y46" i="11"/>
  <c r="LR46" i="18"/>
  <c r="Z46" i="11"/>
  <c r="LS46" i="18"/>
  <c r="AA46" i="11"/>
  <c r="LT46" i="18"/>
  <c r="AB46" i="11"/>
  <c r="LU46" i="18"/>
  <c r="AC46" i="11"/>
  <c r="LV46" i="18"/>
  <c r="AD46" i="11"/>
  <c r="LW46" i="18"/>
  <c r="AE46" i="11"/>
  <c r="LX46" i="18"/>
  <c r="AF46" i="11"/>
  <c r="LY46" i="18"/>
  <c r="AG46" i="11"/>
  <c r="LZ46" i="18"/>
  <c r="AH46" i="11"/>
  <c r="MA46" i="18"/>
  <c r="AI46" i="11"/>
  <c r="KX46" i="18"/>
  <c r="F46" i="11"/>
  <c r="AK46" i="11"/>
  <c r="MC46" i="18"/>
  <c r="G46" i="12"/>
  <c r="MD46" i="18"/>
  <c r="H46" i="12"/>
  <c r="ME46" i="18"/>
  <c r="I46" i="12"/>
  <c r="MF46" i="18"/>
  <c r="J46" i="12"/>
  <c r="MG46" i="18"/>
  <c r="K46" i="12"/>
  <c r="MH46" i="18"/>
  <c r="L46" i="12"/>
  <c r="MI46" i="18"/>
  <c r="M46" i="12"/>
  <c r="MJ46" i="18"/>
  <c r="N46" i="12"/>
  <c r="MK46" i="18"/>
  <c r="O46" i="12"/>
  <c r="ML46" i="18"/>
  <c r="P46" i="12"/>
  <c r="MM46" i="18"/>
  <c r="Q46" i="12"/>
  <c r="MN46" i="18"/>
  <c r="R46" i="12"/>
  <c r="MO46" i="18"/>
  <c r="S46" i="12"/>
  <c r="MP46" i="18"/>
  <c r="T46" i="12"/>
  <c r="MQ46" i="18"/>
  <c r="U46" i="12"/>
  <c r="MR46" i="18"/>
  <c r="V46" i="12"/>
  <c r="MS46" i="18"/>
  <c r="W46" i="12"/>
  <c r="MT46" i="18"/>
  <c r="X46" i="12"/>
  <c r="MU46" i="18"/>
  <c r="Y46" i="12"/>
  <c r="MV46" i="18"/>
  <c r="Z46" i="12"/>
  <c r="MW46" i="18"/>
  <c r="AA46" i="12"/>
  <c r="MX46" i="18"/>
  <c r="AB46" i="12"/>
  <c r="MY46" i="18"/>
  <c r="AC46" i="12"/>
  <c r="MZ46" i="18"/>
  <c r="AD46" i="12"/>
  <c r="NA46" i="18"/>
  <c r="AE46" i="12"/>
  <c r="NB46" i="18"/>
  <c r="AF46" i="12"/>
  <c r="NC46" i="18"/>
  <c r="AG46" i="12"/>
  <c r="ND46" i="18"/>
  <c r="AH46" i="12"/>
  <c r="NE46" i="18"/>
  <c r="AI46" i="12"/>
  <c r="NF46" i="18"/>
  <c r="AJ46" i="12"/>
  <c r="MB46" i="18"/>
  <c r="F46" i="12"/>
  <c r="AK46" i="12"/>
  <c r="P42" i="13"/>
  <c r="G45" i="18"/>
  <c r="H45" i="18"/>
  <c r="I45" i="18"/>
  <c r="J45" i="18"/>
  <c r="K45" i="18"/>
  <c r="L45" i="18"/>
  <c r="M45" i="18"/>
  <c r="N45" i="18"/>
  <c r="O45" i="18"/>
  <c r="P45" i="18"/>
  <c r="Q45" i="18"/>
  <c r="R45" i="18"/>
  <c r="S45" i="18"/>
  <c r="T45" i="18"/>
  <c r="U45" i="18"/>
  <c r="V45" i="18"/>
  <c r="W45" i="18"/>
  <c r="X45" i="18"/>
  <c r="Y45" i="18"/>
  <c r="Z45" i="18"/>
  <c r="AA45" i="18"/>
  <c r="AB45" i="18"/>
  <c r="AC45" i="18"/>
  <c r="AD45" i="18"/>
  <c r="AE45" i="18"/>
  <c r="AF45" i="18"/>
  <c r="AG45" i="18"/>
  <c r="AH45" i="18"/>
  <c r="AI45" i="18"/>
  <c r="AJ45" i="18"/>
  <c r="F45" i="18"/>
  <c r="AL45" i="18"/>
  <c r="G45" i="2"/>
  <c r="AM45" i="18"/>
  <c r="H45" i="2"/>
  <c r="AN45" i="18"/>
  <c r="I45" i="2"/>
  <c r="AO45" i="18"/>
  <c r="J45" i="2"/>
  <c r="AP45" i="18"/>
  <c r="K45" i="2"/>
  <c r="AQ45" i="18"/>
  <c r="L45" i="2"/>
  <c r="AR45" i="18"/>
  <c r="M45" i="2"/>
  <c r="AS45" i="18"/>
  <c r="N45" i="2"/>
  <c r="AT45" i="18"/>
  <c r="O45" i="2"/>
  <c r="AU45" i="18"/>
  <c r="P45" i="2"/>
  <c r="AV45" i="18"/>
  <c r="Q45" i="2"/>
  <c r="AW45" i="18"/>
  <c r="R45" i="2"/>
  <c r="AX45" i="18"/>
  <c r="S45" i="2"/>
  <c r="AY45" i="18"/>
  <c r="T45" i="2"/>
  <c r="AZ45" i="18"/>
  <c r="U45" i="2"/>
  <c r="BA45" i="18"/>
  <c r="V45" i="2"/>
  <c r="BB45" i="18"/>
  <c r="W45" i="2"/>
  <c r="BC45" i="18"/>
  <c r="X45" i="2"/>
  <c r="BD45" i="18"/>
  <c r="Y45" i="2"/>
  <c r="BE45" i="18"/>
  <c r="Z45" i="2"/>
  <c r="BF45" i="18"/>
  <c r="AA45" i="2"/>
  <c r="BG45" i="18"/>
  <c r="AB45" i="2"/>
  <c r="BH45" i="18"/>
  <c r="AC45" i="2"/>
  <c r="BI45" i="18"/>
  <c r="AD45" i="2"/>
  <c r="BJ45" i="18"/>
  <c r="AE45" i="2"/>
  <c r="BK45" i="18"/>
  <c r="AF45" i="2"/>
  <c r="BL45" i="18"/>
  <c r="AG45" i="2"/>
  <c r="AI45" i="2"/>
  <c r="AK45" i="18"/>
  <c r="F45" i="2"/>
  <c r="AJ45" i="2"/>
  <c r="BN45" i="18"/>
  <c r="G45" i="3"/>
  <c r="BO45" i="18"/>
  <c r="H45" i="3"/>
  <c r="BP45" i="18"/>
  <c r="I45" i="3"/>
  <c r="BQ45" i="18"/>
  <c r="J45" i="3"/>
  <c r="BR45" i="18"/>
  <c r="K45" i="3"/>
  <c r="BS45" i="18"/>
  <c r="L45" i="3"/>
  <c r="BT45" i="18"/>
  <c r="M45" i="3"/>
  <c r="BU45" i="18"/>
  <c r="N45" i="3"/>
  <c r="BV45" i="18"/>
  <c r="O45" i="3"/>
  <c r="BW45" i="18"/>
  <c r="P45" i="3"/>
  <c r="BX45" i="18"/>
  <c r="Q45" i="3"/>
  <c r="BY45" i="18"/>
  <c r="R45" i="3"/>
  <c r="BZ45" i="18"/>
  <c r="S45" i="3"/>
  <c r="CA45" i="18"/>
  <c r="T45" i="3"/>
  <c r="CB45" i="18"/>
  <c r="U45" i="3"/>
  <c r="CC45" i="18"/>
  <c r="V45" i="3"/>
  <c r="CD45" i="18"/>
  <c r="W45" i="3"/>
  <c r="CE45" i="18"/>
  <c r="X45" i="3"/>
  <c r="CF45" i="18"/>
  <c r="Y45" i="3"/>
  <c r="CG45" i="18"/>
  <c r="Z45" i="3"/>
  <c r="CH45" i="18"/>
  <c r="AA45" i="3"/>
  <c r="CI45" i="18"/>
  <c r="AB45" i="3"/>
  <c r="CJ45" i="18"/>
  <c r="AC45" i="3"/>
  <c r="CK45" i="18"/>
  <c r="AD45" i="3"/>
  <c r="CL45" i="18"/>
  <c r="AE45" i="3"/>
  <c r="CM45" i="18"/>
  <c r="AF45" i="3"/>
  <c r="CN45" i="18"/>
  <c r="AG45" i="3"/>
  <c r="CO45" i="18"/>
  <c r="AH45" i="3"/>
  <c r="CP45" i="18"/>
  <c r="AI45" i="3"/>
  <c r="CQ45" i="18"/>
  <c r="AJ45" i="3"/>
  <c r="BM45" i="18"/>
  <c r="F45" i="3"/>
  <c r="AK45" i="3"/>
  <c r="CS45" i="18"/>
  <c r="G45" i="4"/>
  <c r="CT45" i="18"/>
  <c r="H45" i="4"/>
  <c r="CU45" i="18"/>
  <c r="I45" i="4"/>
  <c r="CV45" i="18"/>
  <c r="J45" i="4"/>
  <c r="CW45" i="18"/>
  <c r="K45" i="4"/>
  <c r="CX45" i="18"/>
  <c r="L45" i="4"/>
  <c r="CY45" i="18"/>
  <c r="M45" i="4"/>
  <c r="CZ45" i="18"/>
  <c r="N45" i="4"/>
  <c r="DA45" i="18"/>
  <c r="O45" i="4"/>
  <c r="DB45" i="18"/>
  <c r="P45" i="4"/>
  <c r="DC45" i="18"/>
  <c r="Q45" i="4"/>
  <c r="DD45" i="18"/>
  <c r="R45" i="4"/>
  <c r="DE45" i="18"/>
  <c r="S45" i="4"/>
  <c r="DF45" i="18"/>
  <c r="T45" i="4"/>
  <c r="DG45" i="18"/>
  <c r="U45" i="4"/>
  <c r="DH45" i="18"/>
  <c r="V45" i="4"/>
  <c r="DI45" i="18"/>
  <c r="W45" i="4"/>
  <c r="DJ45" i="18"/>
  <c r="X45" i="4"/>
  <c r="DK45" i="18"/>
  <c r="Y45" i="4"/>
  <c r="DL45" i="18"/>
  <c r="Z45" i="4"/>
  <c r="DM45" i="18"/>
  <c r="AA45" i="4"/>
  <c r="DN45" i="18"/>
  <c r="AB45" i="4"/>
  <c r="DO45" i="18"/>
  <c r="AC45" i="4"/>
  <c r="DP45" i="18"/>
  <c r="AD45" i="4"/>
  <c r="DQ45" i="18"/>
  <c r="AE45" i="4"/>
  <c r="DR45" i="18"/>
  <c r="AF45" i="4"/>
  <c r="DS45" i="18"/>
  <c r="AG45" i="4"/>
  <c r="DT45" i="18"/>
  <c r="AH45" i="4"/>
  <c r="DU45" i="18"/>
  <c r="AI45" i="4"/>
  <c r="CR45" i="18"/>
  <c r="F45" i="4"/>
  <c r="AK45" i="4"/>
  <c r="DW45" i="18"/>
  <c r="G45" i="5"/>
  <c r="DX45" i="18"/>
  <c r="H45" i="5"/>
  <c r="DY45" i="18"/>
  <c r="I45" i="5"/>
  <c r="DZ45" i="18"/>
  <c r="J45" i="5"/>
  <c r="EA45" i="18"/>
  <c r="K45" i="5"/>
  <c r="EB45" i="18"/>
  <c r="L45" i="5"/>
  <c r="EC45" i="18"/>
  <c r="M45" i="5"/>
  <c r="ED45" i="18"/>
  <c r="N45" i="5"/>
  <c r="EE45" i="18"/>
  <c r="O45" i="5"/>
  <c r="EF45" i="18"/>
  <c r="P45" i="5"/>
  <c r="EG45" i="18"/>
  <c r="Q45" i="5"/>
  <c r="EH45" i="18"/>
  <c r="R45" i="5"/>
  <c r="EI45" i="18"/>
  <c r="S45" i="5"/>
  <c r="EJ45" i="18"/>
  <c r="T45" i="5"/>
  <c r="EK45" i="18"/>
  <c r="U45" i="5"/>
  <c r="EL45" i="18"/>
  <c r="V45" i="5"/>
  <c r="EM45" i="18"/>
  <c r="W45" i="5"/>
  <c r="EN45" i="18"/>
  <c r="X45" i="5"/>
  <c r="EO45" i="18"/>
  <c r="Y45" i="5"/>
  <c r="EP45" i="18"/>
  <c r="Z45" i="5"/>
  <c r="EQ45" i="18"/>
  <c r="AA45" i="5"/>
  <c r="ER45" i="18"/>
  <c r="AB45" i="5"/>
  <c r="ES45" i="18"/>
  <c r="AC45" i="5"/>
  <c r="ET45" i="18"/>
  <c r="AD45" i="5"/>
  <c r="EU45" i="18"/>
  <c r="AE45" i="5"/>
  <c r="EV45" i="18"/>
  <c r="AF45" i="5"/>
  <c r="EW45" i="18"/>
  <c r="AG45" i="5"/>
  <c r="EX45" i="18"/>
  <c r="AH45" i="5"/>
  <c r="EY45" i="18"/>
  <c r="AI45" i="5"/>
  <c r="EZ45" i="18"/>
  <c r="AJ45" i="5"/>
  <c r="DV45" i="18"/>
  <c r="F45" i="5"/>
  <c r="AK45" i="5"/>
  <c r="FB45" i="18"/>
  <c r="G45" i="6"/>
  <c r="FC45" i="18"/>
  <c r="H45" i="6"/>
  <c r="FD45" i="18"/>
  <c r="I45" i="6"/>
  <c r="FE45" i="18"/>
  <c r="J45" i="6"/>
  <c r="FF45" i="18"/>
  <c r="K45" i="6"/>
  <c r="FG45" i="18"/>
  <c r="L45" i="6"/>
  <c r="FH45" i="18"/>
  <c r="M45" i="6"/>
  <c r="FI45" i="18"/>
  <c r="N45" i="6"/>
  <c r="FJ45" i="18"/>
  <c r="O45" i="6"/>
  <c r="FK45" i="18"/>
  <c r="P45" i="6"/>
  <c r="FL45" i="18"/>
  <c r="Q45" i="6"/>
  <c r="FM45" i="18"/>
  <c r="R45" i="6"/>
  <c r="FN45" i="18"/>
  <c r="S45" i="6"/>
  <c r="FO45" i="18"/>
  <c r="T45" i="6"/>
  <c r="FP45" i="18"/>
  <c r="U45" i="6"/>
  <c r="FQ45" i="18"/>
  <c r="V45" i="6"/>
  <c r="FR45" i="18"/>
  <c r="W45" i="6"/>
  <c r="FS45" i="18"/>
  <c r="X45" i="6"/>
  <c r="FT45" i="18"/>
  <c r="Y45" i="6"/>
  <c r="FU45" i="18"/>
  <c r="Z45" i="6"/>
  <c r="FV45" i="18"/>
  <c r="AA45" i="6"/>
  <c r="FW45" i="18"/>
  <c r="AB45" i="6"/>
  <c r="FX45" i="18"/>
  <c r="AC45" i="6"/>
  <c r="FY45" i="18"/>
  <c r="AD45" i="6"/>
  <c r="FZ45" i="18"/>
  <c r="AE45" i="6"/>
  <c r="GA45" i="18"/>
  <c r="AF45" i="6"/>
  <c r="GB45" i="18"/>
  <c r="AG45" i="6"/>
  <c r="GC45" i="18"/>
  <c r="AH45" i="6"/>
  <c r="GD45" i="18"/>
  <c r="AI45" i="6"/>
  <c r="FA45" i="18"/>
  <c r="F45" i="6"/>
  <c r="AK45" i="6"/>
  <c r="GF45" i="18"/>
  <c r="G45" i="7"/>
  <c r="GG45" i="18"/>
  <c r="H45" i="7"/>
  <c r="GH45" i="18"/>
  <c r="I45" i="7"/>
  <c r="GI45" i="18"/>
  <c r="J45" i="7"/>
  <c r="GJ45" i="18"/>
  <c r="K45" i="7"/>
  <c r="GK45" i="18"/>
  <c r="L45" i="7"/>
  <c r="GL45" i="18"/>
  <c r="M45" i="7"/>
  <c r="GM45" i="18"/>
  <c r="N45" i="7"/>
  <c r="GN45" i="18"/>
  <c r="O45" i="7"/>
  <c r="GO45" i="18"/>
  <c r="P45" i="7"/>
  <c r="GP45" i="18"/>
  <c r="Q45" i="7"/>
  <c r="GQ45" i="18"/>
  <c r="R45" i="7"/>
  <c r="GR45" i="18"/>
  <c r="S45" i="7"/>
  <c r="GS45" i="18"/>
  <c r="T45" i="7"/>
  <c r="GT45" i="18"/>
  <c r="U45" i="7"/>
  <c r="GU45" i="18"/>
  <c r="V45" i="7"/>
  <c r="GV45" i="18"/>
  <c r="W45" i="7"/>
  <c r="GW45" i="18"/>
  <c r="X45" i="7"/>
  <c r="GX45" i="18"/>
  <c r="Y45" i="7"/>
  <c r="GY45" i="18"/>
  <c r="Z45" i="7"/>
  <c r="GZ45" i="18"/>
  <c r="AA45" i="7"/>
  <c r="HA45" i="18"/>
  <c r="AB45" i="7"/>
  <c r="HB45" i="18"/>
  <c r="AC45" i="7"/>
  <c r="HC45" i="18"/>
  <c r="AD45" i="7"/>
  <c r="HD45" i="18"/>
  <c r="AE45" i="7"/>
  <c r="HE45" i="18"/>
  <c r="AF45" i="7"/>
  <c r="HF45" i="18"/>
  <c r="AG45" i="7"/>
  <c r="HG45" i="18"/>
  <c r="AH45" i="7"/>
  <c r="HH45" i="18"/>
  <c r="AI45" i="7"/>
  <c r="HI45" i="18"/>
  <c r="AJ45" i="7"/>
  <c r="GE45" i="18"/>
  <c r="F45" i="7"/>
  <c r="AK45" i="7"/>
  <c r="HK45" i="18"/>
  <c r="G45" i="8"/>
  <c r="HL45" i="18"/>
  <c r="H45" i="8"/>
  <c r="HM45" i="18"/>
  <c r="I45" i="8"/>
  <c r="HN45" i="18"/>
  <c r="J45" i="8"/>
  <c r="HO45" i="18"/>
  <c r="K45" i="8"/>
  <c r="HP45" i="18"/>
  <c r="L45" i="8"/>
  <c r="HQ45" i="18"/>
  <c r="M45" i="8"/>
  <c r="HR45" i="18"/>
  <c r="N45" i="8"/>
  <c r="HS45" i="18"/>
  <c r="O45" i="8"/>
  <c r="HT45" i="18"/>
  <c r="P45" i="8"/>
  <c r="HU45" i="18"/>
  <c r="Q45" i="8"/>
  <c r="HV45" i="18"/>
  <c r="R45" i="8"/>
  <c r="HW45" i="18"/>
  <c r="S45" i="8"/>
  <c r="HX45" i="18"/>
  <c r="T45" i="8"/>
  <c r="HY45" i="18"/>
  <c r="U45" i="8"/>
  <c r="HZ45" i="18"/>
  <c r="V45" i="8"/>
  <c r="IA45" i="18"/>
  <c r="W45" i="8"/>
  <c r="IB45" i="18"/>
  <c r="X45" i="8"/>
  <c r="IC45" i="18"/>
  <c r="Y45" i="8"/>
  <c r="ID45" i="18"/>
  <c r="Z45" i="8"/>
  <c r="IE45" i="18"/>
  <c r="AA45" i="8"/>
  <c r="IF45" i="18"/>
  <c r="AB45" i="8"/>
  <c r="IG45" i="18"/>
  <c r="AC45" i="8"/>
  <c r="IH45" i="18"/>
  <c r="AD45" i="8"/>
  <c r="II45" i="18"/>
  <c r="AE45" i="8"/>
  <c r="IJ45" i="18"/>
  <c r="AF45" i="8"/>
  <c r="IK45" i="18"/>
  <c r="AG45" i="8"/>
  <c r="IL45" i="18"/>
  <c r="AH45" i="8"/>
  <c r="IM45" i="18"/>
  <c r="AI45" i="8"/>
  <c r="IN45" i="18"/>
  <c r="AJ45" i="8"/>
  <c r="HJ45" i="18"/>
  <c r="F45" i="8"/>
  <c r="AK45" i="8"/>
  <c r="IP45" i="18"/>
  <c r="G45" i="9"/>
  <c r="IQ45" i="18"/>
  <c r="H45" i="9"/>
  <c r="IR45" i="18"/>
  <c r="I45" i="9"/>
  <c r="IS45" i="18"/>
  <c r="J45" i="9"/>
  <c r="IT45" i="18"/>
  <c r="K45" i="9"/>
  <c r="IU45" i="18"/>
  <c r="L45" i="9"/>
  <c r="IV45" i="18"/>
  <c r="M45" i="9"/>
  <c r="IW45" i="18"/>
  <c r="N45" i="9"/>
  <c r="IX45" i="18"/>
  <c r="O45" i="9"/>
  <c r="IY45" i="18"/>
  <c r="P45" i="9"/>
  <c r="IZ45" i="18"/>
  <c r="Q45" i="9"/>
  <c r="JA45" i="18"/>
  <c r="R45" i="9"/>
  <c r="JB45" i="18"/>
  <c r="S45" i="9"/>
  <c r="JC45" i="18"/>
  <c r="T45" i="9"/>
  <c r="JD45" i="18"/>
  <c r="U45" i="9"/>
  <c r="JE45" i="18"/>
  <c r="V45" i="9"/>
  <c r="JF45" i="18"/>
  <c r="W45" i="9"/>
  <c r="JG45" i="18"/>
  <c r="X45" i="9"/>
  <c r="JH45" i="18"/>
  <c r="Y45" i="9"/>
  <c r="JI45" i="18"/>
  <c r="Z45" i="9"/>
  <c r="JJ45" i="18"/>
  <c r="AA45" i="9"/>
  <c r="JK45" i="18"/>
  <c r="AB45" i="9"/>
  <c r="JL45" i="18"/>
  <c r="AC45" i="9"/>
  <c r="JM45" i="18"/>
  <c r="AD45" i="9"/>
  <c r="JN45" i="18"/>
  <c r="AE45" i="9"/>
  <c r="JO45" i="18"/>
  <c r="AF45" i="9"/>
  <c r="JP45" i="18"/>
  <c r="AG45" i="9"/>
  <c r="JQ45" i="18"/>
  <c r="AH45" i="9"/>
  <c r="JR45" i="18"/>
  <c r="AI45" i="9"/>
  <c r="IO45" i="18"/>
  <c r="F45" i="9"/>
  <c r="AK45" i="9"/>
  <c r="JT45" i="18"/>
  <c r="G45" i="10"/>
  <c r="JU45" i="18"/>
  <c r="H45" i="10"/>
  <c r="JV45" i="18"/>
  <c r="I45" i="10"/>
  <c r="JW45" i="18"/>
  <c r="J45" i="10"/>
  <c r="JX45" i="18"/>
  <c r="K45" i="10"/>
  <c r="JY45" i="18"/>
  <c r="L45" i="10"/>
  <c r="JZ45" i="18"/>
  <c r="M45" i="10"/>
  <c r="KA45" i="18"/>
  <c r="N45" i="10"/>
  <c r="KB45" i="18"/>
  <c r="O45" i="10"/>
  <c r="KC45" i="18"/>
  <c r="P45" i="10"/>
  <c r="KD45" i="18"/>
  <c r="Q45" i="10"/>
  <c r="KE45" i="18"/>
  <c r="R45" i="10"/>
  <c r="KF45" i="18"/>
  <c r="S45" i="10"/>
  <c r="KG45" i="18"/>
  <c r="T45" i="10"/>
  <c r="KH45" i="18"/>
  <c r="U45" i="10"/>
  <c r="KI45" i="18"/>
  <c r="V45" i="10"/>
  <c r="KJ45" i="18"/>
  <c r="W45" i="10"/>
  <c r="KK45" i="18"/>
  <c r="X45" i="10"/>
  <c r="KL45" i="18"/>
  <c r="Y45" i="10"/>
  <c r="KM45" i="18"/>
  <c r="Z45" i="10"/>
  <c r="KN45" i="18"/>
  <c r="AA45" i="10"/>
  <c r="KO45" i="18"/>
  <c r="AB45" i="10"/>
  <c r="KP45" i="18"/>
  <c r="AC45" i="10"/>
  <c r="KQ45" i="18"/>
  <c r="AD45" i="10"/>
  <c r="KR45" i="18"/>
  <c r="AE45" i="10"/>
  <c r="KS45" i="18"/>
  <c r="AF45" i="10"/>
  <c r="KT45" i="18"/>
  <c r="AG45" i="10"/>
  <c r="KU45" i="18"/>
  <c r="AH45" i="10"/>
  <c r="KV45" i="18"/>
  <c r="AI45" i="10"/>
  <c r="KW45" i="18"/>
  <c r="AJ45" i="10"/>
  <c r="JS45" i="18"/>
  <c r="F45" i="10"/>
  <c r="AK45" i="10"/>
  <c r="KY45" i="18"/>
  <c r="G45" i="11"/>
  <c r="KZ45" i="18"/>
  <c r="H45" i="11"/>
  <c r="LA45" i="18"/>
  <c r="I45" i="11"/>
  <c r="LB45" i="18"/>
  <c r="J45" i="11"/>
  <c r="LC45" i="18"/>
  <c r="K45" i="11"/>
  <c r="LD45" i="18"/>
  <c r="L45" i="11"/>
  <c r="LE45" i="18"/>
  <c r="M45" i="11"/>
  <c r="LF45" i="18"/>
  <c r="N45" i="11"/>
  <c r="LG45" i="18"/>
  <c r="O45" i="11"/>
  <c r="LH45" i="18"/>
  <c r="P45" i="11"/>
  <c r="LI45" i="18"/>
  <c r="Q45" i="11"/>
  <c r="LJ45" i="18"/>
  <c r="R45" i="11"/>
  <c r="LK45" i="18"/>
  <c r="S45" i="11"/>
  <c r="LL45" i="18"/>
  <c r="T45" i="11"/>
  <c r="LM45" i="18"/>
  <c r="U45" i="11"/>
  <c r="LN45" i="18"/>
  <c r="V45" i="11"/>
  <c r="LO45" i="18"/>
  <c r="W45" i="11"/>
  <c r="LP45" i="18"/>
  <c r="X45" i="11"/>
  <c r="LQ45" i="18"/>
  <c r="Y45" i="11"/>
  <c r="LR45" i="18"/>
  <c r="Z45" i="11"/>
  <c r="LS45" i="18"/>
  <c r="AA45" i="11"/>
  <c r="LT45" i="18"/>
  <c r="AB45" i="11"/>
  <c r="LU45" i="18"/>
  <c r="AC45" i="11"/>
  <c r="LV45" i="18"/>
  <c r="AD45" i="11"/>
  <c r="LW45" i="18"/>
  <c r="AE45" i="11"/>
  <c r="LX45" i="18"/>
  <c r="AF45" i="11"/>
  <c r="LY45" i="18"/>
  <c r="AG45" i="11"/>
  <c r="LZ45" i="18"/>
  <c r="AH45" i="11"/>
  <c r="MA45" i="18"/>
  <c r="AI45" i="11"/>
  <c r="KX45" i="18"/>
  <c r="F45" i="11"/>
  <c r="AK45" i="11"/>
  <c r="MC45" i="18"/>
  <c r="G45" i="12"/>
  <c r="MD45" i="18"/>
  <c r="H45" i="12"/>
  <c r="ME45" i="18"/>
  <c r="I45" i="12"/>
  <c r="MF45" i="18"/>
  <c r="J45" i="12"/>
  <c r="MG45" i="18"/>
  <c r="K45" i="12"/>
  <c r="MH45" i="18"/>
  <c r="L45" i="12"/>
  <c r="MI45" i="18"/>
  <c r="M45" i="12"/>
  <c r="MJ45" i="18"/>
  <c r="N45" i="12"/>
  <c r="MK45" i="18"/>
  <c r="O45" i="12"/>
  <c r="ML45" i="18"/>
  <c r="P45" i="12"/>
  <c r="MM45" i="18"/>
  <c r="Q45" i="12"/>
  <c r="MN45" i="18"/>
  <c r="R45" i="12"/>
  <c r="MO45" i="18"/>
  <c r="S45" i="12"/>
  <c r="MP45" i="18"/>
  <c r="T45" i="12"/>
  <c r="MQ45" i="18"/>
  <c r="U45" i="12"/>
  <c r="MR45" i="18"/>
  <c r="V45" i="12"/>
  <c r="MS45" i="18"/>
  <c r="W45" i="12"/>
  <c r="MT45" i="18"/>
  <c r="X45" i="12"/>
  <c r="MU45" i="18"/>
  <c r="Y45" i="12"/>
  <c r="MV45" i="18"/>
  <c r="Z45" i="12"/>
  <c r="MW45" i="18"/>
  <c r="AA45" i="12"/>
  <c r="MX45" i="18"/>
  <c r="AB45" i="12"/>
  <c r="MY45" i="18"/>
  <c r="AC45" i="12"/>
  <c r="MZ45" i="18"/>
  <c r="AD45" i="12"/>
  <c r="NA45" i="18"/>
  <c r="AE45" i="12"/>
  <c r="NB45" i="18"/>
  <c r="AF45" i="12"/>
  <c r="NC45" i="18"/>
  <c r="AG45" i="12"/>
  <c r="ND45" i="18"/>
  <c r="AH45" i="12"/>
  <c r="NE45" i="18"/>
  <c r="AI45" i="12"/>
  <c r="NF45" i="18"/>
  <c r="AJ45" i="12"/>
  <c r="MB45" i="18"/>
  <c r="F45" i="12"/>
  <c r="AK45" i="12"/>
  <c r="P41" i="13"/>
  <c r="G44" i="18"/>
  <c r="H44" i="18"/>
  <c r="I44" i="18"/>
  <c r="J44" i="18"/>
  <c r="K44" i="18"/>
  <c r="L44" i="18"/>
  <c r="M44" i="18"/>
  <c r="N44" i="18"/>
  <c r="O44" i="18"/>
  <c r="P44" i="18"/>
  <c r="Q44" i="18"/>
  <c r="R44" i="18"/>
  <c r="S44" i="18"/>
  <c r="T44" i="18"/>
  <c r="U44" i="18"/>
  <c r="V44" i="18"/>
  <c r="W44" i="18"/>
  <c r="X44" i="18"/>
  <c r="Y44" i="18"/>
  <c r="Z44" i="18"/>
  <c r="AA44" i="18"/>
  <c r="AB44" i="18"/>
  <c r="AC44" i="18"/>
  <c r="AD44" i="18"/>
  <c r="AE44" i="18"/>
  <c r="AF44" i="18"/>
  <c r="AG44" i="18"/>
  <c r="AH44" i="18"/>
  <c r="AI44" i="18"/>
  <c r="AJ44" i="18"/>
  <c r="F44" i="18"/>
  <c r="AL44" i="18"/>
  <c r="G44" i="2"/>
  <c r="AM44" i="18"/>
  <c r="H44" i="2"/>
  <c r="AN44" i="18"/>
  <c r="I44" i="2"/>
  <c r="AO44" i="18"/>
  <c r="J44" i="2"/>
  <c r="AP44" i="18"/>
  <c r="K44" i="2"/>
  <c r="AQ44" i="18"/>
  <c r="L44" i="2"/>
  <c r="AR44" i="18"/>
  <c r="M44" i="2"/>
  <c r="AS44" i="18"/>
  <c r="N44" i="2"/>
  <c r="AT44" i="18"/>
  <c r="O44" i="2"/>
  <c r="AU44" i="18"/>
  <c r="P44" i="2"/>
  <c r="AV44" i="18"/>
  <c r="Q44" i="2"/>
  <c r="AW44" i="18"/>
  <c r="R44" i="2"/>
  <c r="AX44" i="18"/>
  <c r="S44" i="2"/>
  <c r="AY44" i="18"/>
  <c r="T44" i="2"/>
  <c r="AZ44" i="18"/>
  <c r="U44" i="2"/>
  <c r="BA44" i="18"/>
  <c r="V44" i="2"/>
  <c r="BB44" i="18"/>
  <c r="W44" i="2"/>
  <c r="BC44" i="18"/>
  <c r="X44" i="2"/>
  <c r="BD44" i="18"/>
  <c r="Y44" i="2"/>
  <c r="BE44" i="18"/>
  <c r="Z44" i="2"/>
  <c r="BF44" i="18"/>
  <c r="AA44" i="2"/>
  <c r="BG44" i="18"/>
  <c r="AB44" i="2"/>
  <c r="BH44" i="18"/>
  <c r="AC44" i="2"/>
  <c r="BI44" i="18"/>
  <c r="AD44" i="2"/>
  <c r="BJ44" i="18"/>
  <c r="AE44" i="2"/>
  <c r="BK44" i="18"/>
  <c r="AF44" i="2"/>
  <c r="BL44" i="18"/>
  <c r="AG44" i="2"/>
  <c r="AI44" i="2"/>
  <c r="AK44" i="18"/>
  <c r="F44" i="2"/>
  <c r="AJ44" i="2"/>
  <c r="BN44" i="18"/>
  <c r="G44" i="3"/>
  <c r="BO44" i="18"/>
  <c r="H44" i="3"/>
  <c r="BP44" i="18"/>
  <c r="I44" i="3"/>
  <c r="BQ44" i="18"/>
  <c r="J44" i="3"/>
  <c r="BR44" i="18"/>
  <c r="K44" i="3"/>
  <c r="BS44" i="18"/>
  <c r="L44" i="3"/>
  <c r="BT44" i="18"/>
  <c r="M44" i="3"/>
  <c r="BU44" i="18"/>
  <c r="N44" i="3"/>
  <c r="BV44" i="18"/>
  <c r="O44" i="3"/>
  <c r="BW44" i="18"/>
  <c r="P44" i="3"/>
  <c r="BX44" i="18"/>
  <c r="Q44" i="3"/>
  <c r="BY44" i="18"/>
  <c r="R44" i="3"/>
  <c r="BZ44" i="18"/>
  <c r="S44" i="3"/>
  <c r="CA44" i="18"/>
  <c r="T44" i="3"/>
  <c r="CB44" i="18"/>
  <c r="U44" i="3"/>
  <c r="CC44" i="18"/>
  <c r="V44" i="3"/>
  <c r="CD44" i="18"/>
  <c r="W44" i="3"/>
  <c r="CE44" i="18"/>
  <c r="X44" i="3"/>
  <c r="CF44" i="18"/>
  <c r="Y44" i="3"/>
  <c r="CG44" i="18"/>
  <c r="Z44" i="3"/>
  <c r="CH44" i="18"/>
  <c r="AA44" i="3"/>
  <c r="CI44" i="18"/>
  <c r="AB44" i="3"/>
  <c r="CJ44" i="18"/>
  <c r="AC44" i="3"/>
  <c r="CK44" i="18"/>
  <c r="AD44" i="3"/>
  <c r="CL44" i="18"/>
  <c r="AE44" i="3"/>
  <c r="CM44" i="18"/>
  <c r="AF44" i="3"/>
  <c r="CN44" i="18"/>
  <c r="AG44" i="3"/>
  <c r="CO44" i="18"/>
  <c r="AH44" i="3"/>
  <c r="CP44" i="18"/>
  <c r="AI44" i="3"/>
  <c r="CQ44" i="18"/>
  <c r="AJ44" i="3"/>
  <c r="BM44" i="18"/>
  <c r="F44" i="3"/>
  <c r="AK44" i="3"/>
  <c r="CS44" i="18"/>
  <c r="G44" i="4"/>
  <c r="CT44" i="18"/>
  <c r="H44" i="4"/>
  <c r="CU44" i="18"/>
  <c r="I44" i="4"/>
  <c r="CV44" i="18"/>
  <c r="J44" i="4"/>
  <c r="CW44" i="18"/>
  <c r="K44" i="4"/>
  <c r="CX44" i="18"/>
  <c r="L44" i="4"/>
  <c r="CY44" i="18"/>
  <c r="M44" i="4"/>
  <c r="CZ44" i="18"/>
  <c r="N44" i="4"/>
  <c r="DA44" i="18"/>
  <c r="O44" i="4"/>
  <c r="DB44" i="18"/>
  <c r="P44" i="4"/>
  <c r="DC44" i="18"/>
  <c r="Q44" i="4"/>
  <c r="DD44" i="18"/>
  <c r="R44" i="4"/>
  <c r="DE44" i="18"/>
  <c r="S44" i="4"/>
  <c r="DF44" i="18"/>
  <c r="T44" i="4"/>
  <c r="DG44" i="18"/>
  <c r="U44" i="4"/>
  <c r="DH44" i="18"/>
  <c r="V44" i="4"/>
  <c r="DI44" i="18"/>
  <c r="W44" i="4"/>
  <c r="DJ44" i="18"/>
  <c r="X44" i="4"/>
  <c r="DK44" i="18"/>
  <c r="Y44" i="4"/>
  <c r="DL44" i="18"/>
  <c r="Z44" i="4"/>
  <c r="DM44" i="18"/>
  <c r="AA44" i="4"/>
  <c r="DN44" i="18"/>
  <c r="AB44" i="4"/>
  <c r="DO44" i="18"/>
  <c r="AC44" i="4"/>
  <c r="DP44" i="18"/>
  <c r="AD44" i="4"/>
  <c r="DQ44" i="18"/>
  <c r="AE44" i="4"/>
  <c r="DR44" i="18"/>
  <c r="AF44" i="4"/>
  <c r="DS44" i="18"/>
  <c r="AG44" i="4"/>
  <c r="DT44" i="18"/>
  <c r="AH44" i="4"/>
  <c r="DU44" i="18"/>
  <c r="AI44" i="4"/>
  <c r="CR44" i="18"/>
  <c r="F44" i="4"/>
  <c r="AK44" i="4"/>
  <c r="DW44" i="18"/>
  <c r="G44" i="5"/>
  <c r="DX44" i="18"/>
  <c r="H44" i="5"/>
  <c r="DY44" i="18"/>
  <c r="I44" i="5"/>
  <c r="DZ44" i="18"/>
  <c r="J44" i="5"/>
  <c r="EA44" i="18"/>
  <c r="K44" i="5"/>
  <c r="EB44" i="18"/>
  <c r="L44" i="5"/>
  <c r="EC44" i="18"/>
  <c r="M44" i="5"/>
  <c r="ED44" i="18"/>
  <c r="N44" i="5"/>
  <c r="EE44" i="18"/>
  <c r="O44" i="5"/>
  <c r="EF44" i="18"/>
  <c r="P44" i="5"/>
  <c r="EG44" i="18"/>
  <c r="Q44" i="5"/>
  <c r="EH44" i="18"/>
  <c r="R44" i="5"/>
  <c r="EI44" i="18"/>
  <c r="S44" i="5"/>
  <c r="EJ44" i="18"/>
  <c r="T44" i="5"/>
  <c r="EK44" i="18"/>
  <c r="U44" i="5"/>
  <c r="EL44" i="18"/>
  <c r="V44" i="5"/>
  <c r="EM44" i="18"/>
  <c r="W44" i="5"/>
  <c r="EN44" i="18"/>
  <c r="X44" i="5"/>
  <c r="EO44" i="18"/>
  <c r="Y44" i="5"/>
  <c r="EP44" i="18"/>
  <c r="Z44" i="5"/>
  <c r="EQ44" i="18"/>
  <c r="AA44" i="5"/>
  <c r="ER44" i="18"/>
  <c r="AB44" i="5"/>
  <c r="ES44" i="18"/>
  <c r="AC44" i="5"/>
  <c r="ET44" i="18"/>
  <c r="AD44" i="5"/>
  <c r="EU44" i="18"/>
  <c r="AE44" i="5"/>
  <c r="EV44" i="18"/>
  <c r="AF44" i="5"/>
  <c r="EW44" i="18"/>
  <c r="AG44" i="5"/>
  <c r="EX44" i="18"/>
  <c r="AH44" i="5"/>
  <c r="EY44" i="18"/>
  <c r="AI44" i="5"/>
  <c r="EZ44" i="18"/>
  <c r="AJ44" i="5"/>
  <c r="DV44" i="18"/>
  <c r="F44" i="5"/>
  <c r="AK44" i="5"/>
  <c r="FB44" i="18"/>
  <c r="G44" i="6"/>
  <c r="FC44" i="18"/>
  <c r="H44" i="6"/>
  <c r="FD44" i="18"/>
  <c r="I44" i="6"/>
  <c r="FE44" i="18"/>
  <c r="J44" i="6"/>
  <c r="FF44" i="18"/>
  <c r="K44" i="6"/>
  <c r="FG44" i="18"/>
  <c r="L44" i="6"/>
  <c r="FH44" i="18"/>
  <c r="M44" i="6"/>
  <c r="FI44" i="18"/>
  <c r="N44" i="6"/>
  <c r="FJ44" i="18"/>
  <c r="O44" i="6"/>
  <c r="FK44" i="18"/>
  <c r="P44" i="6"/>
  <c r="FL44" i="18"/>
  <c r="Q44" i="6"/>
  <c r="FM44" i="18"/>
  <c r="R44" i="6"/>
  <c r="FN44" i="18"/>
  <c r="S44" i="6"/>
  <c r="FO44" i="18"/>
  <c r="T44" i="6"/>
  <c r="FP44" i="18"/>
  <c r="U44" i="6"/>
  <c r="FQ44" i="18"/>
  <c r="V44" i="6"/>
  <c r="FR44" i="18"/>
  <c r="W44" i="6"/>
  <c r="FS44" i="18"/>
  <c r="X44" i="6"/>
  <c r="FT44" i="18"/>
  <c r="Y44" i="6"/>
  <c r="FU44" i="18"/>
  <c r="Z44" i="6"/>
  <c r="FV44" i="18"/>
  <c r="AA44" i="6"/>
  <c r="FW44" i="18"/>
  <c r="AB44" i="6"/>
  <c r="FX44" i="18"/>
  <c r="AC44" i="6"/>
  <c r="FY44" i="18"/>
  <c r="AD44" i="6"/>
  <c r="FZ44" i="18"/>
  <c r="AE44" i="6"/>
  <c r="GA44" i="18"/>
  <c r="AF44" i="6"/>
  <c r="GB44" i="18"/>
  <c r="AG44" i="6"/>
  <c r="GC44" i="18"/>
  <c r="AH44" i="6"/>
  <c r="GD44" i="18"/>
  <c r="AI44" i="6"/>
  <c r="FA44" i="18"/>
  <c r="F44" i="6"/>
  <c r="AK44" i="6"/>
  <c r="GF44" i="18"/>
  <c r="G44" i="7"/>
  <c r="GG44" i="18"/>
  <c r="H44" i="7"/>
  <c r="GH44" i="18"/>
  <c r="I44" i="7"/>
  <c r="GI44" i="18"/>
  <c r="J44" i="7"/>
  <c r="GJ44" i="18"/>
  <c r="K44" i="7"/>
  <c r="GK44" i="18"/>
  <c r="L44" i="7"/>
  <c r="GL44" i="18"/>
  <c r="M44" i="7"/>
  <c r="GM44" i="18"/>
  <c r="N44" i="7"/>
  <c r="GN44" i="18"/>
  <c r="O44" i="7"/>
  <c r="GO44" i="18"/>
  <c r="P44" i="7"/>
  <c r="GP44" i="18"/>
  <c r="Q44" i="7"/>
  <c r="GQ44" i="18"/>
  <c r="R44" i="7"/>
  <c r="GR44" i="18"/>
  <c r="S44" i="7"/>
  <c r="GS44" i="18"/>
  <c r="T44" i="7"/>
  <c r="GT44" i="18"/>
  <c r="U44" i="7"/>
  <c r="GU44" i="18"/>
  <c r="V44" i="7"/>
  <c r="GV44" i="18"/>
  <c r="W44" i="7"/>
  <c r="GW44" i="18"/>
  <c r="X44" i="7"/>
  <c r="GX44" i="18"/>
  <c r="Y44" i="7"/>
  <c r="GY44" i="18"/>
  <c r="Z44" i="7"/>
  <c r="GZ44" i="18"/>
  <c r="AA44" i="7"/>
  <c r="HA44" i="18"/>
  <c r="AB44" i="7"/>
  <c r="HB44" i="18"/>
  <c r="AC44" i="7"/>
  <c r="HC44" i="18"/>
  <c r="AD44" i="7"/>
  <c r="HD44" i="18"/>
  <c r="AE44" i="7"/>
  <c r="HE44" i="18"/>
  <c r="AF44" i="7"/>
  <c r="HF44" i="18"/>
  <c r="AG44" i="7"/>
  <c r="HG44" i="18"/>
  <c r="AH44" i="7"/>
  <c r="HH44" i="18"/>
  <c r="AI44" i="7"/>
  <c r="HI44" i="18"/>
  <c r="AJ44" i="7"/>
  <c r="GE44" i="18"/>
  <c r="F44" i="7"/>
  <c r="AK44" i="7"/>
  <c r="HK44" i="18"/>
  <c r="G44" i="8"/>
  <c r="HL44" i="18"/>
  <c r="H44" i="8"/>
  <c r="HM44" i="18"/>
  <c r="I44" i="8"/>
  <c r="HN44" i="18"/>
  <c r="J44" i="8"/>
  <c r="HO44" i="18"/>
  <c r="K44" i="8"/>
  <c r="HP44" i="18"/>
  <c r="L44" i="8"/>
  <c r="HQ44" i="18"/>
  <c r="M44" i="8"/>
  <c r="HR44" i="18"/>
  <c r="N44" i="8"/>
  <c r="HS44" i="18"/>
  <c r="O44" i="8"/>
  <c r="HT44" i="18"/>
  <c r="P44" i="8"/>
  <c r="HU44" i="18"/>
  <c r="Q44" i="8"/>
  <c r="HV44" i="18"/>
  <c r="R44" i="8"/>
  <c r="HW44" i="18"/>
  <c r="S44" i="8"/>
  <c r="HX44" i="18"/>
  <c r="T44" i="8"/>
  <c r="HY44" i="18"/>
  <c r="U44" i="8"/>
  <c r="HZ44" i="18"/>
  <c r="V44" i="8"/>
  <c r="IA44" i="18"/>
  <c r="W44" i="8"/>
  <c r="IB44" i="18"/>
  <c r="X44" i="8"/>
  <c r="IC44" i="18"/>
  <c r="Y44" i="8"/>
  <c r="ID44" i="18"/>
  <c r="Z44" i="8"/>
  <c r="IE44" i="18"/>
  <c r="AA44" i="8"/>
  <c r="IF44" i="18"/>
  <c r="AB44" i="8"/>
  <c r="IG44" i="18"/>
  <c r="AC44" i="8"/>
  <c r="IH44" i="18"/>
  <c r="AD44" i="8"/>
  <c r="II44" i="18"/>
  <c r="AE44" i="8"/>
  <c r="IJ44" i="18"/>
  <c r="AF44" i="8"/>
  <c r="IK44" i="18"/>
  <c r="AG44" i="8"/>
  <c r="IL44" i="18"/>
  <c r="AH44" i="8"/>
  <c r="IM44" i="18"/>
  <c r="AI44" i="8"/>
  <c r="IN44" i="18"/>
  <c r="AJ44" i="8"/>
  <c r="HJ44" i="18"/>
  <c r="F44" i="8"/>
  <c r="AK44" i="8"/>
  <c r="IP44" i="18"/>
  <c r="G44" i="9"/>
  <c r="IQ44" i="18"/>
  <c r="H44" i="9"/>
  <c r="IR44" i="18"/>
  <c r="I44" i="9"/>
  <c r="IS44" i="18"/>
  <c r="J44" i="9"/>
  <c r="IT44" i="18"/>
  <c r="K44" i="9"/>
  <c r="IU44" i="18"/>
  <c r="L44" i="9"/>
  <c r="IV44" i="18"/>
  <c r="M44" i="9"/>
  <c r="IW44" i="18"/>
  <c r="N44" i="9"/>
  <c r="IX44" i="18"/>
  <c r="O44" i="9"/>
  <c r="IY44" i="18"/>
  <c r="P44" i="9"/>
  <c r="IZ44" i="18"/>
  <c r="Q44" i="9"/>
  <c r="JA44" i="18"/>
  <c r="R44" i="9"/>
  <c r="JB44" i="18"/>
  <c r="S44" i="9"/>
  <c r="JC44" i="18"/>
  <c r="T44" i="9"/>
  <c r="JD44" i="18"/>
  <c r="U44" i="9"/>
  <c r="JE44" i="18"/>
  <c r="V44" i="9"/>
  <c r="JF44" i="18"/>
  <c r="W44" i="9"/>
  <c r="JG44" i="18"/>
  <c r="X44" i="9"/>
  <c r="JH44" i="18"/>
  <c r="Y44" i="9"/>
  <c r="JI44" i="18"/>
  <c r="Z44" i="9"/>
  <c r="JJ44" i="18"/>
  <c r="AA44" i="9"/>
  <c r="JK44" i="18"/>
  <c r="AB44" i="9"/>
  <c r="JL44" i="18"/>
  <c r="AC44" i="9"/>
  <c r="JM44" i="18"/>
  <c r="AD44" i="9"/>
  <c r="JN44" i="18"/>
  <c r="AE44" i="9"/>
  <c r="JO44" i="18"/>
  <c r="AF44" i="9"/>
  <c r="JP44" i="18"/>
  <c r="AG44" i="9"/>
  <c r="JQ44" i="18"/>
  <c r="AH44" i="9"/>
  <c r="JR44" i="18"/>
  <c r="AI44" i="9"/>
  <c r="IO44" i="18"/>
  <c r="F44" i="9"/>
  <c r="AK44" i="9"/>
  <c r="JT44" i="18"/>
  <c r="G44" i="10"/>
  <c r="JU44" i="18"/>
  <c r="H44" i="10"/>
  <c r="JV44" i="18"/>
  <c r="I44" i="10"/>
  <c r="JW44" i="18"/>
  <c r="J44" i="10"/>
  <c r="JX44" i="18"/>
  <c r="K44" i="10"/>
  <c r="JY44" i="18"/>
  <c r="L44" i="10"/>
  <c r="JZ44" i="18"/>
  <c r="M44" i="10"/>
  <c r="KA44" i="18"/>
  <c r="N44" i="10"/>
  <c r="KB44" i="18"/>
  <c r="O44" i="10"/>
  <c r="KC44" i="18"/>
  <c r="P44" i="10"/>
  <c r="KD44" i="18"/>
  <c r="Q44" i="10"/>
  <c r="KE44" i="18"/>
  <c r="R44" i="10"/>
  <c r="KF44" i="18"/>
  <c r="S44" i="10"/>
  <c r="KG44" i="18"/>
  <c r="T44" i="10"/>
  <c r="KH44" i="18"/>
  <c r="U44" i="10"/>
  <c r="KI44" i="18"/>
  <c r="V44" i="10"/>
  <c r="KJ44" i="18"/>
  <c r="W44" i="10"/>
  <c r="KK44" i="18"/>
  <c r="X44" i="10"/>
  <c r="KL44" i="18"/>
  <c r="Y44" i="10"/>
  <c r="KM44" i="18"/>
  <c r="Z44" i="10"/>
  <c r="KN44" i="18"/>
  <c r="AA44" i="10"/>
  <c r="KO44" i="18"/>
  <c r="AB44" i="10"/>
  <c r="KP44" i="18"/>
  <c r="AC44" i="10"/>
  <c r="KQ44" i="18"/>
  <c r="AD44" i="10"/>
  <c r="KR44" i="18"/>
  <c r="AE44" i="10"/>
  <c r="KS44" i="18"/>
  <c r="AF44" i="10"/>
  <c r="KT44" i="18"/>
  <c r="AG44" i="10"/>
  <c r="KU44" i="18"/>
  <c r="AH44" i="10"/>
  <c r="KV44" i="18"/>
  <c r="AI44" i="10"/>
  <c r="KW44" i="18"/>
  <c r="AJ44" i="10"/>
  <c r="JS44" i="18"/>
  <c r="F44" i="10"/>
  <c r="AK44" i="10"/>
  <c r="KY44" i="18"/>
  <c r="G44" i="11"/>
  <c r="KZ44" i="18"/>
  <c r="H44" i="11"/>
  <c r="LA44" i="18"/>
  <c r="I44" i="11"/>
  <c r="LB44" i="18"/>
  <c r="J44" i="11"/>
  <c r="LC44" i="18"/>
  <c r="K44" i="11"/>
  <c r="LD44" i="18"/>
  <c r="L44" i="11"/>
  <c r="LE44" i="18"/>
  <c r="M44" i="11"/>
  <c r="LF44" i="18"/>
  <c r="N44" i="11"/>
  <c r="LG44" i="18"/>
  <c r="O44" i="11"/>
  <c r="LH44" i="18"/>
  <c r="P44" i="11"/>
  <c r="LI44" i="18"/>
  <c r="Q44" i="11"/>
  <c r="LJ44" i="18"/>
  <c r="R44" i="11"/>
  <c r="LK44" i="18"/>
  <c r="S44" i="11"/>
  <c r="LL44" i="18"/>
  <c r="T44" i="11"/>
  <c r="LM44" i="18"/>
  <c r="U44" i="11"/>
  <c r="LN44" i="18"/>
  <c r="V44" i="11"/>
  <c r="LO44" i="18"/>
  <c r="W44" i="11"/>
  <c r="LP44" i="18"/>
  <c r="X44" i="11"/>
  <c r="LQ44" i="18"/>
  <c r="Y44" i="11"/>
  <c r="LR44" i="18"/>
  <c r="Z44" i="11"/>
  <c r="LS44" i="18"/>
  <c r="AA44" i="11"/>
  <c r="LT44" i="18"/>
  <c r="AB44" i="11"/>
  <c r="LU44" i="18"/>
  <c r="AC44" i="11"/>
  <c r="LV44" i="18"/>
  <c r="AD44" i="11"/>
  <c r="LW44" i="18"/>
  <c r="AE44" i="11"/>
  <c r="LX44" i="18"/>
  <c r="AF44" i="11"/>
  <c r="LY44" i="18"/>
  <c r="AG44" i="11"/>
  <c r="LZ44" i="18"/>
  <c r="AH44" i="11"/>
  <c r="MA44" i="18"/>
  <c r="AI44" i="11"/>
  <c r="KX44" i="18"/>
  <c r="F44" i="11"/>
  <c r="AK44" i="11"/>
  <c r="MC44" i="18"/>
  <c r="G44" i="12"/>
  <c r="MD44" i="18"/>
  <c r="H44" i="12"/>
  <c r="ME44" i="18"/>
  <c r="I44" i="12"/>
  <c r="MF44" i="18"/>
  <c r="J44" i="12"/>
  <c r="MG44" i="18"/>
  <c r="K44" i="12"/>
  <c r="MH44" i="18"/>
  <c r="L44" i="12"/>
  <c r="MI44" i="18"/>
  <c r="M44" i="12"/>
  <c r="MJ44" i="18"/>
  <c r="N44" i="12"/>
  <c r="MK44" i="18"/>
  <c r="O44" i="12"/>
  <c r="ML44" i="18"/>
  <c r="P44" i="12"/>
  <c r="MM44" i="18"/>
  <c r="Q44" i="12"/>
  <c r="MN44" i="18"/>
  <c r="R44" i="12"/>
  <c r="MO44" i="18"/>
  <c r="S44" i="12"/>
  <c r="MP44" i="18"/>
  <c r="T44" i="12"/>
  <c r="MQ44" i="18"/>
  <c r="U44" i="12"/>
  <c r="MR44" i="18"/>
  <c r="V44" i="12"/>
  <c r="MS44" i="18"/>
  <c r="W44" i="12"/>
  <c r="MT44" i="18"/>
  <c r="X44" i="12"/>
  <c r="MU44" i="18"/>
  <c r="Y44" i="12"/>
  <c r="MV44" i="18"/>
  <c r="Z44" i="12"/>
  <c r="MW44" i="18"/>
  <c r="AA44" i="12"/>
  <c r="MX44" i="18"/>
  <c r="AB44" i="12"/>
  <c r="MY44" i="18"/>
  <c r="AC44" i="12"/>
  <c r="MZ44" i="18"/>
  <c r="AD44" i="12"/>
  <c r="NA44" i="18"/>
  <c r="AE44" i="12"/>
  <c r="NB44" i="18"/>
  <c r="AF44" i="12"/>
  <c r="NC44" i="18"/>
  <c r="AG44" i="12"/>
  <c r="ND44" i="18"/>
  <c r="AH44" i="12"/>
  <c r="NE44" i="18"/>
  <c r="AI44" i="12"/>
  <c r="NF44" i="18"/>
  <c r="AJ44" i="12"/>
  <c r="MB44" i="18"/>
  <c r="F44" i="12"/>
  <c r="AK44" i="12"/>
  <c r="P40" i="13"/>
  <c r="G43" i="18"/>
  <c r="H43" i="18"/>
  <c r="I43" i="18"/>
  <c r="J43" i="18"/>
  <c r="K43" i="18"/>
  <c r="L43" i="18"/>
  <c r="M43" i="18"/>
  <c r="N43" i="18"/>
  <c r="O43" i="18"/>
  <c r="P43" i="18"/>
  <c r="Q43" i="18"/>
  <c r="R43" i="18"/>
  <c r="S43" i="18"/>
  <c r="T43" i="18"/>
  <c r="U43" i="18"/>
  <c r="V43" i="18"/>
  <c r="W43" i="18"/>
  <c r="X43" i="18"/>
  <c r="Y43" i="18"/>
  <c r="Z43" i="18"/>
  <c r="AA43" i="18"/>
  <c r="AB43" i="18"/>
  <c r="AC43" i="18"/>
  <c r="AD43" i="18"/>
  <c r="AE43" i="18"/>
  <c r="AF43" i="18"/>
  <c r="AG43" i="18"/>
  <c r="AH43" i="18"/>
  <c r="AI43" i="18"/>
  <c r="AJ43" i="18"/>
  <c r="F43" i="18"/>
  <c r="AL43" i="18"/>
  <c r="G43" i="2"/>
  <c r="AM43" i="18"/>
  <c r="H43" i="2"/>
  <c r="AN43" i="18"/>
  <c r="I43" i="2"/>
  <c r="AO43" i="18"/>
  <c r="J43" i="2"/>
  <c r="AP43" i="18"/>
  <c r="K43" i="2"/>
  <c r="AQ43" i="18"/>
  <c r="L43" i="2"/>
  <c r="AR43" i="18"/>
  <c r="M43" i="2"/>
  <c r="AS43" i="18"/>
  <c r="N43" i="2"/>
  <c r="AT43" i="18"/>
  <c r="O43" i="2"/>
  <c r="AU43" i="18"/>
  <c r="P43" i="2"/>
  <c r="AV43" i="18"/>
  <c r="Q43" i="2"/>
  <c r="AW43" i="18"/>
  <c r="R43" i="2"/>
  <c r="AX43" i="18"/>
  <c r="S43" i="2"/>
  <c r="AY43" i="18"/>
  <c r="T43" i="2"/>
  <c r="AZ43" i="18"/>
  <c r="U43" i="2"/>
  <c r="BA43" i="18"/>
  <c r="V43" i="2"/>
  <c r="BB43" i="18"/>
  <c r="W43" i="2"/>
  <c r="BC43" i="18"/>
  <c r="X43" i="2"/>
  <c r="BD43" i="18"/>
  <c r="Y43" i="2"/>
  <c r="BE43" i="18"/>
  <c r="Z43" i="2"/>
  <c r="BF43" i="18"/>
  <c r="AA43" i="2"/>
  <c r="BG43" i="18"/>
  <c r="AB43" i="2"/>
  <c r="BH43" i="18"/>
  <c r="AC43" i="2"/>
  <c r="BI43" i="18"/>
  <c r="AD43" i="2"/>
  <c r="BJ43" i="18"/>
  <c r="AE43" i="2"/>
  <c r="BK43" i="18"/>
  <c r="AF43" i="2"/>
  <c r="BL43" i="18"/>
  <c r="AG43" i="2"/>
  <c r="AI43" i="2"/>
  <c r="AK43" i="18"/>
  <c r="F43" i="2"/>
  <c r="AJ43" i="2"/>
  <c r="BN43" i="18"/>
  <c r="G43" i="3"/>
  <c r="BO43" i="18"/>
  <c r="H43" i="3"/>
  <c r="BP43" i="18"/>
  <c r="I43" i="3"/>
  <c r="BQ43" i="18"/>
  <c r="J43" i="3"/>
  <c r="BR43" i="18"/>
  <c r="K43" i="3"/>
  <c r="BS43" i="18"/>
  <c r="L43" i="3"/>
  <c r="BT43" i="18"/>
  <c r="M43" i="3"/>
  <c r="BU43" i="18"/>
  <c r="N43" i="3"/>
  <c r="BV43" i="18"/>
  <c r="O43" i="3"/>
  <c r="BW43" i="18"/>
  <c r="P43" i="3"/>
  <c r="BX43" i="18"/>
  <c r="Q43" i="3"/>
  <c r="BY43" i="18"/>
  <c r="R43" i="3"/>
  <c r="BZ43" i="18"/>
  <c r="S43" i="3"/>
  <c r="CA43" i="18"/>
  <c r="T43" i="3"/>
  <c r="CB43" i="18"/>
  <c r="U43" i="3"/>
  <c r="CC43" i="18"/>
  <c r="V43" i="3"/>
  <c r="CD43" i="18"/>
  <c r="W43" i="3"/>
  <c r="CE43" i="18"/>
  <c r="X43" i="3"/>
  <c r="CF43" i="18"/>
  <c r="Y43" i="3"/>
  <c r="CG43" i="18"/>
  <c r="Z43" i="3"/>
  <c r="CH43" i="18"/>
  <c r="AA43" i="3"/>
  <c r="CI43" i="18"/>
  <c r="AB43" i="3"/>
  <c r="CJ43" i="18"/>
  <c r="AC43" i="3"/>
  <c r="CK43" i="18"/>
  <c r="AD43" i="3"/>
  <c r="CL43" i="18"/>
  <c r="AE43" i="3"/>
  <c r="CM43" i="18"/>
  <c r="AF43" i="3"/>
  <c r="CN43" i="18"/>
  <c r="AG43" i="3"/>
  <c r="CO43" i="18"/>
  <c r="AH43" i="3"/>
  <c r="CP43" i="18"/>
  <c r="AI43" i="3"/>
  <c r="CQ43" i="18"/>
  <c r="AJ43" i="3"/>
  <c r="BM43" i="18"/>
  <c r="F43" i="3"/>
  <c r="AK43" i="3"/>
  <c r="CS43" i="18"/>
  <c r="G43" i="4"/>
  <c r="CT43" i="18"/>
  <c r="H43" i="4"/>
  <c r="CU43" i="18"/>
  <c r="I43" i="4"/>
  <c r="CV43" i="18"/>
  <c r="J43" i="4"/>
  <c r="CW43" i="18"/>
  <c r="K43" i="4"/>
  <c r="CX43" i="18"/>
  <c r="L43" i="4"/>
  <c r="CY43" i="18"/>
  <c r="M43" i="4"/>
  <c r="CZ43" i="18"/>
  <c r="N43" i="4"/>
  <c r="DA43" i="18"/>
  <c r="O43" i="4"/>
  <c r="DB43" i="18"/>
  <c r="P43" i="4"/>
  <c r="DC43" i="18"/>
  <c r="Q43" i="4"/>
  <c r="DD43" i="18"/>
  <c r="R43" i="4"/>
  <c r="DE43" i="18"/>
  <c r="S43" i="4"/>
  <c r="DF43" i="18"/>
  <c r="T43" i="4"/>
  <c r="DG43" i="18"/>
  <c r="U43" i="4"/>
  <c r="DH43" i="18"/>
  <c r="V43" i="4"/>
  <c r="DI43" i="18"/>
  <c r="W43" i="4"/>
  <c r="DJ43" i="18"/>
  <c r="X43" i="4"/>
  <c r="DK43" i="18"/>
  <c r="Y43" i="4"/>
  <c r="DL43" i="18"/>
  <c r="Z43" i="4"/>
  <c r="DM43" i="18"/>
  <c r="AA43" i="4"/>
  <c r="DN43" i="18"/>
  <c r="AB43" i="4"/>
  <c r="DO43" i="18"/>
  <c r="AC43" i="4"/>
  <c r="DP43" i="18"/>
  <c r="AD43" i="4"/>
  <c r="DQ43" i="18"/>
  <c r="AE43" i="4"/>
  <c r="DR43" i="18"/>
  <c r="AF43" i="4"/>
  <c r="DS43" i="18"/>
  <c r="AG43" i="4"/>
  <c r="DT43" i="18"/>
  <c r="AH43" i="4"/>
  <c r="DU43" i="18"/>
  <c r="AI43" i="4"/>
  <c r="CR43" i="18"/>
  <c r="F43" i="4"/>
  <c r="AK43" i="4"/>
  <c r="DW43" i="18"/>
  <c r="G43" i="5"/>
  <c r="DX43" i="18"/>
  <c r="H43" i="5"/>
  <c r="DY43" i="18"/>
  <c r="I43" i="5"/>
  <c r="DZ43" i="18"/>
  <c r="J43" i="5"/>
  <c r="EA43" i="18"/>
  <c r="K43" i="5"/>
  <c r="EB43" i="18"/>
  <c r="L43" i="5"/>
  <c r="EC43" i="18"/>
  <c r="M43" i="5"/>
  <c r="ED43" i="18"/>
  <c r="N43" i="5"/>
  <c r="EE43" i="18"/>
  <c r="O43" i="5"/>
  <c r="EF43" i="18"/>
  <c r="P43" i="5"/>
  <c r="EG43" i="18"/>
  <c r="Q43" i="5"/>
  <c r="EH43" i="18"/>
  <c r="R43" i="5"/>
  <c r="EI43" i="18"/>
  <c r="S43" i="5"/>
  <c r="EJ43" i="18"/>
  <c r="T43" i="5"/>
  <c r="EK43" i="18"/>
  <c r="U43" i="5"/>
  <c r="EL43" i="18"/>
  <c r="V43" i="5"/>
  <c r="EM43" i="18"/>
  <c r="W43" i="5"/>
  <c r="EN43" i="18"/>
  <c r="X43" i="5"/>
  <c r="EO43" i="18"/>
  <c r="Y43" i="5"/>
  <c r="EP43" i="18"/>
  <c r="Z43" i="5"/>
  <c r="EQ43" i="18"/>
  <c r="AA43" i="5"/>
  <c r="ER43" i="18"/>
  <c r="AB43" i="5"/>
  <c r="ES43" i="18"/>
  <c r="AC43" i="5"/>
  <c r="ET43" i="18"/>
  <c r="AD43" i="5"/>
  <c r="EU43" i="18"/>
  <c r="AE43" i="5"/>
  <c r="EV43" i="18"/>
  <c r="AF43" i="5"/>
  <c r="EW43" i="18"/>
  <c r="AG43" i="5"/>
  <c r="EX43" i="18"/>
  <c r="AH43" i="5"/>
  <c r="EY43" i="18"/>
  <c r="AI43" i="5"/>
  <c r="EZ43" i="18"/>
  <c r="AJ43" i="5"/>
  <c r="DV43" i="18"/>
  <c r="F43" i="5"/>
  <c r="AK43" i="5"/>
  <c r="FB43" i="18"/>
  <c r="G43" i="6"/>
  <c r="FC43" i="18"/>
  <c r="H43" i="6"/>
  <c r="FD43" i="18"/>
  <c r="I43" i="6"/>
  <c r="FE43" i="18"/>
  <c r="J43" i="6"/>
  <c r="FF43" i="18"/>
  <c r="K43" i="6"/>
  <c r="FG43" i="18"/>
  <c r="L43" i="6"/>
  <c r="FH43" i="18"/>
  <c r="M43" i="6"/>
  <c r="FI43" i="18"/>
  <c r="N43" i="6"/>
  <c r="FJ43" i="18"/>
  <c r="O43" i="6"/>
  <c r="FK43" i="18"/>
  <c r="P43" i="6"/>
  <c r="FL43" i="18"/>
  <c r="Q43" i="6"/>
  <c r="FM43" i="18"/>
  <c r="R43" i="6"/>
  <c r="FN43" i="18"/>
  <c r="S43" i="6"/>
  <c r="FO43" i="18"/>
  <c r="T43" i="6"/>
  <c r="FP43" i="18"/>
  <c r="U43" i="6"/>
  <c r="FQ43" i="18"/>
  <c r="V43" i="6"/>
  <c r="FR43" i="18"/>
  <c r="W43" i="6"/>
  <c r="FS43" i="18"/>
  <c r="X43" i="6"/>
  <c r="FT43" i="18"/>
  <c r="Y43" i="6"/>
  <c r="FU43" i="18"/>
  <c r="Z43" i="6"/>
  <c r="FV43" i="18"/>
  <c r="AA43" i="6"/>
  <c r="FW43" i="18"/>
  <c r="AB43" i="6"/>
  <c r="FX43" i="18"/>
  <c r="AC43" i="6"/>
  <c r="FY43" i="18"/>
  <c r="AD43" i="6"/>
  <c r="FZ43" i="18"/>
  <c r="AE43" i="6"/>
  <c r="GA43" i="18"/>
  <c r="AF43" i="6"/>
  <c r="GB43" i="18"/>
  <c r="AG43" i="6"/>
  <c r="GC43" i="18"/>
  <c r="AH43" i="6"/>
  <c r="GD43" i="18"/>
  <c r="AI43" i="6"/>
  <c r="FA43" i="18"/>
  <c r="F43" i="6"/>
  <c r="AK43" i="6"/>
  <c r="GF43" i="18"/>
  <c r="G43" i="7"/>
  <c r="GG43" i="18"/>
  <c r="H43" i="7"/>
  <c r="GH43" i="18"/>
  <c r="I43" i="7"/>
  <c r="GI43" i="18"/>
  <c r="J43" i="7"/>
  <c r="GJ43" i="18"/>
  <c r="K43" i="7"/>
  <c r="GK43" i="18"/>
  <c r="L43" i="7"/>
  <c r="GL43" i="18"/>
  <c r="M43" i="7"/>
  <c r="GM43" i="18"/>
  <c r="N43" i="7"/>
  <c r="GN43" i="18"/>
  <c r="O43" i="7"/>
  <c r="GO43" i="18"/>
  <c r="P43" i="7"/>
  <c r="GP43" i="18"/>
  <c r="Q43" i="7"/>
  <c r="GQ43" i="18"/>
  <c r="R43" i="7"/>
  <c r="GR43" i="18"/>
  <c r="S43" i="7"/>
  <c r="GS43" i="18"/>
  <c r="T43" i="7"/>
  <c r="GT43" i="18"/>
  <c r="U43" i="7"/>
  <c r="GU43" i="18"/>
  <c r="V43" i="7"/>
  <c r="GV43" i="18"/>
  <c r="W43" i="7"/>
  <c r="GW43" i="18"/>
  <c r="X43" i="7"/>
  <c r="GX43" i="18"/>
  <c r="Y43" i="7"/>
  <c r="GY43" i="18"/>
  <c r="Z43" i="7"/>
  <c r="GZ43" i="18"/>
  <c r="AA43" i="7"/>
  <c r="HA43" i="18"/>
  <c r="AB43" i="7"/>
  <c r="HB43" i="18"/>
  <c r="AC43" i="7"/>
  <c r="HC43" i="18"/>
  <c r="AD43" i="7"/>
  <c r="HD43" i="18"/>
  <c r="AE43" i="7"/>
  <c r="HE43" i="18"/>
  <c r="AF43" i="7"/>
  <c r="HF43" i="18"/>
  <c r="AG43" i="7"/>
  <c r="HG43" i="18"/>
  <c r="AH43" i="7"/>
  <c r="HH43" i="18"/>
  <c r="AI43" i="7"/>
  <c r="HI43" i="18"/>
  <c r="AJ43" i="7"/>
  <c r="GE43" i="18"/>
  <c r="F43" i="7"/>
  <c r="AK43" i="7"/>
  <c r="HK43" i="18"/>
  <c r="G43" i="8"/>
  <c r="HL43" i="18"/>
  <c r="H43" i="8"/>
  <c r="HM43" i="18"/>
  <c r="I43" i="8"/>
  <c r="HN43" i="18"/>
  <c r="J43" i="8"/>
  <c r="HO43" i="18"/>
  <c r="K43" i="8"/>
  <c r="HP43" i="18"/>
  <c r="L43" i="8"/>
  <c r="HQ43" i="18"/>
  <c r="M43" i="8"/>
  <c r="HR43" i="18"/>
  <c r="N43" i="8"/>
  <c r="HS43" i="18"/>
  <c r="O43" i="8"/>
  <c r="HT43" i="18"/>
  <c r="P43" i="8"/>
  <c r="HU43" i="18"/>
  <c r="Q43" i="8"/>
  <c r="HV43" i="18"/>
  <c r="R43" i="8"/>
  <c r="HW43" i="18"/>
  <c r="S43" i="8"/>
  <c r="HX43" i="18"/>
  <c r="T43" i="8"/>
  <c r="HY43" i="18"/>
  <c r="U43" i="8"/>
  <c r="HZ43" i="18"/>
  <c r="V43" i="8"/>
  <c r="IA43" i="18"/>
  <c r="W43" i="8"/>
  <c r="IB43" i="18"/>
  <c r="X43" i="8"/>
  <c r="IC43" i="18"/>
  <c r="Y43" i="8"/>
  <c r="ID43" i="18"/>
  <c r="Z43" i="8"/>
  <c r="IE43" i="18"/>
  <c r="AA43" i="8"/>
  <c r="IF43" i="18"/>
  <c r="AB43" i="8"/>
  <c r="IG43" i="18"/>
  <c r="AC43" i="8"/>
  <c r="IH43" i="18"/>
  <c r="AD43" i="8"/>
  <c r="II43" i="18"/>
  <c r="AE43" i="8"/>
  <c r="IJ43" i="18"/>
  <c r="AF43" i="8"/>
  <c r="IK43" i="18"/>
  <c r="AG43" i="8"/>
  <c r="IL43" i="18"/>
  <c r="AH43" i="8"/>
  <c r="IM43" i="18"/>
  <c r="AI43" i="8"/>
  <c r="IN43" i="18"/>
  <c r="AJ43" i="8"/>
  <c r="HJ43" i="18"/>
  <c r="F43" i="8"/>
  <c r="AK43" i="8"/>
  <c r="IP43" i="18"/>
  <c r="G43" i="9"/>
  <c r="IQ43" i="18"/>
  <c r="H43" i="9"/>
  <c r="IR43" i="18"/>
  <c r="I43" i="9"/>
  <c r="IS43" i="18"/>
  <c r="J43" i="9"/>
  <c r="IT43" i="18"/>
  <c r="K43" i="9"/>
  <c r="IU43" i="18"/>
  <c r="L43" i="9"/>
  <c r="IV43" i="18"/>
  <c r="M43" i="9"/>
  <c r="IW43" i="18"/>
  <c r="N43" i="9"/>
  <c r="IX43" i="18"/>
  <c r="O43" i="9"/>
  <c r="IY43" i="18"/>
  <c r="P43" i="9"/>
  <c r="IZ43" i="18"/>
  <c r="Q43" i="9"/>
  <c r="JA43" i="18"/>
  <c r="R43" i="9"/>
  <c r="JB43" i="18"/>
  <c r="S43" i="9"/>
  <c r="JC43" i="18"/>
  <c r="T43" i="9"/>
  <c r="JD43" i="18"/>
  <c r="U43" i="9"/>
  <c r="JE43" i="18"/>
  <c r="V43" i="9"/>
  <c r="JF43" i="18"/>
  <c r="W43" i="9"/>
  <c r="JG43" i="18"/>
  <c r="X43" i="9"/>
  <c r="JH43" i="18"/>
  <c r="Y43" i="9"/>
  <c r="JI43" i="18"/>
  <c r="Z43" i="9"/>
  <c r="JJ43" i="18"/>
  <c r="AA43" i="9"/>
  <c r="JK43" i="18"/>
  <c r="AB43" i="9"/>
  <c r="JL43" i="18"/>
  <c r="AC43" i="9"/>
  <c r="JM43" i="18"/>
  <c r="AD43" i="9"/>
  <c r="JN43" i="18"/>
  <c r="AE43" i="9"/>
  <c r="JO43" i="18"/>
  <c r="AF43" i="9"/>
  <c r="JP43" i="18"/>
  <c r="AG43" i="9"/>
  <c r="JQ43" i="18"/>
  <c r="AH43" i="9"/>
  <c r="JR43" i="18"/>
  <c r="AI43" i="9"/>
  <c r="IO43" i="18"/>
  <c r="F43" i="9"/>
  <c r="AK43" i="9"/>
  <c r="JT43" i="18"/>
  <c r="G43" i="10"/>
  <c r="JU43" i="18"/>
  <c r="H43" i="10"/>
  <c r="JV43" i="18"/>
  <c r="I43" i="10"/>
  <c r="JW43" i="18"/>
  <c r="J43" i="10"/>
  <c r="JX43" i="18"/>
  <c r="K43" i="10"/>
  <c r="JY43" i="18"/>
  <c r="L43" i="10"/>
  <c r="JZ43" i="18"/>
  <c r="M43" i="10"/>
  <c r="KA43" i="18"/>
  <c r="N43" i="10"/>
  <c r="KB43" i="18"/>
  <c r="O43" i="10"/>
  <c r="KC43" i="18"/>
  <c r="P43" i="10"/>
  <c r="KD43" i="18"/>
  <c r="Q43" i="10"/>
  <c r="KE43" i="18"/>
  <c r="R43" i="10"/>
  <c r="KF43" i="18"/>
  <c r="S43" i="10"/>
  <c r="KG43" i="18"/>
  <c r="T43" i="10"/>
  <c r="KH43" i="18"/>
  <c r="U43" i="10"/>
  <c r="KI43" i="18"/>
  <c r="V43" i="10"/>
  <c r="KJ43" i="18"/>
  <c r="W43" i="10"/>
  <c r="KK43" i="18"/>
  <c r="X43" i="10"/>
  <c r="KL43" i="18"/>
  <c r="Y43" i="10"/>
  <c r="KM43" i="18"/>
  <c r="Z43" i="10"/>
  <c r="KN43" i="18"/>
  <c r="AA43" i="10"/>
  <c r="KO43" i="18"/>
  <c r="AB43" i="10"/>
  <c r="KP43" i="18"/>
  <c r="AC43" i="10"/>
  <c r="KQ43" i="18"/>
  <c r="AD43" i="10"/>
  <c r="KR43" i="18"/>
  <c r="AE43" i="10"/>
  <c r="KS43" i="18"/>
  <c r="AF43" i="10"/>
  <c r="KT43" i="18"/>
  <c r="AG43" i="10"/>
  <c r="KU43" i="18"/>
  <c r="AH43" i="10"/>
  <c r="KV43" i="18"/>
  <c r="AI43" i="10"/>
  <c r="KW43" i="18"/>
  <c r="AJ43" i="10"/>
  <c r="JS43" i="18"/>
  <c r="F43" i="10"/>
  <c r="AK43" i="10"/>
  <c r="KY43" i="18"/>
  <c r="G43" i="11"/>
  <c r="KZ43" i="18"/>
  <c r="H43" i="11"/>
  <c r="LA43" i="18"/>
  <c r="I43" i="11"/>
  <c r="LB43" i="18"/>
  <c r="J43" i="11"/>
  <c r="LC43" i="18"/>
  <c r="K43" i="11"/>
  <c r="LD43" i="18"/>
  <c r="L43" i="11"/>
  <c r="LE43" i="18"/>
  <c r="M43" i="11"/>
  <c r="LF43" i="18"/>
  <c r="N43" i="11"/>
  <c r="LG43" i="18"/>
  <c r="O43" i="11"/>
  <c r="LH43" i="18"/>
  <c r="P43" i="11"/>
  <c r="LI43" i="18"/>
  <c r="Q43" i="11"/>
  <c r="LJ43" i="18"/>
  <c r="R43" i="11"/>
  <c r="LK43" i="18"/>
  <c r="S43" i="11"/>
  <c r="LL43" i="18"/>
  <c r="T43" i="11"/>
  <c r="LM43" i="18"/>
  <c r="U43" i="11"/>
  <c r="LN43" i="18"/>
  <c r="V43" i="11"/>
  <c r="LO43" i="18"/>
  <c r="W43" i="11"/>
  <c r="LP43" i="18"/>
  <c r="X43" i="11"/>
  <c r="LQ43" i="18"/>
  <c r="Y43" i="11"/>
  <c r="LR43" i="18"/>
  <c r="Z43" i="11"/>
  <c r="LS43" i="18"/>
  <c r="AA43" i="11"/>
  <c r="LT43" i="18"/>
  <c r="AB43" i="11"/>
  <c r="LU43" i="18"/>
  <c r="AC43" i="11"/>
  <c r="LV43" i="18"/>
  <c r="AD43" i="11"/>
  <c r="LW43" i="18"/>
  <c r="AE43" i="11"/>
  <c r="LX43" i="18"/>
  <c r="AF43" i="11"/>
  <c r="LY43" i="18"/>
  <c r="AG43" i="11"/>
  <c r="LZ43" i="18"/>
  <c r="AH43" i="11"/>
  <c r="MA43" i="18"/>
  <c r="AI43" i="11"/>
  <c r="KX43" i="18"/>
  <c r="F43" i="11"/>
  <c r="AK43" i="11"/>
  <c r="MC43" i="18"/>
  <c r="G43" i="12"/>
  <c r="MD43" i="18"/>
  <c r="H43" i="12"/>
  <c r="ME43" i="18"/>
  <c r="I43" i="12"/>
  <c r="MF43" i="18"/>
  <c r="J43" i="12"/>
  <c r="MG43" i="18"/>
  <c r="K43" i="12"/>
  <c r="MH43" i="18"/>
  <c r="L43" i="12"/>
  <c r="MI43" i="18"/>
  <c r="M43" i="12"/>
  <c r="MJ43" i="18"/>
  <c r="N43" i="12"/>
  <c r="MK43" i="18"/>
  <c r="O43" i="12"/>
  <c r="ML43" i="18"/>
  <c r="P43" i="12"/>
  <c r="MM43" i="18"/>
  <c r="Q43" i="12"/>
  <c r="MN43" i="18"/>
  <c r="R43" i="12"/>
  <c r="MO43" i="18"/>
  <c r="S43" i="12"/>
  <c r="MP43" i="18"/>
  <c r="T43" i="12"/>
  <c r="MQ43" i="18"/>
  <c r="U43" i="12"/>
  <c r="MR43" i="18"/>
  <c r="V43" i="12"/>
  <c r="MS43" i="18"/>
  <c r="W43" i="12"/>
  <c r="MT43" i="18"/>
  <c r="X43" i="12"/>
  <c r="MU43" i="18"/>
  <c r="Y43" i="12"/>
  <c r="MV43" i="18"/>
  <c r="Z43" i="12"/>
  <c r="MW43" i="18"/>
  <c r="AA43" i="12"/>
  <c r="MX43" i="18"/>
  <c r="AB43" i="12"/>
  <c r="MY43" i="18"/>
  <c r="AC43" i="12"/>
  <c r="MZ43" i="18"/>
  <c r="AD43" i="12"/>
  <c r="NA43" i="18"/>
  <c r="AE43" i="12"/>
  <c r="NB43" i="18"/>
  <c r="AF43" i="12"/>
  <c r="NC43" i="18"/>
  <c r="AG43" i="12"/>
  <c r="ND43" i="18"/>
  <c r="AH43" i="12"/>
  <c r="NE43" i="18"/>
  <c r="AI43" i="12"/>
  <c r="NF43" i="18"/>
  <c r="AJ43" i="12"/>
  <c r="MB43" i="18"/>
  <c r="F43" i="12"/>
  <c r="AK43" i="12"/>
  <c r="P39" i="13"/>
  <c r="G42" i="18"/>
  <c r="H42" i="18"/>
  <c r="I42" i="18"/>
  <c r="J42" i="18"/>
  <c r="K42" i="18"/>
  <c r="L42" i="18"/>
  <c r="M42" i="18"/>
  <c r="N42" i="18"/>
  <c r="O42" i="18"/>
  <c r="P42" i="18"/>
  <c r="Q42" i="18"/>
  <c r="R42" i="18"/>
  <c r="S42" i="18"/>
  <c r="T42" i="18"/>
  <c r="U42" i="18"/>
  <c r="V42" i="18"/>
  <c r="W42" i="18"/>
  <c r="X42" i="18"/>
  <c r="Y42" i="18"/>
  <c r="Z42" i="18"/>
  <c r="AA42" i="18"/>
  <c r="AB42" i="18"/>
  <c r="AC42" i="18"/>
  <c r="AD42" i="18"/>
  <c r="AE42" i="18"/>
  <c r="AF42" i="18"/>
  <c r="AG42" i="18"/>
  <c r="AH42" i="18"/>
  <c r="AI42" i="18"/>
  <c r="AJ42" i="18"/>
  <c r="F42" i="18"/>
  <c r="AL42" i="18"/>
  <c r="G42" i="2"/>
  <c r="AM42" i="18"/>
  <c r="H42" i="2"/>
  <c r="AN42" i="18"/>
  <c r="I42" i="2"/>
  <c r="AO42" i="18"/>
  <c r="J42" i="2"/>
  <c r="AP42" i="18"/>
  <c r="K42" i="2"/>
  <c r="AQ42" i="18"/>
  <c r="L42" i="2"/>
  <c r="AR42" i="18"/>
  <c r="M42" i="2"/>
  <c r="AS42" i="18"/>
  <c r="N42" i="2"/>
  <c r="AT42" i="18"/>
  <c r="O42" i="2"/>
  <c r="AU42" i="18"/>
  <c r="P42" i="2"/>
  <c r="AV42" i="18"/>
  <c r="Q42" i="2"/>
  <c r="AW42" i="18"/>
  <c r="R42" i="2"/>
  <c r="AX42" i="18"/>
  <c r="S42" i="2"/>
  <c r="AY42" i="18"/>
  <c r="T42" i="2"/>
  <c r="AZ42" i="18"/>
  <c r="U42" i="2"/>
  <c r="BA42" i="18"/>
  <c r="V42" i="2"/>
  <c r="BB42" i="18"/>
  <c r="W42" i="2"/>
  <c r="BC42" i="18"/>
  <c r="X42" i="2"/>
  <c r="BD42" i="18"/>
  <c r="Y42" i="2"/>
  <c r="BE42" i="18"/>
  <c r="Z42" i="2"/>
  <c r="BF42" i="18"/>
  <c r="AA42" i="2"/>
  <c r="BG42" i="18"/>
  <c r="AB42" i="2"/>
  <c r="BH42" i="18"/>
  <c r="AC42" i="2"/>
  <c r="BI42" i="18"/>
  <c r="AD42" i="2"/>
  <c r="BJ42" i="18"/>
  <c r="AE42" i="2"/>
  <c r="BK42" i="18"/>
  <c r="AF42" i="2"/>
  <c r="BL42" i="18"/>
  <c r="AG42" i="2"/>
  <c r="AI42" i="2"/>
  <c r="AK42" i="18"/>
  <c r="F42" i="2"/>
  <c r="AJ42" i="2"/>
  <c r="BN42" i="18"/>
  <c r="G42" i="3"/>
  <c r="BO42" i="18"/>
  <c r="H42" i="3"/>
  <c r="BP42" i="18"/>
  <c r="I42" i="3"/>
  <c r="BQ42" i="18"/>
  <c r="J42" i="3"/>
  <c r="BR42" i="18"/>
  <c r="K42" i="3"/>
  <c r="BS42" i="18"/>
  <c r="L42" i="3"/>
  <c r="BT42" i="18"/>
  <c r="M42" i="3"/>
  <c r="BU42" i="18"/>
  <c r="N42" i="3"/>
  <c r="BV42" i="18"/>
  <c r="O42" i="3"/>
  <c r="BW42" i="18"/>
  <c r="P42" i="3"/>
  <c r="BX42" i="18"/>
  <c r="Q42" i="3"/>
  <c r="BY42" i="18"/>
  <c r="R42" i="3"/>
  <c r="BZ42" i="18"/>
  <c r="S42" i="3"/>
  <c r="CA42" i="18"/>
  <c r="T42" i="3"/>
  <c r="CB42" i="18"/>
  <c r="U42" i="3"/>
  <c r="CC42" i="18"/>
  <c r="V42" i="3"/>
  <c r="CD42" i="18"/>
  <c r="W42" i="3"/>
  <c r="CE42" i="18"/>
  <c r="X42" i="3"/>
  <c r="CF42" i="18"/>
  <c r="Y42" i="3"/>
  <c r="CG42" i="18"/>
  <c r="Z42" i="3"/>
  <c r="CH42" i="18"/>
  <c r="AA42" i="3"/>
  <c r="CI42" i="18"/>
  <c r="AB42" i="3"/>
  <c r="CJ42" i="18"/>
  <c r="AC42" i="3"/>
  <c r="CK42" i="18"/>
  <c r="AD42" i="3"/>
  <c r="CL42" i="18"/>
  <c r="AE42" i="3"/>
  <c r="CM42" i="18"/>
  <c r="AF42" i="3"/>
  <c r="CN42" i="18"/>
  <c r="AG42" i="3"/>
  <c r="CO42" i="18"/>
  <c r="AH42" i="3"/>
  <c r="CP42" i="18"/>
  <c r="AI42" i="3"/>
  <c r="CQ42" i="18"/>
  <c r="AJ42" i="3"/>
  <c r="BM42" i="18"/>
  <c r="F42" i="3"/>
  <c r="AK42" i="3"/>
  <c r="CS42" i="18"/>
  <c r="G42" i="4"/>
  <c r="CT42" i="18"/>
  <c r="H42" i="4"/>
  <c r="CU42" i="18"/>
  <c r="I42" i="4"/>
  <c r="CV42" i="18"/>
  <c r="J42" i="4"/>
  <c r="CW42" i="18"/>
  <c r="K42" i="4"/>
  <c r="CX42" i="18"/>
  <c r="L42" i="4"/>
  <c r="CY42" i="18"/>
  <c r="M42" i="4"/>
  <c r="CZ42" i="18"/>
  <c r="N42" i="4"/>
  <c r="DA42" i="18"/>
  <c r="O42" i="4"/>
  <c r="DB42" i="18"/>
  <c r="P42" i="4"/>
  <c r="DC42" i="18"/>
  <c r="Q42" i="4"/>
  <c r="DD42" i="18"/>
  <c r="R42" i="4"/>
  <c r="DE42" i="18"/>
  <c r="S42" i="4"/>
  <c r="DF42" i="18"/>
  <c r="T42" i="4"/>
  <c r="DG42" i="18"/>
  <c r="U42" i="4"/>
  <c r="DH42" i="18"/>
  <c r="V42" i="4"/>
  <c r="DI42" i="18"/>
  <c r="W42" i="4"/>
  <c r="DJ42" i="18"/>
  <c r="X42" i="4"/>
  <c r="DK42" i="18"/>
  <c r="Y42" i="4"/>
  <c r="DL42" i="18"/>
  <c r="Z42" i="4"/>
  <c r="DM42" i="18"/>
  <c r="AA42" i="4"/>
  <c r="DN42" i="18"/>
  <c r="AB42" i="4"/>
  <c r="DO42" i="18"/>
  <c r="AC42" i="4"/>
  <c r="DP42" i="18"/>
  <c r="AD42" i="4"/>
  <c r="DQ42" i="18"/>
  <c r="AE42" i="4"/>
  <c r="DR42" i="18"/>
  <c r="AF42" i="4"/>
  <c r="DS42" i="18"/>
  <c r="AG42" i="4"/>
  <c r="DT42" i="18"/>
  <c r="AH42" i="4"/>
  <c r="DU42" i="18"/>
  <c r="AI42" i="4"/>
  <c r="CR42" i="18"/>
  <c r="F42" i="4"/>
  <c r="AK42" i="4"/>
  <c r="DW42" i="18"/>
  <c r="G42" i="5"/>
  <c r="DX42" i="18"/>
  <c r="H42" i="5"/>
  <c r="DY42" i="18"/>
  <c r="I42" i="5"/>
  <c r="DZ42" i="18"/>
  <c r="J42" i="5"/>
  <c r="EA42" i="18"/>
  <c r="K42" i="5"/>
  <c r="EB42" i="18"/>
  <c r="L42" i="5"/>
  <c r="EC42" i="18"/>
  <c r="M42" i="5"/>
  <c r="ED42" i="18"/>
  <c r="N42" i="5"/>
  <c r="EE42" i="18"/>
  <c r="O42" i="5"/>
  <c r="EF42" i="18"/>
  <c r="P42" i="5"/>
  <c r="EG42" i="18"/>
  <c r="Q42" i="5"/>
  <c r="EH42" i="18"/>
  <c r="R42" i="5"/>
  <c r="EI42" i="18"/>
  <c r="S42" i="5"/>
  <c r="EJ42" i="18"/>
  <c r="T42" i="5"/>
  <c r="EK42" i="18"/>
  <c r="U42" i="5"/>
  <c r="EL42" i="18"/>
  <c r="V42" i="5"/>
  <c r="EM42" i="18"/>
  <c r="W42" i="5"/>
  <c r="EN42" i="18"/>
  <c r="X42" i="5"/>
  <c r="EO42" i="18"/>
  <c r="Y42" i="5"/>
  <c r="EP42" i="18"/>
  <c r="Z42" i="5"/>
  <c r="EQ42" i="18"/>
  <c r="AA42" i="5"/>
  <c r="ER42" i="18"/>
  <c r="AB42" i="5"/>
  <c r="ES42" i="18"/>
  <c r="AC42" i="5"/>
  <c r="ET42" i="18"/>
  <c r="AD42" i="5"/>
  <c r="EU42" i="18"/>
  <c r="AE42" i="5"/>
  <c r="EV42" i="18"/>
  <c r="AF42" i="5"/>
  <c r="EW42" i="18"/>
  <c r="AG42" i="5"/>
  <c r="EX42" i="18"/>
  <c r="AH42" i="5"/>
  <c r="EY42" i="18"/>
  <c r="AI42" i="5"/>
  <c r="EZ42" i="18"/>
  <c r="AJ42" i="5"/>
  <c r="DV42" i="18"/>
  <c r="F42" i="5"/>
  <c r="AK42" i="5"/>
  <c r="FB42" i="18"/>
  <c r="G42" i="6"/>
  <c r="FC42" i="18"/>
  <c r="H42" i="6"/>
  <c r="FD42" i="18"/>
  <c r="I42" i="6"/>
  <c r="FE42" i="18"/>
  <c r="J42" i="6"/>
  <c r="FF42" i="18"/>
  <c r="K42" i="6"/>
  <c r="FG42" i="18"/>
  <c r="L42" i="6"/>
  <c r="FH42" i="18"/>
  <c r="M42" i="6"/>
  <c r="FI42" i="18"/>
  <c r="N42" i="6"/>
  <c r="FJ42" i="18"/>
  <c r="O42" i="6"/>
  <c r="FK42" i="18"/>
  <c r="P42" i="6"/>
  <c r="FL42" i="18"/>
  <c r="Q42" i="6"/>
  <c r="FM42" i="18"/>
  <c r="R42" i="6"/>
  <c r="FN42" i="18"/>
  <c r="S42" i="6"/>
  <c r="FO42" i="18"/>
  <c r="T42" i="6"/>
  <c r="FP42" i="18"/>
  <c r="U42" i="6"/>
  <c r="FQ42" i="18"/>
  <c r="V42" i="6"/>
  <c r="FR42" i="18"/>
  <c r="W42" i="6"/>
  <c r="FS42" i="18"/>
  <c r="X42" i="6"/>
  <c r="FT42" i="18"/>
  <c r="Y42" i="6"/>
  <c r="FU42" i="18"/>
  <c r="Z42" i="6"/>
  <c r="FV42" i="18"/>
  <c r="AA42" i="6"/>
  <c r="FW42" i="18"/>
  <c r="AB42" i="6"/>
  <c r="FX42" i="18"/>
  <c r="AC42" i="6"/>
  <c r="FY42" i="18"/>
  <c r="AD42" i="6"/>
  <c r="FZ42" i="18"/>
  <c r="AE42" i="6"/>
  <c r="GA42" i="18"/>
  <c r="AF42" i="6"/>
  <c r="GB42" i="18"/>
  <c r="AG42" i="6"/>
  <c r="GC42" i="18"/>
  <c r="AH42" i="6"/>
  <c r="GD42" i="18"/>
  <c r="AI42" i="6"/>
  <c r="FA42" i="18"/>
  <c r="F42" i="6"/>
  <c r="AK42" i="6"/>
  <c r="GF42" i="18"/>
  <c r="G42" i="7"/>
  <c r="GG42" i="18"/>
  <c r="H42" i="7"/>
  <c r="GH42" i="18"/>
  <c r="I42" i="7"/>
  <c r="GI42" i="18"/>
  <c r="J42" i="7"/>
  <c r="GJ42" i="18"/>
  <c r="K42" i="7"/>
  <c r="GK42" i="18"/>
  <c r="L42" i="7"/>
  <c r="GL42" i="18"/>
  <c r="M42" i="7"/>
  <c r="GM42" i="18"/>
  <c r="N42" i="7"/>
  <c r="GN42" i="18"/>
  <c r="O42" i="7"/>
  <c r="GO42" i="18"/>
  <c r="P42" i="7"/>
  <c r="GP42" i="18"/>
  <c r="Q42" i="7"/>
  <c r="GQ42" i="18"/>
  <c r="R42" i="7"/>
  <c r="GR42" i="18"/>
  <c r="S42" i="7"/>
  <c r="GS42" i="18"/>
  <c r="T42" i="7"/>
  <c r="GT42" i="18"/>
  <c r="U42" i="7"/>
  <c r="GU42" i="18"/>
  <c r="V42" i="7"/>
  <c r="GV42" i="18"/>
  <c r="W42" i="7"/>
  <c r="GW42" i="18"/>
  <c r="X42" i="7"/>
  <c r="GX42" i="18"/>
  <c r="Y42" i="7"/>
  <c r="GY42" i="18"/>
  <c r="Z42" i="7"/>
  <c r="GZ42" i="18"/>
  <c r="AA42" i="7"/>
  <c r="HA42" i="18"/>
  <c r="AB42" i="7"/>
  <c r="HB42" i="18"/>
  <c r="AC42" i="7"/>
  <c r="HC42" i="18"/>
  <c r="AD42" i="7"/>
  <c r="HD42" i="18"/>
  <c r="AE42" i="7"/>
  <c r="HE42" i="18"/>
  <c r="AF42" i="7"/>
  <c r="HF42" i="18"/>
  <c r="AG42" i="7"/>
  <c r="HG42" i="18"/>
  <c r="AH42" i="7"/>
  <c r="HH42" i="18"/>
  <c r="AI42" i="7"/>
  <c r="HI42" i="18"/>
  <c r="AJ42" i="7"/>
  <c r="GE42" i="18"/>
  <c r="F42" i="7"/>
  <c r="AK42" i="7"/>
  <c r="HK42" i="18"/>
  <c r="G42" i="8"/>
  <c r="HL42" i="18"/>
  <c r="H42" i="8"/>
  <c r="HM42" i="18"/>
  <c r="I42" i="8"/>
  <c r="HN42" i="18"/>
  <c r="J42" i="8"/>
  <c r="HO42" i="18"/>
  <c r="K42" i="8"/>
  <c r="HP42" i="18"/>
  <c r="L42" i="8"/>
  <c r="HQ42" i="18"/>
  <c r="M42" i="8"/>
  <c r="HR42" i="18"/>
  <c r="N42" i="8"/>
  <c r="HS42" i="18"/>
  <c r="O42" i="8"/>
  <c r="HT42" i="18"/>
  <c r="P42" i="8"/>
  <c r="HU42" i="18"/>
  <c r="Q42" i="8"/>
  <c r="HV42" i="18"/>
  <c r="R42" i="8"/>
  <c r="HW42" i="18"/>
  <c r="S42" i="8"/>
  <c r="HX42" i="18"/>
  <c r="T42" i="8"/>
  <c r="HY42" i="18"/>
  <c r="U42" i="8"/>
  <c r="HZ42" i="18"/>
  <c r="V42" i="8"/>
  <c r="IA42" i="18"/>
  <c r="W42" i="8"/>
  <c r="IB42" i="18"/>
  <c r="X42" i="8"/>
  <c r="IC42" i="18"/>
  <c r="Y42" i="8"/>
  <c r="ID42" i="18"/>
  <c r="Z42" i="8"/>
  <c r="IE42" i="18"/>
  <c r="AA42" i="8"/>
  <c r="IF42" i="18"/>
  <c r="AB42" i="8"/>
  <c r="IG42" i="18"/>
  <c r="AC42" i="8"/>
  <c r="IH42" i="18"/>
  <c r="AD42" i="8"/>
  <c r="II42" i="18"/>
  <c r="AE42" i="8"/>
  <c r="IJ42" i="18"/>
  <c r="AF42" i="8"/>
  <c r="IK42" i="18"/>
  <c r="AG42" i="8"/>
  <c r="IL42" i="18"/>
  <c r="AH42" i="8"/>
  <c r="IM42" i="18"/>
  <c r="AI42" i="8"/>
  <c r="IN42" i="18"/>
  <c r="AJ42" i="8"/>
  <c r="HJ42" i="18"/>
  <c r="F42" i="8"/>
  <c r="AK42" i="8"/>
  <c r="IP42" i="18"/>
  <c r="G42" i="9"/>
  <c r="IQ42" i="18"/>
  <c r="H42" i="9"/>
  <c r="IR42" i="18"/>
  <c r="I42" i="9"/>
  <c r="IS42" i="18"/>
  <c r="J42" i="9"/>
  <c r="IT42" i="18"/>
  <c r="K42" i="9"/>
  <c r="IU42" i="18"/>
  <c r="L42" i="9"/>
  <c r="IV42" i="18"/>
  <c r="M42" i="9"/>
  <c r="IW42" i="18"/>
  <c r="N42" i="9"/>
  <c r="IX42" i="18"/>
  <c r="O42" i="9"/>
  <c r="IY42" i="18"/>
  <c r="P42" i="9"/>
  <c r="IZ42" i="18"/>
  <c r="Q42" i="9"/>
  <c r="JA42" i="18"/>
  <c r="R42" i="9"/>
  <c r="JB42" i="18"/>
  <c r="S42" i="9"/>
  <c r="JC42" i="18"/>
  <c r="T42" i="9"/>
  <c r="JD42" i="18"/>
  <c r="U42" i="9"/>
  <c r="JE42" i="18"/>
  <c r="V42" i="9"/>
  <c r="JF42" i="18"/>
  <c r="W42" i="9"/>
  <c r="JG42" i="18"/>
  <c r="X42" i="9"/>
  <c r="JH42" i="18"/>
  <c r="Y42" i="9"/>
  <c r="JI42" i="18"/>
  <c r="Z42" i="9"/>
  <c r="JJ42" i="18"/>
  <c r="AA42" i="9"/>
  <c r="JK42" i="18"/>
  <c r="AB42" i="9"/>
  <c r="JL42" i="18"/>
  <c r="AC42" i="9"/>
  <c r="JM42" i="18"/>
  <c r="AD42" i="9"/>
  <c r="JN42" i="18"/>
  <c r="AE42" i="9"/>
  <c r="JO42" i="18"/>
  <c r="AF42" i="9"/>
  <c r="JP42" i="18"/>
  <c r="AG42" i="9"/>
  <c r="JQ42" i="18"/>
  <c r="AH42" i="9"/>
  <c r="JR42" i="18"/>
  <c r="AI42" i="9"/>
  <c r="IO42" i="18"/>
  <c r="F42" i="9"/>
  <c r="AK42" i="9"/>
  <c r="JT42" i="18"/>
  <c r="G42" i="10"/>
  <c r="JU42" i="18"/>
  <c r="H42" i="10"/>
  <c r="JV42" i="18"/>
  <c r="I42" i="10"/>
  <c r="JW42" i="18"/>
  <c r="J42" i="10"/>
  <c r="JX42" i="18"/>
  <c r="K42" i="10"/>
  <c r="JY42" i="18"/>
  <c r="L42" i="10"/>
  <c r="JZ42" i="18"/>
  <c r="M42" i="10"/>
  <c r="KA42" i="18"/>
  <c r="N42" i="10"/>
  <c r="KB42" i="18"/>
  <c r="O42" i="10"/>
  <c r="KC42" i="18"/>
  <c r="P42" i="10"/>
  <c r="KD42" i="18"/>
  <c r="Q42" i="10"/>
  <c r="KE42" i="18"/>
  <c r="R42" i="10"/>
  <c r="KF42" i="18"/>
  <c r="S42" i="10"/>
  <c r="KG42" i="18"/>
  <c r="T42" i="10"/>
  <c r="KH42" i="18"/>
  <c r="U42" i="10"/>
  <c r="KI42" i="18"/>
  <c r="V42" i="10"/>
  <c r="KJ42" i="18"/>
  <c r="W42" i="10"/>
  <c r="KK42" i="18"/>
  <c r="X42" i="10"/>
  <c r="KL42" i="18"/>
  <c r="Y42" i="10"/>
  <c r="KM42" i="18"/>
  <c r="Z42" i="10"/>
  <c r="KN42" i="18"/>
  <c r="AA42" i="10"/>
  <c r="KO42" i="18"/>
  <c r="AB42" i="10"/>
  <c r="KP42" i="18"/>
  <c r="AC42" i="10"/>
  <c r="KQ42" i="18"/>
  <c r="AD42" i="10"/>
  <c r="KR42" i="18"/>
  <c r="AE42" i="10"/>
  <c r="KS42" i="18"/>
  <c r="AF42" i="10"/>
  <c r="KT42" i="18"/>
  <c r="AG42" i="10"/>
  <c r="KU42" i="18"/>
  <c r="AH42" i="10"/>
  <c r="KV42" i="18"/>
  <c r="AI42" i="10"/>
  <c r="KW42" i="18"/>
  <c r="AJ42" i="10"/>
  <c r="JS42" i="18"/>
  <c r="F42" i="10"/>
  <c r="AK42" i="10"/>
  <c r="KY42" i="18"/>
  <c r="G42" i="11"/>
  <c r="KZ42" i="18"/>
  <c r="H42" i="11"/>
  <c r="LA42" i="18"/>
  <c r="I42" i="11"/>
  <c r="LB42" i="18"/>
  <c r="J42" i="11"/>
  <c r="LC42" i="18"/>
  <c r="K42" i="11"/>
  <c r="LD42" i="18"/>
  <c r="L42" i="11"/>
  <c r="LE42" i="18"/>
  <c r="M42" i="11"/>
  <c r="LF42" i="18"/>
  <c r="N42" i="11"/>
  <c r="LG42" i="18"/>
  <c r="O42" i="11"/>
  <c r="LH42" i="18"/>
  <c r="P42" i="11"/>
  <c r="LI42" i="18"/>
  <c r="Q42" i="11"/>
  <c r="LJ42" i="18"/>
  <c r="R42" i="11"/>
  <c r="LK42" i="18"/>
  <c r="S42" i="11"/>
  <c r="LL42" i="18"/>
  <c r="T42" i="11"/>
  <c r="LM42" i="18"/>
  <c r="U42" i="11"/>
  <c r="LN42" i="18"/>
  <c r="V42" i="11"/>
  <c r="LO42" i="18"/>
  <c r="W42" i="11"/>
  <c r="LP42" i="18"/>
  <c r="X42" i="11"/>
  <c r="LQ42" i="18"/>
  <c r="Y42" i="11"/>
  <c r="LR42" i="18"/>
  <c r="Z42" i="11"/>
  <c r="LS42" i="18"/>
  <c r="AA42" i="11"/>
  <c r="LT42" i="18"/>
  <c r="AB42" i="11"/>
  <c r="LU42" i="18"/>
  <c r="AC42" i="11"/>
  <c r="LV42" i="18"/>
  <c r="AD42" i="11"/>
  <c r="LW42" i="18"/>
  <c r="AE42" i="11"/>
  <c r="LX42" i="18"/>
  <c r="AF42" i="11"/>
  <c r="LY42" i="18"/>
  <c r="AG42" i="11"/>
  <c r="LZ42" i="18"/>
  <c r="AH42" i="11"/>
  <c r="MA42" i="18"/>
  <c r="AI42" i="11"/>
  <c r="KX42" i="18"/>
  <c r="F42" i="11"/>
  <c r="AK42" i="11"/>
  <c r="MC42" i="18"/>
  <c r="G42" i="12"/>
  <c r="MD42" i="18"/>
  <c r="H42" i="12"/>
  <c r="ME42" i="18"/>
  <c r="I42" i="12"/>
  <c r="MF42" i="18"/>
  <c r="J42" i="12"/>
  <c r="MG42" i="18"/>
  <c r="K42" i="12"/>
  <c r="MH42" i="18"/>
  <c r="L42" i="12"/>
  <c r="MI42" i="18"/>
  <c r="M42" i="12"/>
  <c r="MJ42" i="18"/>
  <c r="N42" i="12"/>
  <c r="MK42" i="18"/>
  <c r="O42" i="12"/>
  <c r="ML42" i="18"/>
  <c r="P42" i="12"/>
  <c r="MM42" i="18"/>
  <c r="Q42" i="12"/>
  <c r="MN42" i="18"/>
  <c r="R42" i="12"/>
  <c r="MO42" i="18"/>
  <c r="S42" i="12"/>
  <c r="MP42" i="18"/>
  <c r="T42" i="12"/>
  <c r="MQ42" i="18"/>
  <c r="U42" i="12"/>
  <c r="MR42" i="18"/>
  <c r="V42" i="12"/>
  <c r="MS42" i="18"/>
  <c r="W42" i="12"/>
  <c r="MT42" i="18"/>
  <c r="X42" i="12"/>
  <c r="MU42" i="18"/>
  <c r="Y42" i="12"/>
  <c r="MV42" i="18"/>
  <c r="Z42" i="12"/>
  <c r="MW42" i="18"/>
  <c r="AA42" i="12"/>
  <c r="MX42" i="18"/>
  <c r="AB42" i="12"/>
  <c r="MY42" i="18"/>
  <c r="AC42" i="12"/>
  <c r="MZ42" i="18"/>
  <c r="AD42" i="12"/>
  <c r="NA42" i="18"/>
  <c r="AE42" i="12"/>
  <c r="NB42" i="18"/>
  <c r="AF42" i="12"/>
  <c r="NC42" i="18"/>
  <c r="AG42" i="12"/>
  <c r="ND42" i="18"/>
  <c r="AH42" i="12"/>
  <c r="NE42" i="18"/>
  <c r="AI42" i="12"/>
  <c r="NF42" i="18"/>
  <c r="AJ42" i="12"/>
  <c r="MB42" i="18"/>
  <c r="F42" i="12"/>
  <c r="AK42" i="12"/>
  <c r="P38" i="13"/>
  <c r="G41" i="18"/>
  <c r="H41" i="18"/>
  <c r="I41" i="18"/>
  <c r="J41" i="18"/>
  <c r="K41" i="18"/>
  <c r="L41" i="18"/>
  <c r="M41" i="18"/>
  <c r="N41" i="18"/>
  <c r="O41" i="18"/>
  <c r="P41" i="18"/>
  <c r="Q41" i="18"/>
  <c r="R41" i="18"/>
  <c r="S41" i="18"/>
  <c r="T41" i="18"/>
  <c r="U41" i="18"/>
  <c r="V41" i="18"/>
  <c r="W41" i="18"/>
  <c r="X41" i="18"/>
  <c r="Y41" i="18"/>
  <c r="Z41" i="18"/>
  <c r="AA41" i="18"/>
  <c r="AB41" i="18"/>
  <c r="AC41" i="18"/>
  <c r="AD41" i="18"/>
  <c r="AE41" i="18"/>
  <c r="AF41" i="18"/>
  <c r="AG41" i="18"/>
  <c r="AH41" i="18"/>
  <c r="AI41" i="18"/>
  <c r="AJ41" i="18"/>
  <c r="F41" i="18"/>
  <c r="AL41" i="18"/>
  <c r="G41" i="2"/>
  <c r="AM41" i="18"/>
  <c r="H41" i="2"/>
  <c r="AN41" i="18"/>
  <c r="I41" i="2"/>
  <c r="AO41" i="18"/>
  <c r="J41" i="2"/>
  <c r="AP41" i="18"/>
  <c r="K41" i="2"/>
  <c r="AQ41" i="18"/>
  <c r="L41" i="2"/>
  <c r="AR41" i="18"/>
  <c r="M41" i="2"/>
  <c r="AS41" i="18"/>
  <c r="N41" i="2"/>
  <c r="AT41" i="18"/>
  <c r="O41" i="2"/>
  <c r="AU41" i="18"/>
  <c r="P41" i="2"/>
  <c r="AV41" i="18"/>
  <c r="Q41" i="2"/>
  <c r="AW41" i="18"/>
  <c r="R41" i="2"/>
  <c r="AX41" i="18"/>
  <c r="S41" i="2"/>
  <c r="AY41" i="18"/>
  <c r="T41" i="2"/>
  <c r="AZ41" i="18"/>
  <c r="U41" i="2"/>
  <c r="BA41" i="18"/>
  <c r="V41" i="2"/>
  <c r="BB41" i="18"/>
  <c r="W41" i="2"/>
  <c r="BC41" i="18"/>
  <c r="X41" i="2"/>
  <c r="BD41" i="18"/>
  <c r="Y41" i="2"/>
  <c r="BE41" i="18"/>
  <c r="Z41" i="2"/>
  <c r="BF41" i="18"/>
  <c r="AA41" i="2"/>
  <c r="BG41" i="18"/>
  <c r="AB41" i="2"/>
  <c r="BH41" i="18"/>
  <c r="AC41" i="2"/>
  <c r="BI41" i="18"/>
  <c r="AD41" i="2"/>
  <c r="BJ41" i="18"/>
  <c r="AE41" i="2"/>
  <c r="BK41" i="18"/>
  <c r="AF41" i="2"/>
  <c r="BL41" i="18"/>
  <c r="AG41" i="2"/>
  <c r="AI41" i="2"/>
  <c r="AK41" i="18"/>
  <c r="F41" i="2"/>
  <c r="AJ41" i="2"/>
  <c r="BN41" i="18"/>
  <c r="G41" i="3"/>
  <c r="BO41" i="18"/>
  <c r="H41" i="3"/>
  <c r="BP41" i="18"/>
  <c r="I41" i="3"/>
  <c r="BQ41" i="18"/>
  <c r="J41" i="3"/>
  <c r="BR41" i="18"/>
  <c r="K41" i="3"/>
  <c r="BS41" i="18"/>
  <c r="L41" i="3"/>
  <c r="BT41" i="18"/>
  <c r="M41" i="3"/>
  <c r="BU41" i="18"/>
  <c r="N41" i="3"/>
  <c r="BV41" i="18"/>
  <c r="O41" i="3"/>
  <c r="BW41" i="18"/>
  <c r="P41" i="3"/>
  <c r="BX41" i="18"/>
  <c r="Q41" i="3"/>
  <c r="BY41" i="18"/>
  <c r="R41" i="3"/>
  <c r="BZ41" i="18"/>
  <c r="S41" i="3"/>
  <c r="CA41" i="18"/>
  <c r="T41" i="3"/>
  <c r="CB41" i="18"/>
  <c r="U41" i="3"/>
  <c r="CC41" i="18"/>
  <c r="V41" i="3"/>
  <c r="CD41" i="18"/>
  <c r="W41" i="3"/>
  <c r="CE41" i="18"/>
  <c r="X41" i="3"/>
  <c r="CF41" i="18"/>
  <c r="Y41" i="3"/>
  <c r="CG41" i="18"/>
  <c r="Z41" i="3"/>
  <c r="CH41" i="18"/>
  <c r="AA41" i="3"/>
  <c r="CI41" i="18"/>
  <c r="AB41" i="3"/>
  <c r="CJ41" i="18"/>
  <c r="AC41" i="3"/>
  <c r="CK41" i="18"/>
  <c r="AD41" i="3"/>
  <c r="CL41" i="18"/>
  <c r="AE41" i="3"/>
  <c r="CM41" i="18"/>
  <c r="AF41" i="3"/>
  <c r="CN41" i="18"/>
  <c r="AG41" i="3"/>
  <c r="CO41" i="18"/>
  <c r="AH41" i="3"/>
  <c r="CP41" i="18"/>
  <c r="AI41" i="3"/>
  <c r="CQ41" i="18"/>
  <c r="AJ41" i="3"/>
  <c r="BM41" i="18"/>
  <c r="F41" i="3"/>
  <c r="AK41" i="3"/>
  <c r="CS41" i="18"/>
  <c r="G41" i="4"/>
  <c r="CT41" i="18"/>
  <c r="H41" i="4"/>
  <c r="CU41" i="18"/>
  <c r="I41" i="4"/>
  <c r="CV41" i="18"/>
  <c r="J41" i="4"/>
  <c r="CW41" i="18"/>
  <c r="K41" i="4"/>
  <c r="CX41" i="18"/>
  <c r="L41" i="4"/>
  <c r="CY41" i="18"/>
  <c r="M41" i="4"/>
  <c r="CZ41" i="18"/>
  <c r="N41" i="4"/>
  <c r="DA41" i="18"/>
  <c r="O41" i="4"/>
  <c r="DB41" i="18"/>
  <c r="P41" i="4"/>
  <c r="DC41" i="18"/>
  <c r="Q41" i="4"/>
  <c r="DD41" i="18"/>
  <c r="R41" i="4"/>
  <c r="DE41" i="18"/>
  <c r="S41" i="4"/>
  <c r="DF41" i="18"/>
  <c r="T41" i="4"/>
  <c r="DG41" i="18"/>
  <c r="U41" i="4"/>
  <c r="DH41" i="18"/>
  <c r="V41" i="4"/>
  <c r="DI41" i="18"/>
  <c r="W41" i="4"/>
  <c r="DJ41" i="18"/>
  <c r="X41" i="4"/>
  <c r="DK41" i="18"/>
  <c r="Y41" i="4"/>
  <c r="DL41" i="18"/>
  <c r="Z41" i="4"/>
  <c r="DM41" i="18"/>
  <c r="AA41" i="4"/>
  <c r="DN41" i="18"/>
  <c r="AB41" i="4"/>
  <c r="DO41" i="18"/>
  <c r="AC41" i="4"/>
  <c r="DP41" i="18"/>
  <c r="AD41" i="4"/>
  <c r="DQ41" i="18"/>
  <c r="AE41" i="4"/>
  <c r="DR41" i="18"/>
  <c r="AF41" i="4"/>
  <c r="DS41" i="18"/>
  <c r="AG41" i="4"/>
  <c r="DT41" i="18"/>
  <c r="AH41" i="4"/>
  <c r="DU41" i="18"/>
  <c r="AI41" i="4"/>
  <c r="CR41" i="18"/>
  <c r="F41" i="4"/>
  <c r="AK41" i="4"/>
  <c r="DW41" i="18"/>
  <c r="G41" i="5"/>
  <c r="DX41" i="18"/>
  <c r="H41" i="5"/>
  <c r="DY41" i="18"/>
  <c r="I41" i="5"/>
  <c r="DZ41" i="18"/>
  <c r="J41" i="5"/>
  <c r="EA41" i="18"/>
  <c r="K41" i="5"/>
  <c r="EB41" i="18"/>
  <c r="L41" i="5"/>
  <c r="EC41" i="18"/>
  <c r="M41" i="5"/>
  <c r="ED41" i="18"/>
  <c r="N41" i="5"/>
  <c r="EE41" i="18"/>
  <c r="O41" i="5"/>
  <c r="EF41" i="18"/>
  <c r="P41" i="5"/>
  <c r="EG41" i="18"/>
  <c r="Q41" i="5"/>
  <c r="EH41" i="18"/>
  <c r="R41" i="5"/>
  <c r="EI41" i="18"/>
  <c r="S41" i="5"/>
  <c r="EJ41" i="18"/>
  <c r="T41" i="5"/>
  <c r="EK41" i="18"/>
  <c r="U41" i="5"/>
  <c r="EL41" i="18"/>
  <c r="V41" i="5"/>
  <c r="EM41" i="18"/>
  <c r="W41" i="5"/>
  <c r="EN41" i="18"/>
  <c r="X41" i="5"/>
  <c r="EO41" i="18"/>
  <c r="Y41" i="5"/>
  <c r="EP41" i="18"/>
  <c r="Z41" i="5"/>
  <c r="EQ41" i="18"/>
  <c r="AA41" i="5"/>
  <c r="ER41" i="18"/>
  <c r="AB41" i="5"/>
  <c r="ES41" i="18"/>
  <c r="AC41" i="5"/>
  <c r="ET41" i="18"/>
  <c r="AD41" i="5"/>
  <c r="EU41" i="18"/>
  <c r="AE41" i="5"/>
  <c r="EV41" i="18"/>
  <c r="AF41" i="5"/>
  <c r="EW41" i="18"/>
  <c r="AG41" i="5"/>
  <c r="EX41" i="18"/>
  <c r="AH41" i="5"/>
  <c r="EY41" i="18"/>
  <c r="AI41" i="5"/>
  <c r="EZ41" i="18"/>
  <c r="AJ41" i="5"/>
  <c r="DV41" i="18"/>
  <c r="F41" i="5"/>
  <c r="AK41" i="5"/>
  <c r="FB41" i="18"/>
  <c r="G41" i="6"/>
  <c r="FC41" i="18"/>
  <c r="H41" i="6"/>
  <c r="FD41" i="18"/>
  <c r="I41" i="6"/>
  <c r="FE41" i="18"/>
  <c r="J41" i="6"/>
  <c r="FF41" i="18"/>
  <c r="K41" i="6"/>
  <c r="FG41" i="18"/>
  <c r="L41" i="6"/>
  <c r="FH41" i="18"/>
  <c r="M41" i="6"/>
  <c r="FI41" i="18"/>
  <c r="N41" i="6"/>
  <c r="FJ41" i="18"/>
  <c r="O41" i="6"/>
  <c r="FK41" i="18"/>
  <c r="P41" i="6"/>
  <c r="FL41" i="18"/>
  <c r="Q41" i="6"/>
  <c r="FM41" i="18"/>
  <c r="R41" i="6"/>
  <c r="FN41" i="18"/>
  <c r="S41" i="6"/>
  <c r="FO41" i="18"/>
  <c r="T41" i="6"/>
  <c r="FP41" i="18"/>
  <c r="U41" i="6"/>
  <c r="FQ41" i="18"/>
  <c r="V41" i="6"/>
  <c r="FR41" i="18"/>
  <c r="W41" i="6"/>
  <c r="FS41" i="18"/>
  <c r="X41" i="6"/>
  <c r="FT41" i="18"/>
  <c r="Y41" i="6"/>
  <c r="FU41" i="18"/>
  <c r="Z41" i="6"/>
  <c r="FV41" i="18"/>
  <c r="AA41" i="6"/>
  <c r="FW41" i="18"/>
  <c r="AB41" i="6"/>
  <c r="FX41" i="18"/>
  <c r="AC41" i="6"/>
  <c r="FY41" i="18"/>
  <c r="AD41" i="6"/>
  <c r="FZ41" i="18"/>
  <c r="AE41" i="6"/>
  <c r="GA41" i="18"/>
  <c r="AF41" i="6"/>
  <c r="GB41" i="18"/>
  <c r="AG41" i="6"/>
  <c r="GC41" i="18"/>
  <c r="AH41" i="6"/>
  <c r="GD41" i="18"/>
  <c r="AI41" i="6"/>
  <c r="FA41" i="18"/>
  <c r="F41" i="6"/>
  <c r="AK41" i="6"/>
  <c r="GF41" i="18"/>
  <c r="G41" i="7"/>
  <c r="GG41" i="18"/>
  <c r="H41" i="7"/>
  <c r="GH41" i="18"/>
  <c r="I41" i="7"/>
  <c r="GI41" i="18"/>
  <c r="J41" i="7"/>
  <c r="GJ41" i="18"/>
  <c r="K41" i="7"/>
  <c r="GK41" i="18"/>
  <c r="L41" i="7"/>
  <c r="GL41" i="18"/>
  <c r="M41" i="7"/>
  <c r="GM41" i="18"/>
  <c r="N41" i="7"/>
  <c r="GN41" i="18"/>
  <c r="O41" i="7"/>
  <c r="GO41" i="18"/>
  <c r="P41" i="7"/>
  <c r="GP41" i="18"/>
  <c r="Q41" i="7"/>
  <c r="GQ41" i="18"/>
  <c r="R41" i="7"/>
  <c r="GR41" i="18"/>
  <c r="S41" i="7"/>
  <c r="GS41" i="18"/>
  <c r="T41" i="7"/>
  <c r="GT41" i="18"/>
  <c r="U41" i="7"/>
  <c r="GU41" i="18"/>
  <c r="V41" i="7"/>
  <c r="GV41" i="18"/>
  <c r="W41" i="7"/>
  <c r="GW41" i="18"/>
  <c r="X41" i="7"/>
  <c r="GX41" i="18"/>
  <c r="Y41" i="7"/>
  <c r="GY41" i="18"/>
  <c r="Z41" i="7"/>
  <c r="GZ41" i="18"/>
  <c r="AA41" i="7"/>
  <c r="HA41" i="18"/>
  <c r="AB41" i="7"/>
  <c r="HB41" i="18"/>
  <c r="AC41" i="7"/>
  <c r="HC41" i="18"/>
  <c r="AD41" i="7"/>
  <c r="HD41" i="18"/>
  <c r="AE41" i="7"/>
  <c r="HE41" i="18"/>
  <c r="AF41" i="7"/>
  <c r="HF41" i="18"/>
  <c r="AG41" i="7"/>
  <c r="HG41" i="18"/>
  <c r="AH41" i="7"/>
  <c r="HH41" i="18"/>
  <c r="AI41" i="7"/>
  <c r="HI41" i="18"/>
  <c r="AJ41" i="7"/>
  <c r="GE41" i="18"/>
  <c r="F41" i="7"/>
  <c r="AK41" i="7"/>
  <c r="HK41" i="18"/>
  <c r="G41" i="8"/>
  <c r="HL41" i="18"/>
  <c r="H41" i="8"/>
  <c r="HM41" i="18"/>
  <c r="I41" i="8"/>
  <c r="HN41" i="18"/>
  <c r="J41" i="8"/>
  <c r="HO41" i="18"/>
  <c r="K41" i="8"/>
  <c r="HP41" i="18"/>
  <c r="L41" i="8"/>
  <c r="HQ41" i="18"/>
  <c r="M41" i="8"/>
  <c r="HR41" i="18"/>
  <c r="N41" i="8"/>
  <c r="HS41" i="18"/>
  <c r="O41" i="8"/>
  <c r="HT41" i="18"/>
  <c r="P41" i="8"/>
  <c r="HU41" i="18"/>
  <c r="Q41" i="8"/>
  <c r="HV41" i="18"/>
  <c r="R41" i="8"/>
  <c r="HW41" i="18"/>
  <c r="S41" i="8"/>
  <c r="HX41" i="18"/>
  <c r="T41" i="8"/>
  <c r="HY41" i="18"/>
  <c r="U41" i="8"/>
  <c r="HZ41" i="18"/>
  <c r="V41" i="8"/>
  <c r="IA41" i="18"/>
  <c r="W41" i="8"/>
  <c r="IB41" i="18"/>
  <c r="X41" i="8"/>
  <c r="IC41" i="18"/>
  <c r="Y41" i="8"/>
  <c r="ID41" i="18"/>
  <c r="Z41" i="8"/>
  <c r="IE41" i="18"/>
  <c r="AA41" i="8"/>
  <c r="IF41" i="18"/>
  <c r="AB41" i="8"/>
  <c r="IG41" i="18"/>
  <c r="AC41" i="8"/>
  <c r="IH41" i="18"/>
  <c r="AD41" i="8"/>
  <c r="II41" i="18"/>
  <c r="AE41" i="8"/>
  <c r="IJ41" i="18"/>
  <c r="AF41" i="8"/>
  <c r="IK41" i="18"/>
  <c r="AG41" i="8"/>
  <c r="IL41" i="18"/>
  <c r="AH41" i="8"/>
  <c r="IM41" i="18"/>
  <c r="AI41" i="8"/>
  <c r="IN41" i="18"/>
  <c r="AJ41" i="8"/>
  <c r="HJ41" i="18"/>
  <c r="F41" i="8"/>
  <c r="AK41" i="8"/>
  <c r="IP41" i="18"/>
  <c r="G41" i="9"/>
  <c r="IQ41" i="18"/>
  <c r="H41" i="9"/>
  <c r="IR41" i="18"/>
  <c r="I41" i="9"/>
  <c r="IS41" i="18"/>
  <c r="J41" i="9"/>
  <c r="IT41" i="18"/>
  <c r="K41" i="9"/>
  <c r="IU41" i="18"/>
  <c r="L41" i="9"/>
  <c r="IV41" i="18"/>
  <c r="M41" i="9"/>
  <c r="IW41" i="18"/>
  <c r="N41" i="9"/>
  <c r="IX41" i="18"/>
  <c r="O41" i="9"/>
  <c r="IY41" i="18"/>
  <c r="P41" i="9"/>
  <c r="IZ41" i="18"/>
  <c r="Q41" i="9"/>
  <c r="JA41" i="18"/>
  <c r="R41" i="9"/>
  <c r="JB41" i="18"/>
  <c r="S41" i="9"/>
  <c r="JC41" i="18"/>
  <c r="T41" i="9"/>
  <c r="JD41" i="18"/>
  <c r="U41" i="9"/>
  <c r="JE41" i="18"/>
  <c r="V41" i="9"/>
  <c r="JF41" i="18"/>
  <c r="W41" i="9"/>
  <c r="JG41" i="18"/>
  <c r="X41" i="9"/>
  <c r="JH41" i="18"/>
  <c r="Y41" i="9"/>
  <c r="JI41" i="18"/>
  <c r="Z41" i="9"/>
  <c r="JJ41" i="18"/>
  <c r="AA41" i="9"/>
  <c r="JK41" i="18"/>
  <c r="AB41" i="9"/>
  <c r="JL41" i="18"/>
  <c r="AC41" i="9"/>
  <c r="JM41" i="18"/>
  <c r="AD41" i="9"/>
  <c r="JN41" i="18"/>
  <c r="AE41" i="9"/>
  <c r="JO41" i="18"/>
  <c r="AF41" i="9"/>
  <c r="JP41" i="18"/>
  <c r="AG41" i="9"/>
  <c r="JQ41" i="18"/>
  <c r="AH41" i="9"/>
  <c r="JR41" i="18"/>
  <c r="AI41" i="9"/>
  <c r="IO41" i="18"/>
  <c r="F41" i="9"/>
  <c r="AK41" i="9"/>
  <c r="JT41" i="18"/>
  <c r="G41" i="10"/>
  <c r="JU41" i="18"/>
  <c r="H41" i="10"/>
  <c r="JV41" i="18"/>
  <c r="I41" i="10"/>
  <c r="JW41" i="18"/>
  <c r="J41" i="10"/>
  <c r="JX41" i="18"/>
  <c r="K41" i="10"/>
  <c r="JY41" i="18"/>
  <c r="L41" i="10"/>
  <c r="JZ41" i="18"/>
  <c r="M41" i="10"/>
  <c r="KA41" i="18"/>
  <c r="N41" i="10"/>
  <c r="KB41" i="18"/>
  <c r="O41" i="10"/>
  <c r="KC41" i="18"/>
  <c r="P41" i="10"/>
  <c r="KD41" i="18"/>
  <c r="Q41" i="10"/>
  <c r="KE41" i="18"/>
  <c r="R41" i="10"/>
  <c r="KF41" i="18"/>
  <c r="S41" i="10"/>
  <c r="KG41" i="18"/>
  <c r="T41" i="10"/>
  <c r="KH41" i="18"/>
  <c r="U41" i="10"/>
  <c r="KI41" i="18"/>
  <c r="V41" i="10"/>
  <c r="KJ41" i="18"/>
  <c r="W41" i="10"/>
  <c r="KK41" i="18"/>
  <c r="X41" i="10"/>
  <c r="KL41" i="18"/>
  <c r="Y41" i="10"/>
  <c r="KM41" i="18"/>
  <c r="Z41" i="10"/>
  <c r="KN41" i="18"/>
  <c r="AA41" i="10"/>
  <c r="KO41" i="18"/>
  <c r="AB41" i="10"/>
  <c r="KP41" i="18"/>
  <c r="AC41" i="10"/>
  <c r="KQ41" i="18"/>
  <c r="AD41" i="10"/>
  <c r="KR41" i="18"/>
  <c r="AE41" i="10"/>
  <c r="KS41" i="18"/>
  <c r="AF41" i="10"/>
  <c r="KT41" i="18"/>
  <c r="AG41" i="10"/>
  <c r="KU41" i="18"/>
  <c r="AH41" i="10"/>
  <c r="KV41" i="18"/>
  <c r="AI41" i="10"/>
  <c r="KW41" i="18"/>
  <c r="AJ41" i="10"/>
  <c r="JS41" i="18"/>
  <c r="F41" i="10"/>
  <c r="AK41" i="10"/>
  <c r="KY41" i="18"/>
  <c r="G41" i="11"/>
  <c r="KZ41" i="18"/>
  <c r="H41" i="11"/>
  <c r="LA41" i="18"/>
  <c r="I41" i="11"/>
  <c r="LB41" i="18"/>
  <c r="J41" i="11"/>
  <c r="LC41" i="18"/>
  <c r="K41" i="11"/>
  <c r="LD41" i="18"/>
  <c r="L41" i="11"/>
  <c r="LE41" i="18"/>
  <c r="M41" i="11"/>
  <c r="LF41" i="18"/>
  <c r="N41" i="11"/>
  <c r="LG41" i="18"/>
  <c r="O41" i="11"/>
  <c r="LH41" i="18"/>
  <c r="P41" i="11"/>
  <c r="LI41" i="18"/>
  <c r="Q41" i="11"/>
  <c r="LJ41" i="18"/>
  <c r="R41" i="11"/>
  <c r="LK41" i="18"/>
  <c r="S41" i="11"/>
  <c r="LL41" i="18"/>
  <c r="T41" i="11"/>
  <c r="LM41" i="18"/>
  <c r="U41" i="11"/>
  <c r="LN41" i="18"/>
  <c r="V41" i="11"/>
  <c r="LO41" i="18"/>
  <c r="W41" i="11"/>
  <c r="LP41" i="18"/>
  <c r="X41" i="11"/>
  <c r="LQ41" i="18"/>
  <c r="Y41" i="11"/>
  <c r="LR41" i="18"/>
  <c r="Z41" i="11"/>
  <c r="LS41" i="18"/>
  <c r="AA41" i="11"/>
  <c r="LT41" i="18"/>
  <c r="AB41" i="11"/>
  <c r="LU41" i="18"/>
  <c r="AC41" i="11"/>
  <c r="LV41" i="18"/>
  <c r="AD41" i="11"/>
  <c r="LW41" i="18"/>
  <c r="AE41" i="11"/>
  <c r="LX41" i="18"/>
  <c r="AF41" i="11"/>
  <c r="LY41" i="18"/>
  <c r="AG41" i="11"/>
  <c r="LZ41" i="18"/>
  <c r="AH41" i="11"/>
  <c r="MA41" i="18"/>
  <c r="AI41" i="11"/>
  <c r="KX41" i="18"/>
  <c r="F41" i="11"/>
  <c r="AK41" i="11"/>
  <c r="MC41" i="18"/>
  <c r="G41" i="12"/>
  <c r="MD41" i="18"/>
  <c r="H41" i="12"/>
  <c r="ME41" i="18"/>
  <c r="I41" i="12"/>
  <c r="MF41" i="18"/>
  <c r="J41" i="12"/>
  <c r="MG41" i="18"/>
  <c r="K41" i="12"/>
  <c r="MH41" i="18"/>
  <c r="L41" i="12"/>
  <c r="MI41" i="18"/>
  <c r="M41" i="12"/>
  <c r="MJ41" i="18"/>
  <c r="N41" i="12"/>
  <c r="MK41" i="18"/>
  <c r="O41" i="12"/>
  <c r="ML41" i="18"/>
  <c r="P41" i="12"/>
  <c r="MM41" i="18"/>
  <c r="Q41" i="12"/>
  <c r="MN41" i="18"/>
  <c r="R41" i="12"/>
  <c r="MO41" i="18"/>
  <c r="S41" i="12"/>
  <c r="MP41" i="18"/>
  <c r="T41" i="12"/>
  <c r="MQ41" i="18"/>
  <c r="U41" i="12"/>
  <c r="MR41" i="18"/>
  <c r="V41" i="12"/>
  <c r="MS41" i="18"/>
  <c r="W41" i="12"/>
  <c r="MT41" i="18"/>
  <c r="X41" i="12"/>
  <c r="MU41" i="18"/>
  <c r="Y41" i="12"/>
  <c r="MV41" i="18"/>
  <c r="Z41" i="12"/>
  <c r="MW41" i="18"/>
  <c r="AA41" i="12"/>
  <c r="MX41" i="18"/>
  <c r="AB41" i="12"/>
  <c r="MY41" i="18"/>
  <c r="AC41" i="12"/>
  <c r="MZ41" i="18"/>
  <c r="AD41" i="12"/>
  <c r="NA41" i="18"/>
  <c r="AE41" i="12"/>
  <c r="NB41" i="18"/>
  <c r="AF41" i="12"/>
  <c r="NC41" i="18"/>
  <c r="AG41" i="12"/>
  <c r="ND41" i="18"/>
  <c r="AH41" i="12"/>
  <c r="NE41" i="18"/>
  <c r="AI41" i="12"/>
  <c r="NF41" i="18"/>
  <c r="AJ41" i="12"/>
  <c r="MB41" i="18"/>
  <c r="F41" i="12"/>
  <c r="AK41" i="12"/>
  <c r="P37" i="13"/>
  <c r="G40" i="18"/>
  <c r="H40" i="18"/>
  <c r="I40" i="18"/>
  <c r="J40" i="18"/>
  <c r="K40" i="18"/>
  <c r="L40" i="18"/>
  <c r="M40" i="18"/>
  <c r="N40" i="18"/>
  <c r="O40" i="18"/>
  <c r="P40" i="18"/>
  <c r="Q40" i="18"/>
  <c r="R40" i="18"/>
  <c r="S40" i="18"/>
  <c r="T40" i="18"/>
  <c r="U40" i="18"/>
  <c r="V40" i="18"/>
  <c r="W40" i="18"/>
  <c r="X40" i="18"/>
  <c r="Y40" i="18"/>
  <c r="Z40" i="18"/>
  <c r="AA40" i="18"/>
  <c r="AB40" i="18"/>
  <c r="AC40" i="18"/>
  <c r="AD40" i="18"/>
  <c r="AE40" i="18"/>
  <c r="AF40" i="18"/>
  <c r="AG40" i="18"/>
  <c r="AH40" i="18"/>
  <c r="AI40" i="18"/>
  <c r="AJ40" i="18"/>
  <c r="F40" i="18"/>
  <c r="AL40" i="18"/>
  <c r="G40" i="2"/>
  <c r="AM40" i="18"/>
  <c r="H40" i="2"/>
  <c r="AN40" i="18"/>
  <c r="I40" i="2"/>
  <c r="AO40" i="18"/>
  <c r="J40" i="2"/>
  <c r="AP40" i="18"/>
  <c r="K40" i="2"/>
  <c r="AQ40" i="18"/>
  <c r="L40" i="2"/>
  <c r="AR40" i="18"/>
  <c r="M40" i="2"/>
  <c r="AS40" i="18"/>
  <c r="N40" i="2"/>
  <c r="AT40" i="18"/>
  <c r="O40" i="2"/>
  <c r="AU40" i="18"/>
  <c r="P40" i="2"/>
  <c r="AV40" i="18"/>
  <c r="Q40" i="2"/>
  <c r="AW40" i="18"/>
  <c r="R40" i="2"/>
  <c r="AX40" i="18"/>
  <c r="S40" i="2"/>
  <c r="AY40" i="18"/>
  <c r="T40" i="2"/>
  <c r="AZ40" i="18"/>
  <c r="U40" i="2"/>
  <c r="BA40" i="18"/>
  <c r="V40" i="2"/>
  <c r="BB40" i="18"/>
  <c r="W40" i="2"/>
  <c r="BC40" i="18"/>
  <c r="X40" i="2"/>
  <c r="BD40" i="18"/>
  <c r="Y40" i="2"/>
  <c r="BE40" i="18"/>
  <c r="Z40" i="2"/>
  <c r="BF40" i="18"/>
  <c r="AA40" i="2"/>
  <c r="BG40" i="18"/>
  <c r="AB40" i="2"/>
  <c r="BH40" i="18"/>
  <c r="AC40" i="2"/>
  <c r="BI40" i="18"/>
  <c r="AD40" i="2"/>
  <c r="BJ40" i="18"/>
  <c r="AE40" i="2"/>
  <c r="BK40" i="18"/>
  <c r="AF40" i="2"/>
  <c r="BL40" i="18"/>
  <c r="AG40" i="2"/>
  <c r="AI40" i="2"/>
  <c r="AK40" i="18"/>
  <c r="F40" i="2"/>
  <c r="AJ40" i="2"/>
  <c r="BN40" i="18"/>
  <c r="G40" i="3"/>
  <c r="BO40" i="18"/>
  <c r="H40" i="3"/>
  <c r="BP40" i="18"/>
  <c r="I40" i="3"/>
  <c r="BQ40" i="18"/>
  <c r="J40" i="3"/>
  <c r="BR40" i="18"/>
  <c r="K40" i="3"/>
  <c r="BS40" i="18"/>
  <c r="L40" i="3"/>
  <c r="BT40" i="18"/>
  <c r="M40" i="3"/>
  <c r="BU40" i="18"/>
  <c r="N40" i="3"/>
  <c r="BV40" i="18"/>
  <c r="O40" i="3"/>
  <c r="BW40" i="18"/>
  <c r="P40" i="3"/>
  <c r="BX40" i="18"/>
  <c r="Q40" i="3"/>
  <c r="BY40" i="18"/>
  <c r="R40" i="3"/>
  <c r="BZ40" i="18"/>
  <c r="S40" i="3"/>
  <c r="CA40" i="18"/>
  <c r="T40" i="3"/>
  <c r="CB40" i="18"/>
  <c r="U40" i="3"/>
  <c r="CC40" i="18"/>
  <c r="V40" i="3"/>
  <c r="CD40" i="18"/>
  <c r="W40" i="3"/>
  <c r="CE40" i="18"/>
  <c r="X40" i="3"/>
  <c r="CF40" i="18"/>
  <c r="Y40" i="3"/>
  <c r="CG40" i="18"/>
  <c r="Z40" i="3"/>
  <c r="CH40" i="18"/>
  <c r="AA40" i="3"/>
  <c r="CI40" i="18"/>
  <c r="AB40" i="3"/>
  <c r="CJ40" i="18"/>
  <c r="AC40" i="3"/>
  <c r="CK40" i="18"/>
  <c r="AD40" i="3"/>
  <c r="CL40" i="18"/>
  <c r="AE40" i="3"/>
  <c r="CM40" i="18"/>
  <c r="AF40" i="3"/>
  <c r="CN40" i="18"/>
  <c r="AG40" i="3"/>
  <c r="CO40" i="18"/>
  <c r="AH40" i="3"/>
  <c r="CP40" i="18"/>
  <c r="AI40" i="3"/>
  <c r="CQ40" i="18"/>
  <c r="AJ40" i="3"/>
  <c r="BM40" i="18"/>
  <c r="F40" i="3"/>
  <c r="AK40" i="3"/>
  <c r="CS40" i="18"/>
  <c r="G40" i="4"/>
  <c r="CT40" i="18"/>
  <c r="H40" i="4"/>
  <c r="CU40" i="18"/>
  <c r="I40" i="4"/>
  <c r="CV40" i="18"/>
  <c r="J40" i="4"/>
  <c r="CW40" i="18"/>
  <c r="K40" i="4"/>
  <c r="CX40" i="18"/>
  <c r="L40" i="4"/>
  <c r="CY40" i="18"/>
  <c r="M40" i="4"/>
  <c r="CZ40" i="18"/>
  <c r="N40" i="4"/>
  <c r="DA40" i="18"/>
  <c r="O40" i="4"/>
  <c r="DB40" i="18"/>
  <c r="P40" i="4"/>
  <c r="DC40" i="18"/>
  <c r="Q40" i="4"/>
  <c r="DD40" i="18"/>
  <c r="R40" i="4"/>
  <c r="DE40" i="18"/>
  <c r="S40" i="4"/>
  <c r="DF40" i="18"/>
  <c r="T40" i="4"/>
  <c r="DG40" i="18"/>
  <c r="U40" i="4"/>
  <c r="DH40" i="18"/>
  <c r="V40" i="4"/>
  <c r="DI40" i="18"/>
  <c r="W40" i="4"/>
  <c r="DJ40" i="18"/>
  <c r="X40" i="4"/>
  <c r="DK40" i="18"/>
  <c r="Y40" i="4"/>
  <c r="DL40" i="18"/>
  <c r="Z40" i="4"/>
  <c r="DM40" i="18"/>
  <c r="AA40" i="4"/>
  <c r="DN40" i="18"/>
  <c r="AB40" i="4"/>
  <c r="DO40" i="18"/>
  <c r="AC40" i="4"/>
  <c r="DP40" i="18"/>
  <c r="AD40" i="4"/>
  <c r="DQ40" i="18"/>
  <c r="AE40" i="4"/>
  <c r="DR40" i="18"/>
  <c r="AF40" i="4"/>
  <c r="DS40" i="18"/>
  <c r="AG40" i="4"/>
  <c r="DT40" i="18"/>
  <c r="AH40" i="4"/>
  <c r="DU40" i="18"/>
  <c r="AI40" i="4"/>
  <c r="CR40" i="18"/>
  <c r="F40" i="4"/>
  <c r="AK40" i="4"/>
  <c r="DW40" i="18"/>
  <c r="G40" i="5"/>
  <c r="DX40" i="18"/>
  <c r="H40" i="5"/>
  <c r="DY40" i="18"/>
  <c r="I40" i="5"/>
  <c r="DZ40" i="18"/>
  <c r="J40" i="5"/>
  <c r="EA40" i="18"/>
  <c r="K40" i="5"/>
  <c r="EB40" i="18"/>
  <c r="L40" i="5"/>
  <c r="EC40" i="18"/>
  <c r="M40" i="5"/>
  <c r="ED40" i="18"/>
  <c r="N40" i="5"/>
  <c r="EE40" i="18"/>
  <c r="O40" i="5"/>
  <c r="EF40" i="18"/>
  <c r="P40" i="5"/>
  <c r="EG40" i="18"/>
  <c r="Q40" i="5"/>
  <c r="EH40" i="18"/>
  <c r="R40" i="5"/>
  <c r="EI40" i="18"/>
  <c r="S40" i="5"/>
  <c r="EJ40" i="18"/>
  <c r="T40" i="5"/>
  <c r="EK40" i="18"/>
  <c r="U40" i="5"/>
  <c r="EL40" i="18"/>
  <c r="V40" i="5"/>
  <c r="EM40" i="18"/>
  <c r="W40" i="5"/>
  <c r="EN40" i="18"/>
  <c r="X40" i="5"/>
  <c r="EO40" i="18"/>
  <c r="Y40" i="5"/>
  <c r="EP40" i="18"/>
  <c r="Z40" i="5"/>
  <c r="EQ40" i="18"/>
  <c r="AA40" i="5"/>
  <c r="ER40" i="18"/>
  <c r="AB40" i="5"/>
  <c r="ES40" i="18"/>
  <c r="AC40" i="5"/>
  <c r="ET40" i="18"/>
  <c r="AD40" i="5"/>
  <c r="EU40" i="18"/>
  <c r="AE40" i="5"/>
  <c r="EV40" i="18"/>
  <c r="AF40" i="5"/>
  <c r="EW40" i="18"/>
  <c r="AG40" i="5"/>
  <c r="EX40" i="18"/>
  <c r="AH40" i="5"/>
  <c r="EY40" i="18"/>
  <c r="AI40" i="5"/>
  <c r="EZ40" i="18"/>
  <c r="AJ40" i="5"/>
  <c r="DV40" i="18"/>
  <c r="F40" i="5"/>
  <c r="AK40" i="5"/>
  <c r="FB40" i="18"/>
  <c r="G40" i="6"/>
  <c r="FC40" i="18"/>
  <c r="H40" i="6"/>
  <c r="FD40" i="18"/>
  <c r="I40" i="6"/>
  <c r="FE40" i="18"/>
  <c r="J40" i="6"/>
  <c r="FF40" i="18"/>
  <c r="K40" i="6"/>
  <c r="FG40" i="18"/>
  <c r="L40" i="6"/>
  <c r="FH40" i="18"/>
  <c r="M40" i="6"/>
  <c r="FI40" i="18"/>
  <c r="N40" i="6"/>
  <c r="FJ40" i="18"/>
  <c r="O40" i="6"/>
  <c r="FK40" i="18"/>
  <c r="P40" i="6"/>
  <c r="FL40" i="18"/>
  <c r="Q40" i="6"/>
  <c r="FM40" i="18"/>
  <c r="R40" i="6"/>
  <c r="FN40" i="18"/>
  <c r="S40" i="6"/>
  <c r="FO40" i="18"/>
  <c r="T40" i="6"/>
  <c r="FP40" i="18"/>
  <c r="U40" i="6"/>
  <c r="FQ40" i="18"/>
  <c r="V40" i="6"/>
  <c r="FR40" i="18"/>
  <c r="W40" i="6"/>
  <c r="FS40" i="18"/>
  <c r="X40" i="6"/>
  <c r="FT40" i="18"/>
  <c r="Y40" i="6"/>
  <c r="FU40" i="18"/>
  <c r="Z40" i="6"/>
  <c r="FV40" i="18"/>
  <c r="AA40" i="6"/>
  <c r="FW40" i="18"/>
  <c r="AB40" i="6"/>
  <c r="FX40" i="18"/>
  <c r="AC40" i="6"/>
  <c r="FY40" i="18"/>
  <c r="AD40" i="6"/>
  <c r="FZ40" i="18"/>
  <c r="AE40" i="6"/>
  <c r="GA40" i="18"/>
  <c r="AF40" i="6"/>
  <c r="GB40" i="18"/>
  <c r="AG40" i="6"/>
  <c r="GC40" i="18"/>
  <c r="AH40" i="6"/>
  <c r="GD40" i="18"/>
  <c r="AI40" i="6"/>
  <c r="FA40" i="18"/>
  <c r="F40" i="6"/>
  <c r="AK40" i="6"/>
  <c r="GF40" i="18"/>
  <c r="G40" i="7"/>
  <c r="GG40" i="18"/>
  <c r="H40" i="7"/>
  <c r="GH40" i="18"/>
  <c r="I40" i="7"/>
  <c r="GI40" i="18"/>
  <c r="J40" i="7"/>
  <c r="GJ40" i="18"/>
  <c r="K40" i="7"/>
  <c r="GK40" i="18"/>
  <c r="L40" i="7"/>
  <c r="GL40" i="18"/>
  <c r="M40" i="7"/>
  <c r="GM40" i="18"/>
  <c r="N40" i="7"/>
  <c r="GN40" i="18"/>
  <c r="O40" i="7"/>
  <c r="GO40" i="18"/>
  <c r="P40" i="7"/>
  <c r="GP40" i="18"/>
  <c r="Q40" i="7"/>
  <c r="GQ40" i="18"/>
  <c r="R40" i="7"/>
  <c r="GR40" i="18"/>
  <c r="S40" i="7"/>
  <c r="GS40" i="18"/>
  <c r="T40" i="7"/>
  <c r="GT40" i="18"/>
  <c r="U40" i="7"/>
  <c r="GU40" i="18"/>
  <c r="V40" i="7"/>
  <c r="GV40" i="18"/>
  <c r="W40" i="7"/>
  <c r="GW40" i="18"/>
  <c r="X40" i="7"/>
  <c r="GX40" i="18"/>
  <c r="Y40" i="7"/>
  <c r="GY40" i="18"/>
  <c r="Z40" i="7"/>
  <c r="GZ40" i="18"/>
  <c r="AA40" i="7"/>
  <c r="HA40" i="18"/>
  <c r="AB40" i="7"/>
  <c r="HB40" i="18"/>
  <c r="AC40" i="7"/>
  <c r="HC40" i="18"/>
  <c r="AD40" i="7"/>
  <c r="HD40" i="18"/>
  <c r="AE40" i="7"/>
  <c r="HE40" i="18"/>
  <c r="AF40" i="7"/>
  <c r="HF40" i="18"/>
  <c r="AG40" i="7"/>
  <c r="HG40" i="18"/>
  <c r="AH40" i="7"/>
  <c r="HH40" i="18"/>
  <c r="AI40" i="7"/>
  <c r="HI40" i="18"/>
  <c r="AJ40" i="7"/>
  <c r="GE40" i="18"/>
  <c r="F40" i="7"/>
  <c r="AK40" i="7"/>
  <c r="HK40" i="18"/>
  <c r="G40" i="8"/>
  <c r="HL40" i="18"/>
  <c r="H40" i="8"/>
  <c r="HM40" i="18"/>
  <c r="I40" i="8"/>
  <c r="HN40" i="18"/>
  <c r="J40" i="8"/>
  <c r="HO40" i="18"/>
  <c r="K40" i="8"/>
  <c r="HP40" i="18"/>
  <c r="L40" i="8"/>
  <c r="HQ40" i="18"/>
  <c r="M40" i="8"/>
  <c r="HR40" i="18"/>
  <c r="N40" i="8"/>
  <c r="HS40" i="18"/>
  <c r="O40" i="8"/>
  <c r="HT40" i="18"/>
  <c r="P40" i="8"/>
  <c r="HU40" i="18"/>
  <c r="Q40" i="8"/>
  <c r="HV40" i="18"/>
  <c r="R40" i="8"/>
  <c r="HW40" i="18"/>
  <c r="S40" i="8"/>
  <c r="HX40" i="18"/>
  <c r="T40" i="8"/>
  <c r="HY40" i="18"/>
  <c r="U40" i="8"/>
  <c r="HZ40" i="18"/>
  <c r="V40" i="8"/>
  <c r="IA40" i="18"/>
  <c r="W40" i="8"/>
  <c r="IB40" i="18"/>
  <c r="X40" i="8"/>
  <c r="IC40" i="18"/>
  <c r="Y40" i="8"/>
  <c r="ID40" i="18"/>
  <c r="Z40" i="8"/>
  <c r="IE40" i="18"/>
  <c r="AA40" i="8"/>
  <c r="IF40" i="18"/>
  <c r="AB40" i="8"/>
  <c r="IG40" i="18"/>
  <c r="AC40" i="8"/>
  <c r="IH40" i="18"/>
  <c r="AD40" i="8"/>
  <c r="II40" i="18"/>
  <c r="AE40" i="8"/>
  <c r="IJ40" i="18"/>
  <c r="AF40" i="8"/>
  <c r="IK40" i="18"/>
  <c r="AG40" i="8"/>
  <c r="IL40" i="18"/>
  <c r="AH40" i="8"/>
  <c r="IM40" i="18"/>
  <c r="AI40" i="8"/>
  <c r="IN40" i="18"/>
  <c r="AJ40" i="8"/>
  <c r="HJ40" i="18"/>
  <c r="F40" i="8"/>
  <c r="AK40" i="8"/>
  <c r="IP40" i="18"/>
  <c r="G40" i="9"/>
  <c r="IQ40" i="18"/>
  <c r="H40" i="9"/>
  <c r="IR40" i="18"/>
  <c r="I40" i="9"/>
  <c r="IS40" i="18"/>
  <c r="J40" i="9"/>
  <c r="IT40" i="18"/>
  <c r="K40" i="9"/>
  <c r="IU40" i="18"/>
  <c r="L40" i="9"/>
  <c r="IV40" i="18"/>
  <c r="M40" i="9"/>
  <c r="IW40" i="18"/>
  <c r="N40" i="9"/>
  <c r="IX40" i="18"/>
  <c r="O40" i="9"/>
  <c r="IY40" i="18"/>
  <c r="P40" i="9"/>
  <c r="IZ40" i="18"/>
  <c r="Q40" i="9"/>
  <c r="JA40" i="18"/>
  <c r="R40" i="9"/>
  <c r="JB40" i="18"/>
  <c r="S40" i="9"/>
  <c r="JC40" i="18"/>
  <c r="T40" i="9"/>
  <c r="JD40" i="18"/>
  <c r="U40" i="9"/>
  <c r="JE40" i="18"/>
  <c r="V40" i="9"/>
  <c r="JF40" i="18"/>
  <c r="W40" i="9"/>
  <c r="JG40" i="18"/>
  <c r="X40" i="9"/>
  <c r="JH40" i="18"/>
  <c r="Y40" i="9"/>
  <c r="JI40" i="18"/>
  <c r="Z40" i="9"/>
  <c r="JJ40" i="18"/>
  <c r="AA40" i="9"/>
  <c r="JK40" i="18"/>
  <c r="AB40" i="9"/>
  <c r="JL40" i="18"/>
  <c r="AC40" i="9"/>
  <c r="JM40" i="18"/>
  <c r="AD40" i="9"/>
  <c r="JN40" i="18"/>
  <c r="AE40" i="9"/>
  <c r="JO40" i="18"/>
  <c r="AF40" i="9"/>
  <c r="JP40" i="18"/>
  <c r="AG40" i="9"/>
  <c r="JQ40" i="18"/>
  <c r="AH40" i="9"/>
  <c r="JR40" i="18"/>
  <c r="AI40" i="9"/>
  <c r="IO40" i="18"/>
  <c r="F40" i="9"/>
  <c r="AK40" i="9"/>
  <c r="JT40" i="18"/>
  <c r="G40" i="10"/>
  <c r="JU40" i="18"/>
  <c r="H40" i="10"/>
  <c r="JV40" i="18"/>
  <c r="I40" i="10"/>
  <c r="JW40" i="18"/>
  <c r="J40" i="10"/>
  <c r="JX40" i="18"/>
  <c r="K40" i="10"/>
  <c r="JY40" i="18"/>
  <c r="L40" i="10"/>
  <c r="JZ40" i="18"/>
  <c r="M40" i="10"/>
  <c r="KA40" i="18"/>
  <c r="N40" i="10"/>
  <c r="KB40" i="18"/>
  <c r="O40" i="10"/>
  <c r="KC40" i="18"/>
  <c r="P40" i="10"/>
  <c r="KD40" i="18"/>
  <c r="Q40" i="10"/>
  <c r="KE40" i="18"/>
  <c r="R40" i="10"/>
  <c r="KF40" i="18"/>
  <c r="S40" i="10"/>
  <c r="KG40" i="18"/>
  <c r="T40" i="10"/>
  <c r="KH40" i="18"/>
  <c r="U40" i="10"/>
  <c r="KI40" i="18"/>
  <c r="V40" i="10"/>
  <c r="KJ40" i="18"/>
  <c r="W40" i="10"/>
  <c r="KK40" i="18"/>
  <c r="X40" i="10"/>
  <c r="KL40" i="18"/>
  <c r="Y40" i="10"/>
  <c r="KM40" i="18"/>
  <c r="Z40" i="10"/>
  <c r="KN40" i="18"/>
  <c r="AA40" i="10"/>
  <c r="KO40" i="18"/>
  <c r="AB40" i="10"/>
  <c r="KP40" i="18"/>
  <c r="AC40" i="10"/>
  <c r="KQ40" i="18"/>
  <c r="AD40" i="10"/>
  <c r="KR40" i="18"/>
  <c r="AE40" i="10"/>
  <c r="KS40" i="18"/>
  <c r="AF40" i="10"/>
  <c r="KT40" i="18"/>
  <c r="AG40" i="10"/>
  <c r="KU40" i="18"/>
  <c r="AH40" i="10"/>
  <c r="KV40" i="18"/>
  <c r="AI40" i="10"/>
  <c r="KW40" i="18"/>
  <c r="AJ40" i="10"/>
  <c r="JS40" i="18"/>
  <c r="F40" i="10"/>
  <c r="AK40" i="10"/>
  <c r="KY40" i="18"/>
  <c r="G40" i="11"/>
  <c r="KZ40" i="18"/>
  <c r="H40" i="11"/>
  <c r="LA40" i="18"/>
  <c r="I40" i="11"/>
  <c r="LB40" i="18"/>
  <c r="J40" i="11"/>
  <c r="LC40" i="18"/>
  <c r="K40" i="11"/>
  <c r="LD40" i="18"/>
  <c r="L40" i="11"/>
  <c r="LE40" i="18"/>
  <c r="M40" i="11"/>
  <c r="LF40" i="18"/>
  <c r="N40" i="11"/>
  <c r="LG40" i="18"/>
  <c r="O40" i="11"/>
  <c r="LH40" i="18"/>
  <c r="P40" i="11"/>
  <c r="LI40" i="18"/>
  <c r="Q40" i="11"/>
  <c r="LJ40" i="18"/>
  <c r="R40" i="11"/>
  <c r="LK40" i="18"/>
  <c r="S40" i="11"/>
  <c r="LL40" i="18"/>
  <c r="T40" i="11"/>
  <c r="LM40" i="18"/>
  <c r="U40" i="11"/>
  <c r="LN40" i="18"/>
  <c r="V40" i="11"/>
  <c r="LO40" i="18"/>
  <c r="W40" i="11"/>
  <c r="LP40" i="18"/>
  <c r="X40" i="11"/>
  <c r="LQ40" i="18"/>
  <c r="Y40" i="11"/>
  <c r="LR40" i="18"/>
  <c r="Z40" i="11"/>
  <c r="LS40" i="18"/>
  <c r="AA40" i="11"/>
  <c r="LT40" i="18"/>
  <c r="AB40" i="11"/>
  <c r="LU40" i="18"/>
  <c r="AC40" i="11"/>
  <c r="LV40" i="18"/>
  <c r="AD40" i="11"/>
  <c r="LW40" i="18"/>
  <c r="AE40" i="11"/>
  <c r="LX40" i="18"/>
  <c r="AF40" i="11"/>
  <c r="LY40" i="18"/>
  <c r="AG40" i="11"/>
  <c r="LZ40" i="18"/>
  <c r="AH40" i="11"/>
  <c r="MA40" i="18"/>
  <c r="AI40" i="11"/>
  <c r="KX40" i="18"/>
  <c r="F40" i="11"/>
  <c r="AK40" i="11"/>
  <c r="MC40" i="18"/>
  <c r="G40" i="12"/>
  <c r="MD40" i="18"/>
  <c r="H40" i="12"/>
  <c r="ME40" i="18"/>
  <c r="I40" i="12"/>
  <c r="MF40" i="18"/>
  <c r="J40" i="12"/>
  <c r="MG40" i="18"/>
  <c r="K40" i="12"/>
  <c r="MH40" i="18"/>
  <c r="L40" i="12"/>
  <c r="MI40" i="18"/>
  <c r="M40" i="12"/>
  <c r="MJ40" i="18"/>
  <c r="N40" i="12"/>
  <c r="MK40" i="18"/>
  <c r="O40" i="12"/>
  <c r="ML40" i="18"/>
  <c r="P40" i="12"/>
  <c r="MM40" i="18"/>
  <c r="Q40" i="12"/>
  <c r="MN40" i="18"/>
  <c r="R40" i="12"/>
  <c r="MO40" i="18"/>
  <c r="S40" i="12"/>
  <c r="MP40" i="18"/>
  <c r="T40" i="12"/>
  <c r="MQ40" i="18"/>
  <c r="U40" i="12"/>
  <c r="MR40" i="18"/>
  <c r="V40" i="12"/>
  <c r="MS40" i="18"/>
  <c r="W40" i="12"/>
  <c r="MT40" i="18"/>
  <c r="X40" i="12"/>
  <c r="MU40" i="18"/>
  <c r="Y40" i="12"/>
  <c r="MV40" i="18"/>
  <c r="Z40" i="12"/>
  <c r="MW40" i="18"/>
  <c r="AA40" i="12"/>
  <c r="MX40" i="18"/>
  <c r="AB40" i="12"/>
  <c r="MY40" i="18"/>
  <c r="AC40" i="12"/>
  <c r="MZ40" i="18"/>
  <c r="AD40" i="12"/>
  <c r="NA40" i="18"/>
  <c r="AE40" i="12"/>
  <c r="NB40" i="18"/>
  <c r="AF40" i="12"/>
  <c r="NC40" i="18"/>
  <c r="AG40" i="12"/>
  <c r="ND40" i="18"/>
  <c r="AH40" i="12"/>
  <c r="NE40" i="18"/>
  <c r="AI40" i="12"/>
  <c r="NF40" i="18"/>
  <c r="AJ40" i="12"/>
  <c r="MB40" i="18"/>
  <c r="F40" i="12"/>
  <c r="AK40" i="12"/>
  <c r="P36" i="13"/>
  <c r="G39" i="18"/>
  <c r="H39" i="18"/>
  <c r="I39" i="18"/>
  <c r="J39" i="18"/>
  <c r="K39" i="18"/>
  <c r="L39" i="18"/>
  <c r="M39" i="18"/>
  <c r="N39" i="18"/>
  <c r="O39" i="18"/>
  <c r="P39" i="18"/>
  <c r="Q39" i="18"/>
  <c r="R39" i="18"/>
  <c r="S39" i="18"/>
  <c r="T39" i="18"/>
  <c r="U39" i="18"/>
  <c r="V39" i="18"/>
  <c r="W39" i="18"/>
  <c r="X39" i="18"/>
  <c r="Y39" i="18"/>
  <c r="Z39" i="18"/>
  <c r="AA39" i="18"/>
  <c r="AB39" i="18"/>
  <c r="AC39" i="18"/>
  <c r="AD39" i="18"/>
  <c r="AE39" i="18"/>
  <c r="AF39" i="18"/>
  <c r="AG39" i="18"/>
  <c r="AH39" i="18"/>
  <c r="AI39" i="18"/>
  <c r="AJ39" i="18"/>
  <c r="F39" i="18"/>
  <c r="AL39" i="18"/>
  <c r="G39" i="2"/>
  <c r="AM39" i="18"/>
  <c r="H39" i="2"/>
  <c r="AN39" i="18"/>
  <c r="I39" i="2"/>
  <c r="AO39" i="18"/>
  <c r="J39" i="2"/>
  <c r="AP39" i="18"/>
  <c r="K39" i="2"/>
  <c r="AQ39" i="18"/>
  <c r="L39" i="2"/>
  <c r="AR39" i="18"/>
  <c r="M39" i="2"/>
  <c r="AS39" i="18"/>
  <c r="N39" i="2"/>
  <c r="AT39" i="18"/>
  <c r="O39" i="2"/>
  <c r="AU39" i="18"/>
  <c r="P39" i="2"/>
  <c r="AV39" i="18"/>
  <c r="Q39" i="2"/>
  <c r="AW39" i="18"/>
  <c r="R39" i="2"/>
  <c r="AX39" i="18"/>
  <c r="S39" i="2"/>
  <c r="AY39" i="18"/>
  <c r="T39" i="2"/>
  <c r="AZ39" i="18"/>
  <c r="U39" i="2"/>
  <c r="BA39" i="18"/>
  <c r="V39" i="2"/>
  <c r="BB39" i="18"/>
  <c r="W39" i="2"/>
  <c r="BC39" i="18"/>
  <c r="X39" i="2"/>
  <c r="BD39" i="18"/>
  <c r="Y39" i="2"/>
  <c r="BE39" i="18"/>
  <c r="Z39" i="2"/>
  <c r="BF39" i="18"/>
  <c r="AA39" i="2"/>
  <c r="BG39" i="18"/>
  <c r="AB39" i="2"/>
  <c r="BH39" i="18"/>
  <c r="AC39" i="2"/>
  <c r="BI39" i="18"/>
  <c r="AD39" i="2"/>
  <c r="BJ39" i="18"/>
  <c r="AE39" i="2"/>
  <c r="BK39" i="18"/>
  <c r="AF39" i="2"/>
  <c r="BL39" i="18"/>
  <c r="AG39" i="2"/>
  <c r="AI39" i="2"/>
  <c r="AK39" i="18"/>
  <c r="F39" i="2"/>
  <c r="AJ39" i="2"/>
  <c r="BN39" i="18"/>
  <c r="G39" i="3"/>
  <c r="BO39" i="18"/>
  <c r="H39" i="3"/>
  <c r="BP39" i="18"/>
  <c r="I39" i="3"/>
  <c r="BQ39" i="18"/>
  <c r="J39" i="3"/>
  <c r="BR39" i="18"/>
  <c r="K39" i="3"/>
  <c r="BS39" i="18"/>
  <c r="L39" i="3"/>
  <c r="BT39" i="18"/>
  <c r="M39" i="3"/>
  <c r="BU39" i="18"/>
  <c r="N39" i="3"/>
  <c r="BV39" i="18"/>
  <c r="O39" i="3"/>
  <c r="BW39" i="18"/>
  <c r="P39" i="3"/>
  <c r="BX39" i="18"/>
  <c r="Q39" i="3"/>
  <c r="BY39" i="18"/>
  <c r="R39" i="3"/>
  <c r="BZ39" i="18"/>
  <c r="S39" i="3"/>
  <c r="CA39" i="18"/>
  <c r="T39" i="3"/>
  <c r="CB39" i="18"/>
  <c r="U39" i="3"/>
  <c r="CC39" i="18"/>
  <c r="V39" i="3"/>
  <c r="CD39" i="18"/>
  <c r="W39" i="3"/>
  <c r="CE39" i="18"/>
  <c r="X39" i="3"/>
  <c r="CF39" i="18"/>
  <c r="Y39" i="3"/>
  <c r="CG39" i="18"/>
  <c r="Z39" i="3"/>
  <c r="CH39" i="18"/>
  <c r="AA39" i="3"/>
  <c r="CI39" i="18"/>
  <c r="AB39" i="3"/>
  <c r="CJ39" i="18"/>
  <c r="AC39" i="3"/>
  <c r="CK39" i="18"/>
  <c r="AD39" i="3"/>
  <c r="CL39" i="18"/>
  <c r="AE39" i="3"/>
  <c r="CM39" i="18"/>
  <c r="AF39" i="3"/>
  <c r="CN39" i="18"/>
  <c r="AG39" i="3"/>
  <c r="CO39" i="18"/>
  <c r="AH39" i="3"/>
  <c r="CP39" i="18"/>
  <c r="AI39" i="3"/>
  <c r="CQ39" i="18"/>
  <c r="AJ39" i="3"/>
  <c r="BM39" i="18"/>
  <c r="F39" i="3"/>
  <c r="AK39" i="3"/>
  <c r="CS39" i="18"/>
  <c r="G39" i="4"/>
  <c r="CT39" i="18"/>
  <c r="H39" i="4"/>
  <c r="CU39" i="18"/>
  <c r="I39" i="4"/>
  <c r="CV39" i="18"/>
  <c r="J39" i="4"/>
  <c r="CW39" i="18"/>
  <c r="K39" i="4"/>
  <c r="CX39" i="18"/>
  <c r="L39" i="4"/>
  <c r="CY39" i="18"/>
  <c r="M39" i="4"/>
  <c r="CZ39" i="18"/>
  <c r="N39" i="4"/>
  <c r="DA39" i="18"/>
  <c r="O39" i="4"/>
  <c r="DB39" i="18"/>
  <c r="P39" i="4"/>
  <c r="DC39" i="18"/>
  <c r="Q39" i="4"/>
  <c r="DD39" i="18"/>
  <c r="R39" i="4"/>
  <c r="DE39" i="18"/>
  <c r="S39" i="4"/>
  <c r="DF39" i="18"/>
  <c r="T39" i="4"/>
  <c r="DG39" i="18"/>
  <c r="U39" i="4"/>
  <c r="DH39" i="18"/>
  <c r="V39" i="4"/>
  <c r="DI39" i="18"/>
  <c r="W39" i="4"/>
  <c r="DJ39" i="18"/>
  <c r="X39" i="4"/>
  <c r="DK39" i="18"/>
  <c r="Y39" i="4"/>
  <c r="DL39" i="18"/>
  <c r="Z39" i="4"/>
  <c r="DM39" i="18"/>
  <c r="AA39" i="4"/>
  <c r="DN39" i="18"/>
  <c r="AB39" i="4"/>
  <c r="DO39" i="18"/>
  <c r="AC39" i="4"/>
  <c r="DP39" i="18"/>
  <c r="AD39" i="4"/>
  <c r="DQ39" i="18"/>
  <c r="AE39" i="4"/>
  <c r="DR39" i="18"/>
  <c r="AF39" i="4"/>
  <c r="DS39" i="18"/>
  <c r="AG39" i="4"/>
  <c r="DT39" i="18"/>
  <c r="AH39" i="4"/>
  <c r="DU39" i="18"/>
  <c r="AI39" i="4"/>
  <c r="CR39" i="18"/>
  <c r="F39" i="4"/>
  <c r="AK39" i="4"/>
  <c r="DW39" i="18"/>
  <c r="G39" i="5"/>
  <c r="DX39" i="18"/>
  <c r="H39" i="5"/>
  <c r="DY39" i="18"/>
  <c r="I39" i="5"/>
  <c r="DZ39" i="18"/>
  <c r="J39" i="5"/>
  <c r="EA39" i="18"/>
  <c r="K39" i="5"/>
  <c r="EB39" i="18"/>
  <c r="L39" i="5"/>
  <c r="EC39" i="18"/>
  <c r="M39" i="5"/>
  <c r="ED39" i="18"/>
  <c r="N39" i="5"/>
  <c r="EE39" i="18"/>
  <c r="O39" i="5"/>
  <c r="EF39" i="18"/>
  <c r="P39" i="5"/>
  <c r="EG39" i="18"/>
  <c r="Q39" i="5"/>
  <c r="EH39" i="18"/>
  <c r="R39" i="5"/>
  <c r="EI39" i="18"/>
  <c r="S39" i="5"/>
  <c r="EJ39" i="18"/>
  <c r="T39" i="5"/>
  <c r="EK39" i="18"/>
  <c r="U39" i="5"/>
  <c r="EL39" i="18"/>
  <c r="V39" i="5"/>
  <c r="EM39" i="18"/>
  <c r="W39" i="5"/>
  <c r="EN39" i="18"/>
  <c r="X39" i="5"/>
  <c r="EO39" i="18"/>
  <c r="Y39" i="5"/>
  <c r="EP39" i="18"/>
  <c r="Z39" i="5"/>
  <c r="EQ39" i="18"/>
  <c r="AA39" i="5"/>
  <c r="ER39" i="18"/>
  <c r="AB39" i="5"/>
  <c r="ES39" i="18"/>
  <c r="AC39" i="5"/>
  <c r="ET39" i="18"/>
  <c r="AD39" i="5"/>
  <c r="EU39" i="18"/>
  <c r="AE39" i="5"/>
  <c r="EV39" i="18"/>
  <c r="AF39" i="5"/>
  <c r="EW39" i="18"/>
  <c r="AG39" i="5"/>
  <c r="EX39" i="18"/>
  <c r="AH39" i="5"/>
  <c r="EY39" i="18"/>
  <c r="AI39" i="5"/>
  <c r="EZ39" i="18"/>
  <c r="AJ39" i="5"/>
  <c r="DV39" i="18"/>
  <c r="F39" i="5"/>
  <c r="AK39" i="5"/>
  <c r="FB39" i="18"/>
  <c r="G39" i="6"/>
  <c r="FC39" i="18"/>
  <c r="H39" i="6"/>
  <c r="FD39" i="18"/>
  <c r="I39" i="6"/>
  <c r="FE39" i="18"/>
  <c r="J39" i="6"/>
  <c r="FF39" i="18"/>
  <c r="K39" i="6"/>
  <c r="FG39" i="18"/>
  <c r="L39" i="6"/>
  <c r="FH39" i="18"/>
  <c r="M39" i="6"/>
  <c r="FI39" i="18"/>
  <c r="N39" i="6"/>
  <c r="FJ39" i="18"/>
  <c r="O39" i="6"/>
  <c r="FK39" i="18"/>
  <c r="P39" i="6"/>
  <c r="FL39" i="18"/>
  <c r="Q39" i="6"/>
  <c r="FM39" i="18"/>
  <c r="R39" i="6"/>
  <c r="FN39" i="18"/>
  <c r="S39" i="6"/>
  <c r="FO39" i="18"/>
  <c r="T39" i="6"/>
  <c r="FP39" i="18"/>
  <c r="U39" i="6"/>
  <c r="FQ39" i="18"/>
  <c r="V39" i="6"/>
  <c r="FR39" i="18"/>
  <c r="W39" i="6"/>
  <c r="FS39" i="18"/>
  <c r="X39" i="6"/>
  <c r="FT39" i="18"/>
  <c r="Y39" i="6"/>
  <c r="FU39" i="18"/>
  <c r="Z39" i="6"/>
  <c r="FV39" i="18"/>
  <c r="AA39" i="6"/>
  <c r="FW39" i="18"/>
  <c r="AB39" i="6"/>
  <c r="FX39" i="18"/>
  <c r="AC39" i="6"/>
  <c r="FY39" i="18"/>
  <c r="AD39" i="6"/>
  <c r="FZ39" i="18"/>
  <c r="AE39" i="6"/>
  <c r="GA39" i="18"/>
  <c r="AF39" i="6"/>
  <c r="GB39" i="18"/>
  <c r="AG39" i="6"/>
  <c r="GC39" i="18"/>
  <c r="AH39" i="6"/>
  <c r="GD39" i="18"/>
  <c r="AI39" i="6"/>
  <c r="FA39" i="18"/>
  <c r="F39" i="6"/>
  <c r="AK39" i="6"/>
  <c r="GF39" i="18"/>
  <c r="G39" i="7"/>
  <c r="GG39" i="18"/>
  <c r="H39" i="7"/>
  <c r="GH39" i="18"/>
  <c r="I39" i="7"/>
  <c r="GI39" i="18"/>
  <c r="J39" i="7"/>
  <c r="GJ39" i="18"/>
  <c r="K39" i="7"/>
  <c r="GK39" i="18"/>
  <c r="L39" i="7"/>
  <c r="GL39" i="18"/>
  <c r="M39" i="7"/>
  <c r="GM39" i="18"/>
  <c r="N39" i="7"/>
  <c r="GN39" i="18"/>
  <c r="O39" i="7"/>
  <c r="GO39" i="18"/>
  <c r="P39" i="7"/>
  <c r="GP39" i="18"/>
  <c r="Q39" i="7"/>
  <c r="GQ39" i="18"/>
  <c r="R39" i="7"/>
  <c r="GR39" i="18"/>
  <c r="S39" i="7"/>
  <c r="GS39" i="18"/>
  <c r="T39" i="7"/>
  <c r="GT39" i="18"/>
  <c r="U39" i="7"/>
  <c r="GU39" i="18"/>
  <c r="V39" i="7"/>
  <c r="GV39" i="18"/>
  <c r="W39" i="7"/>
  <c r="GW39" i="18"/>
  <c r="X39" i="7"/>
  <c r="GX39" i="18"/>
  <c r="Y39" i="7"/>
  <c r="GY39" i="18"/>
  <c r="Z39" i="7"/>
  <c r="GZ39" i="18"/>
  <c r="AA39" i="7"/>
  <c r="HA39" i="18"/>
  <c r="AB39" i="7"/>
  <c r="HB39" i="18"/>
  <c r="AC39" i="7"/>
  <c r="HC39" i="18"/>
  <c r="AD39" i="7"/>
  <c r="HD39" i="18"/>
  <c r="AE39" i="7"/>
  <c r="HE39" i="18"/>
  <c r="AF39" i="7"/>
  <c r="HF39" i="18"/>
  <c r="AG39" i="7"/>
  <c r="HG39" i="18"/>
  <c r="AH39" i="7"/>
  <c r="HH39" i="18"/>
  <c r="AI39" i="7"/>
  <c r="HI39" i="18"/>
  <c r="AJ39" i="7"/>
  <c r="GE39" i="18"/>
  <c r="F39" i="7"/>
  <c r="AK39" i="7"/>
  <c r="HK39" i="18"/>
  <c r="G39" i="8"/>
  <c r="HL39" i="18"/>
  <c r="H39" i="8"/>
  <c r="HM39" i="18"/>
  <c r="I39" i="8"/>
  <c r="HN39" i="18"/>
  <c r="J39" i="8"/>
  <c r="HO39" i="18"/>
  <c r="K39" i="8"/>
  <c r="HP39" i="18"/>
  <c r="L39" i="8"/>
  <c r="HQ39" i="18"/>
  <c r="M39" i="8"/>
  <c r="HR39" i="18"/>
  <c r="N39" i="8"/>
  <c r="HS39" i="18"/>
  <c r="O39" i="8"/>
  <c r="HT39" i="18"/>
  <c r="P39" i="8"/>
  <c r="HU39" i="18"/>
  <c r="Q39" i="8"/>
  <c r="HV39" i="18"/>
  <c r="R39" i="8"/>
  <c r="HW39" i="18"/>
  <c r="S39" i="8"/>
  <c r="HX39" i="18"/>
  <c r="T39" i="8"/>
  <c r="HY39" i="18"/>
  <c r="U39" i="8"/>
  <c r="HZ39" i="18"/>
  <c r="V39" i="8"/>
  <c r="IA39" i="18"/>
  <c r="W39" i="8"/>
  <c r="IB39" i="18"/>
  <c r="X39" i="8"/>
  <c r="IC39" i="18"/>
  <c r="Y39" i="8"/>
  <c r="ID39" i="18"/>
  <c r="Z39" i="8"/>
  <c r="IE39" i="18"/>
  <c r="AA39" i="8"/>
  <c r="IF39" i="18"/>
  <c r="AB39" i="8"/>
  <c r="IG39" i="18"/>
  <c r="AC39" i="8"/>
  <c r="IH39" i="18"/>
  <c r="AD39" i="8"/>
  <c r="II39" i="18"/>
  <c r="AE39" i="8"/>
  <c r="IJ39" i="18"/>
  <c r="AF39" i="8"/>
  <c r="IK39" i="18"/>
  <c r="AG39" i="8"/>
  <c r="IL39" i="18"/>
  <c r="AH39" i="8"/>
  <c r="IM39" i="18"/>
  <c r="AI39" i="8"/>
  <c r="IN39" i="18"/>
  <c r="AJ39" i="8"/>
  <c r="HJ39" i="18"/>
  <c r="F39" i="8"/>
  <c r="AK39" i="8"/>
  <c r="IP39" i="18"/>
  <c r="G39" i="9"/>
  <c r="IQ39" i="18"/>
  <c r="H39" i="9"/>
  <c r="IR39" i="18"/>
  <c r="I39" i="9"/>
  <c r="IS39" i="18"/>
  <c r="J39" i="9"/>
  <c r="IT39" i="18"/>
  <c r="K39" i="9"/>
  <c r="IU39" i="18"/>
  <c r="L39" i="9"/>
  <c r="IV39" i="18"/>
  <c r="M39" i="9"/>
  <c r="IW39" i="18"/>
  <c r="N39" i="9"/>
  <c r="IX39" i="18"/>
  <c r="O39" i="9"/>
  <c r="IY39" i="18"/>
  <c r="P39" i="9"/>
  <c r="IZ39" i="18"/>
  <c r="Q39" i="9"/>
  <c r="JA39" i="18"/>
  <c r="R39" i="9"/>
  <c r="JB39" i="18"/>
  <c r="S39" i="9"/>
  <c r="JC39" i="18"/>
  <c r="T39" i="9"/>
  <c r="JD39" i="18"/>
  <c r="U39" i="9"/>
  <c r="JE39" i="18"/>
  <c r="V39" i="9"/>
  <c r="JF39" i="18"/>
  <c r="W39" i="9"/>
  <c r="JG39" i="18"/>
  <c r="X39" i="9"/>
  <c r="JH39" i="18"/>
  <c r="Y39" i="9"/>
  <c r="JI39" i="18"/>
  <c r="Z39" i="9"/>
  <c r="JJ39" i="18"/>
  <c r="AA39" i="9"/>
  <c r="JK39" i="18"/>
  <c r="AB39" i="9"/>
  <c r="JL39" i="18"/>
  <c r="AC39" i="9"/>
  <c r="JM39" i="18"/>
  <c r="AD39" i="9"/>
  <c r="JN39" i="18"/>
  <c r="AE39" i="9"/>
  <c r="JO39" i="18"/>
  <c r="AF39" i="9"/>
  <c r="JP39" i="18"/>
  <c r="AG39" i="9"/>
  <c r="JQ39" i="18"/>
  <c r="AH39" i="9"/>
  <c r="JR39" i="18"/>
  <c r="AI39" i="9"/>
  <c r="IO39" i="18"/>
  <c r="F39" i="9"/>
  <c r="AK39" i="9"/>
  <c r="JT39" i="18"/>
  <c r="G39" i="10"/>
  <c r="JU39" i="18"/>
  <c r="H39" i="10"/>
  <c r="JV39" i="18"/>
  <c r="I39" i="10"/>
  <c r="JW39" i="18"/>
  <c r="J39" i="10"/>
  <c r="JX39" i="18"/>
  <c r="K39" i="10"/>
  <c r="JY39" i="18"/>
  <c r="L39" i="10"/>
  <c r="JZ39" i="18"/>
  <c r="M39" i="10"/>
  <c r="KA39" i="18"/>
  <c r="N39" i="10"/>
  <c r="KB39" i="18"/>
  <c r="O39" i="10"/>
  <c r="KC39" i="18"/>
  <c r="P39" i="10"/>
  <c r="KD39" i="18"/>
  <c r="Q39" i="10"/>
  <c r="KE39" i="18"/>
  <c r="R39" i="10"/>
  <c r="KF39" i="18"/>
  <c r="S39" i="10"/>
  <c r="KG39" i="18"/>
  <c r="T39" i="10"/>
  <c r="KH39" i="18"/>
  <c r="U39" i="10"/>
  <c r="KI39" i="18"/>
  <c r="V39" i="10"/>
  <c r="KJ39" i="18"/>
  <c r="W39" i="10"/>
  <c r="KK39" i="18"/>
  <c r="X39" i="10"/>
  <c r="KL39" i="18"/>
  <c r="Y39" i="10"/>
  <c r="KM39" i="18"/>
  <c r="Z39" i="10"/>
  <c r="KN39" i="18"/>
  <c r="AA39" i="10"/>
  <c r="KO39" i="18"/>
  <c r="AB39" i="10"/>
  <c r="KP39" i="18"/>
  <c r="AC39" i="10"/>
  <c r="KQ39" i="18"/>
  <c r="AD39" i="10"/>
  <c r="KR39" i="18"/>
  <c r="AE39" i="10"/>
  <c r="KS39" i="18"/>
  <c r="AF39" i="10"/>
  <c r="KT39" i="18"/>
  <c r="AG39" i="10"/>
  <c r="KU39" i="18"/>
  <c r="AH39" i="10"/>
  <c r="KV39" i="18"/>
  <c r="AI39" i="10"/>
  <c r="KW39" i="18"/>
  <c r="AJ39" i="10"/>
  <c r="JS39" i="18"/>
  <c r="F39" i="10"/>
  <c r="AK39" i="10"/>
  <c r="KY39" i="18"/>
  <c r="G39" i="11"/>
  <c r="KZ39" i="18"/>
  <c r="H39" i="11"/>
  <c r="LA39" i="18"/>
  <c r="I39" i="11"/>
  <c r="LB39" i="18"/>
  <c r="J39" i="11"/>
  <c r="LC39" i="18"/>
  <c r="K39" i="11"/>
  <c r="LD39" i="18"/>
  <c r="L39" i="11"/>
  <c r="LE39" i="18"/>
  <c r="M39" i="11"/>
  <c r="LF39" i="18"/>
  <c r="N39" i="11"/>
  <c r="LG39" i="18"/>
  <c r="O39" i="11"/>
  <c r="LH39" i="18"/>
  <c r="P39" i="11"/>
  <c r="LI39" i="18"/>
  <c r="Q39" i="11"/>
  <c r="LJ39" i="18"/>
  <c r="R39" i="11"/>
  <c r="LK39" i="18"/>
  <c r="S39" i="11"/>
  <c r="LL39" i="18"/>
  <c r="T39" i="11"/>
  <c r="LM39" i="18"/>
  <c r="U39" i="11"/>
  <c r="LN39" i="18"/>
  <c r="V39" i="11"/>
  <c r="LO39" i="18"/>
  <c r="W39" i="11"/>
  <c r="LP39" i="18"/>
  <c r="X39" i="11"/>
  <c r="LQ39" i="18"/>
  <c r="Y39" i="11"/>
  <c r="LR39" i="18"/>
  <c r="Z39" i="11"/>
  <c r="LS39" i="18"/>
  <c r="AA39" i="11"/>
  <c r="LT39" i="18"/>
  <c r="AB39" i="11"/>
  <c r="LU39" i="18"/>
  <c r="AC39" i="11"/>
  <c r="LV39" i="18"/>
  <c r="AD39" i="11"/>
  <c r="LW39" i="18"/>
  <c r="AE39" i="11"/>
  <c r="LX39" i="18"/>
  <c r="AF39" i="11"/>
  <c r="LY39" i="18"/>
  <c r="AG39" i="11"/>
  <c r="LZ39" i="18"/>
  <c r="AH39" i="11"/>
  <c r="MA39" i="18"/>
  <c r="AI39" i="11"/>
  <c r="KX39" i="18"/>
  <c r="F39" i="11"/>
  <c r="AK39" i="11"/>
  <c r="MC39" i="18"/>
  <c r="G39" i="12"/>
  <c r="MD39" i="18"/>
  <c r="H39" i="12"/>
  <c r="ME39" i="18"/>
  <c r="I39" i="12"/>
  <c r="MF39" i="18"/>
  <c r="J39" i="12"/>
  <c r="MG39" i="18"/>
  <c r="K39" i="12"/>
  <c r="MH39" i="18"/>
  <c r="L39" i="12"/>
  <c r="MI39" i="18"/>
  <c r="M39" i="12"/>
  <c r="MJ39" i="18"/>
  <c r="N39" i="12"/>
  <c r="MK39" i="18"/>
  <c r="O39" i="12"/>
  <c r="ML39" i="18"/>
  <c r="P39" i="12"/>
  <c r="MM39" i="18"/>
  <c r="Q39" i="12"/>
  <c r="MN39" i="18"/>
  <c r="R39" i="12"/>
  <c r="MO39" i="18"/>
  <c r="S39" i="12"/>
  <c r="MP39" i="18"/>
  <c r="T39" i="12"/>
  <c r="MQ39" i="18"/>
  <c r="U39" i="12"/>
  <c r="MR39" i="18"/>
  <c r="V39" i="12"/>
  <c r="MS39" i="18"/>
  <c r="W39" i="12"/>
  <c r="MT39" i="18"/>
  <c r="X39" i="12"/>
  <c r="MU39" i="18"/>
  <c r="Y39" i="12"/>
  <c r="MV39" i="18"/>
  <c r="Z39" i="12"/>
  <c r="MW39" i="18"/>
  <c r="AA39" i="12"/>
  <c r="MX39" i="18"/>
  <c r="AB39" i="12"/>
  <c r="MY39" i="18"/>
  <c r="AC39" i="12"/>
  <c r="MZ39" i="18"/>
  <c r="AD39" i="12"/>
  <c r="NA39" i="18"/>
  <c r="AE39" i="12"/>
  <c r="NB39" i="18"/>
  <c r="AF39" i="12"/>
  <c r="NC39" i="18"/>
  <c r="AG39" i="12"/>
  <c r="ND39" i="18"/>
  <c r="AH39" i="12"/>
  <c r="NE39" i="18"/>
  <c r="AI39" i="12"/>
  <c r="NF39" i="18"/>
  <c r="AJ39" i="12"/>
  <c r="MB39" i="18"/>
  <c r="F39" i="12"/>
  <c r="AK39" i="12"/>
  <c r="P35" i="13"/>
  <c r="G38" i="18"/>
  <c r="H38" i="18"/>
  <c r="I38" i="18"/>
  <c r="J38" i="18"/>
  <c r="K38" i="18"/>
  <c r="L38" i="18"/>
  <c r="M38" i="18"/>
  <c r="N38" i="18"/>
  <c r="O38" i="18"/>
  <c r="P38" i="18"/>
  <c r="Q38" i="18"/>
  <c r="R38" i="18"/>
  <c r="S38" i="18"/>
  <c r="T38" i="18"/>
  <c r="U38" i="18"/>
  <c r="V38" i="18"/>
  <c r="W38" i="18"/>
  <c r="X38" i="18"/>
  <c r="Y38" i="18"/>
  <c r="Z38" i="18"/>
  <c r="AA38" i="18"/>
  <c r="AB38" i="18"/>
  <c r="AC38" i="18"/>
  <c r="AD38" i="18"/>
  <c r="AE38" i="18"/>
  <c r="AF38" i="18"/>
  <c r="AG38" i="18"/>
  <c r="AH38" i="18"/>
  <c r="AI38" i="18"/>
  <c r="AJ38" i="18"/>
  <c r="F38" i="18"/>
  <c r="AL38" i="18"/>
  <c r="G38" i="2"/>
  <c r="AM38" i="18"/>
  <c r="H38" i="2"/>
  <c r="AN38" i="18"/>
  <c r="I38" i="2"/>
  <c r="AO38" i="18"/>
  <c r="J38" i="2"/>
  <c r="AP38" i="18"/>
  <c r="K38" i="2"/>
  <c r="AQ38" i="18"/>
  <c r="L38" i="2"/>
  <c r="AR38" i="18"/>
  <c r="M38" i="2"/>
  <c r="AS38" i="18"/>
  <c r="N38" i="2"/>
  <c r="AT38" i="18"/>
  <c r="O38" i="2"/>
  <c r="AU38" i="18"/>
  <c r="P38" i="2"/>
  <c r="AV38" i="18"/>
  <c r="Q38" i="2"/>
  <c r="AW38" i="18"/>
  <c r="R38" i="2"/>
  <c r="AX38" i="18"/>
  <c r="S38" i="2"/>
  <c r="AY38" i="18"/>
  <c r="T38" i="2"/>
  <c r="AZ38" i="18"/>
  <c r="U38" i="2"/>
  <c r="BA38" i="18"/>
  <c r="V38" i="2"/>
  <c r="BB38" i="18"/>
  <c r="W38" i="2"/>
  <c r="BC38" i="18"/>
  <c r="X38" i="2"/>
  <c r="BD38" i="18"/>
  <c r="Y38" i="2"/>
  <c r="BE38" i="18"/>
  <c r="Z38" i="2"/>
  <c r="BF38" i="18"/>
  <c r="AA38" i="2"/>
  <c r="BG38" i="18"/>
  <c r="AB38" i="2"/>
  <c r="BH38" i="18"/>
  <c r="AC38" i="2"/>
  <c r="BI38" i="18"/>
  <c r="AD38" i="2"/>
  <c r="BJ38" i="18"/>
  <c r="AE38" i="2"/>
  <c r="BK38" i="18"/>
  <c r="AF38" i="2"/>
  <c r="BL38" i="18"/>
  <c r="AG38" i="2"/>
  <c r="AI38" i="2"/>
  <c r="AK38" i="18"/>
  <c r="F38" i="2"/>
  <c r="AJ38" i="2"/>
  <c r="BN38" i="18"/>
  <c r="G38" i="3"/>
  <c r="BO38" i="18"/>
  <c r="H38" i="3"/>
  <c r="BP38" i="18"/>
  <c r="I38" i="3"/>
  <c r="BQ38" i="18"/>
  <c r="J38" i="3"/>
  <c r="BR38" i="18"/>
  <c r="K38" i="3"/>
  <c r="BS38" i="18"/>
  <c r="L38" i="3"/>
  <c r="BT38" i="18"/>
  <c r="M38" i="3"/>
  <c r="BU38" i="18"/>
  <c r="N38" i="3"/>
  <c r="BV38" i="18"/>
  <c r="O38" i="3"/>
  <c r="BW38" i="18"/>
  <c r="P38" i="3"/>
  <c r="BX38" i="18"/>
  <c r="Q38" i="3"/>
  <c r="BY38" i="18"/>
  <c r="R38" i="3"/>
  <c r="BZ38" i="18"/>
  <c r="S38" i="3"/>
  <c r="CA38" i="18"/>
  <c r="T38" i="3"/>
  <c r="CB38" i="18"/>
  <c r="U38" i="3"/>
  <c r="CC38" i="18"/>
  <c r="V38" i="3"/>
  <c r="CD38" i="18"/>
  <c r="W38" i="3"/>
  <c r="CE38" i="18"/>
  <c r="X38" i="3"/>
  <c r="CF38" i="18"/>
  <c r="Y38" i="3"/>
  <c r="CG38" i="18"/>
  <c r="Z38" i="3"/>
  <c r="CH38" i="18"/>
  <c r="AA38" i="3"/>
  <c r="CI38" i="18"/>
  <c r="AB38" i="3"/>
  <c r="CJ38" i="18"/>
  <c r="AC38" i="3"/>
  <c r="CK38" i="18"/>
  <c r="AD38" i="3"/>
  <c r="CL38" i="18"/>
  <c r="AE38" i="3"/>
  <c r="CM38" i="18"/>
  <c r="AF38" i="3"/>
  <c r="CN38" i="18"/>
  <c r="AG38" i="3"/>
  <c r="CO38" i="18"/>
  <c r="AH38" i="3"/>
  <c r="CP38" i="18"/>
  <c r="AI38" i="3"/>
  <c r="CQ38" i="18"/>
  <c r="AJ38" i="3"/>
  <c r="BM38" i="18"/>
  <c r="F38" i="3"/>
  <c r="AK38" i="3"/>
  <c r="CS38" i="18"/>
  <c r="G38" i="4"/>
  <c r="CT38" i="18"/>
  <c r="H38" i="4"/>
  <c r="CU38" i="18"/>
  <c r="I38" i="4"/>
  <c r="CV38" i="18"/>
  <c r="J38" i="4"/>
  <c r="CW38" i="18"/>
  <c r="K38" i="4"/>
  <c r="CX38" i="18"/>
  <c r="L38" i="4"/>
  <c r="CY38" i="18"/>
  <c r="M38" i="4"/>
  <c r="CZ38" i="18"/>
  <c r="N38" i="4"/>
  <c r="DA38" i="18"/>
  <c r="O38" i="4"/>
  <c r="DB38" i="18"/>
  <c r="P38" i="4"/>
  <c r="DC38" i="18"/>
  <c r="Q38" i="4"/>
  <c r="DD38" i="18"/>
  <c r="R38" i="4"/>
  <c r="DE38" i="18"/>
  <c r="S38" i="4"/>
  <c r="DF38" i="18"/>
  <c r="T38" i="4"/>
  <c r="DG38" i="18"/>
  <c r="U38" i="4"/>
  <c r="DH38" i="18"/>
  <c r="V38" i="4"/>
  <c r="DI38" i="18"/>
  <c r="W38" i="4"/>
  <c r="DJ38" i="18"/>
  <c r="X38" i="4"/>
  <c r="DK38" i="18"/>
  <c r="Y38" i="4"/>
  <c r="DL38" i="18"/>
  <c r="Z38" i="4"/>
  <c r="DM38" i="18"/>
  <c r="AA38" i="4"/>
  <c r="DN38" i="18"/>
  <c r="AB38" i="4"/>
  <c r="DO38" i="18"/>
  <c r="AC38" i="4"/>
  <c r="DP38" i="18"/>
  <c r="AD38" i="4"/>
  <c r="DQ38" i="18"/>
  <c r="AE38" i="4"/>
  <c r="DR38" i="18"/>
  <c r="AF38" i="4"/>
  <c r="DS38" i="18"/>
  <c r="AG38" i="4"/>
  <c r="DT38" i="18"/>
  <c r="AH38" i="4"/>
  <c r="DU38" i="18"/>
  <c r="AI38" i="4"/>
  <c r="CR38" i="18"/>
  <c r="F38" i="4"/>
  <c r="AK38" i="4"/>
  <c r="DW38" i="18"/>
  <c r="G38" i="5"/>
  <c r="DX38" i="18"/>
  <c r="H38" i="5"/>
  <c r="DY38" i="18"/>
  <c r="I38" i="5"/>
  <c r="DZ38" i="18"/>
  <c r="J38" i="5"/>
  <c r="EA38" i="18"/>
  <c r="K38" i="5"/>
  <c r="EB38" i="18"/>
  <c r="L38" i="5"/>
  <c r="EC38" i="18"/>
  <c r="M38" i="5"/>
  <c r="ED38" i="18"/>
  <c r="N38" i="5"/>
  <c r="EE38" i="18"/>
  <c r="O38" i="5"/>
  <c r="EF38" i="18"/>
  <c r="P38" i="5"/>
  <c r="EG38" i="18"/>
  <c r="Q38" i="5"/>
  <c r="EH38" i="18"/>
  <c r="R38" i="5"/>
  <c r="EI38" i="18"/>
  <c r="S38" i="5"/>
  <c r="EJ38" i="18"/>
  <c r="T38" i="5"/>
  <c r="EK38" i="18"/>
  <c r="U38" i="5"/>
  <c r="EL38" i="18"/>
  <c r="V38" i="5"/>
  <c r="EM38" i="18"/>
  <c r="W38" i="5"/>
  <c r="EN38" i="18"/>
  <c r="X38" i="5"/>
  <c r="EO38" i="18"/>
  <c r="Y38" i="5"/>
  <c r="EP38" i="18"/>
  <c r="Z38" i="5"/>
  <c r="EQ38" i="18"/>
  <c r="AA38" i="5"/>
  <c r="ER38" i="18"/>
  <c r="AB38" i="5"/>
  <c r="ES38" i="18"/>
  <c r="AC38" i="5"/>
  <c r="ET38" i="18"/>
  <c r="AD38" i="5"/>
  <c r="EU38" i="18"/>
  <c r="AE38" i="5"/>
  <c r="EV38" i="18"/>
  <c r="AF38" i="5"/>
  <c r="EW38" i="18"/>
  <c r="AG38" i="5"/>
  <c r="EX38" i="18"/>
  <c r="AH38" i="5"/>
  <c r="EY38" i="18"/>
  <c r="AI38" i="5"/>
  <c r="EZ38" i="18"/>
  <c r="AJ38" i="5"/>
  <c r="DV38" i="18"/>
  <c r="F38" i="5"/>
  <c r="AK38" i="5"/>
  <c r="FB38" i="18"/>
  <c r="G38" i="6"/>
  <c r="FC38" i="18"/>
  <c r="H38" i="6"/>
  <c r="FD38" i="18"/>
  <c r="I38" i="6"/>
  <c r="FE38" i="18"/>
  <c r="J38" i="6"/>
  <c r="FF38" i="18"/>
  <c r="K38" i="6"/>
  <c r="FG38" i="18"/>
  <c r="L38" i="6"/>
  <c r="FH38" i="18"/>
  <c r="M38" i="6"/>
  <c r="FI38" i="18"/>
  <c r="N38" i="6"/>
  <c r="FJ38" i="18"/>
  <c r="O38" i="6"/>
  <c r="FK38" i="18"/>
  <c r="P38" i="6"/>
  <c r="FL38" i="18"/>
  <c r="Q38" i="6"/>
  <c r="FM38" i="18"/>
  <c r="R38" i="6"/>
  <c r="FN38" i="18"/>
  <c r="S38" i="6"/>
  <c r="FO38" i="18"/>
  <c r="T38" i="6"/>
  <c r="FP38" i="18"/>
  <c r="U38" i="6"/>
  <c r="FQ38" i="18"/>
  <c r="V38" i="6"/>
  <c r="FR38" i="18"/>
  <c r="W38" i="6"/>
  <c r="FS38" i="18"/>
  <c r="X38" i="6"/>
  <c r="FT38" i="18"/>
  <c r="Y38" i="6"/>
  <c r="FU38" i="18"/>
  <c r="Z38" i="6"/>
  <c r="FV38" i="18"/>
  <c r="AA38" i="6"/>
  <c r="FW38" i="18"/>
  <c r="AB38" i="6"/>
  <c r="FX38" i="18"/>
  <c r="AC38" i="6"/>
  <c r="FY38" i="18"/>
  <c r="AD38" i="6"/>
  <c r="FZ38" i="18"/>
  <c r="AE38" i="6"/>
  <c r="GA38" i="18"/>
  <c r="AF38" i="6"/>
  <c r="GB38" i="18"/>
  <c r="AG38" i="6"/>
  <c r="GC38" i="18"/>
  <c r="AH38" i="6"/>
  <c r="GD38" i="18"/>
  <c r="AI38" i="6"/>
  <c r="FA38" i="18"/>
  <c r="F38" i="6"/>
  <c r="AK38" i="6"/>
  <c r="GF38" i="18"/>
  <c r="G38" i="7"/>
  <c r="GG38" i="18"/>
  <c r="H38" i="7"/>
  <c r="GH38" i="18"/>
  <c r="I38" i="7"/>
  <c r="GI38" i="18"/>
  <c r="J38" i="7"/>
  <c r="GJ38" i="18"/>
  <c r="K38" i="7"/>
  <c r="GK38" i="18"/>
  <c r="L38" i="7"/>
  <c r="GL38" i="18"/>
  <c r="M38" i="7"/>
  <c r="GM38" i="18"/>
  <c r="N38" i="7"/>
  <c r="GN38" i="18"/>
  <c r="O38" i="7"/>
  <c r="GO38" i="18"/>
  <c r="P38" i="7"/>
  <c r="GP38" i="18"/>
  <c r="Q38" i="7"/>
  <c r="GQ38" i="18"/>
  <c r="R38" i="7"/>
  <c r="GR38" i="18"/>
  <c r="S38" i="7"/>
  <c r="GS38" i="18"/>
  <c r="T38" i="7"/>
  <c r="GT38" i="18"/>
  <c r="U38" i="7"/>
  <c r="GU38" i="18"/>
  <c r="V38" i="7"/>
  <c r="GV38" i="18"/>
  <c r="W38" i="7"/>
  <c r="GW38" i="18"/>
  <c r="X38" i="7"/>
  <c r="GX38" i="18"/>
  <c r="Y38" i="7"/>
  <c r="GY38" i="18"/>
  <c r="Z38" i="7"/>
  <c r="GZ38" i="18"/>
  <c r="AA38" i="7"/>
  <c r="HA38" i="18"/>
  <c r="AB38" i="7"/>
  <c r="HB38" i="18"/>
  <c r="AC38" i="7"/>
  <c r="HC38" i="18"/>
  <c r="AD38" i="7"/>
  <c r="HD38" i="18"/>
  <c r="AE38" i="7"/>
  <c r="HE38" i="18"/>
  <c r="AF38" i="7"/>
  <c r="HF38" i="18"/>
  <c r="AG38" i="7"/>
  <c r="HG38" i="18"/>
  <c r="AH38" i="7"/>
  <c r="HH38" i="18"/>
  <c r="AI38" i="7"/>
  <c r="HI38" i="18"/>
  <c r="AJ38" i="7"/>
  <c r="GE38" i="18"/>
  <c r="F38" i="7"/>
  <c r="AK38" i="7"/>
  <c r="HK38" i="18"/>
  <c r="G38" i="8"/>
  <c r="HL38" i="18"/>
  <c r="H38" i="8"/>
  <c r="HM38" i="18"/>
  <c r="I38" i="8"/>
  <c r="HN38" i="18"/>
  <c r="J38" i="8"/>
  <c r="HO38" i="18"/>
  <c r="K38" i="8"/>
  <c r="HP38" i="18"/>
  <c r="L38" i="8"/>
  <c r="HQ38" i="18"/>
  <c r="M38" i="8"/>
  <c r="HR38" i="18"/>
  <c r="N38" i="8"/>
  <c r="HS38" i="18"/>
  <c r="O38" i="8"/>
  <c r="HT38" i="18"/>
  <c r="P38" i="8"/>
  <c r="HU38" i="18"/>
  <c r="Q38" i="8"/>
  <c r="HV38" i="18"/>
  <c r="R38" i="8"/>
  <c r="HW38" i="18"/>
  <c r="S38" i="8"/>
  <c r="HX38" i="18"/>
  <c r="T38" i="8"/>
  <c r="HY38" i="18"/>
  <c r="U38" i="8"/>
  <c r="HZ38" i="18"/>
  <c r="V38" i="8"/>
  <c r="IA38" i="18"/>
  <c r="W38" i="8"/>
  <c r="IB38" i="18"/>
  <c r="X38" i="8"/>
  <c r="IC38" i="18"/>
  <c r="Y38" i="8"/>
  <c r="ID38" i="18"/>
  <c r="Z38" i="8"/>
  <c r="IE38" i="18"/>
  <c r="AA38" i="8"/>
  <c r="IF38" i="18"/>
  <c r="AB38" i="8"/>
  <c r="IG38" i="18"/>
  <c r="AC38" i="8"/>
  <c r="IH38" i="18"/>
  <c r="AD38" i="8"/>
  <c r="II38" i="18"/>
  <c r="AE38" i="8"/>
  <c r="IJ38" i="18"/>
  <c r="AF38" i="8"/>
  <c r="IK38" i="18"/>
  <c r="AG38" i="8"/>
  <c r="IL38" i="18"/>
  <c r="AH38" i="8"/>
  <c r="IM38" i="18"/>
  <c r="AI38" i="8"/>
  <c r="IN38" i="18"/>
  <c r="AJ38" i="8"/>
  <c r="HJ38" i="18"/>
  <c r="F38" i="8"/>
  <c r="AK38" i="8"/>
  <c r="IP38" i="18"/>
  <c r="G38" i="9"/>
  <c r="IQ38" i="18"/>
  <c r="H38" i="9"/>
  <c r="IR38" i="18"/>
  <c r="I38" i="9"/>
  <c r="IS38" i="18"/>
  <c r="J38" i="9"/>
  <c r="IT38" i="18"/>
  <c r="K38" i="9"/>
  <c r="IU38" i="18"/>
  <c r="L38" i="9"/>
  <c r="IV38" i="18"/>
  <c r="M38" i="9"/>
  <c r="IW38" i="18"/>
  <c r="N38" i="9"/>
  <c r="IX38" i="18"/>
  <c r="O38" i="9"/>
  <c r="IY38" i="18"/>
  <c r="P38" i="9"/>
  <c r="IZ38" i="18"/>
  <c r="Q38" i="9"/>
  <c r="JA38" i="18"/>
  <c r="R38" i="9"/>
  <c r="JB38" i="18"/>
  <c r="S38" i="9"/>
  <c r="JC38" i="18"/>
  <c r="T38" i="9"/>
  <c r="JD38" i="18"/>
  <c r="U38" i="9"/>
  <c r="JE38" i="18"/>
  <c r="V38" i="9"/>
  <c r="JF38" i="18"/>
  <c r="W38" i="9"/>
  <c r="JG38" i="18"/>
  <c r="X38" i="9"/>
  <c r="JH38" i="18"/>
  <c r="Y38" i="9"/>
  <c r="JI38" i="18"/>
  <c r="Z38" i="9"/>
  <c r="JJ38" i="18"/>
  <c r="AA38" i="9"/>
  <c r="JK38" i="18"/>
  <c r="AB38" i="9"/>
  <c r="JL38" i="18"/>
  <c r="AC38" i="9"/>
  <c r="JM38" i="18"/>
  <c r="AD38" i="9"/>
  <c r="JN38" i="18"/>
  <c r="AE38" i="9"/>
  <c r="JO38" i="18"/>
  <c r="AF38" i="9"/>
  <c r="JP38" i="18"/>
  <c r="AG38" i="9"/>
  <c r="JQ38" i="18"/>
  <c r="AH38" i="9"/>
  <c r="JR38" i="18"/>
  <c r="AI38" i="9"/>
  <c r="IO38" i="18"/>
  <c r="F38" i="9"/>
  <c r="AK38" i="9"/>
  <c r="JT38" i="18"/>
  <c r="G38" i="10"/>
  <c r="JU38" i="18"/>
  <c r="H38" i="10"/>
  <c r="JV38" i="18"/>
  <c r="I38" i="10"/>
  <c r="JW38" i="18"/>
  <c r="J38" i="10"/>
  <c r="JX38" i="18"/>
  <c r="K38" i="10"/>
  <c r="JY38" i="18"/>
  <c r="L38" i="10"/>
  <c r="JZ38" i="18"/>
  <c r="M38" i="10"/>
  <c r="KA38" i="18"/>
  <c r="N38" i="10"/>
  <c r="KB38" i="18"/>
  <c r="O38" i="10"/>
  <c r="KC38" i="18"/>
  <c r="P38" i="10"/>
  <c r="KD38" i="18"/>
  <c r="Q38" i="10"/>
  <c r="KE38" i="18"/>
  <c r="R38" i="10"/>
  <c r="KF38" i="18"/>
  <c r="S38" i="10"/>
  <c r="KG38" i="18"/>
  <c r="T38" i="10"/>
  <c r="KH38" i="18"/>
  <c r="U38" i="10"/>
  <c r="KI38" i="18"/>
  <c r="V38" i="10"/>
  <c r="KJ38" i="18"/>
  <c r="W38" i="10"/>
  <c r="KK38" i="18"/>
  <c r="X38" i="10"/>
  <c r="KL38" i="18"/>
  <c r="Y38" i="10"/>
  <c r="KM38" i="18"/>
  <c r="Z38" i="10"/>
  <c r="KN38" i="18"/>
  <c r="AA38" i="10"/>
  <c r="KO38" i="18"/>
  <c r="AB38" i="10"/>
  <c r="KP38" i="18"/>
  <c r="AC38" i="10"/>
  <c r="KQ38" i="18"/>
  <c r="AD38" i="10"/>
  <c r="KR38" i="18"/>
  <c r="AE38" i="10"/>
  <c r="KS38" i="18"/>
  <c r="AF38" i="10"/>
  <c r="KT38" i="18"/>
  <c r="AG38" i="10"/>
  <c r="KU38" i="18"/>
  <c r="AH38" i="10"/>
  <c r="KV38" i="18"/>
  <c r="AI38" i="10"/>
  <c r="KW38" i="18"/>
  <c r="AJ38" i="10"/>
  <c r="JS38" i="18"/>
  <c r="F38" i="10"/>
  <c r="AK38" i="10"/>
  <c r="KY38" i="18"/>
  <c r="G38" i="11"/>
  <c r="KZ38" i="18"/>
  <c r="H38" i="11"/>
  <c r="LA38" i="18"/>
  <c r="I38" i="11"/>
  <c r="LB38" i="18"/>
  <c r="J38" i="11"/>
  <c r="LC38" i="18"/>
  <c r="K38" i="11"/>
  <c r="LD38" i="18"/>
  <c r="L38" i="11"/>
  <c r="LE38" i="18"/>
  <c r="M38" i="11"/>
  <c r="LF38" i="18"/>
  <c r="N38" i="11"/>
  <c r="LG38" i="18"/>
  <c r="O38" i="11"/>
  <c r="LH38" i="18"/>
  <c r="P38" i="11"/>
  <c r="LI38" i="18"/>
  <c r="Q38" i="11"/>
  <c r="LJ38" i="18"/>
  <c r="R38" i="11"/>
  <c r="LK38" i="18"/>
  <c r="S38" i="11"/>
  <c r="LL38" i="18"/>
  <c r="T38" i="11"/>
  <c r="LM38" i="18"/>
  <c r="U38" i="11"/>
  <c r="LN38" i="18"/>
  <c r="V38" i="11"/>
  <c r="LO38" i="18"/>
  <c r="W38" i="11"/>
  <c r="LP38" i="18"/>
  <c r="X38" i="11"/>
  <c r="LQ38" i="18"/>
  <c r="Y38" i="11"/>
  <c r="LR38" i="18"/>
  <c r="Z38" i="11"/>
  <c r="LS38" i="18"/>
  <c r="AA38" i="11"/>
  <c r="LT38" i="18"/>
  <c r="AB38" i="11"/>
  <c r="LU38" i="18"/>
  <c r="AC38" i="11"/>
  <c r="LV38" i="18"/>
  <c r="AD38" i="11"/>
  <c r="LW38" i="18"/>
  <c r="AE38" i="11"/>
  <c r="LX38" i="18"/>
  <c r="AF38" i="11"/>
  <c r="LY38" i="18"/>
  <c r="AG38" i="11"/>
  <c r="LZ38" i="18"/>
  <c r="AH38" i="11"/>
  <c r="MA38" i="18"/>
  <c r="AI38" i="11"/>
  <c r="KX38" i="18"/>
  <c r="F38" i="11"/>
  <c r="AK38" i="11"/>
  <c r="MC38" i="18"/>
  <c r="G38" i="12"/>
  <c r="MD38" i="18"/>
  <c r="H38" i="12"/>
  <c r="ME38" i="18"/>
  <c r="I38" i="12"/>
  <c r="MF38" i="18"/>
  <c r="J38" i="12"/>
  <c r="MG38" i="18"/>
  <c r="K38" i="12"/>
  <c r="MH38" i="18"/>
  <c r="L38" i="12"/>
  <c r="MI38" i="18"/>
  <c r="M38" i="12"/>
  <c r="MJ38" i="18"/>
  <c r="N38" i="12"/>
  <c r="MK38" i="18"/>
  <c r="O38" i="12"/>
  <c r="ML38" i="18"/>
  <c r="P38" i="12"/>
  <c r="MM38" i="18"/>
  <c r="Q38" i="12"/>
  <c r="MN38" i="18"/>
  <c r="R38" i="12"/>
  <c r="MO38" i="18"/>
  <c r="S38" i="12"/>
  <c r="MP38" i="18"/>
  <c r="T38" i="12"/>
  <c r="MQ38" i="18"/>
  <c r="U38" i="12"/>
  <c r="MR38" i="18"/>
  <c r="V38" i="12"/>
  <c r="MS38" i="18"/>
  <c r="W38" i="12"/>
  <c r="MT38" i="18"/>
  <c r="X38" i="12"/>
  <c r="MU38" i="18"/>
  <c r="Y38" i="12"/>
  <c r="MV38" i="18"/>
  <c r="Z38" i="12"/>
  <c r="MW38" i="18"/>
  <c r="AA38" i="12"/>
  <c r="MX38" i="18"/>
  <c r="AB38" i="12"/>
  <c r="MY38" i="18"/>
  <c r="AC38" i="12"/>
  <c r="MZ38" i="18"/>
  <c r="AD38" i="12"/>
  <c r="NA38" i="18"/>
  <c r="AE38" i="12"/>
  <c r="NB38" i="18"/>
  <c r="AF38" i="12"/>
  <c r="NC38" i="18"/>
  <c r="AG38" i="12"/>
  <c r="ND38" i="18"/>
  <c r="AH38" i="12"/>
  <c r="NE38" i="18"/>
  <c r="AI38" i="12"/>
  <c r="NF38" i="18"/>
  <c r="AJ38" i="12"/>
  <c r="MB38" i="18"/>
  <c r="F38" i="12"/>
  <c r="AK38" i="12"/>
  <c r="P34" i="13"/>
  <c r="G37" i="18"/>
  <c r="H37" i="18"/>
  <c r="I37" i="18"/>
  <c r="J37" i="18"/>
  <c r="K37" i="18"/>
  <c r="L37" i="18"/>
  <c r="M37" i="18"/>
  <c r="N37" i="18"/>
  <c r="O37" i="18"/>
  <c r="P37" i="18"/>
  <c r="Q37" i="18"/>
  <c r="R37" i="18"/>
  <c r="S37" i="18"/>
  <c r="T37" i="18"/>
  <c r="U37" i="18"/>
  <c r="V37" i="18"/>
  <c r="W37" i="18"/>
  <c r="X37" i="18"/>
  <c r="Y37" i="18"/>
  <c r="Z37" i="18"/>
  <c r="AA37" i="18"/>
  <c r="AB37" i="18"/>
  <c r="AC37" i="18"/>
  <c r="AD37" i="18"/>
  <c r="AE37" i="18"/>
  <c r="AF37" i="18"/>
  <c r="AG37" i="18"/>
  <c r="AH37" i="18"/>
  <c r="AI37" i="18"/>
  <c r="AJ37" i="18"/>
  <c r="F37" i="18"/>
  <c r="AL37" i="18"/>
  <c r="G37" i="2"/>
  <c r="AM37" i="18"/>
  <c r="H37" i="2"/>
  <c r="AN37" i="18"/>
  <c r="I37" i="2"/>
  <c r="AO37" i="18"/>
  <c r="J37" i="2"/>
  <c r="AP37" i="18"/>
  <c r="K37" i="2"/>
  <c r="AQ37" i="18"/>
  <c r="L37" i="2"/>
  <c r="AR37" i="18"/>
  <c r="M37" i="2"/>
  <c r="AS37" i="18"/>
  <c r="N37" i="2"/>
  <c r="AT37" i="18"/>
  <c r="O37" i="2"/>
  <c r="AU37" i="18"/>
  <c r="P37" i="2"/>
  <c r="AV37" i="18"/>
  <c r="Q37" i="2"/>
  <c r="AW37" i="18"/>
  <c r="R37" i="2"/>
  <c r="AX37" i="18"/>
  <c r="S37" i="2"/>
  <c r="AY37" i="18"/>
  <c r="T37" i="2"/>
  <c r="AZ37" i="18"/>
  <c r="U37" i="2"/>
  <c r="BA37" i="18"/>
  <c r="V37" i="2"/>
  <c r="BB37" i="18"/>
  <c r="W37" i="2"/>
  <c r="BC37" i="18"/>
  <c r="X37" i="2"/>
  <c r="BD37" i="18"/>
  <c r="Y37" i="2"/>
  <c r="BE37" i="18"/>
  <c r="Z37" i="2"/>
  <c r="BF37" i="18"/>
  <c r="AA37" i="2"/>
  <c r="BG37" i="18"/>
  <c r="AB37" i="2"/>
  <c r="BH37" i="18"/>
  <c r="AC37" i="2"/>
  <c r="BI37" i="18"/>
  <c r="AD37" i="2"/>
  <c r="BJ37" i="18"/>
  <c r="AE37" i="2"/>
  <c r="BK37" i="18"/>
  <c r="AF37" i="2"/>
  <c r="BL37" i="18"/>
  <c r="AG37" i="2"/>
  <c r="AI37" i="2"/>
  <c r="AK37" i="18"/>
  <c r="F37" i="2"/>
  <c r="AJ37" i="2"/>
  <c r="BN37" i="18"/>
  <c r="G37" i="3"/>
  <c r="BO37" i="18"/>
  <c r="H37" i="3"/>
  <c r="BP37" i="18"/>
  <c r="I37" i="3"/>
  <c r="BQ37" i="18"/>
  <c r="J37" i="3"/>
  <c r="BR37" i="18"/>
  <c r="K37" i="3"/>
  <c r="BS37" i="18"/>
  <c r="L37" i="3"/>
  <c r="BT37" i="18"/>
  <c r="M37" i="3"/>
  <c r="BU37" i="18"/>
  <c r="N37" i="3"/>
  <c r="BV37" i="18"/>
  <c r="O37" i="3"/>
  <c r="BW37" i="18"/>
  <c r="P37" i="3"/>
  <c r="BX37" i="18"/>
  <c r="Q37" i="3"/>
  <c r="BY37" i="18"/>
  <c r="R37" i="3"/>
  <c r="BZ37" i="18"/>
  <c r="S37" i="3"/>
  <c r="CA37" i="18"/>
  <c r="T37" i="3"/>
  <c r="CB37" i="18"/>
  <c r="U37" i="3"/>
  <c r="CC37" i="18"/>
  <c r="V37" i="3"/>
  <c r="CD37" i="18"/>
  <c r="W37" i="3"/>
  <c r="CE37" i="18"/>
  <c r="X37" i="3"/>
  <c r="CF37" i="18"/>
  <c r="Y37" i="3"/>
  <c r="CG37" i="18"/>
  <c r="Z37" i="3"/>
  <c r="CH37" i="18"/>
  <c r="AA37" i="3"/>
  <c r="CI37" i="18"/>
  <c r="AB37" i="3"/>
  <c r="CJ37" i="18"/>
  <c r="AC37" i="3"/>
  <c r="CK37" i="18"/>
  <c r="AD37" i="3"/>
  <c r="CL37" i="18"/>
  <c r="AE37" i="3"/>
  <c r="CM37" i="18"/>
  <c r="AF37" i="3"/>
  <c r="CN37" i="18"/>
  <c r="AG37" i="3"/>
  <c r="CO37" i="18"/>
  <c r="AH37" i="3"/>
  <c r="CP37" i="18"/>
  <c r="AI37" i="3"/>
  <c r="CQ37" i="18"/>
  <c r="AJ37" i="3"/>
  <c r="BM37" i="18"/>
  <c r="F37" i="3"/>
  <c r="AK37" i="3"/>
  <c r="CS37" i="18"/>
  <c r="G37" i="4"/>
  <c r="CT37" i="18"/>
  <c r="H37" i="4"/>
  <c r="CU37" i="18"/>
  <c r="I37" i="4"/>
  <c r="CV37" i="18"/>
  <c r="J37" i="4"/>
  <c r="CW37" i="18"/>
  <c r="K37" i="4"/>
  <c r="CX37" i="18"/>
  <c r="L37" i="4"/>
  <c r="CY37" i="18"/>
  <c r="M37" i="4"/>
  <c r="CZ37" i="18"/>
  <c r="N37" i="4"/>
  <c r="DA37" i="18"/>
  <c r="O37" i="4"/>
  <c r="DB37" i="18"/>
  <c r="P37" i="4"/>
  <c r="DC37" i="18"/>
  <c r="Q37" i="4"/>
  <c r="DD37" i="18"/>
  <c r="R37" i="4"/>
  <c r="DE37" i="18"/>
  <c r="S37" i="4"/>
  <c r="DF37" i="18"/>
  <c r="T37" i="4"/>
  <c r="DG37" i="18"/>
  <c r="U37" i="4"/>
  <c r="DH37" i="18"/>
  <c r="V37" i="4"/>
  <c r="DI37" i="18"/>
  <c r="W37" i="4"/>
  <c r="DJ37" i="18"/>
  <c r="X37" i="4"/>
  <c r="DK37" i="18"/>
  <c r="Y37" i="4"/>
  <c r="DL37" i="18"/>
  <c r="Z37" i="4"/>
  <c r="DM37" i="18"/>
  <c r="AA37" i="4"/>
  <c r="DN37" i="18"/>
  <c r="AB37" i="4"/>
  <c r="DO37" i="18"/>
  <c r="AC37" i="4"/>
  <c r="DP37" i="18"/>
  <c r="AD37" i="4"/>
  <c r="DQ37" i="18"/>
  <c r="AE37" i="4"/>
  <c r="DR37" i="18"/>
  <c r="AF37" i="4"/>
  <c r="DS37" i="18"/>
  <c r="AG37" i="4"/>
  <c r="DT37" i="18"/>
  <c r="AH37" i="4"/>
  <c r="DU37" i="18"/>
  <c r="AI37" i="4"/>
  <c r="CR37" i="18"/>
  <c r="F37" i="4"/>
  <c r="AK37" i="4"/>
  <c r="DW37" i="18"/>
  <c r="G37" i="5"/>
  <c r="DX37" i="18"/>
  <c r="H37" i="5"/>
  <c r="DY37" i="18"/>
  <c r="I37" i="5"/>
  <c r="DZ37" i="18"/>
  <c r="J37" i="5"/>
  <c r="EA37" i="18"/>
  <c r="K37" i="5"/>
  <c r="EB37" i="18"/>
  <c r="L37" i="5"/>
  <c r="EC37" i="18"/>
  <c r="M37" i="5"/>
  <c r="ED37" i="18"/>
  <c r="N37" i="5"/>
  <c r="EE37" i="18"/>
  <c r="O37" i="5"/>
  <c r="EF37" i="18"/>
  <c r="P37" i="5"/>
  <c r="EG37" i="18"/>
  <c r="Q37" i="5"/>
  <c r="EH37" i="18"/>
  <c r="R37" i="5"/>
  <c r="EI37" i="18"/>
  <c r="S37" i="5"/>
  <c r="EJ37" i="18"/>
  <c r="T37" i="5"/>
  <c r="EK37" i="18"/>
  <c r="U37" i="5"/>
  <c r="EL37" i="18"/>
  <c r="V37" i="5"/>
  <c r="EM37" i="18"/>
  <c r="W37" i="5"/>
  <c r="EN37" i="18"/>
  <c r="X37" i="5"/>
  <c r="EO37" i="18"/>
  <c r="Y37" i="5"/>
  <c r="EP37" i="18"/>
  <c r="Z37" i="5"/>
  <c r="EQ37" i="18"/>
  <c r="AA37" i="5"/>
  <c r="ER37" i="18"/>
  <c r="AB37" i="5"/>
  <c r="ES37" i="18"/>
  <c r="AC37" i="5"/>
  <c r="ET37" i="18"/>
  <c r="AD37" i="5"/>
  <c r="EU37" i="18"/>
  <c r="AE37" i="5"/>
  <c r="EV37" i="18"/>
  <c r="AF37" i="5"/>
  <c r="EW37" i="18"/>
  <c r="AG37" i="5"/>
  <c r="EX37" i="18"/>
  <c r="AH37" i="5"/>
  <c r="EY37" i="18"/>
  <c r="AI37" i="5"/>
  <c r="EZ37" i="18"/>
  <c r="AJ37" i="5"/>
  <c r="DV37" i="18"/>
  <c r="F37" i="5"/>
  <c r="AK37" i="5"/>
  <c r="FB37" i="18"/>
  <c r="G37" i="6"/>
  <c r="FC37" i="18"/>
  <c r="H37" i="6"/>
  <c r="FD37" i="18"/>
  <c r="I37" i="6"/>
  <c r="FE37" i="18"/>
  <c r="J37" i="6"/>
  <c r="FF37" i="18"/>
  <c r="K37" i="6"/>
  <c r="FG37" i="18"/>
  <c r="L37" i="6"/>
  <c r="FH37" i="18"/>
  <c r="M37" i="6"/>
  <c r="FI37" i="18"/>
  <c r="N37" i="6"/>
  <c r="FJ37" i="18"/>
  <c r="O37" i="6"/>
  <c r="FK37" i="18"/>
  <c r="P37" i="6"/>
  <c r="FL37" i="18"/>
  <c r="Q37" i="6"/>
  <c r="FM37" i="18"/>
  <c r="R37" i="6"/>
  <c r="FN37" i="18"/>
  <c r="S37" i="6"/>
  <c r="FO37" i="18"/>
  <c r="T37" i="6"/>
  <c r="FP37" i="18"/>
  <c r="U37" i="6"/>
  <c r="FQ37" i="18"/>
  <c r="V37" i="6"/>
  <c r="FR37" i="18"/>
  <c r="W37" i="6"/>
  <c r="FS37" i="18"/>
  <c r="X37" i="6"/>
  <c r="FT37" i="18"/>
  <c r="Y37" i="6"/>
  <c r="FU37" i="18"/>
  <c r="Z37" i="6"/>
  <c r="FV37" i="18"/>
  <c r="AA37" i="6"/>
  <c r="FW37" i="18"/>
  <c r="AB37" i="6"/>
  <c r="FX37" i="18"/>
  <c r="AC37" i="6"/>
  <c r="FY37" i="18"/>
  <c r="AD37" i="6"/>
  <c r="FZ37" i="18"/>
  <c r="AE37" i="6"/>
  <c r="GA37" i="18"/>
  <c r="AF37" i="6"/>
  <c r="GB37" i="18"/>
  <c r="AG37" i="6"/>
  <c r="GC37" i="18"/>
  <c r="AH37" i="6"/>
  <c r="GD37" i="18"/>
  <c r="AI37" i="6"/>
  <c r="FA37" i="18"/>
  <c r="F37" i="6"/>
  <c r="AK37" i="6"/>
  <c r="GF37" i="18"/>
  <c r="G37" i="7"/>
  <c r="GG37" i="18"/>
  <c r="H37" i="7"/>
  <c r="GH37" i="18"/>
  <c r="I37" i="7"/>
  <c r="GI37" i="18"/>
  <c r="J37" i="7"/>
  <c r="GJ37" i="18"/>
  <c r="K37" i="7"/>
  <c r="GK37" i="18"/>
  <c r="L37" i="7"/>
  <c r="GL37" i="18"/>
  <c r="M37" i="7"/>
  <c r="GM37" i="18"/>
  <c r="N37" i="7"/>
  <c r="GN37" i="18"/>
  <c r="O37" i="7"/>
  <c r="GO37" i="18"/>
  <c r="P37" i="7"/>
  <c r="GP37" i="18"/>
  <c r="Q37" i="7"/>
  <c r="GQ37" i="18"/>
  <c r="R37" i="7"/>
  <c r="GR37" i="18"/>
  <c r="S37" i="7"/>
  <c r="GS37" i="18"/>
  <c r="T37" i="7"/>
  <c r="GT37" i="18"/>
  <c r="U37" i="7"/>
  <c r="GU37" i="18"/>
  <c r="V37" i="7"/>
  <c r="GV37" i="18"/>
  <c r="W37" i="7"/>
  <c r="GW37" i="18"/>
  <c r="X37" i="7"/>
  <c r="GX37" i="18"/>
  <c r="Y37" i="7"/>
  <c r="GY37" i="18"/>
  <c r="Z37" i="7"/>
  <c r="GZ37" i="18"/>
  <c r="AA37" i="7"/>
  <c r="HA37" i="18"/>
  <c r="AB37" i="7"/>
  <c r="HB37" i="18"/>
  <c r="AC37" i="7"/>
  <c r="HC37" i="18"/>
  <c r="AD37" i="7"/>
  <c r="HD37" i="18"/>
  <c r="AE37" i="7"/>
  <c r="HE37" i="18"/>
  <c r="AF37" i="7"/>
  <c r="HF37" i="18"/>
  <c r="AG37" i="7"/>
  <c r="HG37" i="18"/>
  <c r="AH37" i="7"/>
  <c r="HH37" i="18"/>
  <c r="AI37" i="7"/>
  <c r="HI37" i="18"/>
  <c r="AJ37" i="7"/>
  <c r="GE37" i="18"/>
  <c r="F37" i="7"/>
  <c r="AK37" i="7"/>
  <c r="HK37" i="18"/>
  <c r="G37" i="8"/>
  <c r="HL37" i="18"/>
  <c r="H37" i="8"/>
  <c r="HM37" i="18"/>
  <c r="I37" i="8"/>
  <c r="HN37" i="18"/>
  <c r="J37" i="8"/>
  <c r="HO37" i="18"/>
  <c r="K37" i="8"/>
  <c r="HP37" i="18"/>
  <c r="L37" i="8"/>
  <c r="HQ37" i="18"/>
  <c r="M37" i="8"/>
  <c r="HR37" i="18"/>
  <c r="N37" i="8"/>
  <c r="HS37" i="18"/>
  <c r="O37" i="8"/>
  <c r="HT37" i="18"/>
  <c r="P37" i="8"/>
  <c r="HU37" i="18"/>
  <c r="Q37" i="8"/>
  <c r="HV37" i="18"/>
  <c r="R37" i="8"/>
  <c r="HW37" i="18"/>
  <c r="S37" i="8"/>
  <c r="HX37" i="18"/>
  <c r="T37" i="8"/>
  <c r="HY37" i="18"/>
  <c r="U37" i="8"/>
  <c r="HZ37" i="18"/>
  <c r="V37" i="8"/>
  <c r="IA37" i="18"/>
  <c r="W37" i="8"/>
  <c r="IB37" i="18"/>
  <c r="X37" i="8"/>
  <c r="IC37" i="18"/>
  <c r="Y37" i="8"/>
  <c r="ID37" i="18"/>
  <c r="Z37" i="8"/>
  <c r="IE37" i="18"/>
  <c r="AA37" i="8"/>
  <c r="IF37" i="18"/>
  <c r="AB37" i="8"/>
  <c r="IG37" i="18"/>
  <c r="AC37" i="8"/>
  <c r="IH37" i="18"/>
  <c r="AD37" i="8"/>
  <c r="II37" i="18"/>
  <c r="AE37" i="8"/>
  <c r="IJ37" i="18"/>
  <c r="AF37" i="8"/>
  <c r="IK37" i="18"/>
  <c r="AG37" i="8"/>
  <c r="IL37" i="18"/>
  <c r="AH37" i="8"/>
  <c r="IM37" i="18"/>
  <c r="AI37" i="8"/>
  <c r="IN37" i="18"/>
  <c r="AJ37" i="8"/>
  <c r="HJ37" i="18"/>
  <c r="F37" i="8"/>
  <c r="AK37" i="8"/>
  <c r="IP37" i="18"/>
  <c r="G37" i="9"/>
  <c r="IQ37" i="18"/>
  <c r="H37" i="9"/>
  <c r="IR37" i="18"/>
  <c r="I37" i="9"/>
  <c r="IS37" i="18"/>
  <c r="J37" i="9"/>
  <c r="IT37" i="18"/>
  <c r="K37" i="9"/>
  <c r="IU37" i="18"/>
  <c r="L37" i="9"/>
  <c r="IV37" i="18"/>
  <c r="M37" i="9"/>
  <c r="IW37" i="18"/>
  <c r="N37" i="9"/>
  <c r="IX37" i="18"/>
  <c r="O37" i="9"/>
  <c r="IY37" i="18"/>
  <c r="P37" i="9"/>
  <c r="IZ37" i="18"/>
  <c r="Q37" i="9"/>
  <c r="JA37" i="18"/>
  <c r="R37" i="9"/>
  <c r="JB37" i="18"/>
  <c r="S37" i="9"/>
  <c r="JC37" i="18"/>
  <c r="T37" i="9"/>
  <c r="JD37" i="18"/>
  <c r="U37" i="9"/>
  <c r="JE37" i="18"/>
  <c r="V37" i="9"/>
  <c r="JF37" i="18"/>
  <c r="W37" i="9"/>
  <c r="JG37" i="18"/>
  <c r="X37" i="9"/>
  <c r="JH37" i="18"/>
  <c r="Y37" i="9"/>
  <c r="JI37" i="18"/>
  <c r="Z37" i="9"/>
  <c r="JJ37" i="18"/>
  <c r="AA37" i="9"/>
  <c r="JK37" i="18"/>
  <c r="AB37" i="9"/>
  <c r="JL37" i="18"/>
  <c r="AC37" i="9"/>
  <c r="JM37" i="18"/>
  <c r="AD37" i="9"/>
  <c r="JN37" i="18"/>
  <c r="AE37" i="9"/>
  <c r="JO37" i="18"/>
  <c r="AF37" i="9"/>
  <c r="JP37" i="18"/>
  <c r="AG37" i="9"/>
  <c r="JQ37" i="18"/>
  <c r="AH37" i="9"/>
  <c r="JR37" i="18"/>
  <c r="AI37" i="9"/>
  <c r="IO37" i="18"/>
  <c r="F37" i="9"/>
  <c r="AK37" i="9"/>
  <c r="JT37" i="18"/>
  <c r="G37" i="10"/>
  <c r="JU37" i="18"/>
  <c r="H37" i="10"/>
  <c r="JV37" i="18"/>
  <c r="I37" i="10"/>
  <c r="JW37" i="18"/>
  <c r="J37" i="10"/>
  <c r="JX37" i="18"/>
  <c r="K37" i="10"/>
  <c r="JY37" i="18"/>
  <c r="L37" i="10"/>
  <c r="JZ37" i="18"/>
  <c r="M37" i="10"/>
  <c r="KA37" i="18"/>
  <c r="N37" i="10"/>
  <c r="KB37" i="18"/>
  <c r="O37" i="10"/>
  <c r="KC37" i="18"/>
  <c r="P37" i="10"/>
  <c r="KD37" i="18"/>
  <c r="Q37" i="10"/>
  <c r="KE37" i="18"/>
  <c r="R37" i="10"/>
  <c r="KF37" i="18"/>
  <c r="S37" i="10"/>
  <c r="KG37" i="18"/>
  <c r="T37" i="10"/>
  <c r="KH37" i="18"/>
  <c r="U37" i="10"/>
  <c r="KI37" i="18"/>
  <c r="V37" i="10"/>
  <c r="KJ37" i="18"/>
  <c r="W37" i="10"/>
  <c r="KK37" i="18"/>
  <c r="X37" i="10"/>
  <c r="KL37" i="18"/>
  <c r="Y37" i="10"/>
  <c r="KM37" i="18"/>
  <c r="Z37" i="10"/>
  <c r="KN37" i="18"/>
  <c r="AA37" i="10"/>
  <c r="KO37" i="18"/>
  <c r="AB37" i="10"/>
  <c r="KP37" i="18"/>
  <c r="AC37" i="10"/>
  <c r="KQ37" i="18"/>
  <c r="AD37" i="10"/>
  <c r="KR37" i="18"/>
  <c r="AE37" i="10"/>
  <c r="KS37" i="18"/>
  <c r="AF37" i="10"/>
  <c r="KT37" i="18"/>
  <c r="AG37" i="10"/>
  <c r="KU37" i="18"/>
  <c r="AH37" i="10"/>
  <c r="KV37" i="18"/>
  <c r="AI37" i="10"/>
  <c r="KW37" i="18"/>
  <c r="AJ37" i="10"/>
  <c r="JS37" i="18"/>
  <c r="F37" i="10"/>
  <c r="AK37" i="10"/>
  <c r="KY37" i="18"/>
  <c r="G37" i="11"/>
  <c r="KZ37" i="18"/>
  <c r="H37" i="11"/>
  <c r="LA37" i="18"/>
  <c r="I37" i="11"/>
  <c r="LB37" i="18"/>
  <c r="J37" i="11"/>
  <c r="LC37" i="18"/>
  <c r="K37" i="11"/>
  <c r="LD37" i="18"/>
  <c r="L37" i="11"/>
  <c r="LE37" i="18"/>
  <c r="M37" i="11"/>
  <c r="LF37" i="18"/>
  <c r="N37" i="11"/>
  <c r="LG37" i="18"/>
  <c r="O37" i="11"/>
  <c r="LH37" i="18"/>
  <c r="P37" i="11"/>
  <c r="LI37" i="18"/>
  <c r="Q37" i="11"/>
  <c r="LJ37" i="18"/>
  <c r="R37" i="11"/>
  <c r="LK37" i="18"/>
  <c r="S37" i="11"/>
  <c r="LL37" i="18"/>
  <c r="T37" i="11"/>
  <c r="LM37" i="18"/>
  <c r="U37" i="11"/>
  <c r="LN37" i="18"/>
  <c r="V37" i="11"/>
  <c r="LO37" i="18"/>
  <c r="W37" i="11"/>
  <c r="LP37" i="18"/>
  <c r="X37" i="11"/>
  <c r="LQ37" i="18"/>
  <c r="Y37" i="11"/>
  <c r="LR37" i="18"/>
  <c r="Z37" i="11"/>
  <c r="LS37" i="18"/>
  <c r="AA37" i="11"/>
  <c r="LT37" i="18"/>
  <c r="AB37" i="11"/>
  <c r="LU37" i="18"/>
  <c r="AC37" i="11"/>
  <c r="LV37" i="18"/>
  <c r="AD37" i="11"/>
  <c r="LW37" i="18"/>
  <c r="AE37" i="11"/>
  <c r="LX37" i="18"/>
  <c r="AF37" i="11"/>
  <c r="LY37" i="18"/>
  <c r="AG37" i="11"/>
  <c r="LZ37" i="18"/>
  <c r="AH37" i="11"/>
  <c r="MA37" i="18"/>
  <c r="AI37" i="11"/>
  <c r="KX37" i="18"/>
  <c r="F37" i="11"/>
  <c r="AK37" i="11"/>
  <c r="MC37" i="18"/>
  <c r="G37" i="12"/>
  <c r="MD37" i="18"/>
  <c r="H37" i="12"/>
  <c r="ME37" i="18"/>
  <c r="I37" i="12"/>
  <c r="MF37" i="18"/>
  <c r="J37" i="12"/>
  <c r="MG37" i="18"/>
  <c r="K37" i="12"/>
  <c r="MH37" i="18"/>
  <c r="L37" i="12"/>
  <c r="MI37" i="18"/>
  <c r="M37" i="12"/>
  <c r="MJ37" i="18"/>
  <c r="N37" i="12"/>
  <c r="MK37" i="18"/>
  <c r="O37" i="12"/>
  <c r="ML37" i="18"/>
  <c r="P37" i="12"/>
  <c r="MM37" i="18"/>
  <c r="Q37" i="12"/>
  <c r="MN37" i="18"/>
  <c r="R37" i="12"/>
  <c r="MO37" i="18"/>
  <c r="S37" i="12"/>
  <c r="MP37" i="18"/>
  <c r="T37" i="12"/>
  <c r="MQ37" i="18"/>
  <c r="U37" i="12"/>
  <c r="MR37" i="18"/>
  <c r="V37" i="12"/>
  <c r="MS37" i="18"/>
  <c r="W37" i="12"/>
  <c r="MT37" i="18"/>
  <c r="X37" i="12"/>
  <c r="MU37" i="18"/>
  <c r="Y37" i="12"/>
  <c r="MV37" i="18"/>
  <c r="Z37" i="12"/>
  <c r="MW37" i="18"/>
  <c r="AA37" i="12"/>
  <c r="MX37" i="18"/>
  <c r="AB37" i="12"/>
  <c r="MY37" i="18"/>
  <c r="AC37" i="12"/>
  <c r="MZ37" i="18"/>
  <c r="AD37" i="12"/>
  <c r="NA37" i="18"/>
  <c r="AE37" i="12"/>
  <c r="NB37" i="18"/>
  <c r="AF37" i="12"/>
  <c r="NC37" i="18"/>
  <c r="AG37" i="12"/>
  <c r="ND37" i="18"/>
  <c r="AH37" i="12"/>
  <c r="NE37" i="18"/>
  <c r="AI37" i="12"/>
  <c r="NF37" i="18"/>
  <c r="AJ37" i="12"/>
  <c r="MB37" i="18"/>
  <c r="F37" i="12"/>
  <c r="AK37" i="12"/>
  <c r="P33" i="13"/>
  <c r="G36" i="18"/>
  <c r="H36" i="18"/>
  <c r="I36" i="18"/>
  <c r="J36" i="18"/>
  <c r="K36" i="18"/>
  <c r="L36" i="18"/>
  <c r="M36" i="18"/>
  <c r="N36" i="18"/>
  <c r="O36" i="18"/>
  <c r="P36" i="18"/>
  <c r="Q36" i="18"/>
  <c r="R36" i="18"/>
  <c r="S36" i="18"/>
  <c r="T36" i="18"/>
  <c r="U36" i="18"/>
  <c r="V36" i="18"/>
  <c r="W36" i="18"/>
  <c r="X36" i="18"/>
  <c r="Y36" i="18"/>
  <c r="Z36" i="18"/>
  <c r="AA36" i="18"/>
  <c r="AB36" i="18"/>
  <c r="AC36" i="18"/>
  <c r="AD36" i="18"/>
  <c r="AE36" i="18"/>
  <c r="AF36" i="18"/>
  <c r="AG36" i="18"/>
  <c r="AH36" i="18"/>
  <c r="AI36" i="18"/>
  <c r="AJ36" i="18"/>
  <c r="F36" i="18"/>
  <c r="AL36" i="18"/>
  <c r="G36" i="2"/>
  <c r="AM36" i="18"/>
  <c r="H36" i="2"/>
  <c r="AN36" i="18"/>
  <c r="I36" i="2"/>
  <c r="AO36" i="18"/>
  <c r="J36" i="2"/>
  <c r="AP36" i="18"/>
  <c r="K36" i="2"/>
  <c r="AQ36" i="18"/>
  <c r="L36" i="2"/>
  <c r="AR36" i="18"/>
  <c r="M36" i="2"/>
  <c r="AS36" i="18"/>
  <c r="N36" i="2"/>
  <c r="AT36" i="18"/>
  <c r="O36" i="2"/>
  <c r="AU36" i="18"/>
  <c r="P36" i="2"/>
  <c r="AV36" i="18"/>
  <c r="Q36" i="2"/>
  <c r="AW36" i="18"/>
  <c r="R36" i="2"/>
  <c r="AX36" i="18"/>
  <c r="S36" i="2"/>
  <c r="AY36" i="18"/>
  <c r="T36" i="2"/>
  <c r="AZ36" i="18"/>
  <c r="U36" i="2"/>
  <c r="BA36" i="18"/>
  <c r="V36" i="2"/>
  <c r="BB36" i="18"/>
  <c r="W36" i="2"/>
  <c r="BC36" i="18"/>
  <c r="X36" i="2"/>
  <c r="BD36" i="18"/>
  <c r="Y36" i="2"/>
  <c r="BE36" i="18"/>
  <c r="Z36" i="2"/>
  <c r="BF36" i="18"/>
  <c r="AA36" i="2"/>
  <c r="BG36" i="18"/>
  <c r="AB36" i="2"/>
  <c r="BH36" i="18"/>
  <c r="AC36" i="2"/>
  <c r="BI36" i="18"/>
  <c r="AD36" i="2"/>
  <c r="BJ36" i="18"/>
  <c r="AE36" i="2"/>
  <c r="BK36" i="18"/>
  <c r="AF36" i="2"/>
  <c r="BL36" i="18"/>
  <c r="AG36" i="2"/>
  <c r="AI36" i="2"/>
  <c r="AK36" i="18"/>
  <c r="F36" i="2"/>
  <c r="AJ36" i="2"/>
  <c r="BN36" i="18"/>
  <c r="G36" i="3"/>
  <c r="BO36" i="18"/>
  <c r="H36" i="3"/>
  <c r="BP36" i="18"/>
  <c r="I36" i="3"/>
  <c r="BQ36" i="18"/>
  <c r="J36" i="3"/>
  <c r="BR36" i="18"/>
  <c r="K36" i="3"/>
  <c r="BS36" i="18"/>
  <c r="L36" i="3"/>
  <c r="BT36" i="18"/>
  <c r="M36" i="3"/>
  <c r="BU36" i="18"/>
  <c r="N36" i="3"/>
  <c r="BV36" i="18"/>
  <c r="O36" i="3"/>
  <c r="BW36" i="18"/>
  <c r="P36" i="3"/>
  <c r="BX36" i="18"/>
  <c r="Q36" i="3"/>
  <c r="BY36" i="18"/>
  <c r="R36" i="3"/>
  <c r="BZ36" i="18"/>
  <c r="S36" i="3"/>
  <c r="CA36" i="18"/>
  <c r="T36" i="3"/>
  <c r="CB36" i="18"/>
  <c r="U36" i="3"/>
  <c r="CC36" i="18"/>
  <c r="V36" i="3"/>
  <c r="CD36" i="18"/>
  <c r="W36" i="3"/>
  <c r="CE36" i="18"/>
  <c r="X36" i="3"/>
  <c r="CF36" i="18"/>
  <c r="Y36" i="3"/>
  <c r="CG36" i="18"/>
  <c r="Z36" i="3"/>
  <c r="CH36" i="18"/>
  <c r="AA36" i="3"/>
  <c r="CI36" i="18"/>
  <c r="AB36" i="3"/>
  <c r="CJ36" i="18"/>
  <c r="AC36" i="3"/>
  <c r="CK36" i="18"/>
  <c r="AD36" i="3"/>
  <c r="CL36" i="18"/>
  <c r="AE36" i="3"/>
  <c r="CM36" i="18"/>
  <c r="AF36" i="3"/>
  <c r="CN36" i="18"/>
  <c r="AG36" i="3"/>
  <c r="CO36" i="18"/>
  <c r="AH36" i="3"/>
  <c r="CP36" i="18"/>
  <c r="AI36" i="3"/>
  <c r="CQ36" i="18"/>
  <c r="AJ36" i="3"/>
  <c r="BM36" i="18"/>
  <c r="F36" i="3"/>
  <c r="AK36" i="3"/>
  <c r="CS36" i="18"/>
  <c r="G36" i="4"/>
  <c r="CT36" i="18"/>
  <c r="H36" i="4"/>
  <c r="CU36" i="18"/>
  <c r="I36" i="4"/>
  <c r="CV36" i="18"/>
  <c r="J36" i="4"/>
  <c r="CW36" i="18"/>
  <c r="K36" i="4"/>
  <c r="CX36" i="18"/>
  <c r="L36" i="4"/>
  <c r="CY36" i="18"/>
  <c r="M36" i="4"/>
  <c r="CZ36" i="18"/>
  <c r="N36" i="4"/>
  <c r="DA36" i="18"/>
  <c r="O36" i="4"/>
  <c r="DB36" i="18"/>
  <c r="P36" i="4"/>
  <c r="DC36" i="18"/>
  <c r="Q36" i="4"/>
  <c r="DD36" i="18"/>
  <c r="R36" i="4"/>
  <c r="DE36" i="18"/>
  <c r="S36" i="4"/>
  <c r="DF36" i="18"/>
  <c r="T36" i="4"/>
  <c r="DG36" i="18"/>
  <c r="U36" i="4"/>
  <c r="DH36" i="18"/>
  <c r="V36" i="4"/>
  <c r="DI36" i="18"/>
  <c r="W36" i="4"/>
  <c r="DJ36" i="18"/>
  <c r="X36" i="4"/>
  <c r="DK36" i="18"/>
  <c r="Y36" i="4"/>
  <c r="DL36" i="18"/>
  <c r="Z36" i="4"/>
  <c r="DM36" i="18"/>
  <c r="AA36" i="4"/>
  <c r="DN36" i="18"/>
  <c r="AB36" i="4"/>
  <c r="DO36" i="18"/>
  <c r="AC36" i="4"/>
  <c r="DP36" i="18"/>
  <c r="AD36" i="4"/>
  <c r="DQ36" i="18"/>
  <c r="AE36" i="4"/>
  <c r="DR36" i="18"/>
  <c r="AF36" i="4"/>
  <c r="DS36" i="18"/>
  <c r="AG36" i="4"/>
  <c r="DT36" i="18"/>
  <c r="AH36" i="4"/>
  <c r="DU36" i="18"/>
  <c r="AI36" i="4"/>
  <c r="CR36" i="18"/>
  <c r="F36" i="4"/>
  <c r="AK36" i="4"/>
  <c r="DW36" i="18"/>
  <c r="G36" i="5"/>
  <c r="DX36" i="18"/>
  <c r="H36" i="5"/>
  <c r="DY36" i="18"/>
  <c r="I36" i="5"/>
  <c r="DZ36" i="18"/>
  <c r="J36" i="5"/>
  <c r="EA36" i="18"/>
  <c r="K36" i="5"/>
  <c r="EB36" i="18"/>
  <c r="L36" i="5"/>
  <c r="EC36" i="18"/>
  <c r="M36" i="5"/>
  <c r="ED36" i="18"/>
  <c r="N36" i="5"/>
  <c r="EE36" i="18"/>
  <c r="O36" i="5"/>
  <c r="EF36" i="18"/>
  <c r="P36" i="5"/>
  <c r="EG36" i="18"/>
  <c r="Q36" i="5"/>
  <c r="EH36" i="18"/>
  <c r="R36" i="5"/>
  <c r="EI36" i="18"/>
  <c r="S36" i="5"/>
  <c r="EJ36" i="18"/>
  <c r="T36" i="5"/>
  <c r="EK36" i="18"/>
  <c r="U36" i="5"/>
  <c r="EL36" i="18"/>
  <c r="V36" i="5"/>
  <c r="EM36" i="18"/>
  <c r="W36" i="5"/>
  <c r="EN36" i="18"/>
  <c r="X36" i="5"/>
  <c r="EO36" i="18"/>
  <c r="Y36" i="5"/>
  <c r="EP36" i="18"/>
  <c r="Z36" i="5"/>
  <c r="EQ36" i="18"/>
  <c r="AA36" i="5"/>
  <c r="ER36" i="18"/>
  <c r="AB36" i="5"/>
  <c r="ES36" i="18"/>
  <c r="AC36" i="5"/>
  <c r="ET36" i="18"/>
  <c r="AD36" i="5"/>
  <c r="EU36" i="18"/>
  <c r="AE36" i="5"/>
  <c r="EV36" i="18"/>
  <c r="AF36" i="5"/>
  <c r="EW36" i="18"/>
  <c r="AG36" i="5"/>
  <c r="EX36" i="18"/>
  <c r="AH36" i="5"/>
  <c r="EY36" i="18"/>
  <c r="AI36" i="5"/>
  <c r="EZ36" i="18"/>
  <c r="AJ36" i="5"/>
  <c r="DV36" i="18"/>
  <c r="F36" i="5"/>
  <c r="AK36" i="5"/>
  <c r="FB36" i="18"/>
  <c r="G36" i="6"/>
  <c r="FC36" i="18"/>
  <c r="H36" i="6"/>
  <c r="FD36" i="18"/>
  <c r="I36" i="6"/>
  <c r="FE36" i="18"/>
  <c r="J36" i="6"/>
  <c r="FF36" i="18"/>
  <c r="K36" i="6"/>
  <c r="FG36" i="18"/>
  <c r="L36" i="6"/>
  <c r="FH36" i="18"/>
  <c r="M36" i="6"/>
  <c r="FI36" i="18"/>
  <c r="N36" i="6"/>
  <c r="FJ36" i="18"/>
  <c r="O36" i="6"/>
  <c r="FK36" i="18"/>
  <c r="P36" i="6"/>
  <c r="FL36" i="18"/>
  <c r="Q36" i="6"/>
  <c r="FM36" i="18"/>
  <c r="R36" i="6"/>
  <c r="FN36" i="18"/>
  <c r="S36" i="6"/>
  <c r="FO36" i="18"/>
  <c r="T36" i="6"/>
  <c r="FP36" i="18"/>
  <c r="U36" i="6"/>
  <c r="FQ36" i="18"/>
  <c r="V36" i="6"/>
  <c r="FR36" i="18"/>
  <c r="W36" i="6"/>
  <c r="FS36" i="18"/>
  <c r="X36" i="6"/>
  <c r="FT36" i="18"/>
  <c r="Y36" i="6"/>
  <c r="FU36" i="18"/>
  <c r="Z36" i="6"/>
  <c r="FV36" i="18"/>
  <c r="AA36" i="6"/>
  <c r="FW36" i="18"/>
  <c r="AB36" i="6"/>
  <c r="FX36" i="18"/>
  <c r="AC36" i="6"/>
  <c r="FY36" i="18"/>
  <c r="AD36" i="6"/>
  <c r="FZ36" i="18"/>
  <c r="AE36" i="6"/>
  <c r="GA36" i="18"/>
  <c r="AF36" i="6"/>
  <c r="GB36" i="18"/>
  <c r="AG36" i="6"/>
  <c r="GC36" i="18"/>
  <c r="AH36" i="6"/>
  <c r="GD36" i="18"/>
  <c r="AI36" i="6"/>
  <c r="FA36" i="18"/>
  <c r="F36" i="6"/>
  <c r="AK36" i="6"/>
  <c r="GF36" i="18"/>
  <c r="G36" i="7"/>
  <c r="GG36" i="18"/>
  <c r="H36" i="7"/>
  <c r="GH36" i="18"/>
  <c r="I36" i="7"/>
  <c r="GI36" i="18"/>
  <c r="J36" i="7"/>
  <c r="GJ36" i="18"/>
  <c r="K36" i="7"/>
  <c r="GK36" i="18"/>
  <c r="L36" i="7"/>
  <c r="GL36" i="18"/>
  <c r="M36" i="7"/>
  <c r="GM36" i="18"/>
  <c r="N36" i="7"/>
  <c r="GN36" i="18"/>
  <c r="O36" i="7"/>
  <c r="GO36" i="18"/>
  <c r="P36" i="7"/>
  <c r="GP36" i="18"/>
  <c r="Q36" i="7"/>
  <c r="GQ36" i="18"/>
  <c r="R36" i="7"/>
  <c r="GR36" i="18"/>
  <c r="S36" i="7"/>
  <c r="GS36" i="18"/>
  <c r="T36" i="7"/>
  <c r="GT36" i="18"/>
  <c r="U36" i="7"/>
  <c r="GU36" i="18"/>
  <c r="V36" i="7"/>
  <c r="GV36" i="18"/>
  <c r="W36" i="7"/>
  <c r="GW36" i="18"/>
  <c r="X36" i="7"/>
  <c r="GX36" i="18"/>
  <c r="Y36" i="7"/>
  <c r="GY36" i="18"/>
  <c r="Z36" i="7"/>
  <c r="GZ36" i="18"/>
  <c r="AA36" i="7"/>
  <c r="HA36" i="18"/>
  <c r="AB36" i="7"/>
  <c r="HB36" i="18"/>
  <c r="AC36" i="7"/>
  <c r="HC36" i="18"/>
  <c r="AD36" i="7"/>
  <c r="HD36" i="18"/>
  <c r="AE36" i="7"/>
  <c r="HE36" i="18"/>
  <c r="AF36" i="7"/>
  <c r="HF36" i="18"/>
  <c r="AG36" i="7"/>
  <c r="HG36" i="18"/>
  <c r="AH36" i="7"/>
  <c r="HH36" i="18"/>
  <c r="AI36" i="7"/>
  <c r="HI36" i="18"/>
  <c r="AJ36" i="7"/>
  <c r="GE36" i="18"/>
  <c r="F36" i="7"/>
  <c r="AK36" i="7"/>
  <c r="HK36" i="18"/>
  <c r="G36" i="8"/>
  <c r="HL36" i="18"/>
  <c r="H36" i="8"/>
  <c r="HM36" i="18"/>
  <c r="I36" i="8"/>
  <c r="HN36" i="18"/>
  <c r="J36" i="8"/>
  <c r="HO36" i="18"/>
  <c r="K36" i="8"/>
  <c r="HP36" i="18"/>
  <c r="L36" i="8"/>
  <c r="HQ36" i="18"/>
  <c r="M36" i="8"/>
  <c r="HR36" i="18"/>
  <c r="N36" i="8"/>
  <c r="HS36" i="18"/>
  <c r="O36" i="8"/>
  <c r="HT36" i="18"/>
  <c r="P36" i="8"/>
  <c r="HU36" i="18"/>
  <c r="Q36" i="8"/>
  <c r="HV36" i="18"/>
  <c r="R36" i="8"/>
  <c r="HW36" i="18"/>
  <c r="S36" i="8"/>
  <c r="HX36" i="18"/>
  <c r="T36" i="8"/>
  <c r="HY36" i="18"/>
  <c r="U36" i="8"/>
  <c r="HZ36" i="18"/>
  <c r="V36" i="8"/>
  <c r="IA36" i="18"/>
  <c r="W36" i="8"/>
  <c r="IB36" i="18"/>
  <c r="X36" i="8"/>
  <c r="IC36" i="18"/>
  <c r="Y36" i="8"/>
  <c r="ID36" i="18"/>
  <c r="Z36" i="8"/>
  <c r="IE36" i="18"/>
  <c r="AA36" i="8"/>
  <c r="IF36" i="18"/>
  <c r="AB36" i="8"/>
  <c r="IG36" i="18"/>
  <c r="AC36" i="8"/>
  <c r="IH36" i="18"/>
  <c r="AD36" i="8"/>
  <c r="II36" i="18"/>
  <c r="AE36" i="8"/>
  <c r="IJ36" i="18"/>
  <c r="AF36" i="8"/>
  <c r="IK36" i="18"/>
  <c r="AG36" i="8"/>
  <c r="IL36" i="18"/>
  <c r="AH36" i="8"/>
  <c r="IM36" i="18"/>
  <c r="AI36" i="8"/>
  <c r="IN36" i="18"/>
  <c r="AJ36" i="8"/>
  <c r="HJ36" i="18"/>
  <c r="F36" i="8"/>
  <c r="AK36" i="8"/>
  <c r="IP36" i="18"/>
  <c r="G36" i="9"/>
  <c r="IQ36" i="18"/>
  <c r="H36" i="9"/>
  <c r="IR36" i="18"/>
  <c r="I36" i="9"/>
  <c r="IS36" i="18"/>
  <c r="J36" i="9"/>
  <c r="IT36" i="18"/>
  <c r="K36" i="9"/>
  <c r="IU36" i="18"/>
  <c r="L36" i="9"/>
  <c r="IV36" i="18"/>
  <c r="M36" i="9"/>
  <c r="IW36" i="18"/>
  <c r="N36" i="9"/>
  <c r="IX36" i="18"/>
  <c r="O36" i="9"/>
  <c r="IY36" i="18"/>
  <c r="P36" i="9"/>
  <c r="IZ36" i="18"/>
  <c r="Q36" i="9"/>
  <c r="JA36" i="18"/>
  <c r="R36" i="9"/>
  <c r="JB36" i="18"/>
  <c r="S36" i="9"/>
  <c r="JC36" i="18"/>
  <c r="T36" i="9"/>
  <c r="JD36" i="18"/>
  <c r="U36" i="9"/>
  <c r="JE36" i="18"/>
  <c r="V36" i="9"/>
  <c r="JF36" i="18"/>
  <c r="W36" i="9"/>
  <c r="JG36" i="18"/>
  <c r="X36" i="9"/>
  <c r="JH36" i="18"/>
  <c r="Y36" i="9"/>
  <c r="JI36" i="18"/>
  <c r="Z36" i="9"/>
  <c r="JJ36" i="18"/>
  <c r="AA36" i="9"/>
  <c r="JK36" i="18"/>
  <c r="AB36" i="9"/>
  <c r="JL36" i="18"/>
  <c r="AC36" i="9"/>
  <c r="JM36" i="18"/>
  <c r="AD36" i="9"/>
  <c r="JN36" i="18"/>
  <c r="AE36" i="9"/>
  <c r="JO36" i="18"/>
  <c r="AF36" i="9"/>
  <c r="JP36" i="18"/>
  <c r="AG36" i="9"/>
  <c r="JQ36" i="18"/>
  <c r="AH36" i="9"/>
  <c r="JR36" i="18"/>
  <c r="AI36" i="9"/>
  <c r="IO36" i="18"/>
  <c r="F36" i="9"/>
  <c r="AK36" i="9"/>
  <c r="JT36" i="18"/>
  <c r="G36" i="10"/>
  <c r="JU36" i="18"/>
  <c r="H36" i="10"/>
  <c r="JV36" i="18"/>
  <c r="I36" i="10"/>
  <c r="JW36" i="18"/>
  <c r="J36" i="10"/>
  <c r="JX36" i="18"/>
  <c r="K36" i="10"/>
  <c r="JY36" i="18"/>
  <c r="L36" i="10"/>
  <c r="JZ36" i="18"/>
  <c r="M36" i="10"/>
  <c r="KA36" i="18"/>
  <c r="N36" i="10"/>
  <c r="KB36" i="18"/>
  <c r="O36" i="10"/>
  <c r="KC36" i="18"/>
  <c r="P36" i="10"/>
  <c r="KD36" i="18"/>
  <c r="Q36" i="10"/>
  <c r="KE36" i="18"/>
  <c r="R36" i="10"/>
  <c r="KF36" i="18"/>
  <c r="S36" i="10"/>
  <c r="KG36" i="18"/>
  <c r="T36" i="10"/>
  <c r="KH36" i="18"/>
  <c r="U36" i="10"/>
  <c r="KI36" i="18"/>
  <c r="V36" i="10"/>
  <c r="KJ36" i="18"/>
  <c r="W36" i="10"/>
  <c r="KK36" i="18"/>
  <c r="X36" i="10"/>
  <c r="KL36" i="18"/>
  <c r="Y36" i="10"/>
  <c r="KM36" i="18"/>
  <c r="Z36" i="10"/>
  <c r="KN36" i="18"/>
  <c r="AA36" i="10"/>
  <c r="KO36" i="18"/>
  <c r="AB36" i="10"/>
  <c r="KP36" i="18"/>
  <c r="AC36" i="10"/>
  <c r="KQ36" i="18"/>
  <c r="AD36" i="10"/>
  <c r="KR36" i="18"/>
  <c r="AE36" i="10"/>
  <c r="KS36" i="18"/>
  <c r="AF36" i="10"/>
  <c r="KT36" i="18"/>
  <c r="AG36" i="10"/>
  <c r="KU36" i="18"/>
  <c r="AH36" i="10"/>
  <c r="KV36" i="18"/>
  <c r="AI36" i="10"/>
  <c r="KW36" i="18"/>
  <c r="AJ36" i="10"/>
  <c r="JS36" i="18"/>
  <c r="F36" i="10"/>
  <c r="AK36" i="10"/>
  <c r="KY36" i="18"/>
  <c r="G36" i="11"/>
  <c r="KZ36" i="18"/>
  <c r="H36" i="11"/>
  <c r="LA36" i="18"/>
  <c r="I36" i="11"/>
  <c r="LB36" i="18"/>
  <c r="J36" i="11"/>
  <c r="LC36" i="18"/>
  <c r="K36" i="11"/>
  <c r="LD36" i="18"/>
  <c r="L36" i="11"/>
  <c r="LE36" i="18"/>
  <c r="M36" i="11"/>
  <c r="LF36" i="18"/>
  <c r="N36" i="11"/>
  <c r="LG36" i="18"/>
  <c r="O36" i="11"/>
  <c r="LH36" i="18"/>
  <c r="P36" i="11"/>
  <c r="LI36" i="18"/>
  <c r="Q36" i="11"/>
  <c r="LJ36" i="18"/>
  <c r="R36" i="11"/>
  <c r="LK36" i="18"/>
  <c r="S36" i="11"/>
  <c r="LL36" i="18"/>
  <c r="T36" i="11"/>
  <c r="LM36" i="18"/>
  <c r="U36" i="11"/>
  <c r="LN36" i="18"/>
  <c r="V36" i="11"/>
  <c r="LO36" i="18"/>
  <c r="W36" i="11"/>
  <c r="LP36" i="18"/>
  <c r="X36" i="11"/>
  <c r="LQ36" i="18"/>
  <c r="Y36" i="11"/>
  <c r="LR36" i="18"/>
  <c r="Z36" i="11"/>
  <c r="LS36" i="18"/>
  <c r="AA36" i="11"/>
  <c r="LT36" i="18"/>
  <c r="AB36" i="11"/>
  <c r="LU36" i="18"/>
  <c r="AC36" i="11"/>
  <c r="LV36" i="18"/>
  <c r="AD36" i="11"/>
  <c r="LW36" i="18"/>
  <c r="AE36" i="11"/>
  <c r="LX36" i="18"/>
  <c r="AF36" i="11"/>
  <c r="LY36" i="18"/>
  <c r="AG36" i="11"/>
  <c r="LZ36" i="18"/>
  <c r="AH36" i="11"/>
  <c r="MA36" i="18"/>
  <c r="AI36" i="11"/>
  <c r="KX36" i="18"/>
  <c r="F36" i="11"/>
  <c r="AK36" i="11"/>
  <c r="MC36" i="18"/>
  <c r="G36" i="12"/>
  <c r="MD36" i="18"/>
  <c r="H36" i="12"/>
  <c r="ME36" i="18"/>
  <c r="I36" i="12"/>
  <c r="MF36" i="18"/>
  <c r="J36" i="12"/>
  <c r="MG36" i="18"/>
  <c r="K36" i="12"/>
  <c r="MH36" i="18"/>
  <c r="L36" i="12"/>
  <c r="MI36" i="18"/>
  <c r="M36" i="12"/>
  <c r="MJ36" i="18"/>
  <c r="N36" i="12"/>
  <c r="MK36" i="18"/>
  <c r="O36" i="12"/>
  <c r="ML36" i="18"/>
  <c r="P36" i="12"/>
  <c r="MM36" i="18"/>
  <c r="Q36" i="12"/>
  <c r="MN36" i="18"/>
  <c r="R36" i="12"/>
  <c r="MO36" i="18"/>
  <c r="S36" i="12"/>
  <c r="MP36" i="18"/>
  <c r="T36" i="12"/>
  <c r="MQ36" i="18"/>
  <c r="U36" i="12"/>
  <c r="MR36" i="18"/>
  <c r="V36" i="12"/>
  <c r="MS36" i="18"/>
  <c r="W36" i="12"/>
  <c r="MT36" i="18"/>
  <c r="X36" i="12"/>
  <c r="MU36" i="18"/>
  <c r="Y36" i="12"/>
  <c r="MV36" i="18"/>
  <c r="Z36" i="12"/>
  <c r="MW36" i="18"/>
  <c r="AA36" i="12"/>
  <c r="MX36" i="18"/>
  <c r="AB36" i="12"/>
  <c r="MY36" i="18"/>
  <c r="AC36" i="12"/>
  <c r="MZ36" i="18"/>
  <c r="AD36" i="12"/>
  <c r="NA36" i="18"/>
  <c r="AE36" i="12"/>
  <c r="NB36" i="18"/>
  <c r="AF36" i="12"/>
  <c r="NC36" i="18"/>
  <c r="AG36" i="12"/>
  <c r="ND36" i="18"/>
  <c r="AH36" i="12"/>
  <c r="NE36" i="18"/>
  <c r="AI36" i="12"/>
  <c r="NF36" i="18"/>
  <c r="AJ36" i="12"/>
  <c r="MB36" i="18"/>
  <c r="F36" i="12"/>
  <c r="AK36" i="12"/>
  <c r="P32" i="13"/>
  <c r="G35" i="18"/>
  <c r="H35" i="18"/>
  <c r="I35" i="18"/>
  <c r="J35" i="18"/>
  <c r="K35" i="18"/>
  <c r="L35" i="18"/>
  <c r="M35" i="18"/>
  <c r="N35" i="18"/>
  <c r="O35" i="18"/>
  <c r="P35" i="18"/>
  <c r="Q35" i="18"/>
  <c r="R35" i="18"/>
  <c r="S35" i="18"/>
  <c r="T35" i="18"/>
  <c r="U35" i="18"/>
  <c r="V35" i="18"/>
  <c r="W35" i="18"/>
  <c r="X35" i="18"/>
  <c r="Y35" i="18"/>
  <c r="Z35" i="18"/>
  <c r="AA35" i="18"/>
  <c r="AB35" i="18"/>
  <c r="AC35" i="18"/>
  <c r="AD35" i="18"/>
  <c r="AE35" i="18"/>
  <c r="AF35" i="18"/>
  <c r="AG35" i="18"/>
  <c r="AH35" i="18"/>
  <c r="AI35" i="18"/>
  <c r="AJ35" i="18"/>
  <c r="F35" i="18"/>
  <c r="AL35" i="18"/>
  <c r="G35" i="2"/>
  <c r="AM35" i="18"/>
  <c r="H35" i="2"/>
  <c r="AN35" i="18"/>
  <c r="I35" i="2"/>
  <c r="AO35" i="18"/>
  <c r="J35" i="2"/>
  <c r="AP35" i="18"/>
  <c r="K35" i="2"/>
  <c r="AQ35" i="18"/>
  <c r="L35" i="2"/>
  <c r="AR35" i="18"/>
  <c r="M35" i="2"/>
  <c r="AS35" i="18"/>
  <c r="N35" i="2"/>
  <c r="AT35" i="18"/>
  <c r="O35" i="2"/>
  <c r="AU35" i="18"/>
  <c r="P35" i="2"/>
  <c r="AV35" i="18"/>
  <c r="Q35" i="2"/>
  <c r="AW35" i="18"/>
  <c r="R35" i="2"/>
  <c r="AX35" i="18"/>
  <c r="S35" i="2"/>
  <c r="AY35" i="18"/>
  <c r="T35" i="2"/>
  <c r="AZ35" i="18"/>
  <c r="U35" i="2"/>
  <c r="BA35" i="18"/>
  <c r="V35" i="2"/>
  <c r="BB35" i="18"/>
  <c r="W35" i="2"/>
  <c r="BC35" i="18"/>
  <c r="X35" i="2"/>
  <c r="BD35" i="18"/>
  <c r="Y35" i="2"/>
  <c r="BE35" i="18"/>
  <c r="Z35" i="2"/>
  <c r="BF35" i="18"/>
  <c r="AA35" i="2"/>
  <c r="BG35" i="18"/>
  <c r="AB35" i="2"/>
  <c r="BH35" i="18"/>
  <c r="AC35" i="2"/>
  <c r="BI35" i="18"/>
  <c r="AD35" i="2"/>
  <c r="BJ35" i="18"/>
  <c r="AE35" i="2"/>
  <c r="BK35" i="18"/>
  <c r="AF35" i="2"/>
  <c r="BL35" i="18"/>
  <c r="AG35" i="2"/>
  <c r="AI35" i="2"/>
  <c r="AK35" i="18"/>
  <c r="F35" i="2"/>
  <c r="AJ35" i="2"/>
  <c r="BN35" i="18"/>
  <c r="G35" i="3"/>
  <c r="BO35" i="18"/>
  <c r="H35" i="3"/>
  <c r="BP35" i="18"/>
  <c r="I35" i="3"/>
  <c r="BQ35" i="18"/>
  <c r="J35" i="3"/>
  <c r="BR35" i="18"/>
  <c r="K35" i="3"/>
  <c r="BS35" i="18"/>
  <c r="L35" i="3"/>
  <c r="BT35" i="18"/>
  <c r="M35" i="3"/>
  <c r="BU35" i="18"/>
  <c r="N35" i="3"/>
  <c r="BV35" i="18"/>
  <c r="O35" i="3"/>
  <c r="BW35" i="18"/>
  <c r="P35" i="3"/>
  <c r="BX35" i="18"/>
  <c r="Q35" i="3"/>
  <c r="BY35" i="18"/>
  <c r="R35" i="3"/>
  <c r="BZ35" i="18"/>
  <c r="S35" i="3"/>
  <c r="CA35" i="18"/>
  <c r="T35" i="3"/>
  <c r="CB35" i="18"/>
  <c r="U35" i="3"/>
  <c r="CC35" i="18"/>
  <c r="V35" i="3"/>
  <c r="CD35" i="18"/>
  <c r="W35" i="3"/>
  <c r="CE35" i="18"/>
  <c r="X35" i="3"/>
  <c r="CF35" i="18"/>
  <c r="Y35" i="3"/>
  <c r="CG35" i="18"/>
  <c r="Z35" i="3"/>
  <c r="CH35" i="18"/>
  <c r="AA35" i="3"/>
  <c r="CI35" i="18"/>
  <c r="AB35" i="3"/>
  <c r="CJ35" i="18"/>
  <c r="AC35" i="3"/>
  <c r="CK35" i="18"/>
  <c r="AD35" i="3"/>
  <c r="CL35" i="18"/>
  <c r="AE35" i="3"/>
  <c r="CM35" i="18"/>
  <c r="AF35" i="3"/>
  <c r="CN35" i="18"/>
  <c r="AG35" i="3"/>
  <c r="CO35" i="18"/>
  <c r="AH35" i="3"/>
  <c r="CP35" i="18"/>
  <c r="AI35" i="3"/>
  <c r="CQ35" i="18"/>
  <c r="AJ35" i="3"/>
  <c r="BM35" i="18"/>
  <c r="F35" i="3"/>
  <c r="AK35" i="3"/>
  <c r="CS35" i="18"/>
  <c r="G35" i="4"/>
  <c r="CT35" i="18"/>
  <c r="H35" i="4"/>
  <c r="CU35" i="18"/>
  <c r="I35" i="4"/>
  <c r="CV35" i="18"/>
  <c r="J35" i="4"/>
  <c r="CW35" i="18"/>
  <c r="K35" i="4"/>
  <c r="CX35" i="18"/>
  <c r="L35" i="4"/>
  <c r="CY35" i="18"/>
  <c r="M35" i="4"/>
  <c r="CZ35" i="18"/>
  <c r="N35" i="4"/>
  <c r="DA35" i="18"/>
  <c r="O35" i="4"/>
  <c r="DB35" i="18"/>
  <c r="P35" i="4"/>
  <c r="DC35" i="18"/>
  <c r="Q35" i="4"/>
  <c r="DD35" i="18"/>
  <c r="R35" i="4"/>
  <c r="DE35" i="18"/>
  <c r="S35" i="4"/>
  <c r="DF35" i="18"/>
  <c r="T35" i="4"/>
  <c r="DG35" i="18"/>
  <c r="U35" i="4"/>
  <c r="DH35" i="18"/>
  <c r="V35" i="4"/>
  <c r="DI35" i="18"/>
  <c r="W35" i="4"/>
  <c r="DJ35" i="18"/>
  <c r="X35" i="4"/>
  <c r="DK35" i="18"/>
  <c r="Y35" i="4"/>
  <c r="DL35" i="18"/>
  <c r="Z35" i="4"/>
  <c r="DM35" i="18"/>
  <c r="AA35" i="4"/>
  <c r="DN35" i="18"/>
  <c r="AB35" i="4"/>
  <c r="DO35" i="18"/>
  <c r="AC35" i="4"/>
  <c r="DP35" i="18"/>
  <c r="AD35" i="4"/>
  <c r="DQ35" i="18"/>
  <c r="AE35" i="4"/>
  <c r="DR35" i="18"/>
  <c r="AF35" i="4"/>
  <c r="DS35" i="18"/>
  <c r="AG35" i="4"/>
  <c r="DT35" i="18"/>
  <c r="AH35" i="4"/>
  <c r="DU35" i="18"/>
  <c r="AI35" i="4"/>
  <c r="CR35" i="18"/>
  <c r="F35" i="4"/>
  <c r="AK35" i="4"/>
  <c r="DW35" i="18"/>
  <c r="G35" i="5"/>
  <c r="DX35" i="18"/>
  <c r="H35" i="5"/>
  <c r="DY35" i="18"/>
  <c r="I35" i="5"/>
  <c r="DZ35" i="18"/>
  <c r="J35" i="5"/>
  <c r="EA35" i="18"/>
  <c r="K35" i="5"/>
  <c r="EB35" i="18"/>
  <c r="L35" i="5"/>
  <c r="EC35" i="18"/>
  <c r="M35" i="5"/>
  <c r="ED35" i="18"/>
  <c r="N35" i="5"/>
  <c r="EE35" i="18"/>
  <c r="O35" i="5"/>
  <c r="EF35" i="18"/>
  <c r="P35" i="5"/>
  <c r="EG35" i="18"/>
  <c r="Q35" i="5"/>
  <c r="EH35" i="18"/>
  <c r="R35" i="5"/>
  <c r="EI35" i="18"/>
  <c r="S35" i="5"/>
  <c r="EJ35" i="18"/>
  <c r="T35" i="5"/>
  <c r="EK35" i="18"/>
  <c r="U35" i="5"/>
  <c r="EL35" i="18"/>
  <c r="V35" i="5"/>
  <c r="EM35" i="18"/>
  <c r="W35" i="5"/>
  <c r="EN35" i="18"/>
  <c r="X35" i="5"/>
  <c r="EO35" i="18"/>
  <c r="Y35" i="5"/>
  <c r="EP35" i="18"/>
  <c r="Z35" i="5"/>
  <c r="EQ35" i="18"/>
  <c r="AA35" i="5"/>
  <c r="ER35" i="18"/>
  <c r="AB35" i="5"/>
  <c r="ES35" i="18"/>
  <c r="AC35" i="5"/>
  <c r="ET35" i="18"/>
  <c r="AD35" i="5"/>
  <c r="EU35" i="18"/>
  <c r="AE35" i="5"/>
  <c r="EV35" i="18"/>
  <c r="AF35" i="5"/>
  <c r="EW35" i="18"/>
  <c r="AG35" i="5"/>
  <c r="EX35" i="18"/>
  <c r="AH35" i="5"/>
  <c r="EY35" i="18"/>
  <c r="AI35" i="5"/>
  <c r="EZ35" i="18"/>
  <c r="AJ35" i="5"/>
  <c r="DV35" i="18"/>
  <c r="F35" i="5"/>
  <c r="AK35" i="5"/>
  <c r="FB35" i="18"/>
  <c r="G35" i="6"/>
  <c r="FC35" i="18"/>
  <c r="H35" i="6"/>
  <c r="FD35" i="18"/>
  <c r="I35" i="6"/>
  <c r="FE35" i="18"/>
  <c r="J35" i="6"/>
  <c r="FF35" i="18"/>
  <c r="K35" i="6"/>
  <c r="FG35" i="18"/>
  <c r="L35" i="6"/>
  <c r="FH35" i="18"/>
  <c r="M35" i="6"/>
  <c r="FI35" i="18"/>
  <c r="N35" i="6"/>
  <c r="FJ35" i="18"/>
  <c r="O35" i="6"/>
  <c r="FK35" i="18"/>
  <c r="P35" i="6"/>
  <c r="FL35" i="18"/>
  <c r="Q35" i="6"/>
  <c r="FM35" i="18"/>
  <c r="R35" i="6"/>
  <c r="FN35" i="18"/>
  <c r="S35" i="6"/>
  <c r="FO35" i="18"/>
  <c r="T35" i="6"/>
  <c r="FP35" i="18"/>
  <c r="U35" i="6"/>
  <c r="FQ35" i="18"/>
  <c r="V35" i="6"/>
  <c r="FR35" i="18"/>
  <c r="W35" i="6"/>
  <c r="FS35" i="18"/>
  <c r="X35" i="6"/>
  <c r="FT35" i="18"/>
  <c r="Y35" i="6"/>
  <c r="FU35" i="18"/>
  <c r="Z35" i="6"/>
  <c r="FV35" i="18"/>
  <c r="AA35" i="6"/>
  <c r="FW35" i="18"/>
  <c r="AB35" i="6"/>
  <c r="FX35" i="18"/>
  <c r="AC35" i="6"/>
  <c r="FY35" i="18"/>
  <c r="AD35" i="6"/>
  <c r="FZ35" i="18"/>
  <c r="AE35" i="6"/>
  <c r="GA35" i="18"/>
  <c r="AF35" i="6"/>
  <c r="GB35" i="18"/>
  <c r="AG35" i="6"/>
  <c r="GC35" i="18"/>
  <c r="AH35" i="6"/>
  <c r="GD35" i="18"/>
  <c r="AI35" i="6"/>
  <c r="FA35" i="18"/>
  <c r="F35" i="6"/>
  <c r="AK35" i="6"/>
  <c r="GF35" i="18"/>
  <c r="G35" i="7"/>
  <c r="GG35" i="18"/>
  <c r="H35" i="7"/>
  <c r="GH35" i="18"/>
  <c r="I35" i="7"/>
  <c r="GI35" i="18"/>
  <c r="J35" i="7"/>
  <c r="GJ35" i="18"/>
  <c r="K35" i="7"/>
  <c r="GK35" i="18"/>
  <c r="L35" i="7"/>
  <c r="GL35" i="18"/>
  <c r="M35" i="7"/>
  <c r="GM35" i="18"/>
  <c r="N35" i="7"/>
  <c r="GN35" i="18"/>
  <c r="O35" i="7"/>
  <c r="GO35" i="18"/>
  <c r="P35" i="7"/>
  <c r="GP35" i="18"/>
  <c r="Q35" i="7"/>
  <c r="GQ35" i="18"/>
  <c r="R35" i="7"/>
  <c r="GR35" i="18"/>
  <c r="S35" i="7"/>
  <c r="GS35" i="18"/>
  <c r="T35" i="7"/>
  <c r="GT35" i="18"/>
  <c r="U35" i="7"/>
  <c r="GU35" i="18"/>
  <c r="V35" i="7"/>
  <c r="GV35" i="18"/>
  <c r="W35" i="7"/>
  <c r="GW35" i="18"/>
  <c r="X35" i="7"/>
  <c r="GX35" i="18"/>
  <c r="Y35" i="7"/>
  <c r="GY35" i="18"/>
  <c r="Z35" i="7"/>
  <c r="GZ35" i="18"/>
  <c r="AA35" i="7"/>
  <c r="HA35" i="18"/>
  <c r="AB35" i="7"/>
  <c r="HB35" i="18"/>
  <c r="AC35" i="7"/>
  <c r="HC35" i="18"/>
  <c r="AD35" i="7"/>
  <c r="HD35" i="18"/>
  <c r="AE35" i="7"/>
  <c r="HE35" i="18"/>
  <c r="AF35" i="7"/>
  <c r="HF35" i="18"/>
  <c r="AG35" i="7"/>
  <c r="HG35" i="18"/>
  <c r="AH35" i="7"/>
  <c r="HH35" i="18"/>
  <c r="AI35" i="7"/>
  <c r="HI35" i="18"/>
  <c r="AJ35" i="7"/>
  <c r="GE35" i="18"/>
  <c r="F35" i="7"/>
  <c r="AK35" i="7"/>
  <c r="HK35" i="18"/>
  <c r="G35" i="8"/>
  <c r="HL35" i="18"/>
  <c r="H35" i="8"/>
  <c r="HM35" i="18"/>
  <c r="I35" i="8"/>
  <c r="HN35" i="18"/>
  <c r="J35" i="8"/>
  <c r="HO35" i="18"/>
  <c r="K35" i="8"/>
  <c r="HP35" i="18"/>
  <c r="L35" i="8"/>
  <c r="HQ35" i="18"/>
  <c r="M35" i="8"/>
  <c r="HR35" i="18"/>
  <c r="N35" i="8"/>
  <c r="HS35" i="18"/>
  <c r="O35" i="8"/>
  <c r="HT35" i="18"/>
  <c r="P35" i="8"/>
  <c r="HU35" i="18"/>
  <c r="Q35" i="8"/>
  <c r="HV35" i="18"/>
  <c r="R35" i="8"/>
  <c r="HW35" i="18"/>
  <c r="S35" i="8"/>
  <c r="HX35" i="18"/>
  <c r="T35" i="8"/>
  <c r="HY35" i="18"/>
  <c r="U35" i="8"/>
  <c r="HZ35" i="18"/>
  <c r="V35" i="8"/>
  <c r="IA35" i="18"/>
  <c r="W35" i="8"/>
  <c r="IB35" i="18"/>
  <c r="X35" i="8"/>
  <c r="IC35" i="18"/>
  <c r="Y35" i="8"/>
  <c r="ID35" i="18"/>
  <c r="Z35" i="8"/>
  <c r="IE35" i="18"/>
  <c r="AA35" i="8"/>
  <c r="IF35" i="18"/>
  <c r="AB35" i="8"/>
  <c r="IG35" i="18"/>
  <c r="AC35" i="8"/>
  <c r="IH35" i="18"/>
  <c r="AD35" i="8"/>
  <c r="II35" i="18"/>
  <c r="AE35" i="8"/>
  <c r="IJ35" i="18"/>
  <c r="AF35" i="8"/>
  <c r="IK35" i="18"/>
  <c r="AG35" i="8"/>
  <c r="IL35" i="18"/>
  <c r="AH35" i="8"/>
  <c r="IM35" i="18"/>
  <c r="AI35" i="8"/>
  <c r="IN35" i="18"/>
  <c r="AJ35" i="8"/>
  <c r="HJ35" i="18"/>
  <c r="F35" i="8"/>
  <c r="AK35" i="8"/>
  <c r="IP35" i="18"/>
  <c r="G35" i="9"/>
  <c r="IQ35" i="18"/>
  <c r="H35" i="9"/>
  <c r="IR35" i="18"/>
  <c r="I35" i="9"/>
  <c r="IS35" i="18"/>
  <c r="J35" i="9"/>
  <c r="IT35" i="18"/>
  <c r="K35" i="9"/>
  <c r="IU35" i="18"/>
  <c r="L35" i="9"/>
  <c r="IV35" i="18"/>
  <c r="M35" i="9"/>
  <c r="IW35" i="18"/>
  <c r="N35" i="9"/>
  <c r="IX35" i="18"/>
  <c r="O35" i="9"/>
  <c r="IY35" i="18"/>
  <c r="P35" i="9"/>
  <c r="IZ35" i="18"/>
  <c r="Q35" i="9"/>
  <c r="JA35" i="18"/>
  <c r="R35" i="9"/>
  <c r="JB35" i="18"/>
  <c r="S35" i="9"/>
  <c r="JC35" i="18"/>
  <c r="T35" i="9"/>
  <c r="JD35" i="18"/>
  <c r="U35" i="9"/>
  <c r="JE35" i="18"/>
  <c r="V35" i="9"/>
  <c r="JF35" i="18"/>
  <c r="W35" i="9"/>
  <c r="JG35" i="18"/>
  <c r="X35" i="9"/>
  <c r="JH35" i="18"/>
  <c r="Y35" i="9"/>
  <c r="JI35" i="18"/>
  <c r="Z35" i="9"/>
  <c r="JJ35" i="18"/>
  <c r="AA35" i="9"/>
  <c r="JK35" i="18"/>
  <c r="AB35" i="9"/>
  <c r="JL35" i="18"/>
  <c r="AC35" i="9"/>
  <c r="JM35" i="18"/>
  <c r="AD35" i="9"/>
  <c r="JN35" i="18"/>
  <c r="AE35" i="9"/>
  <c r="JO35" i="18"/>
  <c r="AF35" i="9"/>
  <c r="JP35" i="18"/>
  <c r="AG35" i="9"/>
  <c r="JQ35" i="18"/>
  <c r="AH35" i="9"/>
  <c r="JR35" i="18"/>
  <c r="AI35" i="9"/>
  <c r="IO35" i="18"/>
  <c r="F35" i="9"/>
  <c r="AK35" i="9"/>
  <c r="JT35" i="18"/>
  <c r="G35" i="10"/>
  <c r="JU35" i="18"/>
  <c r="H35" i="10"/>
  <c r="JV35" i="18"/>
  <c r="I35" i="10"/>
  <c r="JW35" i="18"/>
  <c r="J35" i="10"/>
  <c r="JX35" i="18"/>
  <c r="K35" i="10"/>
  <c r="JY35" i="18"/>
  <c r="L35" i="10"/>
  <c r="JZ35" i="18"/>
  <c r="M35" i="10"/>
  <c r="KA35" i="18"/>
  <c r="N35" i="10"/>
  <c r="KB35" i="18"/>
  <c r="O35" i="10"/>
  <c r="KC35" i="18"/>
  <c r="P35" i="10"/>
  <c r="KD35" i="18"/>
  <c r="Q35" i="10"/>
  <c r="KE35" i="18"/>
  <c r="R35" i="10"/>
  <c r="KF35" i="18"/>
  <c r="S35" i="10"/>
  <c r="KG35" i="18"/>
  <c r="T35" i="10"/>
  <c r="KH35" i="18"/>
  <c r="U35" i="10"/>
  <c r="KI35" i="18"/>
  <c r="V35" i="10"/>
  <c r="KJ35" i="18"/>
  <c r="W35" i="10"/>
  <c r="KK35" i="18"/>
  <c r="X35" i="10"/>
  <c r="KL35" i="18"/>
  <c r="Y35" i="10"/>
  <c r="KM35" i="18"/>
  <c r="Z35" i="10"/>
  <c r="KN35" i="18"/>
  <c r="AA35" i="10"/>
  <c r="KO35" i="18"/>
  <c r="AB35" i="10"/>
  <c r="KP35" i="18"/>
  <c r="AC35" i="10"/>
  <c r="KQ35" i="18"/>
  <c r="AD35" i="10"/>
  <c r="KR35" i="18"/>
  <c r="AE35" i="10"/>
  <c r="KS35" i="18"/>
  <c r="AF35" i="10"/>
  <c r="KT35" i="18"/>
  <c r="AG35" i="10"/>
  <c r="KU35" i="18"/>
  <c r="AH35" i="10"/>
  <c r="KV35" i="18"/>
  <c r="AI35" i="10"/>
  <c r="KW35" i="18"/>
  <c r="AJ35" i="10"/>
  <c r="JS35" i="18"/>
  <c r="F35" i="10"/>
  <c r="AK35" i="10"/>
  <c r="KY35" i="18"/>
  <c r="G35" i="11"/>
  <c r="KZ35" i="18"/>
  <c r="H35" i="11"/>
  <c r="LA35" i="18"/>
  <c r="I35" i="11"/>
  <c r="LB35" i="18"/>
  <c r="J35" i="11"/>
  <c r="LC35" i="18"/>
  <c r="K35" i="11"/>
  <c r="LD35" i="18"/>
  <c r="L35" i="11"/>
  <c r="LE35" i="18"/>
  <c r="M35" i="11"/>
  <c r="LF35" i="18"/>
  <c r="N35" i="11"/>
  <c r="LG35" i="18"/>
  <c r="O35" i="11"/>
  <c r="LH35" i="18"/>
  <c r="P35" i="11"/>
  <c r="LI35" i="18"/>
  <c r="Q35" i="11"/>
  <c r="LJ35" i="18"/>
  <c r="R35" i="11"/>
  <c r="LK35" i="18"/>
  <c r="S35" i="11"/>
  <c r="LL35" i="18"/>
  <c r="T35" i="11"/>
  <c r="LM35" i="18"/>
  <c r="U35" i="11"/>
  <c r="LN35" i="18"/>
  <c r="V35" i="11"/>
  <c r="LO35" i="18"/>
  <c r="W35" i="11"/>
  <c r="LP35" i="18"/>
  <c r="X35" i="11"/>
  <c r="LQ35" i="18"/>
  <c r="Y35" i="11"/>
  <c r="LR35" i="18"/>
  <c r="Z35" i="11"/>
  <c r="LS35" i="18"/>
  <c r="AA35" i="11"/>
  <c r="LT35" i="18"/>
  <c r="AB35" i="11"/>
  <c r="LU35" i="18"/>
  <c r="AC35" i="11"/>
  <c r="LV35" i="18"/>
  <c r="AD35" i="11"/>
  <c r="LW35" i="18"/>
  <c r="AE35" i="11"/>
  <c r="LX35" i="18"/>
  <c r="AF35" i="11"/>
  <c r="LY35" i="18"/>
  <c r="AG35" i="11"/>
  <c r="LZ35" i="18"/>
  <c r="AH35" i="11"/>
  <c r="MA35" i="18"/>
  <c r="AI35" i="11"/>
  <c r="KX35" i="18"/>
  <c r="F35" i="11"/>
  <c r="AK35" i="11"/>
  <c r="MC35" i="18"/>
  <c r="G35" i="12"/>
  <c r="MD35" i="18"/>
  <c r="H35" i="12"/>
  <c r="ME35" i="18"/>
  <c r="I35" i="12"/>
  <c r="MF35" i="18"/>
  <c r="J35" i="12"/>
  <c r="MG35" i="18"/>
  <c r="K35" i="12"/>
  <c r="MH35" i="18"/>
  <c r="L35" i="12"/>
  <c r="MI35" i="18"/>
  <c r="M35" i="12"/>
  <c r="MJ35" i="18"/>
  <c r="N35" i="12"/>
  <c r="MK35" i="18"/>
  <c r="O35" i="12"/>
  <c r="ML35" i="18"/>
  <c r="P35" i="12"/>
  <c r="MM35" i="18"/>
  <c r="Q35" i="12"/>
  <c r="MN35" i="18"/>
  <c r="R35" i="12"/>
  <c r="MO35" i="18"/>
  <c r="S35" i="12"/>
  <c r="MP35" i="18"/>
  <c r="T35" i="12"/>
  <c r="MQ35" i="18"/>
  <c r="U35" i="12"/>
  <c r="MR35" i="18"/>
  <c r="V35" i="12"/>
  <c r="MS35" i="18"/>
  <c r="W35" i="12"/>
  <c r="MT35" i="18"/>
  <c r="X35" i="12"/>
  <c r="MU35" i="18"/>
  <c r="Y35" i="12"/>
  <c r="MV35" i="18"/>
  <c r="Z35" i="12"/>
  <c r="MW35" i="18"/>
  <c r="AA35" i="12"/>
  <c r="MX35" i="18"/>
  <c r="AB35" i="12"/>
  <c r="MY35" i="18"/>
  <c r="AC35" i="12"/>
  <c r="MZ35" i="18"/>
  <c r="AD35" i="12"/>
  <c r="NA35" i="18"/>
  <c r="AE35" i="12"/>
  <c r="NB35" i="18"/>
  <c r="AF35" i="12"/>
  <c r="NC35" i="18"/>
  <c r="AG35" i="12"/>
  <c r="ND35" i="18"/>
  <c r="AH35" i="12"/>
  <c r="NE35" i="18"/>
  <c r="AI35" i="12"/>
  <c r="NF35" i="18"/>
  <c r="AJ35" i="12"/>
  <c r="MB35" i="18"/>
  <c r="F35" i="12"/>
  <c r="AK35" i="12"/>
  <c r="P31" i="13"/>
  <c r="G34" i="18"/>
  <c r="H34" i="18"/>
  <c r="I34" i="18"/>
  <c r="J34" i="18"/>
  <c r="K34" i="18"/>
  <c r="L34" i="18"/>
  <c r="M34" i="18"/>
  <c r="N34" i="18"/>
  <c r="O34" i="18"/>
  <c r="P34" i="18"/>
  <c r="Q34" i="18"/>
  <c r="R34" i="18"/>
  <c r="S34" i="18"/>
  <c r="T34" i="18"/>
  <c r="U34" i="18"/>
  <c r="V34" i="18"/>
  <c r="W34" i="18"/>
  <c r="X34" i="18"/>
  <c r="Y34" i="18"/>
  <c r="Z34" i="18"/>
  <c r="AA34" i="18"/>
  <c r="AB34" i="18"/>
  <c r="AC34" i="18"/>
  <c r="AD34" i="18"/>
  <c r="AE34" i="18"/>
  <c r="AF34" i="18"/>
  <c r="AG34" i="18"/>
  <c r="AH34" i="18"/>
  <c r="AI34" i="18"/>
  <c r="AJ34" i="18"/>
  <c r="F34" i="18"/>
  <c r="AL34" i="18"/>
  <c r="G34" i="2"/>
  <c r="AM34" i="18"/>
  <c r="H34" i="2"/>
  <c r="AN34" i="18"/>
  <c r="I34" i="2"/>
  <c r="AO34" i="18"/>
  <c r="J34" i="2"/>
  <c r="AP34" i="18"/>
  <c r="K34" i="2"/>
  <c r="AQ34" i="18"/>
  <c r="L34" i="2"/>
  <c r="AR34" i="18"/>
  <c r="M34" i="2"/>
  <c r="AS34" i="18"/>
  <c r="N34" i="2"/>
  <c r="AT34" i="18"/>
  <c r="O34" i="2"/>
  <c r="AU34" i="18"/>
  <c r="P34" i="2"/>
  <c r="AV34" i="18"/>
  <c r="Q34" i="2"/>
  <c r="AW34" i="18"/>
  <c r="R34" i="2"/>
  <c r="AX34" i="18"/>
  <c r="S34" i="2"/>
  <c r="AY34" i="18"/>
  <c r="T34" i="2"/>
  <c r="AZ34" i="18"/>
  <c r="U34" i="2"/>
  <c r="BA34" i="18"/>
  <c r="V34" i="2"/>
  <c r="BB34" i="18"/>
  <c r="W34" i="2"/>
  <c r="BC34" i="18"/>
  <c r="X34" i="2"/>
  <c r="BD34" i="18"/>
  <c r="Y34" i="2"/>
  <c r="BE34" i="18"/>
  <c r="Z34" i="2"/>
  <c r="BF34" i="18"/>
  <c r="AA34" i="2"/>
  <c r="BG34" i="18"/>
  <c r="AB34" i="2"/>
  <c r="BH34" i="18"/>
  <c r="AC34" i="2"/>
  <c r="BI34" i="18"/>
  <c r="AD34" i="2"/>
  <c r="BJ34" i="18"/>
  <c r="AE34" i="2"/>
  <c r="BK34" i="18"/>
  <c r="AF34" i="2"/>
  <c r="BL34" i="18"/>
  <c r="AG34" i="2"/>
  <c r="AI34" i="2"/>
  <c r="AK34" i="18"/>
  <c r="F34" i="2"/>
  <c r="AJ34" i="2"/>
  <c r="BN34" i="18"/>
  <c r="G34" i="3"/>
  <c r="BO34" i="18"/>
  <c r="H34" i="3"/>
  <c r="BP34" i="18"/>
  <c r="I34" i="3"/>
  <c r="BQ34" i="18"/>
  <c r="J34" i="3"/>
  <c r="BR34" i="18"/>
  <c r="K34" i="3"/>
  <c r="BS34" i="18"/>
  <c r="L34" i="3"/>
  <c r="BT34" i="18"/>
  <c r="M34" i="3"/>
  <c r="BU34" i="18"/>
  <c r="N34" i="3"/>
  <c r="BV34" i="18"/>
  <c r="O34" i="3"/>
  <c r="BW34" i="18"/>
  <c r="P34" i="3"/>
  <c r="BX34" i="18"/>
  <c r="Q34" i="3"/>
  <c r="BY34" i="18"/>
  <c r="R34" i="3"/>
  <c r="BZ34" i="18"/>
  <c r="S34" i="3"/>
  <c r="CA34" i="18"/>
  <c r="T34" i="3"/>
  <c r="CB34" i="18"/>
  <c r="U34" i="3"/>
  <c r="CC34" i="18"/>
  <c r="V34" i="3"/>
  <c r="CD34" i="18"/>
  <c r="W34" i="3"/>
  <c r="CE34" i="18"/>
  <c r="X34" i="3"/>
  <c r="CF34" i="18"/>
  <c r="Y34" i="3"/>
  <c r="CG34" i="18"/>
  <c r="Z34" i="3"/>
  <c r="CH34" i="18"/>
  <c r="AA34" i="3"/>
  <c r="CI34" i="18"/>
  <c r="AB34" i="3"/>
  <c r="CJ34" i="18"/>
  <c r="AC34" i="3"/>
  <c r="CK34" i="18"/>
  <c r="AD34" i="3"/>
  <c r="CL34" i="18"/>
  <c r="AE34" i="3"/>
  <c r="CM34" i="18"/>
  <c r="AF34" i="3"/>
  <c r="CN34" i="18"/>
  <c r="AG34" i="3"/>
  <c r="CO34" i="18"/>
  <c r="AH34" i="3"/>
  <c r="CP34" i="18"/>
  <c r="AI34" i="3"/>
  <c r="CQ34" i="18"/>
  <c r="AJ34" i="3"/>
  <c r="BM34" i="18"/>
  <c r="F34" i="3"/>
  <c r="AK34" i="3"/>
  <c r="CS34" i="18"/>
  <c r="G34" i="4"/>
  <c r="CT34" i="18"/>
  <c r="H34" i="4"/>
  <c r="CU34" i="18"/>
  <c r="I34" i="4"/>
  <c r="CV34" i="18"/>
  <c r="J34" i="4"/>
  <c r="CW34" i="18"/>
  <c r="K34" i="4"/>
  <c r="CX34" i="18"/>
  <c r="L34" i="4"/>
  <c r="CY34" i="18"/>
  <c r="M34" i="4"/>
  <c r="CZ34" i="18"/>
  <c r="N34" i="4"/>
  <c r="DA34" i="18"/>
  <c r="O34" i="4"/>
  <c r="DB34" i="18"/>
  <c r="P34" i="4"/>
  <c r="DC34" i="18"/>
  <c r="Q34" i="4"/>
  <c r="DD34" i="18"/>
  <c r="R34" i="4"/>
  <c r="DE34" i="18"/>
  <c r="S34" i="4"/>
  <c r="DF34" i="18"/>
  <c r="T34" i="4"/>
  <c r="DG34" i="18"/>
  <c r="U34" i="4"/>
  <c r="DH34" i="18"/>
  <c r="V34" i="4"/>
  <c r="DI34" i="18"/>
  <c r="W34" i="4"/>
  <c r="DJ34" i="18"/>
  <c r="X34" i="4"/>
  <c r="DK34" i="18"/>
  <c r="Y34" i="4"/>
  <c r="DL34" i="18"/>
  <c r="Z34" i="4"/>
  <c r="DM34" i="18"/>
  <c r="AA34" i="4"/>
  <c r="DN34" i="18"/>
  <c r="AB34" i="4"/>
  <c r="DO34" i="18"/>
  <c r="AC34" i="4"/>
  <c r="DP34" i="18"/>
  <c r="AD34" i="4"/>
  <c r="DQ34" i="18"/>
  <c r="AE34" i="4"/>
  <c r="DR34" i="18"/>
  <c r="AF34" i="4"/>
  <c r="DS34" i="18"/>
  <c r="AG34" i="4"/>
  <c r="DT34" i="18"/>
  <c r="AH34" i="4"/>
  <c r="DU34" i="18"/>
  <c r="AI34" i="4"/>
  <c r="CR34" i="18"/>
  <c r="F34" i="4"/>
  <c r="AK34" i="4"/>
  <c r="DW34" i="18"/>
  <c r="G34" i="5"/>
  <c r="DX34" i="18"/>
  <c r="H34" i="5"/>
  <c r="DY34" i="18"/>
  <c r="I34" i="5"/>
  <c r="DZ34" i="18"/>
  <c r="J34" i="5"/>
  <c r="EA34" i="18"/>
  <c r="K34" i="5"/>
  <c r="EB34" i="18"/>
  <c r="L34" i="5"/>
  <c r="EC34" i="18"/>
  <c r="M34" i="5"/>
  <c r="ED34" i="18"/>
  <c r="N34" i="5"/>
  <c r="EE34" i="18"/>
  <c r="O34" i="5"/>
  <c r="EF34" i="18"/>
  <c r="P34" i="5"/>
  <c r="EG34" i="18"/>
  <c r="Q34" i="5"/>
  <c r="EH34" i="18"/>
  <c r="R34" i="5"/>
  <c r="EI34" i="18"/>
  <c r="S34" i="5"/>
  <c r="EJ34" i="18"/>
  <c r="T34" i="5"/>
  <c r="EK34" i="18"/>
  <c r="U34" i="5"/>
  <c r="EL34" i="18"/>
  <c r="V34" i="5"/>
  <c r="EM34" i="18"/>
  <c r="W34" i="5"/>
  <c r="EN34" i="18"/>
  <c r="X34" i="5"/>
  <c r="EO34" i="18"/>
  <c r="Y34" i="5"/>
  <c r="EP34" i="18"/>
  <c r="Z34" i="5"/>
  <c r="EQ34" i="18"/>
  <c r="AA34" i="5"/>
  <c r="ER34" i="18"/>
  <c r="AB34" i="5"/>
  <c r="ES34" i="18"/>
  <c r="AC34" i="5"/>
  <c r="ET34" i="18"/>
  <c r="AD34" i="5"/>
  <c r="EU34" i="18"/>
  <c r="AE34" i="5"/>
  <c r="EV34" i="18"/>
  <c r="AF34" i="5"/>
  <c r="EW34" i="18"/>
  <c r="AG34" i="5"/>
  <c r="EX34" i="18"/>
  <c r="AH34" i="5"/>
  <c r="EY34" i="18"/>
  <c r="AI34" i="5"/>
  <c r="EZ34" i="18"/>
  <c r="AJ34" i="5"/>
  <c r="DV34" i="18"/>
  <c r="F34" i="5"/>
  <c r="AK34" i="5"/>
  <c r="FB34" i="18"/>
  <c r="G34" i="6"/>
  <c r="FC34" i="18"/>
  <c r="H34" i="6"/>
  <c r="FD34" i="18"/>
  <c r="I34" i="6"/>
  <c r="FE34" i="18"/>
  <c r="J34" i="6"/>
  <c r="FF34" i="18"/>
  <c r="K34" i="6"/>
  <c r="FG34" i="18"/>
  <c r="L34" i="6"/>
  <c r="FH34" i="18"/>
  <c r="M34" i="6"/>
  <c r="FI34" i="18"/>
  <c r="N34" i="6"/>
  <c r="FJ34" i="18"/>
  <c r="O34" i="6"/>
  <c r="FK34" i="18"/>
  <c r="P34" i="6"/>
  <c r="FL34" i="18"/>
  <c r="Q34" i="6"/>
  <c r="FM34" i="18"/>
  <c r="R34" i="6"/>
  <c r="FN34" i="18"/>
  <c r="S34" i="6"/>
  <c r="FO34" i="18"/>
  <c r="T34" i="6"/>
  <c r="FP34" i="18"/>
  <c r="U34" i="6"/>
  <c r="FQ34" i="18"/>
  <c r="V34" i="6"/>
  <c r="FR34" i="18"/>
  <c r="W34" i="6"/>
  <c r="FS34" i="18"/>
  <c r="X34" i="6"/>
  <c r="FT34" i="18"/>
  <c r="Y34" i="6"/>
  <c r="FU34" i="18"/>
  <c r="Z34" i="6"/>
  <c r="FV34" i="18"/>
  <c r="AA34" i="6"/>
  <c r="FW34" i="18"/>
  <c r="AB34" i="6"/>
  <c r="FX34" i="18"/>
  <c r="AC34" i="6"/>
  <c r="FY34" i="18"/>
  <c r="AD34" i="6"/>
  <c r="FZ34" i="18"/>
  <c r="AE34" i="6"/>
  <c r="GA34" i="18"/>
  <c r="AF34" i="6"/>
  <c r="GB34" i="18"/>
  <c r="AG34" i="6"/>
  <c r="GC34" i="18"/>
  <c r="AH34" i="6"/>
  <c r="GD34" i="18"/>
  <c r="AI34" i="6"/>
  <c r="FA34" i="18"/>
  <c r="F34" i="6"/>
  <c r="AK34" i="6"/>
  <c r="GF34" i="18"/>
  <c r="G34" i="7"/>
  <c r="GG34" i="18"/>
  <c r="H34" i="7"/>
  <c r="GH34" i="18"/>
  <c r="I34" i="7"/>
  <c r="GI34" i="18"/>
  <c r="J34" i="7"/>
  <c r="GJ34" i="18"/>
  <c r="K34" i="7"/>
  <c r="GK34" i="18"/>
  <c r="L34" i="7"/>
  <c r="GL34" i="18"/>
  <c r="M34" i="7"/>
  <c r="GM34" i="18"/>
  <c r="N34" i="7"/>
  <c r="GN34" i="18"/>
  <c r="O34" i="7"/>
  <c r="GO34" i="18"/>
  <c r="P34" i="7"/>
  <c r="GP34" i="18"/>
  <c r="Q34" i="7"/>
  <c r="GQ34" i="18"/>
  <c r="R34" i="7"/>
  <c r="GR34" i="18"/>
  <c r="S34" i="7"/>
  <c r="GS34" i="18"/>
  <c r="T34" i="7"/>
  <c r="GT34" i="18"/>
  <c r="U34" i="7"/>
  <c r="GU34" i="18"/>
  <c r="V34" i="7"/>
  <c r="GV34" i="18"/>
  <c r="W34" i="7"/>
  <c r="GW34" i="18"/>
  <c r="X34" i="7"/>
  <c r="GX34" i="18"/>
  <c r="Y34" i="7"/>
  <c r="GY34" i="18"/>
  <c r="Z34" i="7"/>
  <c r="GZ34" i="18"/>
  <c r="AA34" i="7"/>
  <c r="HA34" i="18"/>
  <c r="AB34" i="7"/>
  <c r="HB34" i="18"/>
  <c r="AC34" i="7"/>
  <c r="HC34" i="18"/>
  <c r="AD34" i="7"/>
  <c r="HD34" i="18"/>
  <c r="AE34" i="7"/>
  <c r="HE34" i="18"/>
  <c r="AF34" i="7"/>
  <c r="HF34" i="18"/>
  <c r="AG34" i="7"/>
  <c r="HG34" i="18"/>
  <c r="AH34" i="7"/>
  <c r="HH34" i="18"/>
  <c r="AI34" i="7"/>
  <c r="HI34" i="18"/>
  <c r="AJ34" i="7"/>
  <c r="GE34" i="18"/>
  <c r="F34" i="7"/>
  <c r="AK34" i="7"/>
  <c r="HK34" i="18"/>
  <c r="G34" i="8"/>
  <c r="HL34" i="18"/>
  <c r="H34" i="8"/>
  <c r="HM34" i="18"/>
  <c r="I34" i="8"/>
  <c r="HN34" i="18"/>
  <c r="J34" i="8"/>
  <c r="HO34" i="18"/>
  <c r="K34" i="8"/>
  <c r="HP34" i="18"/>
  <c r="L34" i="8"/>
  <c r="HQ34" i="18"/>
  <c r="M34" i="8"/>
  <c r="HR34" i="18"/>
  <c r="N34" i="8"/>
  <c r="HS34" i="18"/>
  <c r="O34" i="8"/>
  <c r="HT34" i="18"/>
  <c r="P34" i="8"/>
  <c r="HU34" i="18"/>
  <c r="Q34" i="8"/>
  <c r="HV34" i="18"/>
  <c r="R34" i="8"/>
  <c r="HW34" i="18"/>
  <c r="S34" i="8"/>
  <c r="HX34" i="18"/>
  <c r="T34" i="8"/>
  <c r="HY34" i="18"/>
  <c r="U34" i="8"/>
  <c r="HZ34" i="18"/>
  <c r="V34" i="8"/>
  <c r="IA34" i="18"/>
  <c r="W34" i="8"/>
  <c r="IB34" i="18"/>
  <c r="X34" i="8"/>
  <c r="IC34" i="18"/>
  <c r="Y34" i="8"/>
  <c r="ID34" i="18"/>
  <c r="Z34" i="8"/>
  <c r="IE34" i="18"/>
  <c r="AA34" i="8"/>
  <c r="IF34" i="18"/>
  <c r="AB34" i="8"/>
  <c r="IG34" i="18"/>
  <c r="AC34" i="8"/>
  <c r="IH34" i="18"/>
  <c r="AD34" i="8"/>
  <c r="II34" i="18"/>
  <c r="AE34" i="8"/>
  <c r="IJ34" i="18"/>
  <c r="AF34" i="8"/>
  <c r="IK34" i="18"/>
  <c r="AG34" i="8"/>
  <c r="IL34" i="18"/>
  <c r="AH34" i="8"/>
  <c r="IM34" i="18"/>
  <c r="AI34" i="8"/>
  <c r="IN34" i="18"/>
  <c r="AJ34" i="8"/>
  <c r="HJ34" i="18"/>
  <c r="F34" i="8"/>
  <c r="AK34" i="8"/>
  <c r="IP34" i="18"/>
  <c r="G34" i="9"/>
  <c r="IQ34" i="18"/>
  <c r="H34" i="9"/>
  <c r="IR34" i="18"/>
  <c r="I34" i="9"/>
  <c r="IS34" i="18"/>
  <c r="J34" i="9"/>
  <c r="IT34" i="18"/>
  <c r="K34" i="9"/>
  <c r="IU34" i="18"/>
  <c r="L34" i="9"/>
  <c r="IV34" i="18"/>
  <c r="M34" i="9"/>
  <c r="IW34" i="18"/>
  <c r="N34" i="9"/>
  <c r="IX34" i="18"/>
  <c r="O34" i="9"/>
  <c r="IY34" i="18"/>
  <c r="P34" i="9"/>
  <c r="IZ34" i="18"/>
  <c r="Q34" i="9"/>
  <c r="JA34" i="18"/>
  <c r="R34" i="9"/>
  <c r="JB34" i="18"/>
  <c r="S34" i="9"/>
  <c r="JC34" i="18"/>
  <c r="T34" i="9"/>
  <c r="JD34" i="18"/>
  <c r="U34" i="9"/>
  <c r="JE34" i="18"/>
  <c r="V34" i="9"/>
  <c r="JF34" i="18"/>
  <c r="W34" i="9"/>
  <c r="JG34" i="18"/>
  <c r="X34" i="9"/>
  <c r="JH34" i="18"/>
  <c r="Y34" i="9"/>
  <c r="JI34" i="18"/>
  <c r="Z34" i="9"/>
  <c r="JJ34" i="18"/>
  <c r="AA34" i="9"/>
  <c r="JK34" i="18"/>
  <c r="AB34" i="9"/>
  <c r="JL34" i="18"/>
  <c r="AC34" i="9"/>
  <c r="JM34" i="18"/>
  <c r="AD34" i="9"/>
  <c r="JN34" i="18"/>
  <c r="AE34" i="9"/>
  <c r="JO34" i="18"/>
  <c r="AF34" i="9"/>
  <c r="JP34" i="18"/>
  <c r="AG34" i="9"/>
  <c r="JQ34" i="18"/>
  <c r="AH34" i="9"/>
  <c r="JR34" i="18"/>
  <c r="AI34" i="9"/>
  <c r="IO34" i="18"/>
  <c r="F34" i="9"/>
  <c r="AK34" i="9"/>
  <c r="JT34" i="18"/>
  <c r="G34" i="10"/>
  <c r="JU34" i="18"/>
  <c r="H34" i="10"/>
  <c r="JV34" i="18"/>
  <c r="I34" i="10"/>
  <c r="JW34" i="18"/>
  <c r="J34" i="10"/>
  <c r="JX34" i="18"/>
  <c r="K34" i="10"/>
  <c r="JY34" i="18"/>
  <c r="L34" i="10"/>
  <c r="JZ34" i="18"/>
  <c r="M34" i="10"/>
  <c r="KA34" i="18"/>
  <c r="N34" i="10"/>
  <c r="KB34" i="18"/>
  <c r="O34" i="10"/>
  <c r="KC34" i="18"/>
  <c r="P34" i="10"/>
  <c r="KD34" i="18"/>
  <c r="Q34" i="10"/>
  <c r="KE34" i="18"/>
  <c r="R34" i="10"/>
  <c r="KF34" i="18"/>
  <c r="S34" i="10"/>
  <c r="KG34" i="18"/>
  <c r="T34" i="10"/>
  <c r="KH34" i="18"/>
  <c r="U34" i="10"/>
  <c r="KI34" i="18"/>
  <c r="V34" i="10"/>
  <c r="KJ34" i="18"/>
  <c r="W34" i="10"/>
  <c r="KK34" i="18"/>
  <c r="X34" i="10"/>
  <c r="KL34" i="18"/>
  <c r="Y34" i="10"/>
  <c r="KM34" i="18"/>
  <c r="Z34" i="10"/>
  <c r="KN34" i="18"/>
  <c r="AA34" i="10"/>
  <c r="KO34" i="18"/>
  <c r="AB34" i="10"/>
  <c r="KP34" i="18"/>
  <c r="AC34" i="10"/>
  <c r="KQ34" i="18"/>
  <c r="AD34" i="10"/>
  <c r="KR34" i="18"/>
  <c r="AE34" i="10"/>
  <c r="KS34" i="18"/>
  <c r="AF34" i="10"/>
  <c r="KT34" i="18"/>
  <c r="AG34" i="10"/>
  <c r="KU34" i="18"/>
  <c r="AH34" i="10"/>
  <c r="KV34" i="18"/>
  <c r="AI34" i="10"/>
  <c r="KW34" i="18"/>
  <c r="AJ34" i="10"/>
  <c r="JS34" i="18"/>
  <c r="F34" i="10"/>
  <c r="AK34" i="10"/>
  <c r="KY34" i="18"/>
  <c r="G34" i="11"/>
  <c r="KZ34" i="18"/>
  <c r="H34" i="11"/>
  <c r="LA34" i="18"/>
  <c r="I34" i="11"/>
  <c r="LB34" i="18"/>
  <c r="J34" i="11"/>
  <c r="LC34" i="18"/>
  <c r="K34" i="11"/>
  <c r="LD34" i="18"/>
  <c r="L34" i="11"/>
  <c r="LE34" i="18"/>
  <c r="M34" i="11"/>
  <c r="LF34" i="18"/>
  <c r="N34" i="11"/>
  <c r="LG34" i="18"/>
  <c r="O34" i="11"/>
  <c r="LH34" i="18"/>
  <c r="P34" i="11"/>
  <c r="LI34" i="18"/>
  <c r="Q34" i="11"/>
  <c r="LJ34" i="18"/>
  <c r="R34" i="11"/>
  <c r="LK34" i="18"/>
  <c r="S34" i="11"/>
  <c r="LL34" i="18"/>
  <c r="T34" i="11"/>
  <c r="LM34" i="18"/>
  <c r="U34" i="11"/>
  <c r="LN34" i="18"/>
  <c r="V34" i="11"/>
  <c r="LO34" i="18"/>
  <c r="W34" i="11"/>
  <c r="LP34" i="18"/>
  <c r="X34" i="11"/>
  <c r="LQ34" i="18"/>
  <c r="Y34" i="11"/>
  <c r="LR34" i="18"/>
  <c r="Z34" i="11"/>
  <c r="LS34" i="18"/>
  <c r="AA34" i="11"/>
  <c r="LT34" i="18"/>
  <c r="AB34" i="11"/>
  <c r="LU34" i="18"/>
  <c r="AC34" i="11"/>
  <c r="LV34" i="18"/>
  <c r="AD34" i="11"/>
  <c r="LW34" i="18"/>
  <c r="AE34" i="11"/>
  <c r="LX34" i="18"/>
  <c r="AF34" i="11"/>
  <c r="LY34" i="18"/>
  <c r="AG34" i="11"/>
  <c r="LZ34" i="18"/>
  <c r="AH34" i="11"/>
  <c r="MA34" i="18"/>
  <c r="AI34" i="11"/>
  <c r="KX34" i="18"/>
  <c r="F34" i="11"/>
  <c r="AK34" i="11"/>
  <c r="MC34" i="18"/>
  <c r="G34" i="12"/>
  <c r="MD34" i="18"/>
  <c r="H34" i="12"/>
  <c r="ME34" i="18"/>
  <c r="I34" i="12"/>
  <c r="MF34" i="18"/>
  <c r="J34" i="12"/>
  <c r="MG34" i="18"/>
  <c r="K34" i="12"/>
  <c r="MH34" i="18"/>
  <c r="L34" i="12"/>
  <c r="MI34" i="18"/>
  <c r="M34" i="12"/>
  <c r="MJ34" i="18"/>
  <c r="N34" i="12"/>
  <c r="MK34" i="18"/>
  <c r="O34" i="12"/>
  <c r="ML34" i="18"/>
  <c r="P34" i="12"/>
  <c r="MM34" i="18"/>
  <c r="Q34" i="12"/>
  <c r="MN34" i="18"/>
  <c r="R34" i="12"/>
  <c r="MO34" i="18"/>
  <c r="S34" i="12"/>
  <c r="MP34" i="18"/>
  <c r="T34" i="12"/>
  <c r="MQ34" i="18"/>
  <c r="U34" i="12"/>
  <c r="MR34" i="18"/>
  <c r="V34" i="12"/>
  <c r="MS34" i="18"/>
  <c r="W34" i="12"/>
  <c r="MT34" i="18"/>
  <c r="X34" i="12"/>
  <c r="MU34" i="18"/>
  <c r="Y34" i="12"/>
  <c r="MV34" i="18"/>
  <c r="Z34" i="12"/>
  <c r="MW34" i="18"/>
  <c r="AA34" i="12"/>
  <c r="MX34" i="18"/>
  <c r="AB34" i="12"/>
  <c r="MY34" i="18"/>
  <c r="AC34" i="12"/>
  <c r="MZ34" i="18"/>
  <c r="AD34" i="12"/>
  <c r="NA34" i="18"/>
  <c r="AE34" i="12"/>
  <c r="NB34" i="18"/>
  <c r="AF34" i="12"/>
  <c r="NC34" i="18"/>
  <c r="AG34" i="12"/>
  <c r="ND34" i="18"/>
  <c r="AH34" i="12"/>
  <c r="NE34" i="18"/>
  <c r="AI34" i="12"/>
  <c r="NF34" i="18"/>
  <c r="AJ34" i="12"/>
  <c r="MB34" i="18"/>
  <c r="F34" i="12"/>
  <c r="AK34" i="12"/>
  <c r="P30" i="13"/>
  <c r="G33" i="18"/>
  <c r="H33" i="18"/>
  <c r="I33" i="18"/>
  <c r="J33" i="18"/>
  <c r="K33" i="18"/>
  <c r="L33" i="18"/>
  <c r="M33" i="18"/>
  <c r="N33" i="18"/>
  <c r="O33" i="18"/>
  <c r="P33" i="18"/>
  <c r="Q33" i="18"/>
  <c r="R33" i="18"/>
  <c r="S33" i="18"/>
  <c r="T33" i="18"/>
  <c r="U33" i="18"/>
  <c r="V33" i="18"/>
  <c r="W33" i="18"/>
  <c r="X33" i="18"/>
  <c r="Y33" i="18"/>
  <c r="Z33" i="18"/>
  <c r="AA33" i="18"/>
  <c r="AB33" i="18"/>
  <c r="AC33" i="18"/>
  <c r="AD33" i="18"/>
  <c r="AE33" i="18"/>
  <c r="AF33" i="18"/>
  <c r="AG33" i="18"/>
  <c r="AH33" i="18"/>
  <c r="AI33" i="18"/>
  <c r="AJ33" i="18"/>
  <c r="F33" i="18"/>
  <c r="AL33" i="18"/>
  <c r="G33" i="2"/>
  <c r="AM33" i="18"/>
  <c r="H33" i="2"/>
  <c r="AN33" i="18"/>
  <c r="I33" i="2"/>
  <c r="AO33" i="18"/>
  <c r="J33" i="2"/>
  <c r="AP33" i="18"/>
  <c r="K33" i="2"/>
  <c r="AQ33" i="18"/>
  <c r="L33" i="2"/>
  <c r="AR33" i="18"/>
  <c r="M33" i="2"/>
  <c r="AS33" i="18"/>
  <c r="N33" i="2"/>
  <c r="AT33" i="18"/>
  <c r="O33" i="2"/>
  <c r="AU33" i="18"/>
  <c r="P33" i="2"/>
  <c r="AV33" i="18"/>
  <c r="Q33" i="2"/>
  <c r="AW33" i="18"/>
  <c r="R33" i="2"/>
  <c r="AX33" i="18"/>
  <c r="S33" i="2"/>
  <c r="AY33" i="18"/>
  <c r="T33" i="2"/>
  <c r="AZ33" i="18"/>
  <c r="U33" i="2"/>
  <c r="BA33" i="18"/>
  <c r="V33" i="2"/>
  <c r="BB33" i="18"/>
  <c r="W33" i="2"/>
  <c r="BC33" i="18"/>
  <c r="X33" i="2"/>
  <c r="BD33" i="18"/>
  <c r="Y33" i="2"/>
  <c r="BE33" i="18"/>
  <c r="Z33" i="2"/>
  <c r="BF33" i="18"/>
  <c r="AA33" i="2"/>
  <c r="BG33" i="18"/>
  <c r="AB33" i="2"/>
  <c r="BH33" i="18"/>
  <c r="AC33" i="2"/>
  <c r="BI33" i="18"/>
  <c r="AD33" i="2"/>
  <c r="BJ33" i="18"/>
  <c r="AE33" i="2"/>
  <c r="BK33" i="18"/>
  <c r="AF33" i="2"/>
  <c r="BL33" i="18"/>
  <c r="AG33" i="2"/>
  <c r="AI33" i="2"/>
  <c r="AK33" i="18"/>
  <c r="F33" i="2"/>
  <c r="AJ33" i="2"/>
  <c r="BN33" i="18"/>
  <c r="G33" i="3"/>
  <c r="BO33" i="18"/>
  <c r="H33" i="3"/>
  <c r="BP33" i="18"/>
  <c r="I33" i="3"/>
  <c r="BQ33" i="18"/>
  <c r="J33" i="3"/>
  <c r="BR33" i="18"/>
  <c r="K33" i="3"/>
  <c r="BS33" i="18"/>
  <c r="L33" i="3"/>
  <c r="BT33" i="18"/>
  <c r="M33" i="3"/>
  <c r="BU33" i="18"/>
  <c r="N33" i="3"/>
  <c r="BV33" i="18"/>
  <c r="O33" i="3"/>
  <c r="BW33" i="18"/>
  <c r="P33" i="3"/>
  <c r="BX33" i="18"/>
  <c r="Q33" i="3"/>
  <c r="BY33" i="18"/>
  <c r="R33" i="3"/>
  <c r="BZ33" i="18"/>
  <c r="S33" i="3"/>
  <c r="CA33" i="18"/>
  <c r="T33" i="3"/>
  <c r="CB33" i="18"/>
  <c r="U33" i="3"/>
  <c r="CC33" i="18"/>
  <c r="V33" i="3"/>
  <c r="CD33" i="18"/>
  <c r="W33" i="3"/>
  <c r="CE33" i="18"/>
  <c r="X33" i="3"/>
  <c r="CF33" i="18"/>
  <c r="Y33" i="3"/>
  <c r="CG33" i="18"/>
  <c r="Z33" i="3"/>
  <c r="CH33" i="18"/>
  <c r="AA33" i="3"/>
  <c r="CI33" i="18"/>
  <c r="AB33" i="3"/>
  <c r="CJ33" i="18"/>
  <c r="AC33" i="3"/>
  <c r="CK33" i="18"/>
  <c r="AD33" i="3"/>
  <c r="CL33" i="18"/>
  <c r="AE33" i="3"/>
  <c r="CM33" i="18"/>
  <c r="AF33" i="3"/>
  <c r="CN33" i="18"/>
  <c r="AG33" i="3"/>
  <c r="CO33" i="18"/>
  <c r="AH33" i="3"/>
  <c r="CP33" i="18"/>
  <c r="AI33" i="3"/>
  <c r="CQ33" i="18"/>
  <c r="AJ33" i="3"/>
  <c r="BM33" i="18"/>
  <c r="F33" i="3"/>
  <c r="AK33" i="3"/>
  <c r="CS33" i="18"/>
  <c r="G33" i="4"/>
  <c r="CT33" i="18"/>
  <c r="H33" i="4"/>
  <c r="CU33" i="18"/>
  <c r="I33" i="4"/>
  <c r="CV33" i="18"/>
  <c r="J33" i="4"/>
  <c r="CW33" i="18"/>
  <c r="K33" i="4"/>
  <c r="CX33" i="18"/>
  <c r="L33" i="4"/>
  <c r="CY33" i="18"/>
  <c r="M33" i="4"/>
  <c r="CZ33" i="18"/>
  <c r="N33" i="4"/>
  <c r="DA33" i="18"/>
  <c r="O33" i="4"/>
  <c r="DB33" i="18"/>
  <c r="P33" i="4"/>
  <c r="DC33" i="18"/>
  <c r="Q33" i="4"/>
  <c r="DD33" i="18"/>
  <c r="R33" i="4"/>
  <c r="DE33" i="18"/>
  <c r="S33" i="4"/>
  <c r="DF33" i="18"/>
  <c r="T33" i="4"/>
  <c r="DG33" i="18"/>
  <c r="U33" i="4"/>
  <c r="DH33" i="18"/>
  <c r="V33" i="4"/>
  <c r="DI33" i="18"/>
  <c r="W33" i="4"/>
  <c r="DJ33" i="18"/>
  <c r="X33" i="4"/>
  <c r="DK33" i="18"/>
  <c r="Y33" i="4"/>
  <c r="DL33" i="18"/>
  <c r="Z33" i="4"/>
  <c r="DM33" i="18"/>
  <c r="AA33" i="4"/>
  <c r="DN33" i="18"/>
  <c r="AB33" i="4"/>
  <c r="DO33" i="18"/>
  <c r="AC33" i="4"/>
  <c r="DP33" i="18"/>
  <c r="AD33" i="4"/>
  <c r="DQ33" i="18"/>
  <c r="AE33" i="4"/>
  <c r="DR33" i="18"/>
  <c r="AF33" i="4"/>
  <c r="DS33" i="18"/>
  <c r="AG33" i="4"/>
  <c r="DT33" i="18"/>
  <c r="AH33" i="4"/>
  <c r="DU33" i="18"/>
  <c r="AI33" i="4"/>
  <c r="CR33" i="18"/>
  <c r="F33" i="4"/>
  <c r="AK33" i="4"/>
  <c r="DW33" i="18"/>
  <c r="G33" i="5"/>
  <c r="DX33" i="18"/>
  <c r="H33" i="5"/>
  <c r="DY33" i="18"/>
  <c r="I33" i="5"/>
  <c r="DZ33" i="18"/>
  <c r="J33" i="5"/>
  <c r="EA33" i="18"/>
  <c r="K33" i="5"/>
  <c r="EB33" i="18"/>
  <c r="L33" i="5"/>
  <c r="EC33" i="18"/>
  <c r="M33" i="5"/>
  <c r="ED33" i="18"/>
  <c r="N33" i="5"/>
  <c r="EE33" i="18"/>
  <c r="O33" i="5"/>
  <c r="EF33" i="18"/>
  <c r="P33" i="5"/>
  <c r="EG33" i="18"/>
  <c r="Q33" i="5"/>
  <c r="EH33" i="18"/>
  <c r="R33" i="5"/>
  <c r="EI33" i="18"/>
  <c r="S33" i="5"/>
  <c r="EJ33" i="18"/>
  <c r="T33" i="5"/>
  <c r="EK33" i="18"/>
  <c r="U33" i="5"/>
  <c r="EL33" i="18"/>
  <c r="V33" i="5"/>
  <c r="EM33" i="18"/>
  <c r="W33" i="5"/>
  <c r="EN33" i="18"/>
  <c r="X33" i="5"/>
  <c r="EO33" i="18"/>
  <c r="Y33" i="5"/>
  <c r="EP33" i="18"/>
  <c r="Z33" i="5"/>
  <c r="EQ33" i="18"/>
  <c r="AA33" i="5"/>
  <c r="ER33" i="18"/>
  <c r="AB33" i="5"/>
  <c r="ES33" i="18"/>
  <c r="AC33" i="5"/>
  <c r="ET33" i="18"/>
  <c r="AD33" i="5"/>
  <c r="EU33" i="18"/>
  <c r="AE33" i="5"/>
  <c r="EV33" i="18"/>
  <c r="AF33" i="5"/>
  <c r="EW33" i="18"/>
  <c r="AG33" i="5"/>
  <c r="EX33" i="18"/>
  <c r="AH33" i="5"/>
  <c r="EY33" i="18"/>
  <c r="AI33" i="5"/>
  <c r="EZ33" i="18"/>
  <c r="AJ33" i="5"/>
  <c r="DV33" i="18"/>
  <c r="F33" i="5"/>
  <c r="AK33" i="5"/>
  <c r="FB33" i="18"/>
  <c r="G33" i="6"/>
  <c r="FC33" i="18"/>
  <c r="H33" i="6"/>
  <c r="FD33" i="18"/>
  <c r="I33" i="6"/>
  <c r="FE33" i="18"/>
  <c r="J33" i="6"/>
  <c r="FF33" i="18"/>
  <c r="K33" i="6"/>
  <c r="FG33" i="18"/>
  <c r="L33" i="6"/>
  <c r="FH33" i="18"/>
  <c r="M33" i="6"/>
  <c r="FI33" i="18"/>
  <c r="N33" i="6"/>
  <c r="FJ33" i="18"/>
  <c r="O33" i="6"/>
  <c r="FK33" i="18"/>
  <c r="P33" i="6"/>
  <c r="FL33" i="18"/>
  <c r="Q33" i="6"/>
  <c r="FM33" i="18"/>
  <c r="R33" i="6"/>
  <c r="FN33" i="18"/>
  <c r="S33" i="6"/>
  <c r="FO33" i="18"/>
  <c r="T33" i="6"/>
  <c r="FP33" i="18"/>
  <c r="U33" i="6"/>
  <c r="FQ33" i="18"/>
  <c r="V33" i="6"/>
  <c r="FR33" i="18"/>
  <c r="W33" i="6"/>
  <c r="FS33" i="18"/>
  <c r="X33" i="6"/>
  <c r="FT33" i="18"/>
  <c r="Y33" i="6"/>
  <c r="FU33" i="18"/>
  <c r="Z33" i="6"/>
  <c r="FV33" i="18"/>
  <c r="AA33" i="6"/>
  <c r="FW33" i="18"/>
  <c r="AB33" i="6"/>
  <c r="FX33" i="18"/>
  <c r="AC33" i="6"/>
  <c r="FY33" i="18"/>
  <c r="AD33" i="6"/>
  <c r="FZ33" i="18"/>
  <c r="AE33" i="6"/>
  <c r="GA33" i="18"/>
  <c r="AF33" i="6"/>
  <c r="GB33" i="18"/>
  <c r="AG33" i="6"/>
  <c r="GC33" i="18"/>
  <c r="AH33" i="6"/>
  <c r="GD33" i="18"/>
  <c r="AI33" i="6"/>
  <c r="FA33" i="18"/>
  <c r="F33" i="6"/>
  <c r="AK33" i="6"/>
  <c r="GF33" i="18"/>
  <c r="G33" i="7"/>
  <c r="GG33" i="18"/>
  <c r="H33" i="7"/>
  <c r="GH33" i="18"/>
  <c r="I33" i="7"/>
  <c r="GI33" i="18"/>
  <c r="J33" i="7"/>
  <c r="GJ33" i="18"/>
  <c r="K33" i="7"/>
  <c r="GK33" i="18"/>
  <c r="L33" i="7"/>
  <c r="GL33" i="18"/>
  <c r="M33" i="7"/>
  <c r="GM33" i="18"/>
  <c r="N33" i="7"/>
  <c r="GN33" i="18"/>
  <c r="O33" i="7"/>
  <c r="GO33" i="18"/>
  <c r="P33" i="7"/>
  <c r="GP33" i="18"/>
  <c r="Q33" i="7"/>
  <c r="GQ33" i="18"/>
  <c r="R33" i="7"/>
  <c r="GR33" i="18"/>
  <c r="S33" i="7"/>
  <c r="GS33" i="18"/>
  <c r="T33" i="7"/>
  <c r="GT33" i="18"/>
  <c r="U33" i="7"/>
  <c r="GU33" i="18"/>
  <c r="V33" i="7"/>
  <c r="GV33" i="18"/>
  <c r="W33" i="7"/>
  <c r="GW33" i="18"/>
  <c r="X33" i="7"/>
  <c r="GX33" i="18"/>
  <c r="Y33" i="7"/>
  <c r="GY33" i="18"/>
  <c r="Z33" i="7"/>
  <c r="GZ33" i="18"/>
  <c r="AA33" i="7"/>
  <c r="HA33" i="18"/>
  <c r="AB33" i="7"/>
  <c r="HB33" i="18"/>
  <c r="AC33" i="7"/>
  <c r="HC33" i="18"/>
  <c r="AD33" i="7"/>
  <c r="HD33" i="18"/>
  <c r="AE33" i="7"/>
  <c r="HE33" i="18"/>
  <c r="AF33" i="7"/>
  <c r="HF33" i="18"/>
  <c r="AG33" i="7"/>
  <c r="HG33" i="18"/>
  <c r="AH33" i="7"/>
  <c r="HH33" i="18"/>
  <c r="AI33" i="7"/>
  <c r="HI33" i="18"/>
  <c r="AJ33" i="7"/>
  <c r="GE33" i="18"/>
  <c r="F33" i="7"/>
  <c r="AK33" i="7"/>
  <c r="HK33" i="18"/>
  <c r="G33" i="8"/>
  <c r="HL33" i="18"/>
  <c r="H33" i="8"/>
  <c r="HM33" i="18"/>
  <c r="I33" i="8"/>
  <c r="HN33" i="18"/>
  <c r="J33" i="8"/>
  <c r="HO33" i="18"/>
  <c r="K33" i="8"/>
  <c r="HP33" i="18"/>
  <c r="L33" i="8"/>
  <c r="HQ33" i="18"/>
  <c r="M33" i="8"/>
  <c r="HR33" i="18"/>
  <c r="N33" i="8"/>
  <c r="HS33" i="18"/>
  <c r="O33" i="8"/>
  <c r="HT33" i="18"/>
  <c r="P33" i="8"/>
  <c r="HU33" i="18"/>
  <c r="Q33" i="8"/>
  <c r="HV33" i="18"/>
  <c r="R33" i="8"/>
  <c r="HW33" i="18"/>
  <c r="S33" i="8"/>
  <c r="HX33" i="18"/>
  <c r="T33" i="8"/>
  <c r="HY33" i="18"/>
  <c r="U33" i="8"/>
  <c r="HZ33" i="18"/>
  <c r="V33" i="8"/>
  <c r="IA33" i="18"/>
  <c r="W33" i="8"/>
  <c r="IB33" i="18"/>
  <c r="X33" i="8"/>
  <c r="IC33" i="18"/>
  <c r="Y33" i="8"/>
  <c r="ID33" i="18"/>
  <c r="Z33" i="8"/>
  <c r="IE33" i="18"/>
  <c r="AA33" i="8"/>
  <c r="IF33" i="18"/>
  <c r="AB33" i="8"/>
  <c r="IG33" i="18"/>
  <c r="AC33" i="8"/>
  <c r="IH33" i="18"/>
  <c r="AD33" i="8"/>
  <c r="II33" i="18"/>
  <c r="AE33" i="8"/>
  <c r="IJ33" i="18"/>
  <c r="AF33" i="8"/>
  <c r="IK33" i="18"/>
  <c r="AG33" i="8"/>
  <c r="IL33" i="18"/>
  <c r="AH33" i="8"/>
  <c r="IM33" i="18"/>
  <c r="AI33" i="8"/>
  <c r="IN33" i="18"/>
  <c r="AJ33" i="8"/>
  <c r="HJ33" i="18"/>
  <c r="F33" i="8"/>
  <c r="AK33" i="8"/>
  <c r="IP33" i="18"/>
  <c r="G33" i="9"/>
  <c r="IQ33" i="18"/>
  <c r="H33" i="9"/>
  <c r="IR33" i="18"/>
  <c r="I33" i="9"/>
  <c r="IS33" i="18"/>
  <c r="J33" i="9"/>
  <c r="IT33" i="18"/>
  <c r="K33" i="9"/>
  <c r="IU33" i="18"/>
  <c r="L33" i="9"/>
  <c r="IV33" i="18"/>
  <c r="M33" i="9"/>
  <c r="IW33" i="18"/>
  <c r="N33" i="9"/>
  <c r="IX33" i="18"/>
  <c r="O33" i="9"/>
  <c r="IY33" i="18"/>
  <c r="P33" i="9"/>
  <c r="IZ33" i="18"/>
  <c r="Q33" i="9"/>
  <c r="JA33" i="18"/>
  <c r="R33" i="9"/>
  <c r="JB33" i="18"/>
  <c r="S33" i="9"/>
  <c r="JC33" i="18"/>
  <c r="T33" i="9"/>
  <c r="JD33" i="18"/>
  <c r="U33" i="9"/>
  <c r="JE33" i="18"/>
  <c r="V33" i="9"/>
  <c r="JF33" i="18"/>
  <c r="W33" i="9"/>
  <c r="JG33" i="18"/>
  <c r="X33" i="9"/>
  <c r="JH33" i="18"/>
  <c r="Y33" i="9"/>
  <c r="JI33" i="18"/>
  <c r="Z33" i="9"/>
  <c r="JJ33" i="18"/>
  <c r="AA33" i="9"/>
  <c r="JK33" i="18"/>
  <c r="AB33" i="9"/>
  <c r="JL33" i="18"/>
  <c r="AC33" i="9"/>
  <c r="JM33" i="18"/>
  <c r="AD33" i="9"/>
  <c r="JN33" i="18"/>
  <c r="AE33" i="9"/>
  <c r="JO33" i="18"/>
  <c r="AF33" i="9"/>
  <c r="JP33" i="18"/>
  <c r="AG33" i="9"/>
  <c r="JQ33" i="18"/>
  <c r="AH33" i="9"/>
  <c r="JR33" i="18"/>
  <c r="AI33" i="9"/>
  <c r="IO33" i="18"/>
  <c r="F33" i="9"/>
  <c r="AK33" i="9"/>
  <c r="JT33" i="18"/>
  <c r="G33" i="10"/>
  <c r="JU33" i="18"/>
  <c r="H33" i="10"/>
  <c r="JV33" i="18"/>
  <c r="I33" i="10"/>
  <c r="JW33" i="18"/>
  <c r="J33" i="10"/>
  <c r="JX33" i="18"/>
  <c r="K33" i="10"/>
  <c r="JY33" i="18"/>
  <c r="L33" i="10"/>
  <c r="JZ33" i="18"/>
  <c r="M33" i="10"/>
  <c r="KA33" i="18"/>
  <c r="N33" i="10"/>
  <c r="KB33" i="18"/>
  <c r="O33" i="10"/>
  <c r="KC33" i="18"/>
  <c r="P33" i="10"/>
  <c r="KD33" i="18"/>
  <c r="Q33" i="10"/>
  <c r="KE33" i="18"/>
  <c r="R33" i="10"/>
  <c r="KF33" i="18"/>
  <c r="S33" i="10"/>
  <c r="KG33" i="18"/>
  <c r="T33" i="10"/>
  <c r="KH33" i="18"/>
  <c r="U33" i="10"/>
  <c r="KI33" i="18"/>
  <c r="V33" i="10"/>
  <c r="KJ33" i="18"/>
  <c r="W33" i="10"/>
  <c r="KK33" i="18"/>
  <c r="X33" i="10"/>
  <c r="KL33" i="18"/>
  <c r="Y33" i="10"/>
  <c r="KM33" i="18"/>
  <c r="Z33" i="10"/>
  <c r="KN33" i="18"/>
  <c r="AA33" i="10"/>
  <c r="KO33" i="18"/>
  <c r="AB33" i="10"/>
  <c r="KP33" i="18"/>
  <c r="AC33" i="10"/>
  <c r="KQ33" i="18"/>
  <c r="AD33" i="10"/>
  <c r="KR33" i="18"/>
  <c r="AE33" i="10"/>
  <c r="KS33" i="18"/>
  <c r="AF33" i="10"/>
  <c r="KT33" i="18"/>
  <c r="AG33" i="10"/>
  <c r="KU33" i="18"/>
  <c r="AH33" i="10"/>
  <c r="KV33" i="18"/>
  <c r="AI33" i="10"/>
  <c r="KW33" i="18"/>
  <c r="AJ33" i="10"/>
  <c r="JS33" i="18"/>
  <c r="F33" i="10"/>
  <c r="AK33" i="10"/>
  <c r="KY33" i="18"/>
  <c r="G33" i="11"/>
  <c r="KZ33" i="18"/>
  <c r="H33" i="11"/>
  <c r="LA33" i="18"/>
  <c r="I33" i="11"/>
  <c r="LB33" i="18"/>
  <c r="J33" i="11"/>
  <c r="LC33" i="18"/>
  <c r="K33" i="11"/>
  <c r="LD33" i="18"/>
  <c r="L33" i="11"/>
  <c r="LE33" i="18"/>
  <c r="M33" i="11"/>
  <c r="LF33" i="18"/>
  <c r="N33" i="11"/>
  <c r="LG33" i="18"/>
  <c r="O33" i="11"/>
  <c r="LH33" i="18"/>
  <c r="P33" i="11"/>
  <c r="LI33" i="18"/>
  <c r="Q33" i="11"/>
  <c r="LJ33" i="18"/>
  <c r="R33" i="11"/>
  <c r="LK33" i="18"/>
  <c r="S33" i="11"/>
  <c r="LL33" i="18"/>
  <c r="T33" i="11"/>
  <c r="LM33" i="18"/>
  <c r="U33" i="11"/>
  <c r="LN33" i="18"/>
  <c r="V33" i="11"/>
  <c r="LO33" i="18"/>
  <c r="W33" i="11"/>
  <c r="LP33" i="18"/>
  <c r="X33" i="11"/>
  <c r="LQ33" i="18"/>
  <c r="Y33" i="11"/>
  <c r="LR33" i="18"/>
  <c r="Z33" i="11"/>
  <c r="LS33" i="18"/>
  <c r="AA33" i="11"/>
  <c r="LT33" i="18"/>
  <c r="AB33" i="11"/>
  <c r="LU33" i="18"/>
  <c r="AC33" i="11"/>
  <c r="LV33" i="18"/>
  <c r="AD33" i="11"/>
  <c r="LW33" i="18"/>
  <c r="AE33" i="11"/>
  <c r="LX33" i="18"/>
  <c r="AF33" i="11"/>
  <c r="LY33" i="18"/>
  <c r="AG33" i="11"/>
  <c r="LZ33" i="18"/>
  <c r="AH33" i="11"/>
  <c r="MA33" i="18"/>
  <c r="AI33" i="11"/>
  <c r="KX33" i="18"/>
  <c r="F33" i="11"/>
  <c r="AK33" i="11"/>
  <c r="MC33" i="18"/>
  <c r="G33" i="12"/>
  <c r="MD33" i="18"/>
  <c r="H33" i="12"/>
  <c r="ME33" i="18"/>
  <c r="I33" i="12"/>
  <c r="MF33" i="18"/>
  <c r="J33" i="12"/>
  <c r="MG33" i="18"/>
  <c r="K33" i="12"/>
  <c r="MH33" i="18"/>
  <c r="L33" i="12"/>
  <c r="MI33" i="18"/>
  <c r="M33" i="12"/>
  <c r="MJ33" i="18"/>
  <c r="N33" i="12"/>
  <c r="MK33" i="18"/>
  <c r="O33" i="12"/>
  <c r="ML33" i="18"/>
  <c r="P33" i="12"/>
  <c r="MM33" i="18"/>
  <c r="Q33" i="12"/>
  <c r="MN33" i="18"/>
  <c r="R33" i="12"/>
  <c r="MO33" i="18"/>
  <c r="S33" i="12"/>
  <c r="MP33" i="18"/>
  <c r="T33" i="12"/>
  <c r="MQ33" i="18"/>
  <c r="U33" i="12"/>
  <c r="MR33" i="18"/>
  <c r="V33" i="12"/>
  <c r="MS33" i="18"/>
  <c r="W33" i="12"/>
  <c r="MT33" i="18"/>
  <c r="X33" i="12"/>
  <c r="MU33" i="18"/>
  <c r="Y33" i="12"/>
  <c r="MV33" i="18"/>
  <c r="Z33" i="12"/>
  <c r="MW33" i="18"/>
  <c r="AA33" i="12"/>
  <c r="MX33" i="18"/>
  <c r="AB33" i="12"/>
  <c r="MY33" i="18"/>
  <c r="AC33" i="12"/>
  <c r="MZ33" i="18"/>
  <c r="AD33" i="12"/>
  <c r="NA33" i="18"/>
  <c r="AE33" i="12"/>
  <c r="NB33" i="18"/>
  <c r="AF33" i="12"/>
  <c r="NC33" i="18"/>
  <c r="AG33" i="12"/>
  <c r="ND33" i="18"/>
  <c r="AH33" i="12"/>
  <c r="NE33" i="18"/>
  <c r="AI33" i="12"/>
  <c r="NF33" i="18"/>
  <c r="AJ33" i="12"/>
  <c r="MB33" i="18"/>
  <c r="F33" i="12"/>
  <c r="AK33" i="12"/>
  <c r="P29" i="13"/>
  <c r="G32" i="18"/>
  <c r="H32" i="18"/>
  <c r="I32" i="18"/>
  <c r="J32" i="18"/>
  <c r="K32" i="18"/>
  <c r="L32" i="18"/>
  <c r="M32" i="18"/>
  <c r="N32" i="18"/>
  <c r="O32" i="18"/>
  <c r="P32" i="18"/>
  <c r="Q32" i="18"/>
  <c r="R32" i="18"/>
  <c r="S32" i="18"/>
  <c r="T32" i="18"/>
  <c r="U32" i="18"/>
  <c r="V32" i="18"/>
  <c r="W32" i="18"/>
  <c r="X32" i="18"/>
  <c r="Y32" i="18"/>
  <c r="Z32" i="18"/>
  <c r="AA32" i="18"/>
  <c r="AB32" i="18"/>
  <c r="AC32" i="18"/>
  <c r="AD32" i="18"/>
  <c r="AE32" i="18"/>
  <c r="AF32" i="18"/>
  <c r="AG32" i="18"/>
  <c r="AH32" i="18"/>
  <c r="AI32" i="18"/>
  <c r="AJ32" i="18"/>
  <c r="F32" i="18"/>
  <c r="AL32" i="18"/>
  <c r="G32" i="2"/>
  <c r="AM32" i="18"/>
  <c r="H32" i="2"/>
  <c r="AN32" i="18"/>
  <c r="I32" i="2"/>
  <c r="AO32" i="18"/>
  <c r="J32" i="2"/>
  <c r="AP32" i="18"/>
  <c r="K32" i="2"/>
  <c r="AQ32" i="18"/>
  <c r="L32" i="2"/>
  <c r="AR32" i="18"/>
  <c r="M32" i="2"/>
  <c r="AS32" i="18"/>
  <c r="N32" i="2"/>
  <c r="AT32" i="18"/>
  <c r="O32" i="2"/>
  <c r="AU32" i="18"/>
  <c r="P32" i="2"/>
  <c r="AV32" i="18"/>
  <c r="Q32" i="2"/>
  <c r="AW32" i="18"/>
  <c r="R32" i="2"/>
  <c r="AX32" i="18"/>
  <c r="S32" i="2"/>
  <c r="AY32" i="18"/>
  <c r="T32" i="2"/>
  <c r="AZ32" i="18"/>
  <c r="U32" i="2"/>
  <c r="BA32" i="18"/>
  <c r="V32" i="2"/>
  <c r="BB32" i="18"/>
  <c r="W32" i="2"/>
  <c r="BC32" i="18"/>
  <c r="X32" i="2"/>
  <c r="BD32" i="18"/>
  <c r="Y32" i="2"/>
  <c r="BE32" i="18"/>
  <c r="Z32" i="2"/>
  <c r="BF32" i="18"/>
  <c r="AA32" i="2"/>
  <c r="BG32" i="18"/>
  <c r="AB32" i="2"/>
  <c r="BH32" i="18"/>
  <c r="AC32" i="2"/>
  <c r="BI32" i="18"/>
  <c r="AD32" i="2"/>
  <c r="BJ32" i="18"/>
  <c r="AE32" i="2"/>
  <c r="BK32" i="18"/>
  <c r="AF32" i="2"/>
  <c r="BL32" i="18"/>
  <c r="AG32" i="2"/>
  <c r="AI32" i="2"/>
  <c r="AK32" i="18"/>
  <c r="F32" i="2"/>
  <c r="AJ32" i="2"/>
  <c r="BN32" i="18"/>
  <c r="G32" i="3"/>
  <c r="BO32" i="18"/>
  <c r="H32" i="3"/>
  <c r="BP32" i="18"/>
  <c r="I32" i="3"/>
  <c r="BQ32" i="18"/>
  <c r="J32" i="3"/>
  <c r="BR32" i="18"/>
  <c r="K32" i="3"/>
  <c r="BS32" i="18"/>
  <c r="L32" i="3"/>
  <c r="BT32" i="18"/>
  <c r="M32" i="3"/>
  <c r="BU32" i="18"/>
  <c r="N32" i="3"/>
  <c r="BV32" i="18"/>
  <c r="O32" i="3"/>
  <c r="BW32" i="18"/>
  <c r="P32" i="3"/>
  <c r="BX32" i="18"/>
  <c r="Q32" i="3"/>
  <c r="BY32" i="18"/>
  <c r="R32" i="3"/>
  <c r="BZ32" i="18"/>
  <c r="S32" i="3"/>
  <c r="CA32" i="18"/>
  <c r="T32" i="3"/>
  <c r="CB32" i="18"/>
  <c r="U32" i="3"/>
  <c r="CC32" i="18"/>
  <c r="V32" i="3"/>
  <c r="CD32" i="18"/>
  <c r="W32" i="3"/>
  <c r="CE32" i="18"/>
  <c r="X32" i="3"/>
  <c r="CF32" i="18"/>
  <c r="Y32" i="3"/>
  <c r="CG32" i="18"/>
  <c r="Z32" i="3"/>
  <c r="CH32" i="18"/>
  <c r="AA32" i="3"/>
  <c r="CI32" i="18"/>
  <c r="AB32" i="3"/>
  <c r="CJ32" i="18"/>
  <c r="AC32" i="3"/>
  <c r="CK32" i="18"/>
  <c r="AD32" i="3"/>
  <c r="CL32" i="18"/>
  <c r="AE32" i="3"/>
  <c r="CM32" i="18"/>
  <c r="AF32" i="3"/>
  <c r="CN32" i="18"/>
  <c r="AG32" i="3"/>
  <c r="CO32" i="18"/>
  <c r="AH32" i="3"/>
  <c r="CP32" i="18"/>
  <c r="AI32" i="3"/>
  <c r="CQ32" i="18"/>
  <c r="AJ32" i="3"/>
  <c r="BM32" i="18"/>
  <c r="F32" i="3"/>
  <c r="AK32" i="3"/>
  <c r="CS32" i="18"/>
  <c r="G32" i="4"/>
  <c r="CT32" i="18"/>
  <c r="H32" i="4"/>
  <c r="CU32" i="18"/>
  <c r="I32" i="4"/>
  <c r="CV32" i="18"/>
  <c r="J32" i="4"/>
  <c r="CW32" i="18"/>
  <c r="K32" i="4"/>
  <c r="CX32" i="18"/>
  <c r="L32" i="4"/>
  <c r="CY32" i="18"/>
  <c r="M32" i="4"/>
  <c r="CZ32" i="18"/>
  <c r="N32" i="4"/>
  <c r="DA32" i="18"/>
  <c r="O32" i="4"/>
  <c r="DB32" i="18"/>
  <c r="P32" i="4"/>
  <c r="DC32" i="18"/>
  <c r="Q32" i="4"/>
  <c r="DD32" i="18"/>
  <c r="R32" i="4"/>
  <c r="DE32" i="18"/>
  <c r="S32" i="4"/>
  <c r="DF32" i="18"/>
  <c r="T32" i="4"/>
  <c r="DG32" i="18"/>
  <c r="U32" i="4"/>
  <c r="DH32" i="18"/>
  <c r="V32" i="4"/>
  <c r="DI32" i="18"/>
  <c r="W32" i="4"/>
  <c r="DJ32" i="18"/>
  <c r="X32" i="4"/>
  <c r="DK32" i="18"/>
  <c r="Y32" i="4"/>
  <c r="DL32" i="18"/>
  <c r="Z32" i="4"/>
  <c r="DM32" i="18"/>
  <c r="AA32" i="4"/>
  <c r="DN32" i="18"/>
  <c r="AB32" i="4"/>
  <c r="DO32" i="18"/>
  <c r="AC32" i="4"/>
  <c r="DP32" i="18"/>
  <c r="AD32" i="4"/>
  <c r="DQ32" i="18"/>
  <c r="AE32" i="4"/>
  <c r="DR32" i="18"/>
  <c r="AF32" i="4"/>
  <c r="DS32" i="18"/>
  <c r="AG32" i="4"/>
  <c r="DT32" i="18"/>
  <c r="AH32" i="4"/>
  <c r="DU32" i="18"/>
  <c r="AI32" i="4"/>
  <c r="CR32" i="18"/>
  <c r="F32" i="4"/>
  <c r="AK32" i="4"/>
  <c r="DW32" i="18"/>
  <c r="G32" i="5"/>
  <c r="DX32" i="18"/>
  <c r="H32" i="5"/>
  <c r="DY32" i="18"/>
  <c r="I32" i="5"/>
  <c r="DZ32" i="18"/>
  <c r="J32" i="5"/>
  <c r="EA32" i="18"/>
  <c r="K32" i="5"/>
  <c r="EB32" i="18"/>
  <c r="L32" i="5"/>
  <c r="EC32" i="18"/>
  <c r="M32" i="5"/>
  <c r="ED32" i="18"/>
  <c r="N32" i="5"/>
  <c r="EE32" i="18"/>
  <c r="O32" i="5"/>
  <c r="EF32" i="18"/>
  <c r="P32" i="5"/>
  <c r="EG32" i="18"/>
  <c r="Q32" i="5"/>
  <c r="EH32" i="18"/>
  <c r="R32" i="5"/>
  <c r="EI32" i="18"/>
  <c r="S32" i="5"/>
  <c r="EJ32" i="18"/>
  <c r="T32" i="5"/>
  <c r="EK32" i="18"/>
  <c r="U32" i="5"/>
  <c r="EL32" i="18"/>
  <c r="V32" i="5"/>
  <c r="EM32" i="18"/>
  <c r="W32" i="5"/>
  <c r="EN32" i="18"/>
  <c r="X32" i="5"/>
  <c r="EO32" i="18"/>
  <c r="Y32" i="5"/>
  <c r="EP32" i="18"/>
  <c r="Z32" i="5"/>
  <c r="EQ32" i="18"/>
  <c r="AA32" i="5"/>
  <c r="ER32" i="18"/>
  <c r="AB32" i="5"/>
  <c r="ES32" i="18"/>
  <c r="AC32" i="5"/>
  <c r="ET32" i="18"/>
  <c r="AD32" i="5"/>
  <c r="EU32" i="18"/>
  <c r="AE32" i="5"/>
  <c r="EV32" i="18"/>
  <c r="AF32" i="5"/>
  <c r="EW32" i="18"/>
  <c r="AG32" i="5"/>
  <c r="EX32" i="18"/>
  <c r="AH32" i="5"/>
  <c r="EY32" i="18"/>
  <c r="AI32" i="5"/>
  <c r="EZ32" i="18"/>
  <c r="AJ32" i="5"/>
  <c r="DV32" i="18"/>
  <c r="F32" i="5"/>
  <c r="AK32" i="5"/>
  <c r="FB32" i="18"/>
  <c r="G32" i="6"/>
  <c r="FC32" i="18"/>
  <c r="H32" i="6"/>
  <c r="FD32" i="18"/>
  <c r="I32" i="6"/>
  <c r="FE32" i="18"/>
  <c r="J32" i="6"/>
  <c r="FF32" i="18"/>
  <c r="K32" i="6"/>
  <c r="FG32" i="18"/>
  <c r="L32" i="6"/>
  <c r="FH32" i="18"/>
  <c r="M32" i="6"/>
  <c r="FI32" i="18"/>
  <c r="N32" i="6"/>
  <c r="FJ32" i="18"/>
  <c r="O32" i="6"/>
  <c r="FK32" i="18"/>
  <c r="P32" i="6"/>
  <c r="FL32" i="18"/>
  <c r="Q32" i="6"/>
  <c r="FM32" i="18"/>
  <c r="R32" i="6"/>
  <c r="FN32" i="18"/>
  <c r="S32" i="6"/>
  <c r="FO32" i="18"/>
  <c r="T32" i="6"/>
  <c r="FP32" i="18"/>
  <c r="U32" i="6"/>
  <c r="FQ32" i="18"/>
  <c r="V32" i="6"/>
  <c r="FR32" i="18"/>
  <c r="W32" i="6"/>
  <c r="FS32" i="18"/>
  <c r="X32" i="6"/>
  <c r="FT32" i="18"/>
  <c r="Y32" i="6"/>
  <c r="FU32" i="18"/>
  <c r="Z32" i="6"/>
  <c r="FV32" i="18"/>
  <c r="AA32" i="6"/>
  <c r="FW32" i="18"/>
  <c r="AB32" i="6"/>
  <c r="FX32" i="18"/>
  <c r="AC32" i="6"/>
  <c r="FY32" i="18"/>
  <c r="AD32" i="6"/>
  <c r="FZ32" i="18"/>
  <c r="AE32" i="6"/>
  <c r="GA32" i="18"/>
  <c r="AF32" i="6"/>
  <c r="GB32" i="18"/>
  <c r="AG32" i="6"/>
  <c r="GC32" i="18"/>
  <c r="AH32" i="6"/>
  <c r="GD32" i="18"/>
  <c r="AI32" i="6"/>
  <c r="FA32" i="18"/>
  <c r="F32" i="6"/>
  <c r="AK32" i="6"/>
  <c r="GF32" i="18"/>
  <c r="G32" i="7"/>
  <c r="GG32" i="18"/>
  <c r="H32" i="7"/>
  <c r="GH32" i="18"/>
  <c r="I32" i="7"/>
  <c r="GI32" i="18"/>
  <c r="J32" i="7"/>
  <c r="GJ32" i="18"/>
  <c r="K32" i="7"/>
  <c r="GK32" i="18"/>
  <c r="L32" i="7"/>
  <c r="GL32" i="18"/>
  <c r="M32" i="7"/>
  <c r="GM32" i="18"/>
  <c r="N32" i="7"/>
  <c r="GN32" i="18"/>
  <c r="O32" i="7"/>
  <c r="GO32" i="18"/>
  <c r="P32" i="7"/>
  <c r="GP32" i="18"/>
  <c r="Q32" i="7"/>
  <c r="GQ32" i="18"/>
  <c r="R32" i="7"/>
  <c r="GR32" i="18"/>
  <c r="S32" i="7"/>
  <c r="GS32" i="18"/>
  <c r="T32" i="7"/>
  <c r="GT32" i="18"/>
  <c r="U32" i="7"/>
  <c r="GU32" i="18"/>
  <c r="V32" i="7"/>
  <c r="GV32" i="18"/>
  <c r="W32" i="7"/>
  <c r="GW32" i="18"/>
  <c r="X32" i="7"/>
  <c r="GX32" i="18"/>
  <c r="Y32" i="7"/>
  <c r="GY32" i="18"/>
  <c r="Z32" i="7"/>
  <c r="GZ32" i="18"/>
  <c r="AA32" i="7"/>
  <c r="HA32" i="18"/>
  <c r="AB32" i="7"/>
  <c r="HB32" i="18"/>
  <c r="AC32" i="7"/>
  <c r="HC32" i="18"/>
  <c r="AD32" i="7"/>
  <c r="HD32" i="18"/>
  <c r="AE32" i="7"/>
  <c r="HE32" i="18"/>
  <c r="AF32" i="7"/>
  <c r="HF32" i="18"/>
  <c r="AG32" i="7"/>
  <c r="HG32" i="18"/>
  <c r="AH32" i="7"/>
  <c r="HH32" i="18"/>
  <c r="AI32" i="7"/>
  <c r="HI32" i="18"/>
  <c r="AJ32" i="7"/>
  <c r="GE32" i="18"/>
  <c r="F32" i="7"/>
  <c r="AK32" i="7"/>
  <c r="HK32" i="18"/>
  <c r="G32" i="8"/>
  <c r="HL32" i="18"/>
  <c r="H32" i="8"/>
  <c r="HM32" i="18"/>
  <c r="I32" i="8"/>
  <c r="HN32" i="18"/>
  <c r="J32" i="8"/>
  <c r="HO32" i="18"/>
  <c r="K32" i="8"/>
  <c r="HP32" i="18"/>
  <c r="L32" i="8"/>
  <c r="HQ32" i="18"/>
  <c r="M32" i="8"/>
  <c r="HR32" i="18"/>
  <c r="N32" i="8"/>
  <c r="HS32" i="18"/>
  <c r="O32" i="8"/>
  <c r="HT32" i="18"/>
  <c r="P32" i="8"/>
  <c r="HU32" i="18"/>
  <c r="Q32" i="8"/>
  <c r="HV32" i="18"/>
  <c r="R32" i="8"/>
  <c r="HW32" i="18"/>
  <c r="S32" i="8"/>
  <c r="HX32" i="18"/>
  <c r="T32" i="8"/>
  <c r="HY32" i="18"/>
  <c r="U32" i="8"/>
  <c r="HZ32" i="18"/>
  <c r="V32" i="8"/>
  <c r="IA32" i="18"/>
  <c r="W32" i="8"/>
  <c r="IB32" i="18"/>
  <c r="X32" i="8"/>
  <c r="IC32" i="18"/>
  <c r="Y32" i="8"/>
  <c r="ID32" i="18"/>
  <c r="Z32" i="8"/>
  <c r="IE32" i="18"/>
  <c r="AA32" i="8"/>
  <c r="IF32" i="18"/>
  <c r="AB32" i="8"/>
  <c r="IG32" i="18"/>
  <c r="AC32" i="8"/>
  <c r="IH32" i="18"/>
  <c r="AD32" i="8"/>
  <c r="II32" i="18"/>
  <c r="AE32" i="8"/>
  <c r="IJ32" i="18"/>
  <c r="AF32" i="8"/>
  <c r="IK32" i="18"/>
  <c r="AG32" i="8"/>
  <c r="IL32" i="18"/>
  <c r="AH32" i="8"/>
  <c r="IM32" i="18"/>
  <c r="AI32" i="8"/>
  <c r="IN32" i="18"/>
  <c r="AJ32" i="8"/>
  <c r="HJ32" i="18"/>
  <c r="F32" i="8"/>
  <c r="AK32" i="8"/>
  <c r="IP32" i="18"/>
  <c r="G32" i="9"/>
  <c r="IQ32" i="18"/>
  <c r="H32" i="9"/>
  <c r="IR32" i="18"/>
  <c r="I32" i="9"/>
  <c r="IS32" i="18"/>
  <c r="J32" i="9"/>
  <c r="IT32" i="18"/>
  <c r="K32" i="9"/>
  <c r="IU32" i="18"/>
  <c r="L32" i="9"/>
  <c r="IV32" i="18"/>
  <c r="M32" i="9"/>
  <c r="IW32" i="18"/>
  <c r="N32" i="9"/>
  <c r="IX32" i="18"/>
  <c r="O32" i="9"/>
  <c r="IY32" i="18"/>
  <c r="P32" i="9"/>
  <c r="IZ32" i="18"/>
  <c r="Q32" i="9"/>
  <c r="JA32" i="18"/>
  <c r="R32" i="9"/>
  <c r="JB32" i="18"/>
  <c r="S32" i="9"/>
  <c r="JC32" i="18"/>
  <c r="T32" i="9"/>
  <c r="JD32" i="18"/>
  <c r="U32" i="9"/>
  <c r="JE32" i="18"/>
  <c r="V32" i="9"/>
  <c r="JF32" i="18"/>
  <c r="W32" i="9"/>
  <c r="JG32" i="18"/>
  <c r="X32" i="9"/>
  <c r="JH32" i="18"/>
  <c r="Y32" i="9"/>
  <c r="JI32" i="18"/>
  <c r="Z32" i="9"/>
  <c r="JJ32" i="18"/>
  <c r="AA32" i="9"/>
  <c r="JK32" i="18"/>
  <c r="AB32" i="9"/>
  <c r="JL32" i="18"/>
  <c r="AC32" i="9"/>
  <c r="JM32" i="18"/>
  <c r="AD32" i="9"/>
  <c r="JN32" i="18"/>
  <c r="AE32" i="9"/>
  <c r="JO32" i="18"/>
  <c r="AF32" i="9"/>
  <c r="JP32" i="18"/>
  <c r="AG32" i="9"/>
  <c r="JQ32" i="18"/>
  <c r="AH32" i="9"/>
  <c r="JR32" i="18"/>
  <c r="AI32" i="9"/>
  <c r="IO32" i="18"/>
  <c r="F32" i="9"/>
  <c r="AK32" i="9"/>
  <c r="JT32" i="18"/>
  <c r="G32" i="10"/>
  <c r="JU32" i="18"/>
  <c r="H32" i="10"/>
  <c r="JV32" i="18"/>
  <c r="I32" i="10"/>
  <c r="JW32" i="18"/>
  <c r="J32" i="10"/>
  <c r="JX32" i="18"/>
  <c r="K32" i="10"/>
  <c r="JY32" i="18"/>
  <c r="L32" i="10"/>
  <c r="JZ32" i="18"/>
  <c r="M32" i="10"/>
  <c r="KA32" i="18"/>
  <c r="N32" i="10"/>
  <c r="KB32" i="18"/>
  <c r="O32" i="10"/>
  <c r="KC32" i="18"/>
  <c r="P32" i="10"/>
  <c r="KD32" i="18"/>
  <c r="Q32" i="10"/>
  <c r="KE32" i="18"/>
  <c r="R32" i="10"/>
  <c r="KF32" i="18"/>
  <c r="S32" i="10"/>
  <c r="KG32" i="18"/>
  <c r="T32" i="10"/>
  <c r="KH32" i="18"/>
  <c r="U32" i="10"/>
  <c r="KI32" i="18"/>
  <c r="V32" i="10"/>
  <c r="KJ32" i="18"/>
  <c r="W32" i="10"/>
  <c r="KK32" i="18"/>
  <c r="X32" i="10"/>
  <c r="KL32" i="18"/>
  <c r="Y32" i="10"/>
  <c r="KM32" i="18"/>
  <c r="Z32" i="10"/>
  <c r="KN32" i="18"/>
  <c r="AA32" i="10"/>
  <c r="KO32" i="18"/>
  <c r="AB32" i="10"/>
  <c r="KP32" i="18"/>
  <c r="AC32" i="10"/>
  <c r="KQ32" i="18"/>
  <c r="AD32" i="10"/>
  <c r="KR32" i="18"/>
  <c r="AE32" i="10"/>
  <c r="KS32" i="18"/>
  <c r="AF32" i="10"/>
  <c r="KT32" i="18"/>
  <c r="AG32" i="10"/>
  <c r="KU32" i="18"/>
  <c r="AH32" i="10"/>
  <c r="KV32" i="18"/>
  <c r="AI32" i="10"/>
  <c r="KW32" i="18"/>
  <c r="AJ32" i="10"/>
  <c r="JS32" i="18"/>
  <c r="F32" i="10"/>
  <c r="AK32" i="10"/>
  <c r="KY32" i="18"/>
  <c r="G32" i="11"/>
  <c r="KZ32" i="18"/>
  <c r="H32" i="11"/>
  <c r="LA32" i="18"/>
  <c r="I32" i="11"/>
  <c r="LB32" i="18"/>
  <c r="J32" i="11"/>
  <c r="LC32" i="18"/>
  <c r="K32" i="11"/>
  <c r="LD32" i="18"/>
  <c r="L32" i="11"/>
  <c r="LE32" i="18"/>
  <c r="M32" i="11"/>
  <c r="LF32" i="18"/>
  <c r="N32" i="11"/>
  <c r="LG32" i="18"/>
  <c r="O32" i="11"/>
  <c r="LH32" i="18"/>
  <c r="P32" i="11"/>
  <c r="LI32" i="18"/>
  <c r="Q32" i="11"/>
  <c r="LJ32" i="18"/>
  <c r="R32" i="11"/>
  <c r="LK32" i="18"/>
  <c r="S32" i="11"/>
  <c r="LL32" i="18"/>
  <c r="T32" i="11"/>
  <c r="LM32" i="18"/>
  <c r="U32" i="11"/>
  <c r="LN32" i="18"/>
  <c r="V32" i="11"/>
  <c r="LO32" i="18"/>
  <c r="W32" i="11"/>
  <c r="LP32" i="18"/>
  <c r="X32" i="11"/>
  <c r="LQ32" i="18"/>
  <c r="Y32" i="11"/>
  <c r="LR32" i="18"/>
  <c r="Z32" i="11"/>
  <c r="LS32" i="18"/>
  <c r="AA32" i="11"/>
  <c r="LT32" i="18"/>
  <c r="AB32" i="11"/>
  <c r="LU32" i="18"/>
  <c r="AC32" i="11"/>
  <c r="LV32" i="18"/>
  <c r="AD32" i="11"/>
  <c r="LW32" i="18"/>
  <c r="AE32" i="11"/>
  <c r="LX32" i="18"/>
  <c r="AF32" i="11"/>
  <c r="LY32" i="18"/>
  <c r="AG32" i="11"/>
  <c r="LZ32" i="18"/>
  <c r="AH32" i="11"/>
  <c r="MA32" i="18"/>
  <c r="AI32" i="11"/>
  <c r="KX32" i="18"/>
  <c r="F32" i="11"/>
  <c r="AK32" i="11"/>
  <c r="MC32" i="18"/>
  <c r="G32" i="12"/>
  <c r="MD32" i="18"/>
  <c r="H32" i="12"/>
  <c r="ME32" i="18"/>
  <c r="I32" i="12"/>
  <c r="MF32" i="18"/>
  <c r="J32" i="12"/>
  <c r="MG32" i="18"/>
  <c r="K32" i="12"/>
  <c r="MH32" i="18"/>
  <c r="L32" i="12"/>
  <c r="MI32" i="18"/>
  <c r="M32" i="12"/>
  <c r="MJ32" i="18"/>
  <c r="N32" i="12"/>
  <c r="MK32" i="18"/>
  <c r="O32" i="12"/>
  <c r="ML32" i="18"/>
  <c r="P32" i="12"/>
  <c r="MM32" i="18"/>
  <c r="Q32" i="12"/>
  <c r="MN32" i="18"/>
  <c r="R32" i="12"/>
  <c r="MO32" i="18"/>
  <c r="S32" i="12"/>
  <c r="MP32" i="18"/>
  <c r="T32" i="12"/>
  <c r="MQ32" i="18"/>
  <c r="U32" i="12"/>
  <c r="MR32" i="18"/>
  <c r="V32" i="12"/>
  <c r="MS32" i="18"/>
  <c r="W32" i="12"/>
  <c r="MT32" i="18"/>
  <c r="X32" i="12"/>
  <c r="MU32" i="18"/>
  <c r="Y32" i="12"/>
  <c r="MV32" i="18"/>
  <c r="Z32" i="12"/>
  <c r="MW32" i="18"/>
  <c r="AA32" i="12"/>
  <c r="MX32" i="18"/>
  <c r="AB32" i="12"/>
  <c r="MY32" i="18"/>
  <c r="AC32" i="12"/>
  <c r="MZ32" i="18"/>
  <c r="AD32" i="12"/>
  <c r="NA32" i="18"/>
  <c r="AE32" i="12"/>
  <c r="NB32" i="18"/>
  <c r="AF32" i="12"/>
  <c r="NC32" i="18"/>
  <c r="AG32" i="12"/>
  <c r="ND32" i="18"/>
  <c r="AH32" i="12"/>
  <c r="NE32" i="18"/>
  <c r="AI32" i="12"/>
  <c r="NF32" i="18"/>
  <c r="AJ32" i="12"/>
  <c r="MB32" i="18"/>
  <c r="F32" i="12"/>
  <c r="AK32" i="12"/>
  <c r="P28" i="13"/>
  <c r="G31" i="18"/>
  <c r="H31" i="18"/>
  <c r="I31" i="18"/>
  <c r="J31" i="18"/>
  <c r="K31" i="18"/>
  <c r="L31" i="18"/>
  <c r="M31" i="18"/>
  <c r="N31" i="18"/>
  <c r="O31" i="18"/>
  <c r="P31" i="18"/>
  <c r="Q31" i="18"/>
  <c r="R31" i="18"/>
  <c r="S31" i="18"/>
  <c r="T31" i="18"/>
  <c r="U31" i="18"/>
  <c r="V31" i="18"/>
  <c r="W31" i="18"/>
  <c r="X31" i="18"/>
  <c r="Y31" i="18"/>
  <c r="Z31" i="18"/>
  <c r="AA31" i="18"/>
  <c r="AB31" i="18"/>
  <c r="AC31" i="18"/>
  <c r="AD31" i="18"/>
  <c r="AE31" i="18"/>
  <c r="AF31" i="18"/>
  <c r="AG31" i="18"/>
  <c r="AH31" i="18"/>
  <c r="AI31" i="18"/>
  <c r="AJ31" i="18"/>
  <c r="F31" i="18"/>
  <c r="AL31" i="18"/>
  <c r="G31" i="2"/>
  <c r="AM31" i="18"/>
  <c r="H31" i="2"/>
  <c r="AN31" i="18"/>
  <c r="I31" i="2"/>
  <c r="AO31" i="18"/>
  <c r="J31" i="2"/>
  <c r="AP31" i="18"/>
  <c r="K31" i="2"/>
  <c r="AQ31" i="18"/>
  <c r="L31" i="2"/>
  <c r="AR31" i="18"/>
  <c r="M31" i="2"/>
  <c r="AS31" i="18"/>
  <c r="N31" i="2"/>
  <c r="AT31" i="18"/>
  <c r="O31" i="2"/>
  <c r="AU31" i="18"/>
  <c r="P31" i="2"/>
  <c r="AV31" i="18"/>
  <c r="Q31" i="2"/>
  <c r="AW31" i="18"/>
  <c r="R31" i="2"/>
  <c r="AX31" i="18"/>
  <c r="S31" i="2"/>
  <c r="AY31" i="18"/>
  <c r="T31" i="2"/>
  <c r="AZ31" i="18"/>
  <c r="U31" i="2"/>
  <c r="BA31" i="18"/>
  <c r="V31" i="2"/>
  <c r="BB31" i="18"/>
  <c r="W31" i="2"/>
  <c r="BC31" i="18"/>
  <c r="X31" i="2"/>
  <c r="BD31" i="18"/>
  <c r="Y31" i="2"/>
  <c r="BE31" i="18"/>
  <c r="Z31" i="2"/>
  <c r="BF31" i="18"/>
  <c r="AA31" i="2"/>
  <c r="BG31" i="18"/>
  <c r="AB31" i="2"/>
  <c r="BH31" i="18"/>
  <c r="AC31" i="2"/>
  <c r="BI31" i="18"/>
  <c r="AD31" i="2"/>
  <c r="BJ31" i="18"/>
  <c r="AE31" i="2"/>
  <c r="BK31" i="18"/>
  <c r="AF31" i="2"/>
  <c r="BL31" i="18"/>
  <c r="AG31" i="2"/>
  <c r="AI31" i="2"/>
  <c r="AK31" i="18"/>
  <c r="F31" i="2"/>
  <c r="AJ31" i="2"/>
  <c r="BN31" i="18"/>
  <c r="G31" i="3"/>
  <c r="BO31" i="18"/>
  <c r="H31" i="3"/>
  <c r="BP31" i="18"/>
  <c r="I31" i="3"/>
  <c r="BQ31" i="18"/>
  <c r="J31" i="3"/>
  <c r="BR31" i="18"/>
  <c r="K31" i="3"/>
  <c r="BS31" i="18"/>
  <c r="L31" i="3"/>
  <c r="BT31" i="18"/>
  <c r="M31" i="3"/>
  <c r="BU31" i="18"/>
  <c r="N31" i="3"/>
  <c r="BV31" i="18"/>
  <c r="O31" i="3"/>
  <c r="BW31" i="18"/>
  <c r="P31" i="3"/>
  <c r="BX31" i="18"/>
  <c r="Q31" i="3"/>
  <c r="BY31" i="18"/>
  <c r="R31" i="3"/>
  <c r="BZ31" i="18"/>
  <c r="S31" i="3"/>
  <c r="CA31" i="18"/>
  <c r="T31" i="3"/>
  <c r="CB31" i="18"/>
  <c r="U31" i="3"/>
  <c r="CC31" i="18"/>
  <c r="V31" i="3"/>
  <c r="CD31" i="18"/>
  <c r="W31" i="3"/>
  <c r="CE31" i="18"/>
  <c r="X31" i="3"/>
  <c r="CF31" i="18"/>
  <c r="Y31" i="3"/>
  <c r="CG31" i="18"/>
  <c r="Z31" i="3"/>
  <c r="CH31" i="18"/>
  <c r="AA31" i="3"/>
  <c r="CI31" i="18"/>
  <c r="AB31" i="3"/>
  <c r="CJ31" i="18"/>
  <c r="AC31" i="3"/>
  <c r="CK31" i="18"/>
  <c r="AD31" i="3"/>
  <c r="CL31" i="18"/>
  <c r="AE31" i="3"/>
  <c r="CM31" i="18"/>
  <c r="AF31" i="3"/>
  <c r="CN31" i="18"/>
  <c r="AG31" i="3"/>
  <c r="CO31" i="18"/>
  <c r="AH31" i="3"/>
  <c r="CP31" i="18"/>
  <c r="AI31" i="3"/>
  <c r="CQ31" i="18"/>
  <c r="AJ31" i="3"/>
  <c r="BM31" i="18"/>
  <c r="F31" i="3"/>
  <c r="AK31" i="3"/>
  <c r="CS31" i="18"/>
  <c r="G31" i="4"/>
  <c r="CT31" i="18"/>
  <c r="H31" i="4"/>
  <c r="CU31" i="18"/>
  <c r="I31" i="4"/>
  <c r="CV31" i="18"/>
  <c r="J31" i="4"/>
  <c r="CW31" i="18"/>
  <c r="K31" i="4"/>
  <c r="CX31" i="18"/>
  <c r="L31" i="4"/>
  <c r="CY31" i="18"/>
  <c r="M31" i="4"/>
  <c r="CZ31" i="18"/>
  <c r="N31" i="4"/>
  <c r="DA31" i="18"/>
  <c r="O31" i="4"/>
  <c r="DB31" i="18"/>
  <c r="P31" i="4"/>
  <c r="DC31" i="18"/>
  <c r="Q31" i="4"/>
  <c r="DD31" i="18"/>
  <c r="R31" i="4"/>
  <c r="DE31" i="18"/>
  <c r="S31" i="4"/>
  <c r="DF31" i="18"/>
  <c r="T31" i="4"/>
  <c r="DG31" i="18"/>
  <c r="U31" i="4"/>
  <c r="DH31" i="18"/>
  <c r="V31" i="4"/>
  <c r="DI31" i="18"/>
  <c r="W31" i="4"/>
  <c r="DJ31" i="18"/>
  <c r="X31" i="4"/>
  <c r="DK31" i="18"/>
  <c r="Y31" i="4"/>
  <c r="DL31" i="18"/>
  <c r="Z31" i="4"/>
  <c r="DM31" i="18"/>
  <c r="AA31" i="4"/>
  <c r="DN31" i="18"/>
  <c r="AB31" i="4"/>
  <c r="DO31" i="18"/>
  <c r="AC31" i="4"/>
  <c r="DP31" i="18"/>
  <c r="AD31" i="4"/>
  <c r="DQ31" i="18"/>
  <c r="AE31" i="4"/>
  <c r="DR31" i="18"/>
  <c r="AF31" i="4"/>
  <c r="DS31" i="18"/>
  <c r="AG31" i="4"/>
  <c r="DT31" i="18"/>
  <c r="AH31" i="4"/>
  <c r="DU31" i="18"/>
  <c r="AI31" i="4"/>
  <c r="CR31" i="18"/>
  <c r="F31" i="4"/>
  <c r="AK31" i="4"/>
  <c r="DW31" i="18"/>
  <c r="G31" i="5"/>
  <c r="DX31" i="18"/>
  <c r="H31" i="5"/>
  <c r="DY31" i="18"/>
  <c r="I31" i="5"/>
  <c r="DZ31" i="18"/>
  <c r="J31" i="5"/>
  <c r="EA31" i="18"/>
  <c r="K31" i="5"/>
  <c r="EB31" i="18"/>
  <c r="L31" i="5"/>
  <c r="EC31" i="18"/>
  <c r="M31" i="5"/>
  <c r="ED31" i="18"/>
  <c r="N31" i="5"/>
  <c r="EE31" i="18"/>
  <c r="O31" i="5"/>
  <c r="EF31" i="18"/>
  <c r="P31" i="5"/>
  <c r="EG31" i="18"/>
  <c r="Q31" i="5"/>
  <c r="EH31" i="18"/>
  <c r="R31" i="5"/>
  <c r="EI31" i="18"/>
  <c r="S31" i="5"/>
  <c r="EJ31" i="18"/>
  <c r="T31" i="5"/>
  <c r="EK31" i="18"/>
  <c r="U31" i="5"/>
  <c r="EL31" i="18"/>
  <c r="V31" i="5"/>
  <c r="EM31" i="18"/>
  <c r="W31" i="5"/>
  <c r="EN31" i="18"/>
  <c r="X31" i="5"/>
  <c r="EO31" i="18"/>
  <c r="Y31" i="5"/>
  <c r="EP31" i="18"/>
  <c r="Z31" i="5"/>
  <c r="EQ31" i="18"/>
  <c r="AA31" i="5"/>
  <c r="ER31" i="18"/>
  <c r="AB31" i="5"/>
  <c r="ES31" i="18"/>
  <c r="AC31" i="5"/>
  <c r="ET31" i="18"/>
  <c r="AD31" i="5"/>
  <c r="EU31" i="18"/>
  <c r="AE31" i="5"/>
  <c r="EV31" i="18"/>
  <c r="AF31" i="5"/>
  <c r="EW31" i="18"/>
  <c r="AG31" i="5"/>
  <c r="EX31" i="18"/>
  <c r="AH31" i="5"/>
  <c r="EY31" i="18"/>
  <c r="AI31" i="5"/>
  <c r="EZ31" i="18"/>
  <c r="AJ31" i="5"/>
  <c r="DV31" i="18"/>
  <c r="F31" i="5"/>
  <c r="AK31" i="5"/>
  <c r="FB31" i="18"/>
  <c r="G31" i="6"/>
  <c r="FC31" i="18"/>
  <c r="H31" i="6"/>
  <c r="FD31" i="18"/>
  <c r="I31" i="6"/>
  <c r="FE31" i="18"/>
  <c r="J31" i="6"/>
  <c r="FF31" i="18"/>
  <c r="K31" i="6"/>
  <c r="FG31" i="18"/>
  <c r="L31" i="6"/>
  <c r="FH31" i="18"/>
  <c r="M31" i="6"/>
  <c r="FI31" i="18"/>
  <c r="N31" i="6"/>
  <c r="FJ31" i="18"/>
  <c r="O31" i="6"/>
  <c r="FK31" i="18"/>
  <c r="P31" i="6"/>
  <c r="FL31" i="18"/>
  <c r="Q31" i="6"/>
  <c r="FM31" i="18"/>
  <c r="R31" i="6"/>
  <c r="FN31" i="18"/>
  <c r="S31" i="6"/>
  <c r="FO31" i="18"/>
  <c r="T31" i="6"/>
  <c r="FP31" i="18"/>
  <c r="U31" i="6"/>
  <c r="FQ31" i="18"/>
  <c r="V31" i="6"/>
  <c r="FR31" i="18"/>
  <c r="W31" i="6"/>
  <c r="FS31" i="18"/>
  <c r="X31" i="6"/>
  <c r="FT31" i="18"/>
  <c r="Y31" i="6"/>
  <c r="FU31" i="18"/>
  <c r="Z31" i="6"/>
  <c r="FV31" i="18"/>
  <c r="AA31" i="6"/>
  <c r="FW31" i="18"/>
  <c r="AB31" i="6"/>
  <c r="FX31" i="18"/>
  <c r="AC31" i="6"/>
  <c r="FY31" i="18"/>
  <c r="AD31" i="6"/>
  <c r="FZ31" i="18"/>
  <c r="AE31" i="6"/>
  <c r="GA31" i="18"/>
  <c r="AF31" i="6"/>
  <c r="GB31" i="18"/>
  <c r="AG31" i="6"/>
  <c r="GC31" i="18"/>
  <c r="AH31" i="6"/>
  <c r="GD31" i="18"/>
  <c r="AI31" i="6"/>
  <c r="FA31" i="18"/>
  <c r="F31" i="6"/>
  <c r="AK31" i="6"/>
  <c r="GF31" i="18"/>
  <c r="G31" i="7"/>
  <c r="GG31" i="18"/>
  <c r="H31" i="7"/>
  <c r="GH31" i="18"/>
  <c r="I31" i="7"/>
  <c r="GI31" i="18"/>
  <c r="J31" i="7"/>
  <c r="GJ31" i="18"/>
  <c r="K31" i="7"/>
  <c r="GK31" i="18"/>
  <c r="L31" i="7"/>
  <c r="GL31" i="18"/>
  <c r="M31" i="7"/>
  <c r="GM31" i="18"/>
  <c r="N31" i="7"/>
  <c r="GN31" i="18"/>
  <c r="O31" i="7"/>
  <c r="GO31" i="18"/>
  <c r="P31" i="7"/>
  <c r="GP31" i="18"/>
  <c r="Q31" i="7"/>
  <c r="GQ31" i="18"/>
  <c r="R31" i="7"/>
  <c r="GR31" i="18"/>
  <c r="S31" i="7"/>
  <c r="GS31" i="18"/>
  <c r="T31" i="7"/>
  <c r="GT31" i="18"/>
  <c r="U31" i="7"/>
  <c r="GU31" i="18"/>
  <c r="V31" i="7"/>
  <c r="GV31" i="18"/>
  <c r="W31" i="7"/>
  <c r="GW31" i="18"/>
  <c r="X31" i="7"/>
  <c r="GX31" i="18"/>
  <c r="Y31" i="7"/>
  <c r="GY31" i="18"/>
  <c r="Z31" i="7"/>
  <c r="GZ31" i="18"/>
  <c r="AA31" i="7"/>
  <c r="HA31" i="18"/>
  <c r="AB31" i="7"/>
  <c r="HB31" i="18"/>
  <c r="AC31" i="7"/>
  <c r="HC31" i="18"/>
  <c r="AD31" i="7"/>
  <c r="HD31" i="18"/>
  <c r="AE31" i="7"/>
  <c r="HE31" i="18"/>
  <c r="AF31" i="7"/>
  <c r="HF31" i="18"/>
  <c r="AG31" i="7"/>
  <c r="HG31" i="18"/>
  <c r="AH31" i="7"/>
  <c r="HH31" i="18"/>
  <c r="AI31" i="7"/>
  <c r="HI31" i="18"/>
  <c r="AJ31" i="7"/>
  <c r="GE31" i="18"/>
  <c r="F31" i="7"/>
  <c r="AK31" i="7"/>
  <c r="HK31" i="18"/>
  <c r="G31" i="8"/>
  <c r="HL31" i="18"/>
  <c r="H31" i="8"/>
  <c r="HM31" i="18"/>
  <c r="I31" i="8"/>
  <c r="HN31" i="18"/>
  <c r="J31" i="8"/>
  <c r="HO31" i="18"/>
  <c r="K31" i="8"/>
  <c r="HP31" i="18"/>
  <c r="L31" i="8"/>
  <c r="HQ31" i="18"/>
  <c r="M31" i="8"/>
  <c r="HR31" i="18"/>
  <c r="N31" i="8"/>
  <c r="HS31" i="18"/>
  <c r="O31" i="8"/>
  <c r="HT31" i="18"/>
  <c r="P31" i="8"/>
  <c r="HU31" i="18"/>
  <c r="Q31" i="8"/>
  <c r="HV31" i="18"/>
  <c r="R31" i="8"/>
  <c r="HW31" i="18"/>
  <c r="S31" i="8"/>
  <c r="HX31" i="18"/>
  <c r="T31" i="8"/>
  <c r="HY31" i="18"/>
  <c r="U31" i="8"/>
  <c r="HZ31" i="18"/>
  <c r="V31" i="8"/>
  <c r="IA31" i="18"/>
  <c r="W31" i="8"/>
  <c r="IB31" i="18"/>
  <c r="X31" i="8"/>
  <c r="IC31" i="18"/>
  <c r="Y31" i="8"/>
  <c r="ID31" i="18"/>
  <c r="Z31" i="8"/>
  <c r="IE31" i="18"/>
  <c r="AA31" i="8"/>
  <c r="IF31" i="18"/>
  <c r="AB31" i="8"/>
  <c r="IG31" i="18"/>
  <c r="AC31" i="8"/>
  <c r="IH31" i="18"/>
  <c r="AD31" i="8"/>
  <c r="II31" i="18"/>
  <c r="AE31" i="8"/>
  <c r="IJ31" i="18"/>
  <c r="AF31" i="8"/>
  <c r="IK31" i="18"/>
  <c r="AG31" i="8"/>
  <c r="IL31" i="18"/>
  <c r="AH31" i="8"/>
  <c r="IM31" i="18"/>
  <c r="AI31" i="8"/>
  <c r="IN31" i="18"/>
  <c r="AJ31" i="8"/>
  <c r="HJ31" i="18"/>
  <c r="F31" i="8"/>
  <c r="AK31" i="8"/>
  <c r="IP31" i="18"/>
  <c r="G31" i="9"/>
  <c r="IQ31" i="18"/>
  <c r="H31" i="9"/>
  <c r="IR31" i="18"/>
  <c r="I31" i="9"/>
  <c r="IS31" i="18"/>
  <c r="J31" i="9"/>
  <c r="IT31" i="18"/>
  <c r="K31" i="9"/>
  <c r="IU31" i="18"/>
  <c r="L31" i="9"/>
  <c r="IV31" i="18"/>
  <c r="M31" i="9"/>
  <c r="IW31" i="18"/>
  <c r="N31" i="9"/>
  <c r="IX31" i="18"/>
  <c r="O31" i="9"/>
  <c r="IY31" i="18"/>
  <c r="P31" i="9"/>
  <c r="IZ31" i="18"/>
  <c r="Q31" i="9"/>
  <c r="JA31" i="18"/>
  <c r="R31" i="9"/>
  <c r="JB31" i="18"/>
  <c r="S31" i="9"/>
  <c r="JC31" i="18"/>
  <c r="T31" i="9"/>
  <c r="JD31" i="18"/>
  <c r="U31" i="9"/>
  <c r="JE31" i="18"/>
  <c r="V31" i="9"/>
  <c r="JF31" i="18"/>
  <c r="W31" i="9"/>
  <c r="JG31" i="18"/>
  <c r="X31" i="9"/>
  <c r="JH31" i="18"/>
  <c r="Y31" i="9"/>
  <c r="JI31" i="18"/>
  <c r="Z31" i="9"/>
  <c r="JJ31" i="18"/>
  <c r="AA31" i="9"/>
  <c r="JK31" i="18"/>
  <c r="AB31" i="9"/>
  <c r="JL31" i="18"/>
  <c r="AC31" i="9"/>
  <c r="JM31" i="18"/>
  <c r="AD31" i="9"/>
  <c r="JN31" i="18"/>
  <c r="AE31" i="9"/>
  <c r="JO31" i="18"/>
  <c r="AF31" i="9"/>
  <c r="JP31" i="18"/>
  <c r="AG31" i="9"/>
  <c r="JQ31" i="18"/>
  <c r="AH31" i="9"/>
  <c r="JR31" i="18"/>
  <c r="AI31" i="9"/>
  <c r="IO31" i="18"/>
  <c r="F31" i="9"/>
  <c r="AK31" i="9"/>
  <c r="JT31" i="18"/>
  <c r="G31" i="10"/>
  <c r="JU31" i="18"/>
  <c r="H31" i="10"/>
  <c r="JV31" i="18"/>
  <c r="I31" i="10"/>
  <c r="JW31" i="18"/>
  <c r="J31" i="10"/>
  <c r="JX31" i="18"/>
  <c r="K31" i="10"/>
  <c r="JY31" i="18"/>
  <c r="L31" i="10"/>
  <c r="JZ31" i="18"/>
  <c r="M31" i="10"/>
  <c r="KA31" i="18"/>
  <c r="N31" i="10"/>
  <c r="KB31" i="18"/>
  <c r="O31" i="10"/>
  <c r="KC31" i="18"/>
  <c r="P31" i="10"/>
  <c r="KD31" i="18"/>
  <c r="Q31" i="10"/>
  <c r="KE31" i="18"/>
  <c r="R31" i="10"/>
  <c r="KF31" i="18"/>
  <c r="S31" i="10"/>
  <c r="KG31" i="18"/>
  <c r="T31" i="10"/>
  <c r="KH31" i="18"/>
  <c r="U31" i="10"/>
  <c r="KI31" i="18"/>
  <c r="V31" i="10"/>
  <c r="KJ31" i="18"/>
  <c r="W31" i="10"/>
  <c r="KK31" i="18"/>
  <c r="X31" i="10"/>
  <c r="KL31" i="18"/>
  <c r="Y31" i="10"/>
  <c r="KM31" i="18"/>
  <c r="Z31" i="10"/>
  <c r="KN31" i="18"/>
  <c r="AA31" i="10"/>
  <c r="KO31" i="18"/>
  <c r="AB31" i="10"/>
  <c r="KP31" i="18"/>
  <c r="AC31" i="10"/>
  <c r="KQ31" i="18"/>
  <c r="AD31" i="10"/>
  <c r="KR31" i="18"/>
  <c r="AE31" i="10"/>
  <c r="KS31" i="18"/>
  <c r="AF31" i="10"/>
  <c r="KT31" i="18"/>
  <c r="AG31" i="10"/>
  <c r="KU31" i="18"/>
  <c r="AH31" i="10"/>
  <c r="KV31" i="18"/>
  <c r="AI31" i="10"/>
  <c r="KW31" i="18"/>
  <c r="AJ31" i="10"/>
  <c r="JS31" i="18"/>
  <c r="F31" i="10"/>
  <c r="AK31" i="10"/>
  <c r="KY31" i="18"/>
  <c r="G31" i="11"/>
  <c r="KZ31" i="18"/>
  <c r="H31" i="11"/>
  <c r="LA31" i="18"/>
  <c r="I31" i="11"/>
  <c r="LB31" i="18"/>
  <c r="J31" i="11"/>
  <c r="LC31" i="18"/>
  <c r="K31" i="11"/>
  <c r="LD31" i="18"/>
  <c r="L31" i="11"/>
  <c r="LE31" i="18"/>
  <c r="M31" i="11"/>
  <c r="LF31" i="18"/>
  <c r="N31" i="11"/>
  <c r="LG31" i="18"/>
  <c r="O31" i="11"/>
  <c r="LH31" i="18"/>
  <c r="P31" i="11"/>
  <c r="LI31" i="18"/>
  <c r="Q31" i="11"/>
  <c r="LJ31" i="18"/>
  <c r="R31" i="11"/>
  <c r="LK31" i="18"/>
  <c r="S31" i="11"/>
  <c r="LL31" i="18"/>
  <c r="T31" i="11"/>
  <c r="LM31" i="18"/>
  <c r="U31" i="11"/>
  <c r="LN31" i="18"/>
  <c r="V31" i="11"/>
  <c r="LO31" i="18"/>
  <c r="W31" i="11"/>
  <c r="LP31" i="18"/>
  <c r="X31" i="11"/>
  <c r="LQ31" i="18"/>
  <c r="Y31" i="11"/>
  <c r="LR31" i="18"/>
  <c r="Z31" i="11"/>
  <c r="LS31" i="18"/>
  <c r="AA31" i="11"/>
  <c r="LT31" i="18"/>
  <c r="AB31" i="11"/>
  <c r="LU31" i="18"/>
  <c r="AC31" i="11"/>
  <c r="LV31" i="18"/>
  <c r="AD31" i="11"/>
  <c r="LW31" i="18"/>
  <c r="AE31" i="11"/>
  <c r="LX31" i="18"/>
  <c r="AF31" i="11"/>
  <c r="LY31" i="18"/>
  <c r="AG31" i="11"/>
  <c r="LZ31" i="18"/>
  <c r="AH31" i="11"/>
  <c r="MA31" i="18"/>
  <c r="AI31" i="11"/>
  <c r="KX31" i="18"/>
  <c r="F31" i="11"/>
  <c r="AK31" i="11"/>
  <c r="MC31" i="18"/>
  <c r="G31" i="12"/>
  <c r="MD31" i="18"/>
  <c r="H31" i="12"/>
  <c r="ME31" i="18"/>
  <c r="I31" i="12"/>
  <c r="MF31" i="18"/>
  <c r="J31" i="12"/>
  <c r="MG31" i="18"/>
  <c r="K31" i="12"/>
  <c r="MH31" i="18"/>
  <c r="L31" i="12"/>
  <c r="MI31" i="18"/>
  <c r="M31" i="12"/>
  <c r="MJ31" i="18"/>
  <c r="N31" i="12"/>
  <c r="MK31" i="18"/>
  <c r="O31" i="12"/>
  <c r="ML31" i="18"/>
  <c r="P31" i="12"/>
  <c r="MM31" i="18"/>
  <c r="Q31" i="12"/>
  <c r="MN31" i="18"/>
  <c r="R31" i="12"/>
  <c r="MO31" i="18"/>
  <c r="S31" i="12"/>
  <c r="MP31" i="18"/>
  <c r="T31" i="12"/>
  <c r="MQ31" i="18"/>
  <c r="U31" i="12"/>
  <c r="MR31" i="18"/>
  <c r="V31" i="12"/>
  <c r="MS31" i="18"/>
  <c r="W31" i="12"/>
  <c r="MT31" i="18"/>
  <c r="X31" i="12"/>
  <c r="MU31" i="18"/>
  <c r="Y31" i="12"/>
  <c r="MV31" i="18"/>
  <c r="Z31" i="12"/>
  <c r="MW31" i="18"/>
  <c r="AA31" i="12"/>
  <c r="MX31" i="18"/>
  <c r="AB31" i="12"/>
  <c r="MY31" i="18"/>
  <c r="AC31" i="12"/>
  <c r="MZ31" i="18"/>
  <c r="AD31" i="12"/>
  <c r="NA31" i="18"/>
  <c r="AE31" i="12"/>
  <c r="NB31" i="18"/>
  <c r="AF31" i="12"/>
  <c r="NC31" i="18"/>
  <c r="AG31" i="12"/>
  <c r="ND31" i="18"/>
  <c r="AH31" i="12"/>
  <c r="NE31" i="18"/>
  <c r="AI31" i="12"/>
  <c r="NF31" i="18"/>
  <c r="AJ31" i="12"/>
  <c r="MB31" i="18"/>
  <c r="F31" i="12"/>
  <c r="AK31" i="12"/>
  <c r="P27" i="13"/>
  <c r="G30" i="18"/>
  <c r="H30" i="18"/>
  <c r="I30" i="18"/>
  <c r="J30" i="18"/>
  <c r="K30" i="18"/>
  <c r="L30" i="18"/>
  <c r="M30" i="18"/>
  <c r="N30" i="18"/>
  <c r="O30" i="18"/>
  <c r="P30" i="18"/>
  <c r="Q30" i="18"/>
  <c r="R30" i="18"/>
  <c r="S30" i="18"/>
  <c r="T30" i="18"/>
  <c r="U30" i="18"/>
  <c r="V30" i="18"/>
  <c r="W30" i="18"/>
  <c r="X30" i="18"/>
  <c r="Y30" i="18"/>
  <c r="Z30" i="18"/>
  <c r="AA30" i="18"/>
  <c r="AB30" i="18"/>
  <c r="AC30" i="18"/>
  <c r="AD30" i="18"/>
  <c r="AE30" i="18"/>
  <c r="AF30" i="18"/>
  <c r="AG30" i="18"/>
  <c r="AH30" i="18"/>
  <c r="AI30" i="18"/>
  <c r="AJ30" i="18"/>
  <c r="F30" i="18"/>
  <c r="AL30" i="18"/>
  <c r="G30" i="2"/>
  <c r="AM30" i="18"/>
  <c r="H30" i="2"/>
  <c r="AN30" i="18"/>
  <c r="I30" i="2"/>
  <c r="AO30" i="18"/>
  <c r="J30" i="2"/>
  <c r="AP30" i="18"/>
  <c r="K30" i="2"/>
  <c r="AQ30" i="18"/>
  <c r="L30" i="2"/>
  <c r="AR30" i="18"/>
  <c r="M30" i="2"/>
  <c r="AS30" i="18"/>
  <c r="N30" i="2"/>
  <c r="AT30" i="18"/>
  <c r="O30" i="2"/>
  <c r="AU30" i="18"/>
  <c r="P30" i="2"/>
  <c r="AV30" i="18"/>
  <c r="Q30" i="2"/>
  <c r="AW30" i="18"/>
  <c r="R30" i="2"/>
  <c r="AX30" i="18"/>
  <c r="S30" i="2"/>
  <c r="AY30" i="18"/>
  <c r="T30" i="2"/>
  <c r="AZ30" i="18"/>
  <c r="U30" i="2"/>
  <c r="BA30" i="18"/>
  <c r="V30" i="2"/>
  <c r="BB30" i="18"/>
  <c r="W30" i="2"/>
  <c r="BC30" i="18"/>
  <c r="X30" i="2"/>
  <c r="BD30" i="18"/>
  <c r="Y30" i="2"/>
  <c r="BE30" i="18"/>
  <c r="Z30" i="2"/>
  <c r="BF30" i="18"/>
  <c r="AA30" i="2"/>
  <c r="BG30" i="18"/>
  <c r="AB30" i="2"/>
  <c r="BH30" i="18"/>
  <c r="AC30" i="2"/>
  <c r="BI30" i="18"/>
  <c r="AD30" i="2"/>
  <c r="BJ30" i="18"/>
  <c r="AE30" i="2"/>
  <c r="BK30" i="18"/>
  <c r="AF30" i="2"/>
  <c r="BL30" i="18"/>
  <c r="AG30" i="2"/>
  <c r="AI30" i="2"/>
  <c r="AK30" i="18"/>
  <c r="F30" i="2"/>
  <c r="AJ30" i="2"/>
  <c r="BN30" i="18"/>
  <c r="G30" i="3"/>
  <c r="BO30" i="18"/>
  <c r="H30" i="3"/>
  <c r="BP30" i="18"/>
  <c r="I30" i="3"/>
  <c r="BQ30" i="18"/>
  <c r="J30" i="3"/>
  <c r="BR30" i="18"/>
  <c r="K30" i="3"/>
  <c r="BS30" i="18"/>
  <c r="L30" i="3"/>
  <c r="BT30" i="18"/>
  <c r="M30" i="3"/>
  <c r="BU30" i="18"/>
  <c r="N30" i="3"/>
  <c r="BV30" i="18"/>
  <c r="O30" i="3"/>
  <c r="BW30" i="18"/>
  <c r="P30" i="3"/>
  <c r="BX30" i="18"/>
  <c r="Q30" i="3"/>
  <c r="BY30" i="18"/>
  <c r="R30" i="3"/>
  <c r="BZ30" i="18"/>
  <c r="S30" i="3"/>
  <c r="CA30" i="18"/>
  <c r="T30" i="3"/>
  <c r="CB30" i="18"/>
  <c r="U30" i="3"/>
  <c r="CC30" i="18"/>
  <c r="V30" i="3"/>
  <c r="CD30" i="18"/>
  <c r="W30" i="3"/>
  <c r="CE30" i="18"/>
  <c r="X30" i="3"/>
  <c r="CF30" i="18"/>
  <c r="Y30" i="3"/>
  <c r="CG30" i="18"/>
  <c r="Z30" i="3"/>
  <c r="CH30" i="18"/>
  <c r="AA30" i="3"/>
  <c r="CI30" i="18"/>
  <c r="AB30" i="3"/>
  <c r="CJ30" i="18"/>
  <c r="AC30" i="3"/>
  <c r="CK30" i="18"/>
  <c r="AD30" i="3"/>
  <c r="CL30" i="18"/>
  <c r="AE30" i="3"/>
  <c r="CM30" i="18"/>
  <c r="AF30" i="3"/>
  <c r="CN30" i="18"/>
  <c r="AG30" i="3"/>
  <c r="CO30" i="18"/>
  <c r="AH30" i="3"/>
  <c r="CP30" i="18"/>
  <c r="AI30" i="3"/>
  <c r="CQ30" i="18"/>
  <c r="AJ30" i="3"/>
  <c r="BM30" i="18"/>
  <c r="F30" i="3"/>
  <c r="AK30" i="3"/>
  <c r="CS30" i="18"/>
  <c r="G30" i="4"/>
  <c r="CT30" i="18"/>
  <c r="H30" i="4"/>
  <c r="CU30" i="18"/>
  <c r="I30" i="4"/>
  <c r="CV30" i="18"/>
  <c r="J30" i="4"/>
  <c r="CW30" i="18"/>
  <c r="K30" i="4"/>
  <c r="CX30" i="18"/>
  <c r="L30" i="4"/>
  <c r="CY30" i="18"/>
  <c r="M30" i="4"/>
  <c r="CZ30" i="18"/>
  <c r="N30" i="4"/>
  <c r="DA30" i="18"/>
  <c r="O30" i="4"/>
  <c r="DB30" i="18"/>
  <c r="P30" i="4"/>
  <c r="DC30" i="18"/>
  <c r="Q30" i="4"/>
  <c r="DD30" i="18"/>
  <c r="R30" i="4"/>
  <c r="DE30" i="18"/>
  <c r="S30" i="4"/>
  <c r="DF30" i="18"/>
  <c r="T30" i="4"/>
  <c r="DG30" i="18"/>
  <c r="U30" i="4"/>
  <c r="DH30" i="18"/>
  <c r="V30" i="4"/>
  <c r="DI30" i="18"/>
  <c r="W30" i="4"/>
  <c r="DJ30" i="18"/>
  <c r="X30" i="4"/>
  <c r="DK30" i="18"/>
  <c r="Y30" i="4"/>
  <c r="DL30" i="18"/>
  <c r="Z30" i="4"/>
  <c r="DM30" i="18"/>
  <c r="AA30" i="4"/>
  <c r="DN30" i="18"/>
  <c r="AB30" i="4"/>
  <c r="DO30" i="18"/>
  <c r="AC30" i="4"/>
  <c r="DP30" i="18"/>
  <c r="AD30" i="4"/>
  <c r="DQ30" i="18"/>
  <c r="AE30" i="4"/>
  <c r="DR30" i="18"/>
  <c r="AF30" i="4"/>
  <c r="DS30" i="18"/>
  <c r="AG30" i="4"/>
  <c r="DT30" i="18"/>
  <c r="AH30" i="4"/>
  <c r="DU30" i="18"/>
  <c r="AI30" i="4"/>
  <c r="CR30" i="18"/>
  <c r="F30" i="4"/>
  <c r="AK30" i="4"/>
  <c r="DW30" i="18"/>
  <c r="G30" i="5"/>
  <c r="DX30" i="18"/>
  <c r="H30" i="5"/>
  <c r="DY30" i="18"/>
  <c r="I30" i="5"/>
  <c r="DZ30" i="18"/>
  <c r="J30" i="5"/>
  <c r="EA30" i="18"/>
  <c r="K30" i="5"/>
  <c r="EB30" i="18"/>
  <c r="L30" i="5"/>
  <c r="EC30" i="18"/>
  <c r="M30" i="5"/>
  <c r="ED30" i="18"/>
  <c r="N30" i="5"/>
  <c r="EE30" i="18"/>
  <c r="O30" i="5"/>
  <c r="EF30" i="18"/>
  <c r="P30" i="5"/>
  <c r="EG30" i="18"/>
  <c r="Q30" i="5"/>
  <c r="EH30" i="18"/>
  <c r="R30" i="5"/>
  <c r="EI30" i="18"/>
  <c r="S30" i="5"/>
  <c r="EJ30" i="18"/>
  <c r="T30" i="5"/>
  <c r="EK30" i="18"/>
  <c r="U30" i="5"/>
  <c r="EL30" i="18"/>
  <c r="V30" i="5"/>
  <c r="EM30" i="18"/>
  <c r="W30" i="5"/>
  <c r="EN30" i="18"/>
  <c r="X30" i="5"/>
  <c r="EO30" i="18"/>
  <c r="Y30" i="5"/>
  <c r="EP30" i="18"/>
  <c r="Z30" i="5"/>
  <c r="EQ30" i="18"/>
  <c r="AA30" i="5"/>
  <c r="ER30" i="18"/>
  <c r="AB30" i="5"/>
  <c r="ES30" i="18"/>
  <c r="AC30" i="5"/>
  <c r="ET30" i="18"/>
  <c r="AD30" i="5"/>
  <c r="EU30" i="18"/>
  <c r="AE30" i="5"/>
  <c r="EV30" i="18"/>
  <c r="AF30" i="5"/>
  <c r="EW30" i="18"/>
  <c r="AG30" i="5"/>
  <c r="EX30" i="18"/>
  <c r="AH30" i="5"/>
  <c r="EY30" i="18"/>
  <c r="AI30" i="5"/>
  <c r="EZ30" i="18"/>
  <c r="AJ30" i="5"/>
  <c r="DV30" i="18"/>
  <c r="F30" i="5"/>
  <c r="AK30" i="5"/>
  <c r="FB30" i="18"/>
  <c r="G30" i="6"/>
  <c r="FC30" i="18"/>
  <c r="H30" i="6"/>
  <c r="FD30" i="18"/>
  <c r="I30" i="6"/>
  <c r="FE30" i="18"/>
  <c r="J30" i="6"/>
  <c r="FF30" i="18"/>
  <c r="K30" i="6"/>
  <c r="FG30" i="18"/>
  <c r="L30" i="6"/>
  <c r="FH30" i="18"/>
  <c r="M30" i="6"/>
  <c r="FI30" i="18"/>
  <c r="N30" i="6"/>
  <c r="FJ30" i="18"/>
  <c r="O30" i="6"/>
  <c r="FK30" i="18"/>
  <c r="P30" i="6"/>
  <c r="FL30" i="18"/>
  <c r="Q30" i="6"/>
  <c r="FM30" i="18"/>
  <c r="R30" i="6"/>
  <c r="FN30" i="18"/>
  <c r="S30" i="6"/>
  <c r="FO30" i="18"/>
  <c r="T30" i="6"/>
  <c r="FP30" i="18"/>
  <c r="U30" i="6"/>
  <c r="FQ30" i="18"/>
  <c r="V30" i="6"/>
  <c r="FR30" i="18"/>
  <c r="W30" i="6"/>
  <c r="FS30" i="18"/>
  <c r="X30" i="6"/>
  <c r="FT30" i="18"/>
  <c r="Y30" i="6"/>
  <c r="FU30" i="18"/>
  <c r="Z30" i="6"/>
  <c r="FV30" i="18"/>
  <c r="AA30" i="6"/>
  <c r="FW30" i="18"/>
  <c r="AB30" i="6"/>
  <c r="FX30" i="18"/>
  <c r="AC30" i="6"/>
  <c r="FY30" i="18"/>
  <c r="AD30" i="6"/>
  <c r="FZ30" i="18"/>
  <c r="AE30" i="6"/>
  <c r="GA30" i="18"/>
  <c r="AF30" i="6"/>
  <c r="GB30" i="18"/>
  <c r="AG30" i="6"/>
  <c r="GC30" i="18"/>
  <c r="AH30" i="6"/>
  <c r="GD30" i="18"/>
  <c r="AI30" i="6"/>
  <c r="FA30" i="18"/>
  <c r="F30" i="6"/>
  <c r="AK30" i="6"/>
  <c r="GF30" i="18"/>
  <c r="G30" i="7"/>
  <c r="GG30" i="18"/>
  <c r="H30" i="7"/>
  <c r="GH30" i="18"/>
  <c r="I30" i="7"/>
  <c r="GI30" i="18"/>
  <c r="J30" i="7"/>
  <c r="GJ30" i="18"/>
  <c r="K30" i="7"/>
  <c r="GK30" i="18"/>
  <c r="L30" i="7"/>
  <c r="GL30" i="18"/>
  <c r="M30" i="7"/>
  <c r="GM30" i="18"/>
  <c r="N30" i="7"/>
  <c r="GN30" i="18"/>
  <c r="O30" i="7"/>
  <c r="GO30" i="18"/>
  <c r="P30" i="7"/>
  <c r="GP30" i="18"/>
  <c r="Q30" i="7"/>
  <c r="GQ30" i="18"/>
  <c r="R30" i="7"/>
  <c r="GR30" i="18"/>
  <c r="S30" i="7"/>
  <c r="GS30" i="18"/>
  <c r="T30" i="7"/>
  <c r="GT30" i="18"/>
  <c r="U30" i="7"/>
  <c r="GU30" i="18"/>
  <c r="V30" i="7"/>
  <c r="GV30" i="18"/>
  <c r="W30" i="7"/>
  <c r="GW30" i="18"/>
  <c r="X30" i="7"/>
  <c r="GX30" i="18"/>
  <c r="Y30" i="7"/>
  <c r="GY30" i="18"/>
  <c r="Z30" i="7"/>
  <c r="GZ30" i="18"/>
  <c r="AA30" i="7"/>
  <c r="HA30" i="18"/>
  <c r="AB30" i="7"/>
  <c r="HB30" i="18"/>
  <c r="AC30" i="7"/>
  <c r="HC30" i="18"/>
  <c r="AD30" i="7"/>
  <c r="HD30" i="18"/>
  <c r="AE30" i="7"/>
  <c r="HE30" i="18"/>
  <c r="AF30" i="7"/>
  <c r="HF30" i="18"/>
  <c r="AG30" i="7"/>
  <c r="HG30" i="18"/>
  <c r="AH30" i="7"/>
  <c r="HH30" i="18"/>
  <c r="AI30" i="7"/>
  <c r="HI30" i="18"/>
  <c r="AJ30" i="7"/>
  <c r="GE30" i="18"/>
  <c r="F30" i="7"/>
  <c r="AK30" i="7"/>
  <c r="HK30" i="18"/>
  <c r="G30" i="8"/>
  <c r="HL30" i="18"/>
  <c r="H30" i="8"/>
  <c r="HM30" i="18"/>
  <c r="I30" i="8"/>
  <c r="HN30" i="18"/>
  <c r="J30" i="8"/>
  <c r="HO30" i="18"/>
  <c r="K30" i="8"/>
  <c r="HP30" i="18"/>
  <c r="L30" i="8"/>
  <c r="HQ30" i="18"/>
  <c r="M30" i="8"/>
  <c r="HR30" i="18"/>
  <c r="N30" i="8"/>
  <c r="HS30" i="18"/>
  <c r="O30" i="8"/>
  <c r="HT30" i="18"/>
  <c r="P30" i="8"/>
  <c r="HU30" i="18"/>
  <c r="Q30" i="8"/>
  <c r="HV30" i="18"/>
  <c r="R30" i="8"/>
  <c r="HW30" i="18"/>
  <c r="S30" i="8"/>
  <c r="HX30" i="18"/>
  <c r="T30" i="8"/>
  <c r="HY30" i="18"/>
  <c r="U30" i="8"/>
  <c r="HZ30" i="18"/>
  <c r="V30" i="8"/>
  <c r="IA30" i="18"/>
  <c r="W30" i="8"/>
  <c r="IB30" i="18"/>
  <c r="X30" i="8"/>
  <c r="IC30" i="18"/>
  <c r="Y30" i="8"/>
  <c r="ID30" i="18"/>
  <c r="Z30" i="8"/>
  <c r="IE30" i="18"/>
  <c r="AA30" i="8"/>
  <c r="IF30" i="18"/>
  <c r="AB30" i="8"/>
  <c r="IG30" i="18"/>
  <c r="AC30" i="8"/>
  <c r="IH30" i="18"/>
  <c r="AD30" i="8"/>
  <c r="II30" i="18"/>
  <c r="AE30" i="8"/>
  <c r="IJ30" i="18"/>
  <c r="AF30" i="8"/>
  <c r="IK30" i="18"/>
  <c r="AG30" i="8"/>
  <c r="IL30" i="18"/>
  <c r="AH30" i="8"/>
  <c r="IM30" i="18"/>
  <c r="AI30" i="8"/>
  <c r="IN30" i="18"/>
  <c r="AJ30" i="8"/>
  <c r="HJ30" i="18"/>
  <c r="F30" i="8"/>
  <c r="AK30" i="8"/>
  <c r="IP30" i="18"/>
  <c r="G30" i="9"/>
  <c r="IQ30" i="18"/>
  <c r="H30" i="9"/>
  <c r="IR30" i="18"/>
  <c r="I30" i="9"/>
  <c r="IS30" i="18"/>
  <c r="J30" i="9"/>
  <c r="IT30" i="18"/>
  <c r="K30" i="9"/>
  <c r="IU30" i="18"/>
  <c r="L30" i="9"/>
  <c r="IV30" i="18"/>
  <c r="M30" i="9"/>
  <c r="IW30" i="18"/>
  <c r="N30" i="9"/>
  <c r="IX30" i="18"/>
  <c r="O30" i="9"/>
  <c r="IY30" i="18"/>
  <c r="P30" i="9"/>
  <c r="IZ30" i="18"/>
  <c r="Q30" i="9"/>
  <c r="JA30" i="18"/>
  <c r="R30" i="9"/>
  <c r="JB30" i="18"/>
  <c r="S30" i="9"/>
  <c r="JC30" i="18"/>
  <c r="T30" i="9"/>
  <c r="JD30" i="18"/>
  <c r="U30" i="9"/>
  <c r="JE30" i="18"/>
  <c r="V30" i="9"/>
  <c r="JF30" i="18"/>
  <c r="W30" i="9"/>
  <c r="JG30" i="18"/>
  <c r="X30" i="9"/>
  <c r="JH30" i="18"/>
  <c r="Y30" i="9"/>
  <c r="JI30" i="18"/>
  <c r="Z30" i="9"/>
  <c r="JJ30" i="18"/>
  <c r="AA30" i="9"/>
  <c r="JK30" i="18"/>
  <c r="AB30" i="9"/>
  <c r="JL30" i="18"/>
  <c r="AC30" i="9"/>
  <c r="JM30" i="18"/>
  <c r="AD30" i="9"/>
  <c r="JN30" i="18"/>
  <c r="AE30" i="9"/>
  <c r="JO30" i="18"/>
  <c r="AF30" i="9"/>
  <c r="JP30" i="18"/>
  <c r="AG30" i="9"/>
  <c r="JQ30" i="18"/>
  <c r="AH30" i="9"/>
  <c r="JR30" i="18"/>
  <c r="AI30" i="9"/>
  <c r="IO30" i="18"/>
  <c r="F30" i="9"/>
  <c r="AK30" i="9"/>
  <c r="JT30" i="18"/>
  <c r="G30" i="10"/>
  <c r="JU30" i="18"/>
  <c r="H30" i="10"/>
  <c r="JV30" i="18"/>
  <c r="I30" i="10"/>
  <c r="JW30" i="18"/>
  <c r="J30" i="10"/>
  <c r="JX30" i="18"/>
  <c r="K30" i="10"/>
  <c r="JY30" i="18"/>
  <c r="L30" i="10"/>
  <c r="JZ30" i="18"/>
  <c r="M30" i="10"/>
  <c r="KA30" i="18"/>
  <c r="N30" i="10"/>
  <c r="KB30" i="18"/>
  <c r="O30" i="10"/>
  <c r="KC30" i="18"/>
  <c r="P30" i="10"/>
  <c r="KD30" i="18"/>
  <c r="Q30" i="10"/>
  <c r="KE30" i="18"/>
  <c r="R30" i="10"/>
  <c r="KF30" i="18"/>
  <c r="S30" i="10"/>
  <c r="KG30" i="18"/>
  <c r="T30" i="10"/>
  <c r="KH30" i="18"/>
  <c r="U30" i="10"/>
  <c r="KI30" i="18"/>
  <c r="V30" i="10"/>
  <c r="KJ30" i="18"/>
  <c r="W30" i="10"/>
  <c r="KK30" i="18"/>
  <c r="X30" i="10"/>
  <c r="KL30" i="18"/>
  <c r="Y30" i="10"/>
  <c r="KM30" i="18"/>
  <c r="Z30" i="10"/>
  <c r="KN30" i="18"/>
  <c r="AA30" i="10"/>
  <c r="KO30" i="18"/>
  <c r="AB30" i="10"/>
  <c r="KP30" i="18"/>
  <c r="AC30" i="10"/>
  <c r="KQ30" i="18"/>
  <c r="AD30" i="10"/>
  <c r="KR30" i="18"/>
  <c r="AE30" i="10"/>
  <c r="KS30" i="18"/>
  <c r="AF30" i="10"/>
  <c r="KT30" i="18"/>
  <c r="AG30" i="10"/>
  <c r="KU30" i="18"/>
  <c r="AH30" i="10"/>
  <c r="KV30" i="18"/>
  <c r="AI30" i="10"/>
  <c r="KW30" i="18"/>
  <c r="AJ30" i="10"/>
  <c r="JS30" i="18"/>
  <c r="F30" i="10"/>
  <c r="AK30" i="10"/>
  <c r="KY30" i="18"/>
  <c r="G30" i="11"/>
  <c r="KZ30" i="18"/>
  <c r="H30" i="11"/>
  <c r="LA30" i="18"/>
  <c r="I30" i="11"/>
  <c r="LB30" i="18"/>
  <c r="J30" i="11"/>
  <c r="LC30" i="18"/>
  <c r="K30" i="11"/>
  <c r="LD30" i="18"/>
  <c r="L30" i="11"/>
  <c r="LE30" i="18"/>
  <c r="M30" i="11"/>
  <c r="LF30" i="18"/>
  <c r="N30" i="11"/>
  <c r="LG30" i="18"/>
  <c r="O30" i="11"/>
  <c r="LH30" i="18"/>
  <c r="P30" i="11"/>
  <c r="LI30" i="18"/>
  <c r="Q30" i="11"/>
  <c r="LJ30" i="18"/>
  <c r="R30" i="11"/>
  <c r="LK30" i="18"/>
  <c r="S30" i="11"/>
  <c r="LL30" i="18"/>
  <c r="T30" i="11"/>
  <c r="LM30" i="18"/>
  <c r="U30" i="11"/>
  <c r="LN30" i="18"/>
  <c r="V30" i="11"/>
  <c r="LO30" i="18"/>
  <c r="W30" i="11"/>
  <c r="LP30" i="18"/>
  <c r="X30" i="11"/>
  <c r="LQ30" i="18"/>
  <c r="Y30" i="11"/>
  <c r="LR30" i="18"/>
  <c r="Z30" i="11"/>
  <c r="LS30" i="18"/>
  <c r="AA30" i="11"/>
  <c r="LT30" i="18"/>
  <c r="AB30" i="11"/>
  <c r="LU30" i="18"/>
  <c r="AC30" i="11"/>
  <c r="LV30" i="18"/>
  <c r="AD30" i="11"/>
  <c r="LW30" i="18"/>
  <c r="AE30" i="11"/>
  <c r="LX30" i="18"/>
  <c r="AF30" i="11"/>
  <c r="LY30" i="18"/>
  <c r="AG30" i="11"/>
  <c r="LZ30" i="18"/>
  <c r="AH30" i="11"/>
  <c r="MA30" i="18"/>
  <c r="AI30" i="11"/>
  <c r="KX30" i="18"/>
  <c r="F30" i="11"/>
  <c r="AK30" i="11"/>
  <c r="MC30" i="18"/>
  <c r="G30" i="12"/>
  <c r="MD30" i="18"/>
  <c r="H30" i="12"/>
  <c r="ME30" i="18"/>
  <c r="I30" i="12"/>
  <c r="MF30" i="18"/>
  <c r="J30" i="12"/>
  <c r="MG30" i="18"/>
  <c r="K30" i="12"/>
  <c r="MH30" i="18"/>
  <c r="L30" i="12"/>
  <c r="MI30" i="18"/>
  <c r="M30" i="12"/>
  <c r="MJ30" i="18"/>
  <c r="N30" i="12"/>
  <c r="MK30" i="18"/>
  <c r="O30" i="12"/>
  <c r="ML30" i="18"/>
  <c r="P30" i="12"/>
  <c r="MM30" i="18"/>
  <c r="Q30" i="12"/>
  <c r="MN30" i="18"/>
  <c r="R30" i="12"/>
  <c r="MO30" i="18"/>
  <c r="S30" i="12"/>
  <c r="MP30" i="18"/>
  <c r="T30" i="12"/>
  <c r="MQ30" i="18"/>
  <c r="U30" i="12"/>
  <c r="MR30" i="18"/>
  <c r="V30" i="12"/>
  <c r="MS30" i="18"/>
  <c r="W30" i="12"/>
  <c r="MT30" i="18"/>
  <c r="X30" i="12"/>
  <c r="MU30" i="18"/>
  <c r="Y30" i="12"/>
  <c r="MV30" i="18"/>
  <c r="Z30" i="12"/>
  <c r="MW30" i="18"/>
  <c r="AA30" i="12"/>
  <c r="MX30" i="18"/>
  <c r="AB30" i="12"/>
  <c r="MY30" i="18"/>
  <c r="AC30" i="12"/>
  <c r="MZ30" i="18"/>
  <c r="AD30" i="12"/>
  <c r="NA30" i="18"/>
  <c r="AE30" i="12"/>
  <c r="NB30" i="18"/>
  <c r="AF30" i="12"/>
  <c r="NC30" i="18"/>
  <c r="AG30" i="12"/>
  <c r="ND30" i="18"/>
  <c r="AH30" i="12"/>
  <c r="NE30" i="18"/>
  <c r="AI30" i="12"/>
  <c r="NF30" i="18"/>
  <c r="AJ30" i="12"/>
  <c r="MB30" i="18"/>
  <c r="F30" i="12"/>
  <c r="AK30" i="12"/>
  <c r="P26" i="13"/>
  <c r="G29" i="18"/>
  <c r="H29" i="18"/>
  <c r="I29" i="18"/>
  <c r="J29" i="18"/>
  <c r="K29" i="18"/>
  <c r="L29" i="18"/>
  <c r="M29" i="18"/>
  <c r="N29" i="18"/>
  <c r="O29" i="18"/>
  <c r="P29" i="18"/>
  <c r="Q29" i="18"/>
  <c r="R29" i="18"/>
  <c r="S29" i="18"/>
  <c r="T29" i="18"/>
  <c r="U29" i="18"/>
  <c r="V29" i="18"/>
  <c r="W29" i="18"/>
  <c r="X29" i="18"/>
  <c r="Y29" i="18"/>
  <c r="Z29" i="18"/>
  <c r="AA29" i="18"/>
  <c r="AB29" i="18"/>
  <c r="AC29" i="18"/>
  <c r="AD29" i="18"/>
  <c r="AE29" i="18"/>
  <c r="AF29" i="18"/>
  <c r="AG29" i="18"/>
  <c r="AH29" i="18"/>
  <c r="AI29" i="18"/>
  <c r="AJ29" i="18"/>
  <c r="F29" i="18"/>
  <c r="AL29" i="18"/>
  <c r="G29" i="2"/>
  <c r="AM29" i="18"/>
  <c r="H29" i="2"/>
  <c r="AN29" i="18"/>
  <c r="I29" i="2"/>
  <c r="AO29" i="18"/>
  <c r="J29" i="2"/>
  <c r="AP29" i="18"/>
  <c r="K29" i="2"/>
  <c r="AQ29" i="18"/>
  <c r="L29" i="2"/>
  <c r="AR29" i="18"/>
  <c r="M29" i="2"/>
  <c r="AS29" i="18"/>
  <c r="N29" i="2"/>
  <c r="AT29" i="18"/>
  <c r="O29" i="2"/>
  <c r="AU29" i="18"/>
  <c r="P29" i="2"/>
  <c r="AV29" i="18"/>
  <c r="Q29" i="2"/>
  <c r="AW29" i="18"/>
  <c r="R29" i="2"/>
  <c r="AX29" i="18"/>
  <c r="S29" i="2"/>
  <c r="AY29" i="18"/>
  <c r="T29" i="2"/>
  <c r="AZ29" i="18"/>
  <c r="U29" i="2"/>
  <c r="BA29" i="18"/>
  <c r="V29" i="2"/>
  <c r="BB29" i="18"/>
  <c r="W29" i="2"/>
  <c r="BC29" i="18"/>
  <c r="X29" i="2"/>
  <c r="BD29" i="18"/>
  <c r="Y29" i="2"/>
  <c r="BE29" i="18"/>
  <c r="Z29" i="2"/>
  <c r="BF29" i="18"/>
  <c r="AA29" i="2"/>
  <c r="BG29" i="18"/>
  <c r="AB29" i="2"/>
  <c r="BH29" i="18"/>
  <c r="AC29" i="2"/>
  <c r="BI29" i="18"/>
  <c r="AD29" i="2"/>
  <c r="BJ29" i="18"/>
  <c r="AE29" i="2"/>
  <c r="BK29" i="18"/>
  <c r="AF29" i="2"/>
  <c r="BL29" i="18"/>
  <c r="AG29" i="2"/>
  <c r="AI29" i="2"/>
  <c r="AK29" i="18"/>
  <c r="F29" i="2"/>
  <c r="AJ29" i="2"/>
  <c r="BN29" i="18"/>
  <c r="G29" i="3"/>
  <c r="BO29" i="18"/>
  <c r="H29" i="3"/>
  <c r="BP29" i="18"/>
  <c r="I29" i="3"/>
  <c r="BQ29" i="18"/>
  <c r="J29" i="3"/>
  <c r="BR29" i="18"/>
  <c r="K29" i="3"/>
  <c r="BS29" i="18"/>
  <c r="L29" i="3"/>
  <c r="BT29" i="18"/>
  <c r="M29" i="3"/>
  <c r="BU29" i="18"/>
  <c r="N29" i="3"/>
  <c r="BV29" i="18"/>
  <c r="O29" i="3"/>
  <c r="BW29" i="18"/>
  <c r="P29" i="3"/>
  <c r="BX29" i="18"/>
  <c r="Q29" i="3"/>
  <c r="BY29" i="18"/>
  <c r="R29" i="3"/>
  <c r="BZ29" i="18"/>
  <c r="S29" i="3"/>
  <c r="CA29" i="18"/>
  <c r="T29" i="3"/>
  <c r="CB29" i="18"/>
  <c r="U29" i="3"/>
  <c r="CC29" i="18"/>
  <c r="V29" i="3"/>
  <c r="CD29" i="18"/>
  <c r="W29" i="3"/>
  <c r="CE29" i="18"/>
  <c r="X29" i="3"/>
  <c r="CF29" i="18"/>
  <c r="Y29" i="3"/>
  <c r="CG29" i="18"/>
  <c r="Z29" i="3"/>
  <c r="CH29" i="18"/>
  <c r="AA29" i="3"/>
  <c r="CI29" i="18"/>
  <c r="AB29" i="3"/>
  <c r="CJ29" i="18"/>
  <c r="AC29" i="3"/>
  <c r="CK29" i="18"/>
  <c r="AD29" i="3"/>
  <c r="CL29" i="18"/>
  <c r="AE29" i="3"/>
  <c r="CM29" i="18"/>
  <c r="AF29" i="3"/>
  <c r="CN29" i="18"/>
  <c r="AG29" i="3"/>
  <c r="CO29" i="18"/>
  <c r="AH29" i="3"/>
  <c r="CP29" i="18"/>
  <c r="AI29" i="3"/>
  <c r="CQ29" i="18"/>
  <c r="AJ29" i="3"/>
  <c r="BM29" i="18"/>
  <c r="F29" i="3"/>
  <c r="AK29" i="3"/>
  <c r="CS29" i="18"/>
  <c r="G29" i="4"/>
  <c r="CT29" i="18"/>
  <c r="H29" i="4"/>
  <c r="CU29" i="18"/>
  <c r="I29" i="4"/>
  <c r="CV29" i="18"/>
  <c r="J29" i="4"/>
  <c r="CW29" i="18"/>
  <c r="K29" i="4"/>
  <c r="CX29" i="18"/>
  <c r="L29" i="4"/>
  <c r="CY29" i="18"/>
  <c r="M29" i="4"/>
  <c r="CZ29" i="18"/>
  <c r="N29" i="4"/>
  <c r="DA29" i="18"/>
  <c r="O29" i="4"/>
  <c r="DB29" i="18"/>
  <c r="P29" i="4"/>
  <c r="DC29" i="18"/>
  <c r="Q29" i="4"/>
  <c r="DD29" i="18"/>
  <c r="R29" i="4"/>
  <c r="DE29" i="18"/>
  <c r="S29" i="4"/>
  <c r="DF29" i="18"/>
  <c r="T29" i="4"/>
  <c r="DG29" i="18"/>
  <c r="U29" i="4"/>
  <c r="DH29" i="18"/>
  <c r="V29" i="4"/>
  <c r="DI29" i="18"/>
  <c r="W29" i="4"/>
  <c r="DJ29" i="18"/>
  <c r="X29" i="4"/>
  <c r="DK29" i="18"/>
  <c r="Y29" i="4"/>
  <c r="DL29" i="18"/>
  <c r="Z29" i="4"/>
  <c r="DM29" i="18"/>
  <c r="AA29" i="4"/>
  <c r="DN29" i="18"/>
  <c r="AB29" i="4"/>
  <c r="DO29" i="18"/>
  <c r="AC29" i="4"/>
  <c r="DP29" i="18"/>
  <c r="AD29" i="4"/>
  <c r="DQ29" i="18"/>
  <c r="AE29" i="4"/>
  <c r="DR29" i="18"/>
  <c r="AF29" i="4"/>
  <c r="DS29" i="18"/>
  <c r="AG29" i="4"/>
  <c r="DT29" i="18"/>
  <c r="AH29" i="4"/>
  <c r="DU29" i="18"/>
  <c r="AI29" i="4"/>
  <c r="CR29" i="18"/>
  <c r="F29" i="4"/>
  <c r="AK29" i="4"/>
  <c r="DW29" i="18"/>
  <c r="G29" i="5"/>
  <c r="DX29" i="18"/>
  <c r="H29" i="5"/>
  <c r="DY29" i="18"/>
  <c r="I29" i="5"/>
  <c r="DZ29" i="18"/>
  <c r="J29" i="5"/>
  <c r="EA29" i="18"/>
  <c r="K29" i="5"/>
  <c r="EB29" i="18"/>
  <c r="L29" i="5"/>
  <c r="EC29" i="18"/>
  <c r="M29" i="5"/>
  <c r="ED29" i="18"/>
  <c r="N29" i="5"/>
  <c r="EE29" i="18"/>
  <c r="O29" i="5"/>
  <c r="EF29" i="18"/>
  <c r="P29" i="5"/>
  <c r="EG29" i="18"/>
  <c r="Q29" i="5"/>
  <c r="EH29" i="18"/>
  <c r="R29" i="5"/>
  <c r="EI29" i="18"/>
  <c r="S29" i="5"/>
  <c r="EJ29" i="18"/>
  <c r="T29" i="5"/>
  <c r="EK29" i="18"/>
  <c r="U29" i="5"/>
  <c r="EL29" i="18"/>
  <c r="V29" i="5"/>
  <c r="EM29" i="18"/>
  <c r="W29" i="5"/>
  <c r="EN29" i="18"/>
  <c r="X29" i="5"/>
  <c r="EO29" i="18"/>
  <c r="Y29" i="5"/>
  <c r="EP29" i="18"/>
  <c r="Z29" i="5"/>
  <c r="EQ29" i="18"/>
  <c r="AA29" i="5"/>
  <c r="ER29" i="18"/>
  <c r="AB29" i="5"/>
  <c r="ES29" i="18"/>
  <c r="AC29" i="5"/>
  <c r="ET29" i="18"/>
  <c r="AD29" i="5"/>
  <c r="EU29" i="18"/>
  <c r="AE29" i="5"/>
  <c r="EV29" i="18"/>
  <c r="AF29" i="5"/>
  <c r="EW29" i="18"/>
  <c r="AG29" i="5"/>
  <c r="EX29" i="18"/>
  <c r="AH29" i="5"/>
  <c r="EY29" i="18"/>
  <c r="AI29" i="5"/>
  <c r="EZ29" i="18"/>
  <c r="AJ29" i="5"/>
  <c r="DV29" i="18"/>
  <c r="F29" i="5"/>
  <c r="AK29" i="5"/>
  <c r="FB29" i="18"/>
  <c r="G29" i="6"/>
  <c r="FC29" i="18"/>
  <c r="H29" i="6"/>
  <c r="FD29" i="18"/>
  <c r="I29" i="6"/>
  <c r="FE29" i="18"/>
  <c r="J29" i="6"/>
  <c r="FF29" i="18"/>
  <c r="K29" i="6"/>
  <c r="FG29" i="18"/>
  <c r="L29" i="6"/>
  <c r="FH29" i="18"/>
  <c r="M29" i="6"/>
  <c r="FI29" i="18"/>
  <c r="N29" i="6"/>
  <c r="FJ29" i="18"/>
  <c r="O29" i="6"/>
  <c r="FK29" i="18"/>
  <c r="P29" i="6"/>
  <c r="FL29" i="18"/>
  <c r="Q29" i="6"/>
  <c r="FM29" i="18"/>
  <c r="R29" i="6"/>
  <c r="FN29" i="18"/>
  <c r="S29" i="6"/>
  <c r="FO29" i="18"/>
  <c r="T29" i="6"/>
  <c r="FP29" i="18"/>
  <c r="U29" i="6"/>
  <c r="FQ29" i="18"/>
  <c r="V29" i="6"/>
  <c r="FR29" i="18"/>
  <c r="W29" i="6"/>
  <c r="FS29" i="18"/>
  <c r="X29" i="6"/>
  <c r="FT29" i="18"/>
  <c r="Y29" i="6"/>
  <c r="FU29" i="18"/>
  <c r="Z29" i="6"/>
  <c r="FV29" i="18"/>
  <c r="AA29" i="6"/>
  <c r="FW29" i="18"/>
  <c r="AB29" i="6"/>
  <c r="FX29" i="18"/>
  <c r="AC29" i="6"/>
  <c r="FY29" i="18"/>
  <c r="AD29" i="6"/>
  <c r="FZ29" i="18"/>
  <c r="AE29" i="6"/>
  <c r="GA29" i="18"/>
  <c r="AF29" i="6"/>
  <c r="GB29" i="18"/>
  <c r="AG29" i="6"/>
  <c r="GC29" i="18"/>
  <c r="AH29" i="6"/>
  <c r="GD29" i="18"/>
  <c r="AI29" i="6"/>
  <c r="FA29" i="18"/>
  <c r="F29" i="6"/>
  <c r="AK29" i="6"/>
  <c r="GF29" i="18"/>
  <c r="G29" i="7"/>
  <c r="GG29" i="18"/>
  <c r="H29" i="7"/>
  <c r="GH29" i="18"/>
  <c r="I29" i="7"/>
  <c r="GI29" i="18"/>
  <c r="J29" i="7"/>
  <c r="GJ29" i="18"/>
  <c r="K29" i="7"/>
  <c r="GK29" i="18"/>
  <c r="L29" i="7"/>
  <c r="GL29" i="18"/>
  <c r="M29" i="7"/>
  <c r="GM29" i="18"/>
  <c r="N29" i="7"/>
  <c r="GN29" i="18"/>
  <c r="O29" i="7"/>
  <c r="GO29" i="18"/>
  <c r="P29" i="7"/>
  <c r="GP29" i="18"/>
  <c r="Q29" i="7"/>
  <c r="GQ29" i="18"/>
  <c r="R29" i="7"/>
  <c r="GR29" i="18"/>
  <c r="S29" i="7"/>
  <c r="GS29" i="18"/>
  <c r="T29" i="7"/>
  <c r="GT29" i="18"/>
  <c r="U29" i="7"/>
  <c r="GU29" i="18"/>
  <c r="V29" i="7"/>
  <c r="GV29" i="18"/>
  <c r="W29" i="7"/>
  <c r="GW29" i="18"/>
  <c r="X29" i="7"/>
  <c r="GX29" i="18"/>
  <c r="Y29" i="7"/>
  <c r="GY29" i="18"/>
  <c r="Z29" i="7"/>
  <c r="GZ29" i="18"/>
  <c r="AA29" i="7"/>
  <c r="HA29" i="18"/>
  <c r="AB29" i="7"/>
  <c r="HB29" i="18"/>
  <c r="AC29" i="7"/>
  <c r="HC29" i="18"/>
  <c r="AD29" i="7"/>
  <c r="HD29" i="18"/>
  <c r="AE29" i="7"/>
  <c r="HE29" i="18"/>
  <c r="AF29" i="7"/>
  <c r="HF29" i="18"/>
  <c r="AG29" i="7"/>
  <c r="HG29" i="18"/>
  <c r="AH29" i="7"/>
  <c r="HH29" i="18"/>
  <c r="AI29" i="7"/>
  <c r="HI29" i="18"/>
  <c r="AJ29" i="7"/>
  <c r="GE29" i="18"/>
  <c r="F29" i="7"/>
  <c r="AK29" i="7"/>
  <c r="HK29" i="18"/>
  <c r="G29" i="8"/>
  <c r="HL29" i="18"/>
  <c r="H29" i="8"/>
  <c r="HM29" i="18"/>
  <c r="I29" i="8"/>
  <c r="HN29" i="18"/>
  <c r="J29" i="8"/>
  <c r="HO29" i="18"/>
  <c r="K29" i="8"/>
  <c r="HP29" i="18"/>
  <c r="L29" i="8"/>
  <c r="HQ29" i="18"/>
  <c r="M29" i="8"/>
  <c r="HR29" i="18"/>
  <c r="N29" i="8"/>
  <c r="HS29" i="18"/>
  <c r="O29" i="8"/>
  <c r="HT29" i="18"/>
  <c r="P29" i="8"/>
  <c r="HU29" i="18"/>
  <c r="Q29" i="8"/>
  <c r="HV29" i="18"/>
  <c r="R29" i="8"/>
  <c r="HW29" i="18"/>
  <c r="S29" i="8"/>
  <c r="HX29" i="18"/>
  <c r="T29" i="8"/>
  <c r="HY29" i="18"/>
  <c r="U29" i="8"/>
  <c r="HZ29" i="18"/>
  <c r="V29" i="8"/>
  <c r="IA29" i="18"/>
  <c r="W29" i="8"/>
  <c r="IB29" i="18"/>
  <c r="X29" i="8"/>
  <c r="IC29" i="18"/>
  <c r="Y29" i="8"/>
  <c r="ID29" i="18"/>
  <c r="Z29" i="8"/>
  <c r="IE29" i="18"/>
  <c r="AA29" i="8"/>
  <c r="IF29" i="18"/>
  <c r="AB29" i="8"/>
  <c r="IG29" i="18"/>
  <c r="AC29" i="8"/>
  <c r="IH29" i="18"/>
  <c r="AD29" i="8"/>
  <c r="II29" i="18"/>
  <c r="AE29" i="8"/>
  <c r="IJ29" i="18"/>
  <c r="AF29" i="8"/>
  <c r="IK29" i="18"/>
  <c r="AG29" i="8"/>
  <c r="IL29" i="18"/>
  <c r="AH29" i="8"/>
  <c r="IM29" i="18"/>
  <c r="AI29" i="8"/>
  <c r="IN29" i="18"/>
  <c r="AJ29" i="8"/>
  <c r="HJ29" i="18"/>
  <c r="F29" i="8"/>
  <c r="AK29" i="8"/>
  <c r="IP29" i="18"/>
  <c r="G29" i="9"/>
  <c r="IQ29" i="18"/>
  <c r="H29" i="9"/>
  <c r="IR29" i="18"/>
  <c r="I29" i="9"/>
  <c r="IS29" i="18"/>
  <c r="J29" i="9"/>
  <c r="IT29" i="18"/>
  <c r="K29" i="9"/>
  <c r="IU29" i="18"/>
  <c r="L29" i="9"/>
  <c r="IV29" i="18"/>
  <c r="M29" i="9"/>
  <c r="IW29" i="18"/>
  <c r="N29" i="9"/>
  <c r="IX29" i="18"/>
  <c r="O29" i="9"/>
  <c r="IY29" i="18"/>
  <c r="P29" i="9"/>
  <c r="IZ29" i="18"/>
  <c r="Q29" i="9"/>
  <c r="JA29" i="18"/>
  <c r="R29" i="9"/>
  <c r="JB29" i="18"/>
  <c r="S29" i="9"/>
  <c r="JC29" i="18"/>
  <c r="T29" i="9"/>
  <c r="JD29" i="18"/>
  <c r="U29" i="9"/>
  <c r="JE29" i="18"/>
  <c r="V29" i="9"/>
  <c r="JF29" i="18"/>
  <c r="W29" i="9"/>
  <c r="JG29" i="18"/>
  <c r="X29" i="9"/>
  <c r="JH29" i="18"/>
  <c r="Y29" i="9"/>
  <c r="JI29" i="18"/>
  <c r="Z29" i="9"/>
  <c r="JJ29" i="18"/>
  <c r="AA29" i="9"/>
  <c r="JK29" i="18"/>
  <c r="AB29" i="9"/>
  <c r="JL29" i="18"/>
  <c r="AC29" i="9"/>
  <c r="JM29" i="18"/>
  <c r="AD29" i="9"/>
  <c r="JN29" i="18"/>
  <c r="AE29" i="9"/>
  <c r="JO29" i="18"/>
  <c r="AF29" i="9"/>
  <c r="JP29" i="18"/>
  <c r="AG29" i="9"/>
  <c r="JQ29" i="18"/>
  <c r="AH29" i="9"/>
  <c r="JR29" i="18"/>
  <c r="AI29" i="9"/>
  <c r="IO29" i="18"/>
  <c r="F29" i="9"/>
  <c r="AK29" i="9"/>
  <c r="JT29" i="18"/>
  <c r="G29" i="10"/>
  <c r="JU29" i="18"/>
  <c r="H29" i="10"/>
  <c r="JV29" i="18"/>
  <c r="I29" i="10"/>
  <c r="JW29" i="18"/>
  <c r="J29" i="10"/>
  <c r="JX29" i="18"/>
  <c r="K29" i="10"/>
  <c r="JY29" i="18"/>
  <c r="L29" i="10"/>
  <c r="JZ29" i="18"/>
  <c r="M29" i="10"/>
  <c r="KA29" i="18"/>
  <c r="N29" i="10"/>
  <c r="KB29" i="18"/>
  <c r="O29" i="10"/>
  <c r="KC29" i="18"/>
  <c r="P29" i="10"/>
  <c r="KD29" i="18"/>
  <c r="Q29" i="10"/>
  <c r="KE29" i="18"/>
  <c r="R29" i="10"/>
  <c r="KF29" i="18"/>
  <c r="S29" i="10"/>
  <c r="KG29" i="18"/>
  <c r="T29" i="10"/>
  <c r="KH29" i="18"/>
  <c r="U29" i="10"/>
  <c r="KI29" i="18"/>
  <c r="V29" i="10"/>
  <c r="KJ29" i="18"/>
  <c r="W29" i="10"/>
  <c r="KK29" i="18"/>
  <c r="X29" i="10"/>
  <c r="KL29" i="18"/>
  <c r="Y29" i="10"/>
  <c r="KM29" i="18"/>
  <c r="Z29" i="10"/>
  <c r="KN29" i="18"/>
  <c r="AA29" i="10"/>
  <c r="KO29" i="18"/>
  <c r="AB29" i="10"/>
  <c r="KP29" i="18"/>
  <c r="AC29" i="10"/>
  <c r="KQ29" i="18"/>
  <c r="AD29" i="10"/>
  <c r="KR29" i="18"/>
  <c r="AE29" i="10"/>
  <c r="KS29" i="18"/>
  <c r="AF29" i="10"/>
  <c r="KT29" i="18"/>
  <c r="AG29" i="10"/>
  <c r="KU29" i="18"/>
  <c r="AH29" i="10"/>
  <c r="KV29" i="18"/>
  <c r="AI29" i="10"/>
  <c r="KW29" i="18"/>
  <c r="AJ29" i="10"/>
  <c r="JS29" i="18"/>
  <c r="F29" i="10"/>
  <c r="AK29" i="10"/>
  <c r="KY29" i="18"/>
  <c r="G29" i="11"/>
  <c r="KZ29" i="18"/>
  <c r="H29" i="11"/>
  <c r="LA29" i="18"/>
  <c r="I29" i="11"/>
  <c r="LB29" i="18"/>
  <c r="J29" i="11"/>
  <c r="LC29" i="18"/>
  <c r="K29" i="11"/>
  <c r="LD29" i="18"/>
  <c r="L29" i="11"/>
  <c r="LE29" i="18"/>
  <c r="M29" i="11"/>
  <c r="LF29" i="18"/>
  <c r="N29" i="11"/>
  <c r="LG29" i="18"/>
  <c r="O29" i="11"/>
  <c r="LH29" i="18"/>
  <c r="P29" i="11"/>
  <c r="LI29" i="18"/>
  <c r="Q29" i="11"/>
  <c r="LJ29" i="18"/>
  <c r="R29" i="11"/>
  <c r="LK29" i="18"/>
  <c r="S29" i="11"/>
  <c r="LL29" i="18"/>
  <c r="T29" i="11"/>
  <c r="LM29" i="18"/>
  <c r="U29" i="11"/>
  <c r="LN29" i="18"/>
  <c r="V29" i="11"/>
  <c r="LO29" i="18"/>
  <c r="W29" i="11"/>
  <c r="LP29" i="18"/>
  <c r="X29" i="11"/>
  <c r="LQ29" i="18"/>
  <c r="Y29" i="11"/>
  <c r="LR29" i="18"/>
  <c r="Z29" i="11"/>
  <c r="LS29" i="18"/>
  <c r="AA29" i="11"/>
  <c r="LT29" i="18"/>
  <c r="AB29" i="11"/>
  <c r="LU29" i="18"/>
  <c r="AC29" i="11"/>
  <c r="LV29" i="18"/>
  <c r="AD29" i="11"/>
  <c r="LW29" i="18"/>
  <c r="AE29" i="11"/>
  <c r="LX29" i="18"/>
  <c r="AF29" i="11"/>
  <c r="LY29" i="18"/>
  <c r="AG29" i="11"/>
  <c r="LZ29" i="18"/>
  <c r="AH29" i="11"/>
  <c r="MA29" i="18"/>
  <c r="AI29" i="11"/>
  <c r="KX29" i="18"/>
  <c r="F29" i="11"/>
  <c r="AK29" i="11"/>
  <c r="MC29" i="18"/>
  <c r="G29" i="12"/>
  <c r="MD29" i="18"/>
  <c r="H29" i="12"/>
  <c r="ME29" i="18"/>
  <c r="I29" i="12"/>
  <c r="MF29" i="18"/>
  <c r="J29" i="12"/>
  <c r="MG29" i="18"/>
  <c r="K29" i="12"/>
  <c r="MH29" i="18"/>
  <c r="L29" i="12"/>
  <c r="MI29" i="18"/>
  <c r="M29" i="12"/>
  <c r="MJ29" i="18"/>
  <c r="N29" i="12"/>
  <c r="MK29" i="18"/>
  <c r="O29" i="12"/>
  <c r="ML29" i="18"/>
  <c r="P29" i="12"/>
  <c r="MM29" i="18"/>
  <c r="Q29" i="12"/>
  <c r="MN29" i="18"/>
  <c r="R29" i="12"/>
  <c r="MO29" i="18"/>
  <c r="S29" i="12"/>
  <c r="MP29" i="18"/>
  <c r="T29" i="12"/>
  <c r="MQ29" i="18"/>
  <c r="U29" i="12"/>
  <c r="MR29" i="18"/>
  <c r="V29" i="12"/>
  <c r="MS29" i="18"/>
  <c r="W29" i="12"/>
  <c r="MT29" i="18"/>
  <c r="X29" i="12"/>
  <c r="MU29" i="18"/>
  <c r="Y29" i="12"/>
  <c r="MV29" i="18"/>
  <c r="Z29" i="12"/>
  <c r="MW29" i="18"/>
  <c r="AA29" i="12"/>
  <c r="MX29" i="18"/>
  <c r="AB29" i="12"/>
  <c r="MY29" i="18"/>
  <c r="AC29" i="12"/>
  <c r="MZ29" i="18"/>
  <c r="AD29" i="12"/>
  <c r="NA29" i="18"/>
  <c r="AE29" i="12"/>
  <c r="NB29" i="18"/>
  <c r="AF29" i="12"/>
  <c r="NC29" i="18"/>
  <c r="AG29" i="12"/>
  <c r="ND29" i="18"/>
  <c r="AH29" i="12"/>
  <c r="NE29" i="18"/>
  <c r="AI29" i="12"/>
  <c r="NF29" i="18"/>
  <c r="AJ29" i="12"/>
  <c r="MB29" i="18"/>
  <c r="F29" i="12"/>
  <c r="AK29" i="12"/>
  <c r="P25" i="13"/>
  <c r="G28" i="18"/>
  <c r="H28" i="18"/>
  <c r="I28" i="18"/>
  <c r="J28" i="18"/>
  <c r="K28" i="18"/>
  <c r="L28" i="18"/>
  <c r="M28" i="18"/>
  <c r="N28" i="18"/>
  <c r="O28" i="18"/>
  <c r="P28" i="18"/>
  <c r="Q28" i="18"/>
  <c r="R28" i="18"/>
  <c r="S28" i="18"/>
  <c r="T28" i="18"/>
  <c r="U28" i="18"/>
  <c r="V28" i="18"/>
  <c r="W28" i="18"/>
  <c r="X28" i="18"/>
  <c r="Y28" i="18"/>
  <c r="Z28" i="18"/>
  <c r="AA28" i="18"/>
  <c r="AB28" i="18"/>
  <c r="AC28" i="18"/>
  <c r="AD28" i="18"/>
  <c r="AE28" i="18"/>
  <c r="AF28" i="18"/>
  <c r="AG28" i="18"/>
  <c r="AH28" i="18"/>
  <c r="AI28" i="18"/>
  <c r="AJ28" i="18"/>
  <c r="F28" i="18"/>
  <c r="AL28" i="18"/>
  <c r="G28" i="2"/>
  <c r="AM28" i="18"/>
  <c r="H28" i="2"/>
  <c r="AN28" i="18"/>
  <c r="I28" i="2"/>
  <c r="AO28" i="18"/>
  <c r="J28" i="2"/>
  <c r="AP28" i="18"/>
  <c r="K28" i="2"/>
  <c r="AQ28" i="18"/>
  <c r="L28" i="2"/>
  <c r="AR28" i="18"/>
  <c r="M28" i="2"/>
  <c r="AS28" i="18"/>
  <c r="N28" i="2"/>
  <c r="AT28" i="18"/>
  <c r="O28" i="2"/>
  <c r="AU28" i="18"/>
  <c r="P28" i="2"/>
  <c r="AV28" i="18"/>
  <c r="Q28" i="2"/>
  <c r="AW28" i="18"/>
  <c r="R28" i="2"/>
  <c r="AX28" i="18"/>
  <c r="S28" i="2"/>
  <c r="AY28" i="18"/>
  <c r="T28" i="2"/>
  <c r="AZ28" i="18"/>
  <c r="U28" i="2"/>
  <c r="BA28" i="18"/>
  <c r="V28" i="2"/>
  <c r="BB28" i="18"/>
  <c r="W28" i="2"/>
  <c r="BC28" i="18"/>
  <c r="X28" i="2"/>
  <c r="BD28" i="18"/>
  <c r="Y28" i="2"/>
  <c r="BE28" i="18"/>
  <c r="Z28" i="2"/>
  <c r="BF28" i="18"/>
  <c r="AA28" i="2"/>
  <c r="BG28" i="18"/>
  <c r="AB28" i="2"/>
  <c r="BH28" i="18"/>
  <c r="AC28" i="2"/>
  <c r="BI28" i="18"/>
  <c r="AD28" i="2"/>
  <c r="BJ28" i="18"/>
  <c r="AE28" i="2"/>
  <c r="BK28" i="18"/>
  <c r="AF28" i="2"/>
  <c r="BL28" i="18"/>
  <c r="AG28" i="2"/>
  <c r="AI28" i="2"/>
  <c r="AK28" i="18"/>
  <c r="F28" i="2"/>
  <c r="AJ28" i="2"/>
  <c r="BN28" i="18"/>
  <c r="G28" i="3"/>
  <c r="BO28" i="18"/>
  <c r="H28" i="3"/>
  <c r="BP28" i="18"/>
  <c r="I28" i="3"/>
  <c r="BQ28" i="18"/>
  <c r="J28" i="3"/>
  <c r="BR28" i="18"/>
  <c r="K28" i="3"/>
  <c r="BS28" i="18"/>
  <c r="L28" i="3"/>
  <c r="BT28" i="18"/>
  <c r="M28" i="3"/>
  <c r="BU28" i="18"/>
  <c r="N28" i="3"/>
  <c r="BV28" i="18"/>
  <c r="O28" i="3"/>
  <c r="BW28" i="18"/>
  <c r="P28" i="3"/>
  <c r="BX28" i="18"/>
  <c r="Q28" i="3"/>
  <c r="BY28" i="18"/>
  <c r="R28" i="3"/>
  <c r="BZ28" i="18"/>
  <c r="S28" i="3"/>
  <c r="CA28" i="18"/>
  <c r="T28" i="3"/>
  <c r="CB28" i="18"/>
  <c r="U28" i="3"/>
  <c r="CC28" i="18"/>
  <c r="V28" i="3"/>
  <c r="CD28" i="18"/>
  <c r="W28" i="3"/>
  <c r="CE28" i="18"/>
  <c r="X28" i="3"/>
  <c r="CF28" i="18"/>
  <c r="Y28" i="3"/>
  <c r="CG28" i="18"/>
  <c r="Z28" i="3"/>
  <c r="CH28" i="18"/>
  <c r="AA28" i="3"/>
  <c r="CI28" i="18"/>
  <c r="AB28" i="3"/>
  <c r="CJ28" i="18"/>
  <c r="AC28" i="3"/>
  <c r="CK28" i="18"/>
  <c r="AD28" i="3"/>
  <c r="CL28" i="18"/>
  <c r="AE28" i="3"/>
  <c r="CM28" i="18"/>
  <c r="AF28" i="3"/>
  <c r="CN28" i="18"/>
  <c r="AG28" i="3"/>
  <c r="CO28" i="18"/>
  <c r="AH28" i="3"/>
  <c r="CP28" i="18"/>
  <c r="AI28" i="3"/>
  <c r="CQ28" i="18"/>
  <c r="AJ28" i="3"/>
  <c r="BM28" i="18"/>
  <c r="F28" i="3"/>
  <c r="AK28" i="3"/>
  <c r="CS28" i="18"/>
  <c r="G28" i="4"/>
  <c r="CT28" i="18"/>
  <c r="H28" i="4"/>
  <c r="CU28" i="18"/>
  <c r="I28" i="4"/>
  <c r="CV28" i="18"/>
  <c r="J28" i="4"/>
  <c r="CW28" i="18"/>
  <c r="K28" i="4"/>
  <c r="CX28" i="18"/>
  <c r="L28" i="4"/>
  <c r="CY28" i="18"/>
  <c r="M28" i="4"/>
  <c r="CZ28" i="18"/>
  <c r="N28" i="4"/>
  <c r="DA28" i="18"/>
  <c r="O28" i="4"/>
  <c r="DB28" i="18"/>
  <c r="P28" i="4"/>
  <c r="DC28" i="18"/>
  <c r="Q28" i="4"/>
  <c r="DD28" i="18"/>
  <c r="R28" i="4"/>
  <c r="DE28" i="18"/>
  <c r="S28" i="4"/>
  <c r="DF28" i="18"/>
  <c r="T28" i="4"/>
  <c r="DG28" i="18"/>
  <c r="U28" i="4"/>
  <c r="DH28" i="18"/>
  <c r="V28" i="4"/>
  <c r="DI28" i="18"/>
  <c r="W28" i="4"/>
  <c r="DJ28" i="18"/>
  <c r="X28" i="4"/>
  <c r="DK28" i="18"/>
  <c r="Y28" i="4"/>
  <c r="DL28" i="18"/>
  <c r="Z28" i="4"/>
  <c r="DM28" i="18"/>
  <c r="AA28" i="4"/>
  <c r="DN28" i="18"/>
  <c r="AB28" i="4"/>
  <c r="DO28" i="18"/>
  <c r="AC28" i="4"/>
  <c r="DP28" i="18"/>
  <c r="AD28" i="4"/>
  <c r="DQ28" i="18"/>
  <c r="AE28" i="4"/>
  <c r="DR28" i="18"/>
  <c r="AF28" i="4"/>
  <c r="DS28" i="18"/>
  <c r="AG28" i="4"/>
  <c r="DT28" i="18"/>
  <c r="AH28" i="4"/>
  <c r="DU28" i="18"/>
  <c r="AI28" i="4"/>
  <c r="CR28" i="18"/>
  <c r="F28" i="4"/>
  <c r="AK28" i="4"/>
  <c r="DW28" i="18"/>
  <c r="G28" i="5"/>
  <c r="DX28" i="18"/>
  <c r="H28" i="5"/>
  <c r="DY28" i="18"/>
  <c r="I28" i="5"/>
  <c r="DZ28" i="18"/>
  <c r="J28" i="5"/>
  <c r="EA28" i="18"/>
  <c r="K28" i="5"/>
  <c r="EB28" i="18"/>
  <c r="L28" i="5"/>
  <c r="EC28" i="18"/>
  <c r="M28" i="5"/>
  <c r="ED28" i="18"/>
  <c r="N28" i="5"/>
  <c r="EE28" i="18"/>
  <c r="O28" i="5"/>
  <c r="EF28" i="18"/>
  <c r="P28" i="5"/>
  <c r="EG28" i="18"/>
  <c r="Q28" i="5"/>
  <c r="EH28" i="18"/>
  <c r="R28" i="5"/>
  <c r="EI28" i="18"/>
  <c r="S28" i="5"/>
  <c r="EJ28" i="18"/>
  <c r="T28" i="5"/>
  <c r="EK28" i="18"/>
  <c r="U28" i="5"/>
  <c r="EL28" i="18"/>
  <c r="V28" i="5"/>
  <c r="EM28" i="18"/>
  <c r="W28" i="5"/>
  <c r="EN28" i="18"/>
  <c r="X28" i="5"/>
  <c r="EO28" i="18"/>
  <c r="Y28" i="5"/>
  <c r="EP28" i="18"/>
  <c r="Z28" i="5"/>
  <c r="EQ28" i="18"/>
  <c r="AA28" i="5"/>
  <c r="ER28" i="18"/>
  <c r="AB28" i="5"/>
  <c r="ES28" i="18"/>
  <c r="AC28" i="5"/>
  <c r="ET28" i="18"/>
  <c r="AD28" i="5"/>
  <c r="EU28" i="18"/>
  <c r="AE28" i="5"/>
  <c r="EV28" i="18"/>
  <c r="AF28" i="5"/>
  <c r="EW28" i="18"/>
  <c r="AG28" i="5"/>
  <c r="EX28" i="18"/>
  <c r="AH28" i="5"/>
  <c r="EY28" i="18"/>
  <c r="AI28" i="5"/>
  <c r="EZ28" i="18"/>
  <c r="AJ28" i="5"/>
  <c r="DV28" i="18"/>
  <c r="F28" i="5"/>
  <c r="AK28" i="5"/>
  <c r="FB28" i="18"/>
  <c r="G28" i="6"/>
  <c r="FC28" i="18"/>
  <c r="H28" i="6"/>
  <c r="FD28" i="18"/>
  <c r="I28" i="6"/>
  <c r="FE28" i="18"/>
  <c r="J28" i="6"/>
  <c r="FF28" i="18"/>
  <c r="K28" i="6"/>
  <c r="FG28" i="18"/>
  <c r="L28" i="6"/>
  <c r="FH28" i="18"/>
  <c r="M28" i="6"/>
  <c r="FI28" i="18"/>
  <c r="N28" i="6"/>
  <c r="FJ28" i="18"/>
  <c r="O28" i="6"/>
  <c r="FK28" i="18"/>
  <c r="P28" i="6"/>
  <c r="FL28" i="18"/>
  <c r="Q28" i="6"/>
  <c r="FM28" i="18"/>
  <c r="R28" i="6"/>
  <c r="FN28" i="18"/>
  <c r="S28" i="6"/>
  <c r="FO28" i="18"/>
  <c r="T28" i="6"/>
  <c r="FP28" i="18"/>
  <c r="U28" i="6"/>
  <c r="FQ28" i="18"/>
  <c r="V28" i="6"/>
  <c r="FR28" i="18"/>
  <c r="W28" i="6"/>
  <c r="FS28" i="18"/>
  <c r="X28" i="6"/>
  <c r="FT28" i="18"/>
  <c r="Y28" i="6"/>
  <c r="FU28" i="18"/>
  <c r="Z28" i="6"/>
  <c r="FV28" i="18"/>
  <c r="AA28" i="6"/>
  <c r="FW28" i="18"/>
  <c r="AB28" i="6"/>
  <c r="FX28" i="18"/>
  <c r="AC28" i="6"/>
  <c r="FY28" i="18"/>
  <c r="AD28" i="6"/>
  <c r="FZ28" i="18"/>
  <c r="AE28" i="6"/>
  <c r="GA28" i="18"/>
  <c r="AF28" i="6"/>
  <c r="GB28" i="18"/>
  <c r="AG28" i="6"/>
  <c r="GC28" i="18"/>
  <c r="AH28" i="6"/>
  <c r="GD28" i="18"/>
  <c r="AI28" i="6"/>
  <c r="FA28" i="18"/>
  <c r="F28" i="6"/>
  <c r="AK28" i="6"/>
  <c r="GF28" i="18"/>
  <c r="G28" i="7"/>
  <c r="GG28" i="18"/>
  <c r="H28" i="7"/>
  <c r="GH28" i="18"/>
  <c r="I28" i="7"/>
  <c r="GI28" i="18"/>
  <c r="J28" i="7"/>
  <c r="GJ28" i="18"/>
  <c r="K28" i="7"/>
  <c r="GK28" i="18"/>
  <c r="L28" i="7"/>
  <c r="GL28" i="18"/>
  <c r="M28" i="7"/>
  <c r="GM28" i="18"/>
  <c r="N28" i="7"/>
  <c r="GN28" i="18"/>
  <c r="O28" i="7"/>
  <c r="GO28" i="18"/>
  <c r="P28" i="7"/>
  <c r="GP28" i="18"/>
  <c r="Q28" i="7"/>
  <c r="GQ28" i="18"/>
  <c r="R28" i="7"/>
  <c r="GR28" i="18"/>
  <c r="S28" i="7"/>
  <c r="GS28" i="18"/>
  <c r="T28" i="7"/>
  <c r="GT28" i="18"/>
  <c r="U28" i="7"/>
  <c r="GU28" i="18"/>
  <c r="V28" i="7"/>
  <c r="GV28" i="18"/>
  <c r="W28" i="7"/>
  <c r="GW28" i="18"/>
  <c r="X28" i="7"/>
  <c r="GX28" i="18"/>
  <c r="Y28" i="7"/>
  <c r="GY28" i="18"/>
  <c r="Z28" i="7"/>
  <c r="GZ28" i="18"/>
  <c r="AA28" i="7"/>
  <c r="HA28" i="18"/>
  <c r="AB28" i="7"/>
  <c r="HB28" i="18"/>
  <c r="AC28" i="7"/>
  <c r="HC28" i="18"/>
  <c r="AD28" i="7"/>
  <c r="HD28" i="18"/>
  <c r="AE28" i="7"/>
  <c r="HE28" i="18"/>
  <c r="AF28" i="7"/>
  <c r="HF28" i="18"/>
  <c r="AG28" i="7"/>
  <c r="HG28" i="18"/>
  <c r="AH28" i="7"/>
  <c r="HH28" i="18"/>
  <c r="AI28" i="7"/>
  <c r="HI28" i="18"/>
  <c r="AJ28" i="7"/>
  <c r="GE28" i="18"/>
  <c r="F28" i="7"/>
  <c r="AK28" i="7"/>
  <c r="HK28" i="18"/>
  <c r="G28" i="8"/>
  <c r="HL28" i="18"/>
  <c r="H28" i="8"/>
  <c r="HM28" i="18"/>
  <c r="I28" i="8"/>
  <c r="HN28" i="18"/>
  <c r="J28" i="8"/>
  <c r="HO28" i="18"/>
  <c r="K28" i="8"/>
  <c r="HP28" i="18"/>
  <c r="L28" i="8"/>
  <c r="HQ28" i="18"/>
  <c r="M28" i="8"/>
  <c r="HR28" i="18"/>
  <c r="N28" i="8"/>
  <c r="HS28" i="18"/>
  <c r="O28" i="8"/>
  <c r="HT28" i="18"/>
  <c r="P28" i="8"/>
  <c r="HU28" i="18"/>
  <c r="Q28" i="8"/>
  <c r="HV28" i="18"/>
  <c r="R28" i="8"/>
  <c r="HW28" i="18"/>
  <c r="S28" i="8"/>
  <c r="HX28" i="18"/>
  <c r="T28" i="8"/>
  <c r="HY28" i="18"/>
  <c r="U28" i="8"/>
  <c r="HZ28" i="18"/>
  <c r="V28" i="8"/>
  <c r="IA28" i="18"/>
  <c r="W28" i="8"/>
  <c r="IB28" i="18"/>
  <c r="X28" i="8"/>
  <c r="IC28" i="18"/>
  <c r="Y28" i="8"/>
  <c r="ID28" i="18"/>
  <c r="Z28" i="8"/>
  <c r="IE28" i="18"/>
  <c r="AA28" i="8"/>
  <c r="IF28" i="18"/>
  <c r="AB28" i="8"/>
  <c r="IG28" i="18"/>
  <c r="AC28" i="8"/>
  <c r="IH28" i="18"/>
  <c r="AD28" i="8"/>
  <c r="II28" i="18"/>
  <c r="AE28" i="8"/>
  <c r="IJ28" i="18"/>
  <c r="AF28" i="8"/>
  <c r="IK28" i="18"/>
  <c r="AG28" i="8"/>
  <c r="IL28" i="18"/>
  <c r="AH28" i="8"/>
  <c r="IM28" i="18"/>
  <c r="AI28" i="8"/>
  <c r="IN28" i="18"/>
  <c r="AJ28" i="8"/>
  <c r="HJ28" i="18"/>
  <c r="F28" i="8"/>
  <c r="AK28" i="8"/>
  <c r="IP28" i="18"/>
  <c r="G28" i="9"/>
  <c r="IQ28" i="18"/>
  <c r="H28" i="9"/>
  <c r="IR28" i="18"/>
  <c r="I28" i="9"/>
  <c r="IS28" i="18"/>
  <c r="J28" i="9"/>
  <c r="IT28" i="18"/>
  <c r="K28" i="9"/>
  <c r="IU28" i="18"/>
  <c r="L28" i="9"/>
  <c r="IV28" i="18"/>
  <c r="M28" i="9"/>
  <c r="IW28" i="18"/>
  <c r="N28" i="9"/>
  <c r="IX28" i="18"/>
  <c r="O28" i="9"/>
  <c r="IY28" i="18"/>
  <c r="P28" i="9"/>
  <c r="IZ28" i="18"/>
  <c r="Q28" i="9"/>
  <c r="JA28" i="18"/>
  <c r="R28" i="9"/>
  <c r="JB28" i="18"/>
  <c r="S28" i="9"/>
  <c r="JC28" i="18"/>
  <c r="T28" i="9"/>
  <c r="JD28" i="18"/>
  <c r="U28" i="9"/>
  <c r="JE28" i="18"/>
  <c r="V28" i="9"/>
  <c r="JF28" i="18"/>
  <c r="W28" i="9"/>
  <c r="JG28" i="18"/>
  <c r="X28" i="9"/>
  <c r="JH28" i="18"/>
  <c r="Y28" i="9"/>
  <c r="JI28" i="18"/>
  <c r="Z28" i="9"/>
  <c r="JJ28" i="18"/>
  <c r="AA28" i="9"/>
  <c r="JK28" i="18"/>
  <c r="AB28" i="9"/>
  <c r="JL28" i="18"/>
  <c r="AC28" i="9"/>
  <c r="JM28" i="18"/>
  <c r="AD28" i="9"/>
  <c r="JN28" i="18"/>
  <c r="AE28" i="9"/>
  <c r="JO28" i="18"/>
  <c r="AF28" i="9"/>
  <c r="JP28" i="18"/>
  <c r="AG28" i="9"/>
  <c r="JQ28" i="18"/>
  <c r="AH28" i="9"/>
  <c r="JR28" i="18"/>
  <c r="AI28" i="9"/>
  <c r="IO28" i="18"/>
  <c r="F28" i="9"/>
  <c r="AK28" i="9"/>
  <c r="JT28" i="18"/>
  <c r="G28" i="10"/>
  <c r="JU28" i="18"/>
  <c r="H28" i="10"/>
  <c r="JV28" i="18"/>
  <c r="I28" i="10"/>
  <c r="JW28" i="18"/>
  <c r="J28" i="10"/>
  <c r="JX28" i="18"/>
  <c r="K28" i="10"/>
  <c r="JY28" i="18"/>
  <c r="L28" i="10"/>
  <c r="JZ28" i="18"/>
  <c r="M28" i="10"/>
  <c r="KA28" i="18"/>
  <c r="N28" i="10"/>
  <c r="KB28" i="18"/>
  <c r="O28" i="10"/>
  <c r="KC28" i="18"/>
  <c r="P28" i="10"/>
  <c r="KD28" i="18"/>
  <c r="Q28" i="10"/>
  <c r="KE28" i="18"/>
  <c r="R28" i="10"/>
  <c r="KF28" i="18"/>
  <c r="S28" i="10"/>
  <c r="KG28" i="18"/>
  <c r="T28" i="10"/>
  <c r="KH28" i="18"/>
  <c r="U28" i="10"/>
  <c r="KI28" i="18"/>
  <c r="V28" i="10"/>
  <c r="KJ28" i="18"/>
  <c r="W28" i="10"/>
  <c r="KK28" i="18"/>
  <c r="X28" i="10"/>
  <c r="KL28" i="18"/>
  <c r="Y28" i="10"/>
  <c r="KM28" i="18"/>
  <c r="Z28" i="10"/>
  <c r="KN28" i="18"/>
  <c r="AA28" i="10"/>
  <c r="KO28" i="18"/>
  <c r="AB28" i="10"/>
  <c r="KP28" i="18"/>
  <c r="AC28" i="10"/>
  <c r="KQ28" i="18"/>
  <c r="AD28" i="10"/>
  <c r="KR28" i="18"/>
  <c r="AE28" i="10"/>
  <c r="KS28" i="18"/>
  <c r="AF28" i="10"/>
  <c r="KT28" i="18"/>
  <c r="AG28" i="10"/>
  <c r="KU28" i="18"/>
  <c r="AH28" i="10"/>
  <c r="KV28" i="18"/>
  <c r="AI28" i="10"/>
  <c r="KW28" i="18"/>
  <c r="AJ28" i="10"/>
  <c r="JS28" i="18"/>
  <c r="F28" i="10"/>
  <c r="AK28" i="10"/>
  <c r="KY28" i="18"/>
  <c r="G28" i="11"/>
  <c r="KZ28" i="18"/>
  <c r="H28" i="11"/>
  <c r="LA28" i="18"/>
  <c r="I28" i="11"/>
  <c r="LB28" i="18"/>
  <c r="J28" i="11"/>
  <c r="LC28" i="18"/>
  <c r="K28" i="11"/>
  <c r="LD28" i="18"/>
  <c r="L28" i="11"/>
  <c r="LE28" i="18"/>
  <c r="M28" i="11"/>
  <c r="LF28" i="18"/>
  <c r="N28" i="11"/>
  <c r="LG28" i="18"/>
  <c r="O28" i="11"/>
  <c r="LH28" i="18"/>
  <c r="P28" i="11"/>
  <c r="LI28" i="18"/>
  <c r="Q28" i="11"/>
  <c r="LJ28" i="18"/>
  <c r="R28" i="11"/>
  <c r="LK28" i="18"/>
  <c r="S28" i="11"/>
  <c r="LL28" i="18"/>
  <c r="T28" i="11"/>
  <c r="LM28" i="18"/>
  <c r="U28" i="11"/>
  <c r="LN28" i="18"/>
  <c r="V28" i="11"/>
  <c r="LO28" i="18"/>
  <c r="W28" i="11"/>
  <c r="LP28" i="18"/>
  <c r="X28" i="11"/>
  <c r="LQ28" i="18"/>
  <c r="Y28" i="11"/>
  <c r="LR28" i="18"/>
  <c r="Z28" i="11"/>
  <c r="LS28" i="18"/>
  <c r="AA28" i="11"/>
  <c r="LT28" i="18"/>
  <c r="AB28" i="11"/>
  <c r="LU28" i="18"/>
  <c r="AC28" i="11"/>
  <c r="LV28" i="18"/>
  <c r="AD28" i="11"/>
  <c r="LW28" i="18"/>
  <c r="AE28" i="11"/>
  <c r="LX28" i="18"/>
  <c r="AF28" i="11"/>
  <c r="LY28" i="18"/>
  <c r="AG28" i="11"/>
  <c r="LZ28" i="18"/>
  <c r="AH28" i="11"/>
  <c r="MA28" i="18"/>
  <c r="AI28" i="11"/>
  <c r="KX28" i="18"/>
  <c r="F28" i="11"/>
  <c r="AK28" i="11"/>
  <c r="MC28" i="18"/>
  <c r="G28" i="12"/>
  <c r="MD28" i="18"/>
  <c r="H28" i="12"/>
  <c r="ME28" i="18"/>
  <c r="I28" i="12"/>
  <c r="MF28" i="18"/>
  <c r="J28" i="12"/>
  <c r="MG28" i="18"/>
  <c r="K28" i="12"/>
  <c r="MH28" i="18"/>
  <c r="L28" i="12"/>
  <c r="MI28" i="18"/>
  <c r="M28" i="12"/>
  <c r="MJ28" i="18"/>
  <c r="N28" i="12"/>
  <c r="MK28" i="18"/>
  <c r="O28" i="12"/>
  <c r="ML28" i="18"/>
  <c r="P28" i="12"/>
  <c r="MM28" i="18"/>
  <c r="Q28" i="12"/>
  <c r="MN28" i="18"/>
  <c r="R28" i="12"/>
  <c r="MO28" i="18"/>
  <c r="S28" i="12"/>
  <c r="MP28" i="18"/>
  <c r="T28" i="12"/>
  <c r="MQ28" i="18"/>
  <c r="U28" i="12"/>
  <c r="MR28" i="18"/>
  <c r="V28" i="12"/>
  <c r="MS28" i="18"/>
  <c r="W28" i="12"/>
  <c r="MT28" i="18"/>
  <c r="X28" i="12"/>
  <c r="MU28" i="18"/>
  <c r="Y28" i="12"/>
  <c r="MV28" i="18"/>
  <c r="Z28" i="12"/>
  <c r="MW28" i="18"/>
  <c r="AA28" i="12"/>
  <c r="MX28" i="18"/>
  <c r="AB28" i="12"/>
  <c r="MY28" i="18"/>
  <c r="AC28" i="12"/>
  <c r="MZ28" i="18"/>
  <c r="AD28" i="12"/>
  <c r="NA28" i="18"/>
  <c r="AE28" i="12"/>
  <c r="NB28" i="18"/>
  <c r="AF28" i="12"/>
  <c r="NC28" i="18"/>
  <c r="AG28" i="12"/>
  <c r="ND28" i="18"/>
  <c r="AH28" i="12"/>
  <c r="NE28" i="18"/>
  <c r="AI28" i="12"/>
  <c r="NF28" i="18"/>
  <c r="AJ28" i="12"/>
  <c r="MB28" i="18"/>
  <c r="F28" i="12"/>
  <c r="AK28" i="12"/>
  <c r="P24" i="13"/>
  <c r="G27" i="18"/>
  <c r="H27" i="18"/>
  <c r="I27" i="18"/>
  <c r="J27" i="18"/>
  <c r="K27" i="18"/>
  <c r="L27" i="18"/>
  <c r="M27" i="18"/>
  <c r="N27" i="18"/>
  <c r="O27" i="18"/>
  <c r="P27" i="18"/>
  <c r="Q27" i="18"/>
  <c r="R27" i="18"/>
  <c r="S27" i="18"/>
  <c r="T27" i="18"/>
  <c r="U27" i="18"/>
  <c r="V27" i="18"/>
  <c r="W27" i="18"/>
  <c r="X27" i="18"/>
  <c r="Y27" i="18"/>
  <c r="Z27" i="18"/>
  <c r="AA27" i="18"/>
  <c r="AB27" i="18"/>
  <c r="AC27" i="18"/>
  <c r="AD27" i="18"/>
  <c r="AE27" i="18"/>
  <c r="AF27" i="18"/>
  <c r="AG27" i="18"/>
  <c r="AH27" i="18"/>
  <c r="AI27" i="18"/>
  <c r="AJ27" i="18"/>
  <c r="F27" i="18"/>
  <c r="AL27" i="18"/>
  <c r="G27" i="2"/>
  <c r="AM27" i="18"/>
  <c r="H27" i="2"/>
  <c r="AN27" i="18"/>
  <c r="I27" i="2"/>
  <c r="AO27" i="18"/>
  <c r="J27" i="2"/>
  <c r="AP27" i="18"/>
  <c r="K27" i="2"/>
  <c r="AQ27" i="18"/>
  <c r="L27" i="2"/>
  <c r="AR27" i="18"/>
  <c r="M27" i="2"/>
  <c r="AS27" i="18"/>
  <c r="N27" i="2"/>
  <c r="AT27" i="18"/>
  <c r="O27" i="2"/>
  <c r="AU27" i="18"/>
  <c r="P27" i="2"/>
  <c r="AV27" i="18"/>
  <c r="Q27" i="2"/>
  <c r="AW27" i="18"/>
  <c r="R27" i="2"/>
  <c r="AX27" i="18"/>
  <c r="S27" i="2"/>
  <c r="AY27" i="18"/>
  <c r="T27" i="2"/>
  <c r="AZ27" i="18"/>
  <c r="U27" i="2"/>
  <c r="BA27" i="18"/>
  <c r="V27" i="2"/>
  <c r="BB27" i="18"/>
  <c r="W27" i="2"/>
  <c r="BC27" i="18"/>
  <c r="X27" i="2"/>
  <c r="BD27" i="18"/>
  <c r="Y27" i="2"/>
  <c r="BE27" i="18"/>
  <c r="Z27" i="2"/>
  <c r="BF27" i="18"/>
  <c r="AA27" i="2"/>
  <c r="BG27" i="18"/>
  <c r="AB27" i="2"/>
  <c r="BH27" i="18"/>
  <c r="AC27" i="2"/>
  <c r="BI27" i="18"/>
  <c r="AD27" i="2"/>
  <c r="BJ27" i="18"/>
  <c r="AE27" i="2"/>
  <c r="BK27" i="18"/>
  <c r="AF27" i="2"/>
  <c r="BL27" i="18"/>
  <c r="AG27" i="2"/>
  <c r="AI27" i="2"/>
  <c r="AK27" i="18"/>
  <c r="F27" i="2"/>
  <c r="AJ27" i="2"/>
  <c r="BN27" i="18"/>
  <c r="G27" i="3"/>
  <c r="BO27" i="18"/>
  <c r="H27" i="3"/>
  <c r="BP27" i="18"/>
  <c r="I27" i="3"/>
  <c r="BQ27" i="18"/>
  <c r="J27" i="3"/>
  <c r="BR27" i="18"/>
  <c r="K27" i="3"/>
  <c r="BS27" i="18"/>
  <c r="L27" i="3"/>
  <c r="BT27" i="18"/>
  <c r="M27" i="3"/>
  <c r="BU27" i="18"/>
  <c r="N27" i="3"/>
  <c r="BV27" i="18"/>
  <c r="O27" i="3"/>
  <c r="BW27" i="18"/>
  <c r="P27" i="3"/>
  <c r="BX27" i="18"/>
  <c r="Q27" i="3"/>
  <c r="BY27" i="18"/>
  <c r="R27" i="3"/>
  <c r="BZ27" i="18"/>
  <c r="S27" i="3"/>
  <c r="CA27" i="18"/>
  <c r="T27" i="3"/>
  <c r="CB27" i="18"/>
  <c r="U27" i="3"/>
  <c r="CC27" i="18"/>
  <c r="V27" i="3"/>
  <c r="CD27" i="18"/>
  <c r="W27" i="3"/>
  <c r="CE27" i="18"/>
  <c r="X27" i="3"/>
  <c r="CF27" i="18"/>
  <c r="Y27" i="3"/>
  <c r="CG27" i="18"/>
  <c r="Z27" i="3"/>
  <c r="CH27" i="18"/>
  <c r="AA27" i="3"/>
  <c r="CI27" i="18"/>
  <c r="AB27" i="3"/>
  <c r="CJ27" i="18"/>
  <c r="AC27" i="3"/>
  <c r="CK27" i="18"/>
  <c r="AD27" i="3"/>
  <c r="CL27" i="18"/>
  <c r="AE27" i="3"/>
  <c r="CM27" i="18"/>
  <c r="AF27" i="3"/>
  <c r="CN27" i="18"/>
  <c r="AG27" i="3"/>
  <c r="CO27" i="18"/>
  <c r="AH27" i="3"/>
  <c r="CP27" i="18"/>
  <c r="AI27" i="3"/>
  <c r="CQ27" i="18"/>
  <c r="AJ27" i="3"/>
  <c r="BM27" i="18"/>
  <c r="F27" i="3"/>
  <c r="AK27" i="3"/>
  <c r="CS27" i="18"/>
  <c r="G27" i="4"/>
  <c r="CT27" i="18"/>
  <c r="H27" i="4"/>
  <c r="CU27" i="18"/>
  <c r="I27" i="4"/>
  <c r="CV27" i="18"/>
  <c r="J27" i="4"/>
  <c r="CW27" i="18"/>
  <c r="K27" i="4"/>
  <c r="CX27" i="18"/>
  <c r="L27" i="4"/>
  <c r="CY27" i="18"/>
  <c r="M27" i="4"/>
  <c r="CZ27" i="18"/>
  <c r="N27" i="4"/>
  <c r="DA27" i="18"/>
  <c r="O27" i="4"/>
  <c r="DB27" i="18"/>
  <c r="P27" i="4"/>
  <c r="DC27" i="18"/>
  <c r="Q27" i="4"/>
  <c r="DD27" i="18"/>
  <c r="R27" i="4"/>
  <c r="DE27" i="18"/>
  <c r="S27" i="4"/>
  <c r="DF27" i="18"/>
  <c r="T27" i="4"/>
  <c r="DG27" i="18"/>
  <c r="U27" i="4"/>
  <c r="DH27" i="18"/>
  <c r="V27" i="4"/>
  <c r="DI27" i="18"/>
  <c r="W27" i="4"/>
  <c r="DJ27" i="18"/>
  <c r="X27" i="4"/>
  <c r="DK27" i="18"/>
  <c r="Y27" i="4"/>
  <c r="DL27" i="18"/>
  <c r="Z27" i="4"/>
  <c r="DM27" i="18"/>
  <c r="AA27" i="4"/>
  <c r="DN27" i="18"/>
  <c r="AB27" i="4"/>
  <c r="DO27" i="18"/>
  <c r="AC27" i="4"/>
  <c r="DP27" i="18"/>
  <c r="AD27" i="4"/>
  <c r="DQ27" i="18"/>
  <c r="AE27" i="4"/>
  <c r="DR27" i="18"/>
  <c r="AF27" i="4"/>
  <c r="DS27" i="18"/>
  <c r="AG27" i="4"/>
  <c r="DT27" i="18"/>
  <c r="AH27" i="4"/>
  <c r="DU27" i="18"/>
  <c r="AI27" i="4"/>
  <c r="CR27" i="18"/>
  <c r="F27" i="4"/>
  <c r="AK27" i="4"/>
  <c r="DW27" i="18"/>
  <c r="G27" i="5"/>
  <c r="DX27" i="18"/>
  <c r="H27" i="5"/>
  <c r="DY27" i="18"/>
  <c r="I27" i="5"/>
  <c r="DZ27" i="18"/>
  <c r="J27" i="5"/>
  <c r="EA27" i="18"/>
  <c r="K27" i="5"/>
  <c r="EB27" i="18"/>
  <c r="L27" i="5"/>
  <c r="EC27" i="18"/>
  <c r="M27" i="5"/>
  <c r="ED27" i="18"/>
  <c r="N27" i="5"/>
  <c r="EE27" i="18"/>
  <c r="O27" i="5"/>
  <c r="EF27" i="18"/>
  <c r="P27" i="5"/>
  <c r="EG27" i="18"/>
  <c r="Q27" i="5"/>
  <c r="EH27" i="18"/>
  <c r="R27" i="5"/>
  <c r="EI27" i="18"/>
  <c r="S27" i="5"/>
  <c r="EJ27" i="18"/>
  <c r="T27" i="5"/>
  <c r="EK27" i="18"/>
  <c r="U27" i="5"/>
  <c r="EL27" i="18"/>
  <c r="V27" i="5"/>
  <c r="EM27" i="18"/>
  <c r="W27" i="5"/>
  <c r="EN27" i="18"/>
  <c r="X27" i="5"/>
  <c r="EO27" i="18"/>
  <c r="Y27" i="5"/>
  <c r="EP27" i="18"/>
  <c r="Z27" i="5"/>
  <c r="EQ27" i="18"/>
  <c r="AA27" i="5"/>
  <c r="ER27" i="18"/>
  <c r="AB27" i="5"/>
  <c r="ES27" i="18"/>
  <c r="AC27" i="5"/>
  <c r="ET27" i="18"/>
  <c r="AD27" i="5"/>
  <c r="EU27" i="18"/>
  <c r="AE27" i="5"/>
  <c r="EV27" i="18"/>
  <c r="AF27" i="5"/>
  <c r="EW27" i="18"/>
  <c r="AG27" i="5"/>
  <c r="EX27" i="18"/>
  <c r="AH27" i="5"/>
  <c r="EY27" i="18"/>
  <c r="AI27" i="5"/>
  <c r="EZ27" i="18"/>
  <c r="AJ27" i="5"/>
  <c r="DV27" i="18"/>
  <c r="F27" i="5"/>
  <c r="AK27" i="5"/>
  <c r="FB27" i="18"/>
  <c r="G27" i="6"/>
  <c r="FC27" i="18"/>
  <c r="H27" i="6"/>
  <c r="FD27" i="18"/>
  <c r="I27" i="6"/>
  <c r="FE27" i="18"/>
  <c r="J27" i="6"/>
  <c r="FF27" i="18"/>
  <c r="K27" i="6"/>
  <c r="FG27" i="18"/>
  <c r="L27" i="6"/>
  <c r="FH27" i="18"/>
  <c r="M27" i="6"/>
  <c r="FI27" i="18"/>
  <c r="N27" i="6"/>
  <c r="FJ27" i="18"/>
  <c r="O27" i="6"/>
  <c r="FK27" i="18"/>
  <c r="P27" i="6"/>
  <c r="FL27" i="18"/>
  <c r="Q27" i="6"/>
  <c r="FM27" i="18"/>
  <c r="R27" i="6"/>
  <c r="FN27" i="18"/>
  <c r="S27" i="6"/>
  <c r="FO27" i="18"/>
  <c r="T27" i="6"/>
  <c r="FP27" i="18"/>
  <c r="U27" i="6"/>
  <c r="FQ27" i="18"/>
  <c r="V27" i="6"/>
  <c r="FR27" i="18"/>
  <c r="W27" i="6"/>
  <c r="FS27" i="18"/>
  <c r="X27" i="6"/>
  <c r="FT27" i="18"/>
  <c r="Y27" i="6"/>
  <c r="FU27" i="18"/>
  <c r="Z27" i="6"/>
  <c r="FV27" i="18"/>
  <c r="AA27" i="6"/>
  <c r="FW27" i="18"/>
  <c r="AB27" i="6"/>
  <c r="FX27" i="18"/>
  <c r="AC27" i="6"/>
  <c r="FY27" i="18"/>
  <c r="AD27" i="6"/>
  <c r="FZ27" i="18"/>
  <c r="AE27" i="6"/>
  <c r="GA27" i="18"/>
  <c r="AF27" i="6"/>
  <c r="GB27" i="18"/>
  <c r="AG27" i="6"/>
  <c r="GC27" i="18"/>
  <c r="AH27" i="6"/>
  <c r="GD27" i="18"/>
  <c r="AI27" i="6"/>
  <c r="FA27" i="18"/>
  <c r="F27" i="6"/>
  <c r="AK27" i="6"/>
  <c r="GF27" i="18"/>
  <c r="G27" i="7"/>
  <c r="GG27" i="18"/>
  <c r="H27" i="7"/>
  <c r="GH27" i="18"/>
  <c r="I27" i="7"/>
  <c r="GI27" i="18"/>
  <c r="J27" i="7"/>
  <c r="GJ27" i="18"/>
  <c r="K27" i="7"/>
  <c r="GK27" i="18"/>
  <c r="L27" i="7"/>
  <c r="GL27" i="18"/>
  <c r="M27" i="7"/>
  <c r="GM27" i="18"/>
  <c r="N27" i="7"/>
  <c r="GN27" i="18"/>
  <c r="O27" i="7"/>
  <c r="GO27" i="18"/>
  <c r="P27" i="7"/>
  <c r="GP27" i="18"/>
  <c r="Q27" i="7"/>
  <c r="GQ27" i="18"/>
  <c r="R27" i="7"/>
  <c r="GR27" i="18"/>
  <c r="S27" i="7"/>
  <c r="GS27" i="18"/>
  <c r="T27" i="7"/>
  <c r="GT27" i="18"/>
  <c r="U27" i="7"/>
  <c r="GU27" i="18"/>
  <c r="V27" i="7"/>
  <c r="GV27" i="18"/>
  <c r="W27" i="7"/>
  <c r="GW27" i="18"/>
  <c r="X27" i="7"/>
  <c r="GX27" i="18"/>
  <c r="Y27" i="7"/>
  <c r="GY27" i="18"/>
  <c r="Z27" i="7"/>
  <c r="GZ27" i="18"/>
  <c r="AA27" i="7"/>
  <c r="HA27" i="18"/>
  <c r="AB27" i="7"/>
  <c r="HB27" i="18"/>
  <c r="AC27" i="7"/>
  <c r="HC27" i="18"/>
  <c r="AD27" i="7"/>
  <c r="HD27" i="18"/>
  <c r="AE27" i="7"/>
  <c r="HE27" i="18"/>
  <c r="AF27" i="7"/>
  <c r="HF27" i="18"/>
  <c r="AG27" i="7"/>
  <c r="HG27" i="18"/>
  <c r="AH27" i="7"/>
  <c r="HH27" i="18"/>
  <c r="AI27" i="7"/>
  <c r="HI27" i="18"/>
  <c r="AJ27" i="7"/>
  <c r="GE27" i="18"/>
  <c r="F27" i="7"/>
  <c r="AK27" i="7"/>
  <c r="HK27" i="18"/>
  <c r="G27" i="8"/>
  <c r="HL27" i="18"/>
  <c r="H27" i="8"/>
  <c r="HM27" i="18"/>
  <c r="I27" i="8"/>
  <c r="HN27" i="18"/>
  <c r="J27" i="8"/>
  <c r="HO27" i="18"/>
  <c r="K27" i="8"/>
  <c r="HP27" i="18"/>
  <c r="L27" i="8"/>
  <c r="HQ27" i="18"/>
  <c r="M27" i="8"/>
  <c r="HR27" i="18"/>
  <c r="N27" i="8"/>
  <c r="HS27" i="18"/>
  <c r="O27" i="8"/>
  <c r="HT27" i="18"/>
  <c r="P27" i="8"/>
  <c r="HU27" i="18"/>
  <c r="Q27" i="8"/>
  <c r="HV27" i="18"/>
  <c r="R27" i="8"/>
  <c r="HW27" i="18"/>
  <c r="S27" i="8"/>
  <c r="HX27" i="18"/>
  <c r="T27" i="8"/>
  <c r="HY27" i="18"/>
  <c r="U27" i="8"/>
  <c r="HZ27" i="18"/>
  <c r="V27" i="8"/>
  <c r="IA27" i="18"/>
  <c r="W27" i="8"/>
  <c r="IB27" i="18"/>
  <c r="X27" i="8"/>
  <c r="IC27" i="18"/>
  <c r="Y27" i="8"/>
  <c r="ID27" i="18"/>
  <c r="Z27" i="8"/>
  <c r="IE27" i="18"/>
  <c r="AA27" i="8"/>
  <c r="IF27" i="18"/>
  <c r="AB27" i="8"/>
  <c r="IG27" i="18"/>
  <c r="AC27" i="8"/>
  <c r="IH27" i="18"/>
  <c r="AD27" i="8"/>
  <c r="II27" i="18"/>
  <c r="AE27" i="8"/>
  <c r="IJ27" i="18"/>
  <c r="AF27" i="8"/>
  <c r="IK27" i="18"/>
  <c r="AG27" i="8"/>
  <c r="IL27" i="18"/>
  <c r="AH27" i="8"/>
  <c r="IM27" i="18"/>
  <c r="AI27" i="8"/>
  <c r="IN27" i="18"/>
  <c r="AJ27" i="8"/>
  <c r="HJ27" i="18"/>
  <c r="F27" i="8"/>
  <c r="AK27" i="8"/>
  <c r="IP27" i="18"/>
  <c r="G27" i="9"/>
  <c r="IQ27" i="18"/>
  <c r="H27" i="9"/>
  <c r="IR27" i="18"/>
  <c r="I27" i="9"/>
  <c r="IS27" i="18"/>
  <c r="J27" i="9"/>
  <c r="IT27" i="18"/>
  <c r="K27" i="9"/>
  <c r="IU27" i="18"/>
  <c r="L27" i="9"/>
  <c r="IV27" i="18"/>
  <c r="M27" i="9"/>
  <c r="IW27" i="18"/>
  <c r="N27" i="9"/>
  <c r="IX27" i="18"/>
  <c r="O27" i="9"/>
  <c r="IY27" i="18"/>
  <c r="P27" i="9"/>
  <c r="IZ27" i="18"/>
  <c r="Q27" i="9"/>
  <c r="JA27" i="18"/>
  <c r="R27" i="9"/>
  <c r="JB27" i="18"/>
  <c r="S27" i="9"/>
  <c r="JC27" i="18"/>
  <c r="T27" i="9"/>
  <c r="JD27" i="18"/>
  <c r="U27" i="9"/>
  <c r="JE27" i="18"/>
  <c r="V27" i="9"/>
  <c r="JF27" i="18"/>
  <c r="W27" i="9"/>
  <c r="JG27" i="18"/>
  <c r="X27" i="9"/>
  <c r="JH27" i="18"/>
  <c r="Y27" i="9"/>
  <c r="JI27" i="18"/>
  <c r="Z27" i="9"/>
  <c r="JJ27" i="18"/>
  <c r="AA27" i="9"/>
  <c r="JK27" i="18"/>
  <c r="AB27" i="9"/>
  <c r="JL27" i="18"/>
  <c r="AC27" i="9"/>
  <c r="JM27" i="18"/>
  <c r="AD27" i="9"/>
  <c r="JN27" i="18"/>
  <c r="AE27" i="9"/>
  <c r="JO27" i="18"/>
  <c r="AF27" i="9"/>
  <c r="JP27" i="18"/>
  <c r="AG27" i="9"/>
  <c r="JQ27" i="18"/>
  <c r="AH27" i="9"/>
  <c r="JR27" i="18"/>
  <c r="AI27" i="9"/>
  <c r="IO27" i="18"/>
  <c r="F27" i="9"/>
  <c r="AK27" i="9"/>
  <c r="JT27" i="18"/>
  <c r="G27" i="10"/>
  <c r="JU27" i="18"/>
  <c r="H27" i="10"/>
  <c r="JV27" i="18"/>
  <c r="I27" i="10"/>
  <c r="JW27" i="18"/>
  <c r="J27" i="10"/>
  <c r="JX27" i="18"/>
  <c r="K27" i="10"/>
  <c r="JY27" i="18"/>
  <c r="L27" i="10"/>
  <c r="JZ27" i="18"/>
  <c r="M27" i="10"/>
  <c r="KA27" i="18"/>
  <c r="N27" i="10"/>
  <c r="KB27" i="18"/>
  <c r="O27" i="10"/>
  <c r="KC27" i="18"/>
  <c r="P27" i="10"/>
  <c r="KD27" i="18"/>
  <c r="Q27" i="10"/>
  <c r="KE27" i="18"/>
  <c r="R27" i="10"/>
  <c r="KF27" i="18"/>
  <c r="S27" i="10"/>
  <c r="KG27" i="18"/>
  <c r="T27" i="10"/>
  <c r="KH27" i="18"/>
  <c r="U27" i="10"/>
  <c r="KI27" i="18"/>
  <c r="V27" i="10"/>
  <c r="KJ27" i="18"/>
  <c r="W27" i="10"/>
  <c r="KK27" i="18"/>
  <c r="X27" i="10"/>
  <c r="KL27" i="18"/>
  <c r="Y27" i="10"/>
  <c r="KM27" i="18"/>
  <c r="Z27" i="10"/>
  <c r="KN27" i="18"/>
  <c r="AA27" i="10"/>
  <c r="KO27" i="18"/>
  <c r="AB27" i="10"/>
  <c r="KP27" i="18"/>
  <c r="AC27" i="10"/>
  <c r="KQ27" i="18"/>
  <c r="AD27" i="10"/>
  <c r="KR27" i="18"/>
  <c r="AE27" i="10"/>
  <c r="KS27" i="18"/>
  <c r="AF27" i="10"/>
  <c r="KT27" i="18"/>
  <c r="AG27" i="10"/>
  <c r="KU27" i="18"/>
  <c r="AH27" i="10"/>
  <c r="KV27" i="18"/>
  <c r="AI27" i="10"/>
  <c r="KW27" i="18"/>
  <c r="AJ27" i="10"/>
  <c r="JS27" i="18"/>
  <c r="F27" i="10"/>
  <c r="AK27" i="10"/>
  <c r="KY27" i="18"/>
  <c r="G27" i="11"/>
  <c r="KZ27" i="18"/>
  <c r="H27" i="11"/>
  <c r="LA27" i="18"/>
  <c r="I27" i="11"/>
  <c r="LB27" i="18"/>
  <c r="J27" i="11"/>
  <c r="LC27" i="18"/>
  <c r="K27" i="11"/>
  <c r="LD27" i="18"/>
  <c r="L27" i="11"/>
  <c r="LE27" i="18"/>
  <c r="M27" i="11"/>
  <c r="LF27" i="18"/>
  <c r="N27" i="11"/>
  <c r="LG27" i="18"/>
  <c r="O27" i="11"/>
  <c r="LH27" i="18"/>
  <c r="P27" i="11"/>
  <c r="LI27" i="18"/>
  <c r="Q27" i="11"/>
  <c r="LJ27" i="18"/>
  <c r="R27" i="11"/>
  <c r="LK27" i="18"/>
  <c r="S27" i="11"/>
  <c r="LL27" i="18"/>
  <c r="T27" i="11"/>
  <c r="LM27" i="18"/>
  <c r="U27" i="11"/>
  <c r="LN27" i="18"/>
  <c r="V27" i="11"/>
  <c r="LO27" i="18"/>
  <c r="W27" i="11"/>
  <c r="LP27" i="18"/>
  <c r="X27" i="11"/>
  <c r="LQ27" i="18"/>
  <c r="Y27" i="11"/>
  <c r="LR27" i="18"/>
  <c r="Z27" i="11"/>
  <c r="LS27" i="18"/>
  <c r="AA27" i="11"/>
  <c r="LT27" i="18"/>
  <c r="AB27" i="11"/>
  <c r="LU27" i="18"/>
  <c r="AC27" i="11"/>
  <c r="LV27" i="18"/>
  <c r="AD27" i="11"/>
  <c r="LW27" i="18"/>
  <c r="AE27" i="11"/>
  <c r="LX27" i="18"/>
  <c r="AF27" i="11"/>
  <c r="LY27" i="18"/>
  <c r="AG27" i="11"/>
  <c r="LZ27" i="18"/>
  <c r="AH27" i="11"/>
  <c r="MA27" i="18"/>
  <c r="AI27" i="11"/>
  <c r="KX27" i="18"/>
  <c r="F27" i="11"/>
  <c r="AK27" i="11"/>
  <c r="MC27" i="18"/>
  <c r="G27" i="12"/>
  <c r="MD27" i="18"/>
  <c r="H27" i="12"/>
  <c r="ME27" i="18"/>
  <c r="I27" i="12"/>
  <c r="MF27" i="18"/>
  <c r="J27" i="12"/>
  <c r="MG27" i="18"/>
  <c r="K27" i="12"/>
  <c r="MH27" i="18"/>
  <c r="L27" i="12"/>
  <c r="MI27" i="18"/>
  <c r="M27" i="12"/>
  <c r="MJ27" i="18"/>
  <c r="N27" i="12"/>
  <c r="MK27" i="18"/>
  <c r="O27" i="12"/>
  <c r="ML27" i="18"/>
  <c r="P27" i="12"/>
  <c r="MM27" i="18"/>
  <c r="Q27" i="12"/>
  <c r="MN27" i="18"/>
  <c r="R27" i="12"/>
  <c r="MO27" i="18"/>
  <c r="S27" i="12"/>
  <c r="MP27" i="18"/>
  <c r="T27" i="12"/>
  <c r="MQ27" i="18"/>
  <c r="U27" i="12"/>
  <c r="MR27" i="18"/>
  <c r="V27" i="12"/>
  <c r="MS27" i="18"/>
  <c r="W27" i="12"/>
  <c r="MT27" i="18"/>
  <c r="X27" i="12"/>
  <c r="MU27" i="18"/>
  <c r="Y27" i="12"/>
  <c r="MV27" i="18"/>
  <c r="Z27" i="12"/>
  <c r="MW27" i="18"/>
  <c r="AA27" i="12"/>
  <c r="MX27" i="18"/>
  <c r="AB27" i="12"/>
  <c r="MY27" i="18"/>
  <c r="AC27" i="12"/>
  <c r="MZ27" i="18"/>
  <c r="AD27" i="12"/>
  <c r="NA27" i="18"/>
  <c r="AE27" i="12"/>
  <c r="NB27" i="18"/>
  <c r="AF27" i="12"/>
  <c r="NC27" i="18"/>
  <c r="AG27" i="12"/>
  <c r="ND27" i="18"/>
  <c r="AH27" i="12"/>
  <c r="NE27" i="18"/>
  <c r="AI27" i="12"/>
  <c r="NF27" i="18"/>
  <c r="AJ27" i="12"/>
  <c r="MB27" i="18"/>
  <c r="F27" i="12"/>
  <c r="AK27" i="12"/>
  <c r="P23" i="13"/>
  <c r="G26" i="18"/>
  <c r="H26" i="18"/>
  <c r="I26" i="18"/>
  <c r="J26" i="18"/>
  <c r="K26" i="18"/>
  <c r="L26" i="18"/>
  <c r="M26" i="18"/>
  <c r="N26" i="18"/>
  <c r="O26" i="18"/>
  <c r="P26" i="18"/>
  <c r="Q26" i="18"/>
  <c r="R26" i="18"/>
  <c r="S26" i="18"/>
  <c r="T26" i="18"/>
  <c r="U26" i="18"/>
  <c r="V26" i="18"/>
  <c r="W26" i="18"/>
  <c r="X26" i="18"/>
  <c r="Y26" i="18"/>
  <c r="Z26" i="18"/>
  <c r="AA26" i="18"/>
  <c r="AB26" i="18"/>
  <c r="AC26" i="18"/>
  <c r="AD26" i="18"/>
  <c r="AE26" i="18"/>
  <c r="AF26" i="18"/>
  <c r="AG26" i="18"/>
  <c r="AH26" i="18"/>
  <c r="AI26" i="18"/>
  <c r="AJ26" i="18"/>
  <c r="F26" i="18"/>
  <c r="AL26" i="18"/>
  <c r="G26" i="2"/>
  <c r="AM26" i="18"/>
  <c r="H26" i="2"/>
  <c r="AN26" i="18"/>
  <c r="I26" i="2"/>
  <c r="AO26" i="18"/>
  <c r="J26" i="2"/>
  <c r="AP26" i="18"/>
  <c r="K26" i="2"/>
  <c r="AQ26" i="18"/>
  <c r="L26" i="2"/>
  <c r="AR26" i="18"/>
  <c r="M26" i="2"/>
  <c r="AS26" i="18"/>
  <c r="N26" i="2"/>
  <c r="AT26" i="18"/>
  <c r="O26" i="2"/>
  <c r="AU26" i="18"/>
  <c r="P26" i="2"/>
  <c r="AV26" i="18"/>
  <c r="Q26" i="2"/>
  <c r="AW26" i="18"/>
  <c r="R26" i="2"/>
  <c r="AX26" i="18"/>
  <c r="S26" i="2"/>
  <c r="AY26" i="18"/>
  <c r="T26" i="2"/>
  <c r="AZ26" i="18"/>
  <c r="U26" i="2"/>
  <c r="BA26" i="18"/>
  <c r="V26" i="2"/>
  <c r="BB26" i="18"/>
  <c r="W26" i="2"/>
  <c r="BC26" i="18"/>
  <c r="X26" i="2"/>
  <c r="BD26" i="18"/>
  <c r="Y26" i="2"/>
  <c r="BE26" i="18"/>
  <c r="Z26" i="2"/>
  <c r="BF26" i="18"/>
  <c r="AA26" i="2"/>
  <c r="BG26" i="18"/>
  <c r="AB26" i="2"/>
  <c r="BH26" i="18"/>
  <c r="AC26" i="2"/>
  <c r="BI26" i="18"/>
  <c r="AD26" i="2"/>
  <c r="BJ26" i="18"/>
  <c r="AE26" i="2"/>
  <c r="BK26" i="18"/>
  <c r="AF26" i="2"/>
  <c r="BL26" i="18"/>
  <c r="AG26" i="2"/>
  <c r="AI26" i="2"/>
  <c r="AK26" i="18"/>
  <c r="F26" i="2"/>
  <c r="AJ26" i="2"/>
  <c r="BN26" i="18"/>
  <c r="G26" i="3"/>
  <c r="BO26" i="18"/>
  <c r="H26" i="3"/>
  <c r="BP26" i="18"/>
  <c r="I26" i="3"/>
  <c r="BQ26" i="18"/>
  <c r="J26" i="3"/>
  <c r="BR26" i="18"/>
  <c r="K26" i="3"/>
  <c r="BS26" i="18"/>
  <c r="L26" i="3"/>
  <c r="BT26" i="18"/>
  <c r="M26" i="3"/>
  <c r="BU26" i="18"/>
  <c r="N26" i="3"/>
  <c r="BV26" i="18"/>
  <c r="O26" i="3"/>
  <c r="BW26" i="18"/>
  <c r="P26" i="3"/>
  <c r="BX26" i="18"/>
  <c r="Q26" i="3"/>
  <c r="BY26" i="18"/>
  <c r="R26" i="3"/>
  <c r="BZ26" i="18"/>
  <c r="S26" i="3"/>
  <c r="CA26" i="18"/>
  <c r="T26" i="3"/>
  <c r="CB26" i="18"/>
  <c r="U26" i="3"/>
  <c r="CC26" i="18"/>
  <c r="V26" i="3"/>
  <c r="CD26" i="18"/>
  <c r="W26" i="3"/>
  <c r="CE26" i="18"/>
  <c r="X26" i="3"/>
  <c r="CF26" i="18"/>
  <c r="Y26" i="3"/>
  <c r="CG26" i="18"/>
  <c r="Z26" i="3"/>
  <c r="CH26" i="18"/>
  <c r="AA26" i="3"/>
  <c r="CI26" i="18"/>
  <c r="AB26" i="3"/>
  <c r="CJ26" i="18"/>
  <c r="AC26" i="3"/>
  <c r="CK26" i="18"/>
  <c r="AD26" i="3"/>
  <c r="CL26" i="18"/>
  <c r="AE26" i="3"/>
  <c r="CM26" i="18"/>
  <c r="AF26" i="3"/>
  <c r="CN26" i="18"/>
  <c r="AG26" i="3"/>
  <c r="CO26" i="18"/>
  <c r="AH26" i="3"/>
  <c r="CP26" i="18"/>
  <c r="AI26" i="3"/>
  <c r="CQ26" i="18"/>
  <c r="AJ26" i="3"/>
  <c r="BM26" i="18"/>
  <c r="F26" i="3"/>
  <c r="AK26" i="3"/>
  <c r="CS26" i="18"/>
  <c r="G26" i="4"/>
  <c r="CT26" i="18"/>
  <c r="H26" i="4"/>
  <c r="CU26" i="18"/>
  <c r="I26" i="4"/>
  <c r="CV26" i="18"/>
  <c r="J26" i="4"/>
  <c r="CW26" i="18"/>
  <c r="K26" i="4"/>
  <c r="CX26" i="18"/>
  <c r="L26" i="4"/>
  <c r="CY26" i="18"/>
  <c r="M26" i="4"/>
  <c r="CZ26" i="18"/>
  <c r="N26" i="4"/>
  <c r="DA26" i="18"/>
  <c r="O26" i="4"/>
  <c r="DB26" i="18"/>
  <c r="P26" i="4"/>
  <c r="DC26" i="18"/>
  <c r="Q26" i="4"/>
  <c r="DD26" i="18"/>
  <c r="R26" i="4"/>
  <c r="DE26" i="18"/>
  <c r="S26" i="4"/>
  <c r="DF26" i="18"/>
  <c r="T26" i="4"/>
  <c r="DG26" i="18"/>
  <c r="U26" i="4"/>
  <c r="DH26" i="18"/>
  <c r="V26" i="4"/>
  <c r="DI26" i="18"/>
  <c r="W26" i="4"/>
  <c r="DJ26" i="18"/>
  <c r="X26" i="4"/>
  <c r="DK26" i="18"/>
  <c r="Y26" i="4"/>
  <c r="DL26" i="18"/>
  <c r="Z26" i="4"/>
  <c r="DM26" i="18"/>
  <c r="AA26" i="4"/>
  <c r="DN26" i="18"/>
  <c r="AB26" i="4"/>
  <c r="DO26" i="18"/>
  <c r="AC26" i="4"/>
  <c r="DP26" i="18"/>
  <c r="AD26" i="4"/>
  <c r="DQ26" i="18"/>
  <c r="AE26" i="4"/>
  <c r="DR26" i="18"/>
  <c r="AF26" i="4"/>
  <c r="DS26" i="18"/>
  <c r="AG26" i="4"/>
  <c r="DT26" i="18"/>
  <c r="AH26" i="4"/>
  <c r="DU26" i="18"/>
  <c r="AI26" i="4"/>
  <c r="CR26" i="18"/>
  <c r="F26" i="4"/>
  <c r="AK26" i="4"/>
  <c r="DW26" i="18"/>
  <c r="G26" i="5"/>
  <c r="DX26" i="18"/>
  <c r="H26" i="5"/>
  <c r="DY26" i="18"/>
  <c r="I26" i="5"/>
  <c r="DZ26" i="18"/>
  <c r="J26" i="5"/>
  <c r="EA26" i="18"/>
  <c r="K26" i="5"/>
  <c r="EB26" i="18"/>
  <c r="L26" i="5"/>
  <c r="EC26" i="18"/>
  <c r="M26" i="5"/>
  <c r="ED26" i="18"/>
  <c r="N26" i="5"/>
  <c r="EE26" i="18"/>
  <c r="O26" i="5"/>
  <c r="EF26" i="18"/>
  <c r="P26" i="5"/>
  <c r="EG26" i="18"/>
  <c r="Q26" i="5"/>
  <c r="EH26" i="18"/>
  <c r="R26" i="5"/>
  <c r="EI26" i="18"/>
  <c r="S26" i="5"/>
  <c r="EJ26" i="18"/>
  <c r="T26" i="5"/>
  <c r="EK26" i="18"/>
  <c r="U26" i="5"/>
  <c r="EL26" i="18"/>
  <c r="V26" i="5"/>
  <c r="EM26" i="18"/>
  <c r="W26" i="5"/>
  <c r="EN26" i="18"/>
  <c r="X26" i="5"/>
  <c r="EO26" i="18"/>
  <c r="Y26" i="5"/>
  <c r="EP26" i="18"/>
  <c r="Z26" i="5"/>
  <c r="EQ26" i="18"/>
  <c r="AA26" i="5"/>
  <c r="ER26" i="18"/>
  <c r="AB26" i="5"/>
  <c r="ES26" i="18"/>
  <c r="AC26" i="5"/>
  <c r="ET26" i="18"/>
  <c r="AD26" i="5"/>
  <c r="EU26" i="18"/>
  <c r="AE26" i="5"/>
  <c r="EV26" i="18"/>
  <c r="AF26" i="5"/>
  <c r="EW26" i="18"/>
  <c r="AG26" i="5"/>
  <c r="EX26" i="18"/>
  <c r="AH26" i="5"/>
  <c r="EY26" i="18"/>
  <c r="AI26" i="5"/>
  <c r="EZ26" i="18"/>
  <c r="AJ26" i="5"/>
  <c r="DV26" i="18"/>
  <c r="F26" i="5"/>
  <c r="AK26" i="5"/>
  <c r="FB26" i="18"/>
  <c r="G26" i="6"/>
  <c r="FC26" i="18"/>
  <c r="H26" i="6"/>
  <c r="FD26" i="18"/>
  <c r="I26" i="6"/>
  <c r="FE26" i="18"/>
  <c r="J26" i="6"/>
  <c r="FF26" i="18"/>
  <c r="K26" i="6"/>
  <c r="FG26" i="18"/>
  <c r="L26" i="6"/>
  <c r="FH26" i="18"/>
  <c r="M26" i="6"/>
  <c r="FI26" i="18"/>
  <c r="N26" i="6"/>
  <c r="FJ26" i="18"/>
  <c r="O26" i="6"/>
  <c r="FK26" i="18"/>
  <c r="P26" i="6"/>
  <c r="FL26" i="18"/>
  <c r="Q26" i="6"/>
  <c r="FM26" i="18"/>
  <c r="R26" i="6"/>
  <c r="FN26" i="18"/>
  <c r="S26" i="6"/>
  <c r="FO26" i="18"/>
  <c r="T26" i="6"/>
  <c r="FP26" i="18"/>
  <c r="U26" i="6"/>
  <c r="FQ26" i="18"/>
  <c r="V26" i="6"/>
  <c r="FR26" i="18"/>
  <c r="W26" i="6"/>
  <c r="FS26" i="18"/>
  <c r="X26" i="6"/>
  <c r="FT26" i="18"/>
  <c r="Y26" i="6"/>
  <c r="FU26" i="18"/>
  <c r="Z26" i="6"/>
  <c r="FV26" i="18"/>
  <c r="AA26" i="6"/>
  <c r="FW26" i="18"/>
  <c r="AB26" i="6"/>
  <c r="FX26" i="18"/>
  <c r="AC26" i="6"/>
  <c r="FY26" i="18"/>
  <c r="AD26" i="6"/>
  <c r="FZ26" i="18"/>
  <c r="AE26" i="6"/>
  <c r="GA26" i="18"/>
  <c r="AF26" i="6"/>
  <c r="GB26" i="18"/>
  <c r="AG26" i="6"/>
  <c r="GC26" i="18"/>
  <c r="AH26" i="6"/>
  <c r="GD26" i="18"/>
  <c r="AI26" i="6"/>
  <c r="FA26" i="18"/>
  <c r="F26" i="6"/>
  <c r="AK26" i="6"/>
  <c r="GF26" i="18"/>
  <c r="G26" i="7"/>
  <c r="GG26" i="18"/>
  <c r="H26" i="7"/>
  <c r="GH26" i="18"/>
  <c r="I26" i="7"/>
  <c r="GI26" i="18"/>
  <c r="J26" i="7"/>
  <c r="GJ26" i="18"/>
  <c r="K26" i="7"/>
  <c r="GK26" i="18"/>
  <c r="L26" i="7"/>
  <c r="GL26" i="18"/>
  <c r="M26" i="7"/>
  <c r="GM26" i="18"/>
  <c r="N26" i="7"/>
  <c r="GN26" i="18"/>
  <c r="O26" i="7"/>
  <c r="GO26" i="18"/>
  <c r="P26" i="7"/>
  <c r="GP26" i="18"/>
  <c r="Q26" i="7"/>
  <c r="GQ26" i="18"/>
  <c r="R26" i="7"/>
  <c r="GR26" i="18"/>
  <c r="S26" i="7"/>
  <c r="GS26" i="18"/>
  <c r="T26" i="7"/>
  <c r="GT26" i="18"/>
  <c r="U26" i="7"/>
  <c r="GU26" i="18"/>
  <c r="V26" i="7"/>
  <c r="GV26" i="18"/>
  <c r="W26" i="7"/>
  <c r="GW26" i="18"/>
  <c r="X26" i="7"/>
  <c r="GX26" i="18"/>
  <c r="Y26" i="7"/>
  <c r="GY26" i="18"/>
  <c r="Z26" i="7"/>
  <c r="GZ26" i="18"/>
  <c r="AA26" i="7"/>
  <c r="HA26" i="18"/>
  <c r="AB26" i="7"/>
  <c r="HB26" i="18"/>
  <c r="AC26" i="7"/>
  <c r="HC26" i="18"/>
  <c r="AD26" i="7"/>
  <c r="HD26" i="18"/>
  <c r="AE26" i="7"/>
  <c r="HE26" i="18"/>
  <c r="AF26" i="7"/>
  <c r="HF26" i="18"/>
  <c r="AG26" i="7"/>
  <c r="HG26" i="18"/>
  <c r="AH26" i="7"/>
  <c r="HH26" i="18"/>
  <c r="AI26" i="7"/>
  <c r="HI26" i="18"/>
  <c r="AJ26" i="7"/>
  <c r="GE26" i="18"/>
  <c r="F26" i="7"/>
  <c r="AK26" i="7"/>
  <c r="HK26" i="18"/>
  <c r="G26" i="8"/>
  <c r="HL26" i="18"/>
  <c r="H26" i="8"/>
  <c r="HM26" i="18"/>
  <c r="I26" i="8"/>
  <c r="HN26" i="18"/>
  <c r="J26" i="8"/>
  <c r="HO26" i="18"/>
  <c r="K26" i="8"/>
  <c r="HP26" i="18"/>
  <c r="L26" i="8"/>
  <c r="HQ26" i="18"/>
  <c r="M26" i="8"/>
  <c r="HR26" i="18"/>
  <c r="N26" i="8"/>
  <c r="HS26" i="18"/>
  <c r="O26" i="8"/>
  <c r="HT26" i="18"/>
  <c r="P26" i="8"/>
  <c r="HU26" i="18"/>
  <c r="Q26" i="8"/>
  <c r="HV26" i="18"/>
  <c r="R26" i="8"/>
  <c r="HW26" i="18"/>
  <c r="S26" i="8"/>
  <c r="HX26" i="18"/>
  <c r="T26" i="8"/>
  <c r="HY26" i="18"/>
  <c r="U26" i="8"/>
  <c r="HZ26" i="18"/>
  <c r="V26" i="8"/>
  <c r="IA26" i="18"/>
  <c r="W26" i="8"/>
  <c r="IB26" i="18"/>
  <c r="X26" i="8"/>
  <c r="IC26" i="18"/>
  <c r="Y26" i="8"/>
  <c r="ID26" i="18"/>
  <c r="Z26" i="8"/>
  <c r="IE26" i="18"/>
  <c r="AA26" i="8"/>
  <c r="IF26" i="18"/>
  <c r="AB26" i="8"/>
  <c r="IG26" i="18"/>
  <c r="AC26" i="8"/>
  <c r="IH26" i="18"/>
  <c r="AD26" i="8"/>
  <c r="II26" i="18"/>
  <c r="AE26" i="8"/>
  <c r="IJ26" i="18"/>
  <c r="AF26" i="8"/>
  <c r="IK26" i="18"/>
  <c r="AG26" i="8"/>
  <c r="IL26" i="18"/>
  <c r="AH26" i="8"/>
  <c r="IM26" i="18"/>
  <c r="AI26" i="8"/>
  <c r="IN26" i="18"/>
  <c r="AJ26" i="8"/>
  <c r="HJ26" i="18"/>
  <c r="F26" i="8"/>
  <c r="AK26" i="8"/>
  <c r="IP26" i="18"/>
  <c r="G26" i="9"/>
  <c r="IQ26" i="18"/>
  <c r="H26" i="9"/>
  <c r="IR26" i="18"/>
  <c r="I26" i="9"/>
  <c r="IS26" i="18"/>
  <c r="J26" i="9"/>
  <c r="IT26" i="18"/>
  <c r="K26" i="9"/>
  <c r="IU26" i="18"/>
  <c r="L26" i="9"/>
  <c r="IV26" i="18"/>
  <c r="M26" i="9"/>
  <c r="IW26" i="18"/>
  <c r="N26" i="9"/>
  <c r="IX26" i="18"/>
  <c r="O26" i="9"/>
  <c r="IY26" i="18"/>
  <c r="P26" i="9"/>
  <c r="IZ26" i="18"/>
  <c r="Q26" i="9"/>
  <c r="JA26" i="18"/>
  <c r="R26" i="9"/>
  <c r="JB26" i="18"/>
  <c r="S26" i="9"/>
  <c r="JC26" i="18"/>
  <c r="T26" i="9"/>
  <c r="JD26" i="18"/>
  <c r="U26" i="9"/>
  <c r="JE26" i="18"/>
  <c r="V26" i="9"/>
  <c r="JF26" i="18"/>
  <c r="W26" i="9"/>
  <c r="JG26" i="18"/>
  <c r="X26" i="9"/>
  <c r="JH26" i="18"/>
  <c r="Y26" i="9"/>
  <c r="JI26" i="18"/>
  <c r="Z26" i="9"/>
  <c r="JJ26" i="18"/>
  <c r="AA26" i="9"/>
  <c r="JK26" i="18"/>
  <c r="AB26" i="9"/>
  <c r="JL26" i="18"/>
  <c r="AC26" i="9"/>
  <c r="JM26" i="18"/>
  <c r="AD26" i="9"/>
  <c r="JN26" i="18"/>
  <c r="AE26" i="9"/>
  <c r="JO26" i="18"/>
  <c r="AF26" i="9"/>
  <c r="JP26" i="18"/>
  <c r="AG26" i="9"/>
  <c r="JQ26" i="18"/>
  <c r="AH26" i="9"/>
  <c r="JR26" i="18"/>
  <c r="AI26" i="9"/>
  <c r="IO26" i="18"/>
  <c r="F26" i="9"/>
  <c r="AK26" i="9"/>
  <c r="JT26" i="18"/>
  <c r="G26" i="10"/>
  <c r="JU26" i="18"/>
  <c r="H26" i="10"/>
  <c r="JV26" i="18"/>
  <c r="I26" i="10"/>
  <c r="JW26" i="18"/>
  <c r="J26" i="10"/>
  <c r="JX26" i="18"/>
  <c r="K26" i="10"/>
  <c r="JY26" i="18"/>
  <c r="L26" i="10"/>
  <c r="JZ26" i="18"/>
  <c r="M26" i="10"/>
  <c r="KA26" i="18"/>
  <c r="N26" i="10"/>
  <c r="KB26" i="18"/>
  <c r="O26" i="10"/>
  <c r="KC26" i="18"/>
  <c r="P26" i="10"/>
  <c r="KD26" i="18"/>
  <c r="Q26" i="10"/>
  <c r="KE26" i="18"/>
  <c r="R26" i="10"/>
  <c r="KF26" i="18"/>
  <c r="S26" i="10"/>
  <c r="KG26" i="18"/>
  <c r="T26" i="10"/>
  <c r="KH26" i="18"/>
  <c r="U26" i="10"/>
  <c r="KI26" i="18"/>
  <c r="V26" i="10"/>
  <c r="KJ26" i="18"/>
  <c r="W26" i="10"/>
  <c r="KK26" i="18"/>
  <c r="X26" i="10"/>
  <c r="KL26" i="18"/>
  <c r="Y26" i="10"/>
  <c r="KM26" i="18"/>
  <c r="Z26" i="10"/>
  <c r="KN26" i="18"/>
  <c r="AA26" i="10"/>
  <c r="KO26" i="18"/>
  <c r="AB26" i="10"/>
  <c r="KP26" i="18"/>
  <c r="AC26" i="10"/>
  <c r="KQ26" i="18"/>
  <c r="AD26" i="10"/>
  <c r="KR26" i="18"/>
  <c r="AE26" i="10"/>
  <c r="KS26" i="18"/>
  <c r="AF26" i="10"/>
  <c r="KT26" i="18"/>
  <c r="AG26" i="10"/>
  <c r="KU26" i="18"/>
  <c r="AH26" i="10"/>
  <c r="KV26" i="18"/>
  <c r="AI26" i="10"/>
  <c r="KW26" i="18"/>
  <c r="AJ26" i="10"/>
  <c r="JS26" i="18"/>
  <c r="F26" i="10"/>
  <c r="AK26" i="10"/>
  <c r="KY26" i="18"/>
  <c r="G26" i="11"/>
  <c r="KZ26" i="18"/>
  <c r="H26" i="11"/>
  <c r="LA26" i="18"/>
  <c r="I26" i="11"/>
  <c r="LB26" i="18"/>
  <c r="J26" i="11"/>
  <c r="LC26" i="18"/>
  <c r="K26" i="11"/>
  <c r="LD26" i="18"/>
  <c r="L26" i="11"/>
  <c r="LE26" i="18"/>
  <c r="M26" i="11"/>
  <c r="LF26" i="18"/>
  <c r="N26" i="11"/>
  <c r="LG26" i="18"/>
  <c r="O26" i="11"/>
  <c r="LH26" i="18"/>
  <c r="P26" i="11"/>
  <c r="LI26" i="18"/>
  <c r="Q26" i="11"/>
  <c r="LJ26" i="18"/>
  <c r="R26" i="11"/>
  <c r="LK26" i="18"/>
  <c r="S26" i="11"/>
  <c r="LL26" i="18"/>
  <c r="T26" i="11"/>
  <c r="LM26" i="18"/>
  <c r="U26" i="11"/>
  <c r="LN26" i="18"/>
  <c r="V26" i="11"/>
  <c r="LO26" i="18"/>
  <c r="W26" i="11"/>
  <c r="LP26" i="18"/>
  <c r="X26" i="11"/>
  <c r="LQ26" i="18"/>
  <c r="Y26" i="11"/>
  <c r="LR26" i="18"/>
  <c r="Z26" i="11"/>
  <c r="LS26" i="18"/>
  <c r="AA26" i="11"/>
  <c r="LT26" i="18"/>
  <c r="AB26" i="11"/>
  <c r="LU26" i="18"/>
  <c r="AC26" i="11"/>
  <c r="LV26" i="18"/>
  <c r="AD26" i="11"/>
  <c r="LW26" i="18"/>
  <c r="AE26" i="11"/>
  <c r="LX26" i="18"/>
  <c r="AF26" i="11"/>
  <c r="LY26" i="18"/>
  <c r="AG26" i="11"/>
  <c r="LZ26" i="18"/>
  <c r="AH26" i="11"/>
  <c r="MA26" i="18"/>
  <c r="AI26" i="11"/>
  <c r="KX26" i="18"/>
  <c r="F26" i="11"/>
  <c r="AK26" i="11"/>
  <c r="MC26" i="18"/>
  <c r="G26" i="12"/>
  <c r="MD26" i="18"/>
  <c r="H26" i="12"/>
  <c r="ME26" i="18"/>
  <c r="I26" i="12"/>
  <c r="MF26" i="18"/>
  <c r="J26" i="12"/>
  <c r="MG26" i="18"/>
  <c r="K26" i="12"/>
  <c r="MH26" i="18"/>
  <c r="L26" i="12"/>
  <c r="MI26" i="18"/>
  <c r="M26" i="12"/>
  <c r="MJ26" i="18"/>
  <c r="N26" i="12"/>
  <c r="MK26" i="18"/>
  <c r="O26" i="12"/>
  <c r="ML26" i="18"/>
  <c r="P26" i="12"/>
  <c r="MM26" i="18"/>
  <c r="Q26" i="12"/>
  <c r="MN26" i="18"/>
  <c r="R26" i="12"/>
  <c r="MO26" i="18"/>
  <c r="S26" i="12"/>
  <c r="MP26" i="18"/>
  <c r="T26" i="12"/>
  <c r="MQ26" i="18"/>
  <c r="U26" i="12"/>
  <c r="MR26" i="18"/>
  <c r="V26" i="12"/>
  <c r="MS26" i="18"/>
  <c r="W26" i="12"/>
  <c r="MT26" i="18"/>
  <c r="X26" i="12"/>
  <c r="MU26" i="18"/>
  <c r="Y26" i="12"/>
  <c r="MV26" i="18"/>
  <c r="Z26" i="12"/>
  <c r="MW26" i="18"/>
  <c r="AA26" i="12"/>
  <c r="MX26" i="18"/>
  <c r="AB26" i="12"/>
  <c r="MY26" i="18"/>
  <c r="AC26" i="12"/>
  <c r="MZ26" i="18"/>
  <c r="AD26" i="12"/>
  <c r="NA26" i="18"/>
  <c r="AE26" i="12"/>
  <c r="NB26" i="18"/>
  <c r="AF26" i="12"/>
  <c r="NC26" i="18"/>
  <c r="AG26" i="12"/>
  <c r="ND26" i="18"/>
  <c r="AH26" i="12"/>
  <c r="NE26" i="18"/>
  <c r="AI26" i="12"/>
  <c r="NF26" i="18"/>
  <c r="AJ26" i="12"/>
  <c r="MB26" i="18"/>
  <c r="F26" i="12"/>
  <c r="AK26" i="12"/>
  <c r="P22" i="13"/>
  <c r="G25" i="18"/>
  <c r="H25" i="18"/>
  <c r="I25" i="18"/>
  <c r="J25" i="18"/>
  <c r="K25" i="18"/>
  <c r="L25" i="18"/>
  <c r="M25" i="18"/>
  <c r="N25" i="18"/>
  <c r="O25" i="18"/>
  <c r="P25" i="18"/>
  <c r="Q25" i="18"/>
  <c r="R25" i="18"/>
  <c r="S25" i="18"/>
  <c r="T25" i="18"/>
  <c r="U25" i="18"/>
  <c r="V25" i="18"/>
  <c r="W25" i="18"/>
  <c r="X25" i="18"/>
  <c r="Y25" i="18"/>
  <c r="Z25" i="18"/>
  <c r="AA25" i="18"/>
  <c r="AB25" i="18"/>
  <c r="AC25" i="18"/>
  <c r="AD25" i="18"/>
  <c r="AE25" i="18"/>
  <c r="AF25" i="18"/>
  <c r="AG25" i="18"/>
  <c r="AH25" i="18"/>
  <c r="AI25" i="18"/>
  <c r="AJ25" i="18"/>
  <c r="F25" i="18"/>
  <c r="AL25" i="18"/>
  <c r="G25" i="2"/>
  <c r="AM25" i="18"/>
  <c r="H25" i="2"/>
  <c r="AN25" i="18"/>
  <c r="I25" i="2"/>
  <c r="AO25" i="18"/>
  <c r="J25" i="2"/>
  <c r="AP25" i="18"/>
  <c r="K25" i="2"/>
  <c r="AQ25" i="18"/>
  <c r="L25" i="2"/>
  <c r="AR25" i="18"/>
  <c r="M25" i="2"/>
  <c r="AS25" i="18"/>
  <c r="N25" i="2"/>
  <c r="AT25" i="18"/>
  <c r="O25" i="2"/>
  <c r="AU25" i="18"/>
  <c r="P25" i="2"/>
  <c r="AV25" i="18"/>
  <c r="Q25" i="2"/>
  <c r="AW25" i="18"/>
  <c r="R25" i="2"/>
  <c r="AX25" i="18"/>
  <c r="S25" i="2"/>
  <c r="AY25" i="18"/>
  <c r="T25" i="2"/>
  <c r="AZ25" i="18"/>
  <c r="U25" i="2"/>
  <c r="BA25" i="18"/>
  <c r="V25" i="2"/>
  <c r="BB25" i="18"/>
  <c r="W25" i="2"/>
  <c r="BC25" i="18"/>
  <c r="X25" i="2"/>
  <c r="BD25" i="18"/>
  <c r="Y25" i="2"/>
  <c r="BE25" i="18"/>
  <c r="Z25" i="2"/>
  <c r="BF25" i="18"/>
  <c r="AA25" i="2"/>
  <c r="BG25" i="18"/>
  <c r="AB25" i="2"/>
  <c r="BH25" i="18"/>
  <c r="AC25" i="2"/>
  <c r="BI25" i="18"/>
  <c r="AD25" i="2"/>
  <c r="BJ25" i="18"/>
  <c r="AE25" i="2"/>
  <c r="BK25" i="18"/>
  <c r="AF25" i="2"/>
  <c r="BL25" i="18"/>
  <c r="AG25" i="2"/>
  <c r="AI25" i="2"/>
  <c r="AK25" i="18"/>
  <c r="F25" i="2"/>
  <c r="AJ25" i="2"/>
  <c r="BN25" i="18"/>
  <c r="G25" i="3"/>
  <c r="BO25" i="18"/>
  <c r="H25" i="3"/>
  <c r="BP25" i="18"/>
  <c r="I25" i="3"/>
  <c r="BQ25" i="18"/>
  <c r="J25" i="3"/>
  <c r="BR25" i="18"/>
  <c r="K25" i="3"/>
  <c r="BS25" i="18"/>
  <c r="L25" i="3"/>
  <c r="BT25" i="18"/>
  <c r="M25" i="3"/>
  <c r="BU25" i="18"/>
  <c r="N25" i="3"/>
  <c r="BV25" i="18"/>
  <c r="O25" i="3"/>
  <c r="BW25" i="18"/>
  <c r="P25" i="3"/>
  <c r="BX25" i="18"/>
  <c r="Q25" i="3"/>
  <c r="BY25" i="18"/>
  <c r="R25" i="3"/>
  <c r="BZ25" i="18"/>
  <c r="S25" i="3"/>
  <c r="CA25" i="18"/>
  <c r="T25" i="3"/>
  <c r="CB25" i="18"/>
  <c r="U25" i="3"/>
  <c r="CC25" i="18"/>
  <c r="V25" i="3"/>
  <c r="CD25" i="18"/>
  <c r="W25" i="3"/>
  <c r="CE25" i="18"/>
  <c r="X25" i="3"/>
  <c r="CF25" i="18"/>
  <c r="Y25" i="3"/>
  <c r="CG25" i="18"/>
  <c r="Z25" i="3"/>
  <c r="CH25" i="18"/>
  <c r="AA25" i="3"/>
  <c r="CI25" i="18"/>
  <c r="AB25" i="3"/>
  <c r="CJ25" i="18"/>
  <c r="AC25" i="3"/>
  <c r="CK25" i="18"/>
  <c r="AD25" i="3"/>
  <c r="CL25" i="18"/>
  <c r="AE25" i="3"/>
  <c r="CM25" i="18"/>
  <c r="AF25" i="3"/>
  <c r="CN25" i="18"/>
  <c r="AG25" i="3"/>
  <c r="CO25" i="18"/>
  <c r="AH25" i="3"/>
  <c r="CP25" i="18"/>
  <c r="AI25" i="3"/>
  <c r="CQ25" i="18"/>
  <c r="AJ25" i="3"/>
  <c r="BM25" i="18"/>
  <c r="F25" i="3"/>
  <c r="AK25" i="3"/>
  <c r="CS25" i="18"/>
  <c r="G25" i="4"/>
  <c r="CT25" i="18"/>
  <c r="H25" i="4"/>
  <c r="CU25" i="18"/>
  <c r="I25" i="4"/>
  <c r="CV25" i="18"/>
  <c r="J25" i="4"/>
  <c r="CW25" i="18"/>
  <c r="K25" i="4"/>
  <c r="CX25" i="18"/>
  <c r="L25" i="4"/>
  <c r="CY25" i="18"/>
  <c r="M25" i="4"/>
  <c r="CZ25" i="18"/>
  <c r="N25" i="4"/>
  <c r="DA25" i="18"/>
  <c r="O25" i="4"/>
  <c r="DB25" i="18"/>
  <c r="P25" i="4"/>
  <c r="DC25" i="18"/>
  <c r="Q25" i="4"/>
  <c r="DD25" i="18"/>
  <c r="R25" i="4"/>
  <c r="DE25" i="18"/>
  <c r="S25" i="4"/>
  <c r="DF25" i="18"/>
  <c r="T25" i="4"/>
  <c r="DG25" i="18"/>
  <c r="U25" i="4"/>
  <c r="DH25" i="18"/>
  <c r="V25" i="4"/>
  <c r="DI25" i="18"/>
  <c r="W25" i="4"/>
  <c r="DJ25" i="18"/>
  <c r="X25" i="4"/>
  <c r="DK25" i="18"/>
  <c r="Y25" i="4"/>
  <c r="DL25" i="18"/>
  <c r="Z25" i="4"/>
  <c r="DM25" i="18"/>
  <c r="AA25" i="4"/>
  <c r="DN25" i="18"/>
  <c r="AB25" i="4"/>
  <c r="DO25" i="18"/>
  <c r="AC25" i="4"/>
  <c r="DP25" i="18"/>
  <c r="AD25" i="4"/>
  <c r="DQ25" i="18"/>
  <c r="AE25" i="4"/>
  <c r="DR25" i="18"/>
  <c r="AF25" i="4"/>
  <c r="DS25" i="18"/>
  <c r="AG25" i="4"/>
  <c r="DT25" i="18"/>
  <c r="AH25" i="4"/>
  <c r="DU25" i="18"/>
  <c r="AI25" i="4"/>
  <c r="CR25" i="18"/>
  <c r="F25" i="4"/>
  <c r="AK25" i="4"/>
  <c r="DW25" i="18"/>
  <c r="G25" i="5"/>
  <c r="DX25" i="18"/>
  <c r="H25" i="5"/>
  <c r="DY25" i="18"/>
  <c r="I25" i="5"/>
  <c r="DZ25" i="18"/>
  <c r="J25" i="5"/>
  <c r="EA25" i="18"/>
  <c r="K25" i="5"/>
  <c r="EB25" i="18"/>
  <c r="L25" i="5"/>
  <c r="EC25" i="18"/>
  <c r="M25" i="5"/>
  <c r="ED25" i="18"/>
  <c r="N25" i="5"/>
  <c r="EE25" i="18"/>
  <c r="O25" i="5"/>
  <c r="EF25" i="18"/>
  <c r="P25" i="5"/>
  <c r="EG25" i="18"/>
  <c r="Q25" i="5"/>
  <c r="EH25" i="18"/>
  <c r="R25" i="5"/>
  <c r="EI25" i="18"/>
  <c r="S25" i="5"/>
  <c r="EJ25" i="18"/>
  <c r="T25" i="5"/>
  <c r="EK25" i="18"/>
  <c r="U25" i="5"/>
  <c r="EL25" i="18"/>
  <c r="V25" i="5"/>
  <c r="EM25" i="18"/>
  <c r="W25" i="5"/>
  <c r="EN25" i="18"/>
  <c r="X25" i="5"/>
  <c r="EO25" i="18"/>
  <c r="Y25" i="5"/>
  <c r="EP25" i="18"/>
  <c r="Z25" i="5"/>
  <c r="EQ25" i="18"/>
  <c r="AA25" i="5"/>
  <c r="ER25" i="18"/>
  <c r="AB25" i="5"/>
  <c r="ES25" i="18"/>
  <c r="AC25" i="5"/>
  <c r="ET25" i="18"/>
  <c r="AD25" i="5"/>
  <c r="EU25" i="18"/>
  <c r="AE25" i="5"/>
  <c r="EV25" i="18"/>
  <c r="AF25" i="5"/>
  <c r="EW25" i="18"/>
  <c r="AG25" i="5"/>
  <c r="EX25" i="18"/>
  <c r="AH25" i="5"/>
  <c r="EY25" i="18"/>
  <c r="AI25" i="5"/>
  <c r="EZ25" i="18"/>
  <c r="AJ25" i="5"/>
  <c r="DV25" i="18"/>
  <c r="F25" i="5"/>
  <c r="AK25" i="5"/>
  <c r="FB25" i="18"/>
  <c r="G25" i="6"/>
  <c r="FC25" i="18"/>
  <c r="H25" i="6"/>
  <c r="FD25" i="18"/>
  <c r="I25" i="6"/>
  <c r="FE25" i="18"/>
  <c r="J25" i="6"/>
  <c r="FF25" i="18"/>
  <c r="K25" i="6"/>
  <c r="FG25" i="18"/>
  <c r="L25" i="6"/>
  <c r="FH25" i="18"/>
  <c r="M25" i="6"/>
  <c r="FI25" i="18"/>
  <c r="N25" i="6"/>
  <c r="FJ25" i="18"/>
  <c r="O25" i="6"/>
  <c r="FK25" i="18"/>
  <c r="P25" i="6"/>
  <c r="FL25" i="18"/>
  <c r="Q25" i="6"/>
  <c r="FM25" i="18"/>
  <c r="R25" i="6"/>
  <c r="FN25" i="18"/>
  <c r="S25" i="6"/>
  <c r="FO25" i="18"/>
  <c r="T25" i="6"/>
  <c r="FP25" i="18"/>
  <c r="U25" i="6"/>
  <c r="FQ25" i="18"/>
  <c r="V25" i="6"/>
  <c r="FR25" i="18"/>
  <c r="W25" i="6"/>
  <c r="FS25" i="18"/>
  <c r="X25" i="6"/>
  <c r="FT25" i="18"/>
  <c r="Y25" i="6"/>
  <c r="FU25" i="18"/>
  <c r="Z25" i="6"/>
  <c r="FV25" i="18"/>
  <c r="AA25" i="6"/>
  <c r="FW25" i="18"/>
  <c r="AB25" i="6"/>
  <c r="FX25" i="18"/>
  <c r="AC25" i="6"/>
  <c r="FY25" i="18"/>
  <c r="AD25" i="6"/>
  <c r="FZ25" i="18"/>
  <c r="AE25" i="6"/>
  <c r="GA25" i="18"/>
  <c r="AF25" i="6"/>
  <c r="GB25" i="18"/>
  <c r="AG25" i="6"/>
  <c r="GC25" i="18"/>
  <c r="AH25" i="6"/>
  <c r="GD25" i="18"/>
  <c r="AI25" i="6"/>
  <c r="FA25" i="18"/>
  <c r="F25" i="6"/>
  <c r="AK25" i="6"/>
  <c r="GF25" i="18"/>
  <c r="G25" i="7"/>
  <c r="GG25" i="18"/>
  <c r="H25" i="7"/>
  <c r="GH25" i="18"/>
  <c r="I25" i="7"/>
  <c r="GI25" i="18"/>
  <c r="J25" i="7"/>
  <c r="GJ25" i="18"/>
  <c r="K25" i="7"/>
  <c r="GK25" i="18"/>
  <c r="L25" i="7"/>
  <c r="GL25" i="18"/>
  <c r="M25" i="7"/>
  <c r="GM25" i="18"/>
  <c r="N25" i="7"/>
  <c r="GN25" i="18"/>
  <c r="O25" i="7"/>
  <c r="GO25" i="18"/>
  <c r="P25" i="7"/>
  <c r="GP25" i="18"/>
  <c r="Q25" i="7"/>
  <c r="GQ25" i="18"/>
  <c r="R25" i="7"/>
  <c r="GR25" i="18"/>
  <c r="S25" i="7"/>
  <c r="GS25" i="18"/>
  <c r="T25" i="7"/>
  <c r="GT25" i="18"/>
  <c r="U25" i="7"/>
  <c r="GU25" i="18"/>
  <c r="V25" i="7"/>
  <c r="GV25" i="18"/>
  <c r="W25" i="7"/>
  <c r="GW25" i="18"/>
  <c r="X25" i="7"/>
  <c r="GX25" i="18"/>
  <c r="Y25" i="7"/>
  <c r="GY25" i="18"/>
  <c r="Z25" i="7"/>
  <c r="GZ25" i="18"/>
  <c r="AA25" i="7"/>
  <c r="HA25" i="18"/>
  <c r="AB25" i="7"/>
  <c r="HB25" i="18"/>
  <c r="AC25" i="7"/>
  <c r="HC25" i="18"/>
  <c r="AD25" i="7"/>
  <c r="HD25" i="18"/>
  <c r="AE25" i="7"/>
  <c r="HE25" i="18"/>
  <c r="AF25" i="7"/>
  <c r="HF25" i="18"/>
  <c r="AG25" i="7"/>
  <c r="HG25" i="18"/>
  <c r="AH25" i="7"/>
  <c r="HH25" i="18"/>
  <c r="AI25" i="7"/>
  <c r="HI25" i="18"/>
  <c r="AJ25" i="7"/>
  <c r="GE25" i="18"/>
  <c r="F25" i="7"/>
  <c r="AK25" i="7"/>
  <c r="HK25" i="18"/>
  <c r="G25" i="8"/>
  <c r="HL25" i="18"/>
  <c r="H25" i="8"/>
  <c r="HM25" i="18"/>
  <c r="I25" i="8"/>
  <c r="HN25" i="18"/>
  <c r="J25" i="8"/>
  <c r="HO25" i="18"/>
  <c r="K25" i="8"/>
  <c r="HP25" i="18"/>
  <c r="L25" i="8"/>
  <c r="HQ25" i="18"/>
  <c r="M25" i="8"/>
  <c r="HR25" i="18"/>
  <c r="N25" i="8"/>
  <c r="HS25" i="18"/>
  <c r="O25" i="8"/>
  <c r="HT25" i="18"/>
  <c r="P25" i="8"/>
  <c r="HU25" i="18"/>
  <c r="Q25" i="8"/>
  <c r="HV25" i="18"/>
  <c r="R25" i="8"/>
  <c r="HW25" i="18"/>
  <c r="S25" i="8"/>
  <c r="HX25" i="18"/>
  <c r="T25" i="8"/>
  <c r="HY25" i="18"/>
  <c r="U25" i="8"/>
  <c r="HZ25" i="18"/>
  <c r="V25" i="8"/>
  <c r="IA25" i="18"/>
  <c r="W25" i="8"/>
  <c r="IB25" i="18"/>
  <c r="X25" i="8"/>
  <c r="IC25" i="18"/>
  <c r="Y25" i="8"/>
  <c r="ID25" i="18"/>
  <c r="Z25" i="8"/>
  <c r="IE25" i="18"/>
  <c r="AA25" i="8"/>
  <c r="IF25" i="18"/>
  <c r="AB25" i="8"/>
  <c r="IG25" i="18"/>
  <c r="AC25" i="8"/>
  <c r="IH25" i="18"/>
  <c r="AD25" i="8"/>
  <c r="II25" i="18"/>
  <c r="AE25" i="8"/>
  <c r="IJ25" i="18"/>
  <c r="AF25" i="8"/>
  <c r="IK25" i="18"/>
  <c r="AG25" i="8"/>
  <c r="IL25" i="18"/>
  <c r="AH25" i="8"/>
  <c r="IM25" i="18"/>
  <c r="AI25" i="8"/>
  <c r="IN25" i="18"/>
  <c r="AJ25" i="8"/>
  <c r="HJ25" i="18"/>
  <c r="F25" i="8"/>
  <c r="AK25" i="8"/>
  <c r="IP25" i="18"/>
  <c r="G25" i="9"/>
  <c r="IQ25" i="18"/>
  <c r="H25" i="9"/>
  <c r="IR25" i="18"/>
  <c r="I25" i="9"/>
  <c r="IS25" i="18"/>
  <c r="J25" i="9"/>
  <c r="IT25" i="18"/>
  <c r="K25" i="9"/>
  <c r="IU25" i="18"/>
  <c r="L25" i="9"/>
  <c r="IV25" i="18"/>
  <c r="M25" i="9"/>
  <c r="IW25" i="18"/>
  <c r="N25" i="9"/>
  <c r="IX25" i="18"/>
  <c r="O25" i="9"/>
  <c r="IY25" i="18"/>
  <c r="P25" i="9"/>
  <c r="IZ25" i="18"/>
  <c r="Q25" i="9"/>
  <c r="JA25" i="18"/>
  <c r="R25" i="9"/>
  <c r="JB25" i="18"/>
  <c r="S25" i="9"/>
  <c r="JC25" i="18"/>
  <c r="T25" i="9"/>
  <c r="JD25" i="18"/>
  <c r="U25" i="9"/>
  <c r="JE25" i="18"/>
  <c r="V25" i="9"/>
  <c r="JF25" i="18"/>
  <c r="W25" i="9"/>
  <c r="JG25" i="18"/>
  <c r="X25" i="9"/>
  <c r="JH25" i="18"/>
  <c r="Y25" i="9"/>
  <c r="JI25" i="18"/>
  <c r="Z25" i="9"/>
  <c r="JJ25" i="18"/>
  <c r="AA25" i="9"/>
  <c r="JK25" i="18"/>
  <c r="AB25" i="9"/>
  <c r="JL25" i="18"/>
  <c r="AC25" i="9"/>
  <c r="JM25" i="18"/>
  <c r="AD25" i="9"/>
  <c r="JN25" i="18"/>
  <c r="AE25" i="9"/>
  <c r="JO25" i="18"/>
  <c r="AF25" i="9"/>
  <c r="JP25" i="18"/>
  <c r="AG25" i="9"/>
  <c r="JQ25" i="18"/>
  <c r="AH25" i="9"/>
  <c r="JR25" i="18"/>
  <c r="AI25" i="9"/>
  <c r="IO25" i="18"/>
  <c r="F25" i="9"/>
  <c r="AK25" i="9"/>
  <c r="JT25" i="18"/>
  <c r="G25" i="10"/>
  <c r="JU25" i="18"/>
  <c r="H25" i="10"/>
  <c r="JV25" i="18"/>
  <c r="I25" i="10"/>
  <c r="JW25" i="18"/>
  <c r="J25" i="10"/>
  <c r="JX25" i="18"/>
  <c r="K25" i="10"/>
  <c r="JY25" i="18"/>
  <c r="L25" i="10"/>
  <c r="JZ25" i="18"/>
  <c r="M25" i="10"/>
  <c r="KA25" i="18"/>
  <c r="N25" i="10"/>
  <c r="KB25" i="18"/>
  <c r="O25" i="10"/>
  <c r="KC25" i="18"/>
  <c r="P25" i="10"/>
  <c r="KD25" i="18"/>
  <c r="Q25" i="10"/>
  <c r="KE25" i="18"/>
  <c r="R25" i="10"/>
  <c r="KF25" i="18"/>
  <c r="S25" i="10"/>
  <c r="KG25" i="18"/>
  <c r="T25" i="10"/>
  <c r="KH25" i="18"/>
  <c r="U25" i="10"/>
  <c r="KI25" i="18"/>
  <c r="V25" i="10"/>
  <c r="KJ25" i="18"/>
  <c r="W25" i="10"/>
  <c r="KK25" i="18"/>
  <c r="X25" i="10"/>
  <c r="KL25" i="18"/>
  <c r="Y25" i="10"/>
  <c r="KM25" i="18"/>
  <c r="Z25" i="10"/>
  <c r="KN25" i="18"/>
  <c r="AA25" i="10"/>
  <c r="KO25" i="18"/>
  <c r="AB25" i="10"/>
  <c r="KP25" i="18"/>
  <c r="AC25" i="10"/>
  <c r="KQ25" i="18"/>
  <c r="AD25" i="10"/>
  <c r="KR25" i="18"/>
  <c r="AE25" i="10"/>
  <c r="KS25" i="18"/>
  <c r="AF25" i="10"/>
  <c r="KT25" i="18"/>
  <c r="AG25" i="10"/>
  <c r="KU25" i="18"/>
  <c r="AH25" i="10"/>
  <c r="KV25" i="18"/>
  <c r="AI25" i="10"/>
  <c r="KW25" i="18"/>
  <c r="AJ25" i="10"/>
  <c r="JS25" i="18"/>
  <c r="F25" i="10"/>
  <c r="AK25" i="10"/>
  <c r="KY25" i="18"/>
  <c r="G25" i="11"/>
  <c r="KZ25" i="18"/>
  <c r="H25" i="11"/>
  <c r="LA25" i="18"/>
  <c r="I25" i="11"/>
  <c r="LB25" i="18"/>
  <c r="J25" i="11"/>
  <c r="LC25" i="18"/>
  <c r="K25" i="11"/>
  <c r="LD25" i="18"/>
  <c r="L25" i="11"/>
  <c r="LE25" i="18"/>
  <c r="M25" i="11"/>
  <c r="LF25" i="18"/>
  <c r="N25" i="11"/>
  <c r="LG25" i="18"/>
  <c r="O25" i="11"/>
  <c r="LH25" i="18"/>
  <c r="P25" i="11"/>
  <c r="LI25" i="18"/>
  <c r="Q25" i="11"/>
  <c r="LJ25" i="18"/>
  <c r="R25" i="11"/>
  <c r="LK25" i="18"/>
  <c r="S25" i="11"/>
  <c r="LL25" i="18"/>
  <c r="T25" i="11"/>
  <c r="LM25" i="18"/>
  <c r="U25" i="11"/>
  <c r="LN25" i="18"/>
  <c r="V25" i="11"/>
  <c r="LO25" i="18"/>
  <c r="W25" i="11"/>
  <c r="LP25" i="18"/>
  <c r="X25" i="11"/>
  <c r="LQ25" i="18"/>
  <c r="Y25" i="11"/>
  <c r="LR25" i="18"/>
  <c r="Z25" i="11"/>
  <c r="LS25" i="18"/>
  <c r="AA25" i="11"/>
  <c r="LT25" i="18"/>
  <c r="AB25" i="11"/>
  <c r="LU25" i="18"/>
  <c r="AC25" i="11"/>
  <c r="LV25" i="18"/>
  <c r="AD25" i="11"/>
  <c r="LW25" i="18"/>
  <c r="AE25" i="11"/>
  <c r="LX25" i="18"/>
  <c r="AF25" i="11"/>
  <c r="LY25" i="18"/>
  <c r="AG25" i="11"/>
  <c r="LZ25" i="18"/>
  <c r="AH25" i="11"/>
  <c r="MA25" i="18"/>
  <c r="AI25" i="11"/>
  <c r="KX25" i="18"/>
  <c r="F25" i="11"/>
  <c r="AK25" i="11"/>
  <c r="MC25" i="18"/>
  <c r="G25" i="12"/>
  <c r="MD25" i="18"/>
  <c r="H25" i="12"/>
  <c r="ME25" i="18"/>
  <c r="I25" i="12"/>
  <c r="MF25" i="18"/>
  <c r="J25" i="12"/>
  <c r="MG25" i="18"/>
  <c r="K25" i="12"/>
  <c r="MH25" i="18"/>
  <c r="L25" i="12"/>
  <c r="MI25" i="18"/>
  <c r="M25" i="12"/>
  <c r="MJ25" i="18"/>
  <c r="N25" i="12"/>
  <c r="MK25" i="18"/>
  <c r="O25" i="12"/>
  <c r="ML25" i="18"/>
  <c r="P25" i="12"/>
  <c r="MM25" i="18"/>
  <c r="Q25" i="12"/>
  <c r="MN25" i="18"/>
  <c r="R25" i="12"/>
  <c r="MO25" i="18"/>
  <c r="S25" i="12"/>
  <c r="MP25" i="18"/>
  <c r="T25" i="12"/>
  <c r="MQ25" i="18"/>
  <c r="U25" i="12"/>
  <c r="MR25" i="18"/>
  <c r="V25" i="12"/>
  <c r="MS25" i="18"/>
  <c r="W25" i="12"/>
  <c r="MT25" i="18"/>
  <c r="X25" i="12"/>
  <c r="MU25" i="18"/>
  <c r="Y25" i="12"/>
  <c r="MV25" i="18"/>
  <c r="Z25" i="12"/>
  <c r="MW25" i="18"/>
  <c r="AA25" i="12"/>
  <c r="MX25" i="18"/>
  <c r="AB25" i="12"/>
  <c r="MY25" i="18"/>
  <c r="AC25" i="12"/>
  <c r="MZ25" i="18"/>
  <c r="AD25" i="12"/>
  <c r="NA25" i="18"/>
  <c r="AE25" i="12"/>
  <c r="NB25" i="18"/>
  <c r="AF25" i="12"/>
  <c r="NC25" i="18"/>
  <c r="AG25" i="12"/>
  <c r="ND25" i="18"/>
  <c r="AH25" i="12"/>
  <c r="NE25" i="18"/>
  <c r="AI25" i="12"/>
  <c r="NF25" i="18"/>
  <c r="AJ25" i="12"/>
  <c r="MB25" i="18"/>
  <c r="F25" i="12"/>
  <c r="AK25" i="12"/>
  <c r="P21" i="13"/>
  <c r="G24" i="18"/>
  <c r="H24" i="18"/>
  <c r="I24" i="18"/>
  <c r="J24" i="18"/>
  <c r="K24" i="18"/>
  <c r="L24" i="18"/>
  <c r="M24" i="18"/>
  <c r="N24" i="18"/>
  <c r="O24" i="18"/>
  <c r="P24" i="18"/>
  <c r="Q24" i="18"/>
  <c r="R24" i="18"/>
  <c r="S24" i="18"/>
  <c r="T24" i="18"/>
  <c r="U24" i="18"/>
  <c r="V24" i="18"/>
  <c r="W24" i="18"/>
  <c r="X24" i="18"/>
  <c r="Y24" i="18"/>
  <c r="Z24" i="18"/>
  <c r="AA24" i="18"/>
  <c r="AB24" i="18"/>
  <c r="AC24" i="18"/>
  <c r="AD24" i="18"/>
  <c r="AE24" i="18"/>
  <c r="AF24" i="18"/>
  <c r="AG24" i="18"/>
  <c r="AH24" i="18"/>
  <c r="AI24" i="18"/>
  <c r="AJ24" i="18"/>
  <c r="F24" i="18"/>
  <c r="AL24" i="18"/>
  <c r="G24" i="2"/>
  <c r="AM24" i="18"/>
  <c r="H24" i="2"/>
  <c r="AN24" i="18"/>
  <c r="I24" i="2"/>
  <c r="AO24" i="18"/>
  <c r="J24" i="2"/>
  <c r="AP24" i="18"/>
  <c r="K24" i="2"/>
  <c r="AQ24" i="18"/>
  <c r="L24" i="2"/>
  <c r="AR24" i="18"/>
  <c r="M24" i="2"/>
  <c r="AS24" i="18"/>
  <c r="N24" i="2"/>
  <c r="AT24" i="18"/>
  <c r="O24" i="2"/>
  <c r="AU24" i="18"/>
  <c r="P24" i="2"/>
  <c r="AV24" i="18"/>
  <c r="Q24" i="2"/>
  <c r="AW24" i="18"/>
  <c r="R24" i="2"/>
  <c r="AX24" i="18"/>
  <c r="S24" i="2"/>
  <c r="AY24" i="18"/>
  <c r="T24" i="2"/>
  <c r="AZ24" i="18"/>
  <c r="U24" i="2"/>
  <c r="BA24" i="18"/>
  <c r="V24" i="2"/>
  <c r="BB24" i="18"/>
  <c r="W24" i="2"/>
  <c r="BC24" i="18"/>
  <c r="X24" i="2"/>
  <c r="BD24" i="18"/>
  <c r="Y24" i="2"/>
  <c r="BE24" i="18"/>
  <c r="Z24" i="2"/>
  <c r="BF24" i="18"/>
  <c r="AA24" i="2"/>
  <c r="BG24" i="18"/>
  <c r="AB24" i="2"/>
  <c r="BH24" i="18"/>
  <c r="AC24" i="2"/>
  <c r="BI24" i="18"/>
  <c r="AD24" i="2"/>
  <c r="BJ24" i="18"/>
  <c r="AE24" i="2"/>
  <c r="BK24" i="18"/>
  <c r="AF24" i="2"/>
  <c r="BL24" i="18"/>
  <c r="AG24" i="2"/>
  <c r="AI24" i="2"/>
  <c r="AK24" i="18"/>
  <c r="F24" i="2"/>
  <c r="AJ24" i="2"/>
  <c r="BN24" i="18"/>
  <c r="G24" i="3"/>
  <c r="BO24" i="18"/>
  <c r="H24" i="3"/>
  <c r="BP24" i="18"/>
  <c r="I24" i="3"/>
  <c r="BQ24" i="18"/>
  <c r="J24" i="3"/>
  <c r="BR24" i="18"/>
  <c r="K24" i="3"/>
  <c r="BS24" i="18"/>
  <c r="L24" i="3"/>
  <c r="BT24" i="18"/>
  <c r="M24" i="3"/>
  <c r="BU24" i="18"/>
  <c r="N24" i="3"/>
  <c r="BV24" i="18"/>
  <c r="O24" i="3"/>
  <c r="BW24" i="18"/>
  <c r="P24" i="3"/>
  <c r="BX24" i="18"/>
  <c r="Q24" i="3"/>
  <c r="BY24" i="18"/>
  <c r="R24" i="3"/>
  <c r="BZ24" i="18"/>
  <c r="S24" i="3"/>
  <c r="CA24" i="18"/>
  <c r="T24" i="3"/>
  <c r="CB24" i="18"/>
  <c r="U24" i="3"/>
  <c r="CC24" i="18"/>
  <c r="V24" i="3"/>
  <c r="CD24" i="18"/>
  <c r="W24" i="3"/>
  <c r="CE24" i="18"/>
  <c r="X24" i="3"/>
  <c r="CF24" i="18"/>
  <c r="Y24" i="3"/>
  <c r="CG24" i="18"/>
  <c r="Z24" i="3"/>
  <c r="CH24" i="18"/>
  <c r="AA24" i="3"/>
  <c r="CI24" i="18"/>
  <c r="AB24" i="3"/>
  <c r="CJ24" i="18"/>
  <c r="AC24" i="3"/>
  <c r="CK24" i="18"/>
  <c r="AD24" i="3"/>
  <c r="CL24" i="18"/>
  <c r="AE24" i="3"/>
  <c r="CM24" i="18"/>
  <c r="AF24" i="3"/>
  <c r="CN24" i="18"/>
  <c r="AG24" i="3"/>
  <c r="CO24" i="18"/>
  <c r="AH24" i="3"/>
  <c r="CP24" i="18"/>
  <c r="AI24" i="3"/>
  <c r="CQ24" i="18"/>
  <c r="AJ24" i="3"/>
  <c r="BM24" i="18"/>
  <c r="F24" i="3"/>
  <c r="AK24" i="3"/>
  <c r="CS24" i="18"/>
  <c r="G24" i="4"/>
  <c r="CT24" i="18"/>
  <c r="H24" i="4"/>
  <c r="CU24" i="18"/>
  <c r="I24" i="4"/>
  <c r="CV24" i="18"/>
  <c r="J24" i="4"/>
  <c r="CW24" i="18"/>
  <c r="K24" i="4"/>
  <c r="CX24" i="18"/>
  <c r="L24" i="4"/>
  <c r="CY24" i="18"/>
  <c r="M24" i="4"/>
  <c r="CZ24" i="18"/>
  <c r="N24" i="4"/>
  <c r="DA24" i="18"/>
  <c r="O24" i="4"/>
  <c r="DB24" i="18"/>
  <c r="P24" i="4"/>
  <c r="DC24" i="18"/>
  <c r="Q24" i="4"/>
  <c r="DD24" i="18"/>
  <c r="R24" i="4"/>
  <c r="DE24" i="18"/>
  <c r="S24" i="4"/>
  <c r="DF24" i="18"/>
  <c r="T24" i="4"/>
  <c r="DG24" i="18"/>
  <c r="U24" i="4"/>
  <c r="DH24" i="18"/>
  <c r="V24" i="4"/>
  <c r="DI24" i="18"/>
  <c r="W24" i="4"/>
  <c r="DJ24" i="18"/>
  <c r="X24" i="4"/>
  <c r="DK24" i="18"/>
  <c r="Y24" i="4"/>
  <c r="DL24" i="18"/>
  <c r="Z24" i="4"/>
  <c r="DM24" i="18"/>
  <c r="AA24" i="4"/>
  <c r="DN24" i="18"/>
  <c r="AB24" i="4"/>
  <c r="DO24" i="18"/>
  <c r="AC24" i="4"/>
  <c r="DP24" i="18"/>
  <c r="AD24" i="4"/>
  <c r="DQ24" i="18"/>
  <c r="AE24" i="4"/>
  <c r="DR24" i="18"/>
  <c r="AF24" i="4"/>
  <c r="DS24" i="18"/>
  <c r="AG24" i="4"/>
  <c r="DT24" i="18"/>
  <c r="AH24" i="4"/>
  <c r="DU24" i="18"/>
  <c r="AI24" i="4"/>
  <c r="CR24" i="18"/>
  <c r="F24" i="4"/>
  <c r="AK24" i="4"/>
  <c r="DW24" i="18"/>
  <c r="G24" i="5"/>
  <c r="DX24" i="18"/>
  <c r="H24" i="5"/>
  <c r="DY24" i="18"/>
  <c r="I24" i="5"/>
  <c r="DZ24" i="18"/>
  <c r="J24" i="5"/>
  <c r="EA24" i="18"/>
  <c r="K24" i="5"/>
  <c r="EB24" i="18"/>
  <c r="L24" i="5"/>
  <c r="EC24" i="18"/>
  <c r="M24" i="5"/>
  <c r="ED24" i="18"/>
  <c r="N24" i="5"/>
  <c r="EE24" i="18"/>
  <c r="O24" i="5"/>
  <c r="EF24" i="18"/>
  <c r="P24" i="5"/>
  <c r="EG24" i="18"/>
  <c r="Q24" i="5"/>
  <c r="EH24" i="18"/>
  <c r="R24" i="5"/>
  <c r="EI24" i="18"/>
  <c r="S24" i="5"/>
  <c r="EJ24" i="18"/>
  <c r="T24" i="5"/>
  <c r="EK24" i="18"/>
  <c r="U24" i="5"/>
  <c r="EL24" i="18"/>
  <c r="V24" i="5"/>
  <c r="EM24" i="18"/>
  <c r="W24" i="5"/>
  <c r="EN24" i="18"/>
  <c r="X24" i="5"/>
  <c r="EO24" i="18"/>
  <c r="Y24" i="5"/>
  <c r="EP24" i="18"/>
  <c r="Z24" i="5"/>
  <c r="EQ24" i="18"/>
  <c r="AA24" i="5"/>
  <c r="ER24" i="18"/>
  <c r="AB24" i="5"/>
  <c r="ES24" i="18"/>
  <c r="AC24" i="5"/>
  <c r="ET24" i="18"/>
  <c r="AD24" i="5"/>
  <c r="EU24" i="18"/>
  <c r="AE24" i="5"/>
  <c r="EV24" i="18"/>
  <c r="AF24" i="5"/>
  <c r="EW24" i="18"/>
  <c r="AG24" i="5"/>
  <c r="EX24" i="18"/>
  <c r="AH24" i="5"/>
  <c r="EY24" i="18"/>
  <c r="AI24" i="5"/>
  <c r="EZ24" i="18"/>
  <c r="AJ24" i="5"/>
  <c r="DV24" i="18"/>
  <c r="F24" i="5"/>
  <c r="AK24" i="5"/>
  <c r="FB24" i="18"/>
  <c r="G24" i="6"/>
  <c r="FC24" i="18"/>
  <c r="H24" i="6"/>
  <c r="FD24" i="18"/>
  <c r="I24" i="6"/>
  <c r="FE24" i="18"/>
  <c r="J24" i="6"/>
  <c r="FF24" i="18"/>
  <c r="K24" i="6"/>
  <c r="FG24" i="18"/>
  <c r="L24" i="6"/>
  <c r="FH24" i="18"/>
  <c r="M24" i="6"/>
  <c r="FI24" i="18"/>
  <c r="N24" i="6"/>
  <c r="FJ24" i="18"/>
  <c r="O24" i="6"/>
  <c r="FK24" i="18"/>
  <c r="P24" i="6"/>
  <c r="FL24" i="18"/>
  <c r="Q24" i="6"/>
  <c r="FM24" i="18"/>
  <c r="R24" i="6"/>
  <c r="FN24" i="18"/>
  <c r="S24" i="6"/>
  <c r="FO24" i="18"/>
  <c r="T24" i="6"/>
  <c r="FP24" i="18"/>
  <c r="U24" i="6"/>
  <c r="FQ24" i="18"/>
  <c r="V24" i="6"/>
  <c r="FR24" i="18"/>
  <c r="W24" i="6"/>
  <c r="FS24" i="18"/>
  <c r="X24" i="6"/>
  <c r="FT24" i="18"/>
  <c r="Y24" i="6"/>
  <c r="FU24" i="18"/>
  <c r="Z24" i="6"/>
  <c r="FV24" i="18"/>
  <c r="AA24" i="6"/>
  <c r="FW24" i="18"/>
  <c r="AB24" i="6"/>
  <c r="FX24" i="18"/>
  <c r="AC24" i="6"/>
  <c r="FY24" i="18"/>
  <c r="AD24" i="6"/>
  <c r="FZ24" i="18"/>
  <c r="AE24" i="6"/>
  <c r="GA24" i="18"/>
  <c r="AF24" i="6"/>
  <c r="GB24" i="18"/>
  <c r="AG24" i="6"/>
  <c r="GC24" i="18"/>
  <c r="AH24" i="6"/>
  <c r="GD24" i="18"/>
  <c r="AI24" i="6"/>
  <c r="FA24" i="18"/>
  <c r="F24" i="6"/>
  <c r="AK24" i="6"/>
  <c r="GF24" i="18"/>
  <c r="G24" i="7"/>
  <c r="GG24" i="18"/>
  <c r="H24" i="7"/>
  <c r="GH24" i="18"/>
  <c r="I24" i="7"/>
  <c r="GI24" i="18"/>
  <c r="J24" i="7"/>
  <c r="GJ24" i="18"/>
  <c r="K24" i="7"/>
  <c r="GK24" i="18"/>
  <c r="L24" i="7"/>
  <c r="GL24" i="18"/>
  <c r="M24" i="7"/>
  <c r="GM24" i="18"/>
  <c r="N24" i="7"/>
  <c r="GN24" i="18"/>
  <c r="O24" i="7"/>
  <c r="GO24" i="18"/>
  <c r="P24" i="7"/>
  <c r="GP24" i="18"/>
  <c r="Q24" i="7"/>
  <c r="GQ24" i="18"/>
  <c r="R24" i="7"/>
  <c r="GR24" i="18"/>
  <c r="S24" i="7"/>
  <c r="GS24" i="18"/>
  <c r="T24" i="7"/>
  <c r="GT24" i="18"/>
  <c r="U24" i="7"/>
  <c r="GU24" i="18"/>
  <c r="V24" i="7"/>
  <c r="GV24" i="18"/>
  <c r="W24" i="7"/>
  <c r="GW24" i="18"/>
  <c r="X24" i="7"/>
  <c r="GX24" i="18"/>
  <c r="Y24" i="7"/>
  <c r="GY24" i="18"/>
  <c r="Z24" i="7"/>
  <c r="GZ24" i="18"/>
  <c r="AA24" i="7"/>
  <c r="HA24" i="18"/>
  <c r="AB24" i="7"/>
  <c r="HB24" i="18"/>
  <c r="AC24" i="7"/>
  <c r="HC24" i="18"/>
  <c r="AD24" i="7"/>
  <c r="HD24" i="18"/>
  <c r="AE24" i="7"/>
  <c r="HE24" i="18"/>
  <c r="AF24" i="7"/>
  <c r="HF24" i="18"/>
  <c r="AG24" i="7"/>
  <c r="HG24" i="18"/>
  <c r="AH24" i="7"/>
  <c r="HH24" i="18"/>
  <c r="AI24" i="7"/>
  <c r="HI24" i="18"/>
  <c r="AJ24" i="7"/>
  <c r="GE24" i="18"/>
  <c r="F24" i="7"/>
  <c r="AK24" i="7"/>
  <c r="HK24" i="18"/>
  <c r="G24" i="8"/>
  <c r="HL24" i="18"/>
  <c r="H24" i="8"/>
  <c r="HM24" i="18"/>
  <c r="I24" i="8"/>
  <c r="HN24" i="18"/>
  <c r="J24" i="8"/>
  <c r="HO24" i="18"/>
  <c r="K24" i="8"/>
  <c r="HP24" i="18"/>
  <c r="L24" i="8"/>
  <c r="HQ24" i="18"/>
  <c r="M24" i="8"/>
  <c r="HR24" i="18"/>
  <c r="N24" i="8"/>
  <c r="HS24" i="18"/>
  <c r="O24" i="8"/>
  <c r="HT24" i="18"/>
  <c r="P24" i="8"/>
  <c r="HU24" i="18"/>
  <c r="Q24" i="8"/>
  <c r="HV24" i="18"/>
  <c r="R24" i="8"/>
  <c r="HW24" i="18"/>
  <c r="S24" i="8"/>
  <c r="HX24" i="18"/>
  <c r="T24" i="8"/>
  <c r="HY24" i="18"/>
  <c r="U24" i="8"/>
  <c r="HZ24" i="18"/>
  <c r="V24" i="8"/>
  <c r="IA24" i="18"/>
  <c r="W24" i="8"/>
  <c r="IB24" i="18"/>
  <c r="X24" i="8"/>
  <c r="IC24" i="18"/>
  <c r="Y24" i="8"/>
  <c r="ID24" i="18"/>
  <c r="Z24" i="8"/>
  <c r="IE24" i="18"/>
  <c r="AA24" i="8"/>
  <c r="IF24" i="18"/>
  <c r="AB24" i="8"/>
  <c r="IG24" i="18"/>
  <c r="AC24" i="8"/>
  <c r="IH24" i="18"/>
  <c r="AD24" i="8"/>
  <c r="II24" i="18"/>
  <c r="AE24" i="8"/>
  <c r="IJ24" i="18"/>
  <c r="AF24" i="8"/>
  <c r="IK24" i="18"/>
  <c r="AG24" i="8"/>
  <c r="IL24" i="18"/>
  <c r="AH24" i="8"/>
  <c r="IM24" i="18"/>
  <c r="AI24" i="8"/>
  <c r="IN24" i="18"/>
  <c r="AJ24" i="8"/>
  <c r="HJ24" i="18"/>
  <c r="F24" i="8"/>
  <c r="AK24" i="8"/>
  <c r="IP24" i="18"/>
  <c r="G24" i="9"/>
  <c r="IQ24" i="18"/>
  <c r="H24" i="9"/>
  <c r="IR24" i="18"/>
  <c r="I24" i="9"/>
  <c r="IS24" i="18"/>
  <c r="J24" i="9"/>
  <c r="IT24" i="18"/>
  <c r="K24" i="9"/>
  <c r="IU24" i="18"/>
  <c r="L24" i="9"/>
  <c r="IV24" i="18"/>
  <c r="M24" i="9"/>
  <c r="IW24" i="18"/>
  <c r="N24" i="9"/>
  <c r="IX24" i="18"/>
  <c r="O24" i="9"/>
  <c r="IY24" i="18"/>
  <c r="P24" i="9"/>
  <c r="IZ24" i="18"/>
  <c r="Q24" i="9"/>
  <c r="JA24" i="18"/>
  <c r="R24" i="9"/>
  <c r="JB24" i="18"/>
  <c r="S24" i="9"/>
  <c r="JC24" i="18"/>
  <c r="T24" i="9"/>
  <c r="JD24" i="18"/>
  <c r="U24" i="9"/>
  <c r="JE24" i="18"/>
  <c r="V24" i="9"/>
  <c r="JF24" i="18"/>
  <c r="W24" i="9"/>
  <c r="JG24" i="18"/>
  <c r="X24" i="9"/>
  <c r="JH24" i="18"/>
  <c r="Y24" i="9"/>
  <c r="JI24" i="18"/>
  <c r="Z24" i="9"/>
  <c r="JJ24" i="18"/>
  <c r="AA24" i="9"/>
  <c r="JK24" i="18"/>
  <c r="AB24" i="9"/>
  <c r="JL24" i="18"/>
  <c r="AC24" i="9"/>
  <c r="JM24" i="18"/>
  <c r="AD24" i="9"/>
  <c r="JN24" i="18"/>
  <c r="AE24" i="9"/>
  <c r="JO24" i="18"/>
  <c r="AF24" i="9"/>
  <c r="JP24" i="18"/>
  <c r="AG24" i="9"/>
  <c r="JQ24" i="18"/>
  <c r="AH24" i="9"/>
  <c r="JR24" i="18"/>
  <c r="AI24" i="9"/>
  <c r="IO24" i="18"/>
  <c r="F24" i="9"/>
  <c r="AK24" i="9"/>
  <c r="JT24" i="18"/>
  <c r="G24" i="10"/>
  <c r="JU24" i="18"/>
  <c r="H24" i="10"/>
  <c r="JV24" i="18"/>
  <c r="I24" i="10"/>
  <c r="JW24" i="18"/>
  <c r="J24" i="10"/>
  <c r="JX24" i="18"/>
  <c r="K24" i="10"/>
  <c r="JY24" i="18"/>
  <c r="L24" i="10"/>
  <c r="JZ24" i="18"/>
  <c r="M24" i="10"/>
  <c r="KA24" i="18"/>
  <c r="N24" i="10"/>
  <c r="KB24" i="18"/>
  <c r="O24" i="10"/>
  <c r="KC24" i="18"/>
  <c r="P24" i="10"/>
  <c r="KD24" i="18"/>
  <c r="Q24" i="10"/>
  <c r="KE24" i="18"/>
  <c r="R24" i="10"/>
  <c r="KF24" i="18"/>
  <c r="S24" i="10"/>
  <c r="KG24" i="18"/>
  <c r="T24" i="10"/>
  <c r="KH24" i="18"/>
  <c r="U24" i="10"/>
  <c r="KI24" i="18"/>
  <c r="V24" i="10"/>
  <c r="KJ24" i="18"/>
  <c r="W24" i="10"/>
  <c r="KK24" i="18"/>
  <c r="X24" i="10"/>
  <c r="KL24" i="18"/>
  <c r="Y24" i="10"/>
  <c r="KM24" i="18"/>
  <c r="Z24" i="10"/>
  <c r="KN24" i="18"/>
  <c r="AA24" i="10"/>
  <c r="KO24" i="18"/>
  <c r="AB24" i="10"/>
  <c r="KP24" i="18"/>
  <c r="AC24" i="10"/>
  <c r="KQ24" i="18"/>
  <c r="AD24" i="10"/>
  <c r="KR24" i="18"/>
  <c r="AE24" i="10"/>
  <c r="KS24" i="18"/>
  <c r="AF24" i="10"/>
  <c r="KT24" i="18"/>
  <c r="AG24" i="10"/>
  <c r="KU24" i="18"/>
  <c r="AH24" i="10"/>
  <c r="KV24" i="18"/>
  <c r="AI24" i="10"/>
  <c r="KW24" i="18"/>
  <c r="AJ24" i="10"/>
  <c r="JS24" i="18"/>
  <c r="F24" i="10"/>
  <c r="AK24" i="10"/>
  <c r="KY24" i="18"/>
  <c r="G24" i="11"/>
  <c r="KZ24" i="18"/>
  <c r="H24" i="11"/>
  <c r="LA24" i="18"/>
  <c r="I24" i="11"/>
  <c r="LB24" i="18"/>
  <c r="J24" i="11"/>
  <c r="LC24" i="18"/>
  <c r="K24" i="11"/>
  <c r="LD24" i="18"/>
  <c r="L24" i="11"/>
  <c r="LE24" i="18"/>
  <c r="M24" i="11"/>
  <c r="LF24" i="18"/>
  <c r="N24" i="11"/>
  <c r="LG24" i="18"/>
  <c r="O24" i="11"/>
  <c r="LH24" i="18"/>
  <c r="P24" i="11"/>
  <c r="LI24" i="18"/>
  <c r="Q24" i="11"/>
  <c r="LJ24" i="18"/>
  <c r="R24" i="11"/>
  <c r="LK24" i="18"/>
  <c r="S24" i="11"/>
  <c r="LL24" i="18"/>
  <c r="T24" i="11"/>
  <c r="LM24" i="18"/>
  <c r="U24" i="11"/>
  <c r="LN24" i="18"/>
  <c r="V24" i="11"/>
  <c r="LO24" i="18"/>
  <c r="W24" i="11"/>
  <c r="LP24" i="18"/>
  <c r="X24" i="11"/>
  <c r="LQ24" i="18"/>
  <c r="Y24" i="11"/>
  <c r="LR24" i="18"/>
  <c r="Z24" i="11"/>
  <c r="LS24" i="18"/>
  <c r="AA24" i="11"/>
  <c r="LT24" i="18"/>
  <c r="AB24" i="11"/>
  <c r="LU24" i="18"/>
  <c r="AC24" i="11"/>
  <c r="LV24" i="18"/>
  <c r="AD24" i="11"/>
  <c r="LW24" i="18"/>
  <c r="AE24" i="11"/>
  <c r="LX24" i="18"/>
  <c r="AF24" i="11"/>
  <c r="LY24" i="18"/>
  <c r="AG24" i="11"/>
  <c r="LZ24" i="18"/>
  <c r="AH24" i="11"/>
  <c r="MA24" i="18"/>
  <c r="AI24" i="11"/>
  <c r="KX24" i="18"/>
  <c r="F24" i="11"/>
  <c r="AK24" i="11"/>
  <c r="MC24" i="18"/>
  <c r="G24" i="12"/>
  <c r="MD24" i="18"/>
  <c r="H24" i="12"/>
  <c r="ME24" i="18"/>
  <c r="I24" i="12"/>
  <c r="MF24" i="18"/>
  <c r="J24" i="12"/>
  <c r="MG24" i="18"/>
  <c r="K24" i="12"/>
  <c r="MH24" i="18"/>
  <c r="L24" i="12"/>
  <c r="MI24" i="18"/>
  <c r="M24" i="12"/>
  <c r="MJ24" i="18"/>
  <c r="N24" i="12"/>
  <c r="MK24" i="18"/>
  <c r="O24" i="12"/>
  <c r="ML24" i="18"/>
  <c r="P24" i="12"/>
  <c r="MM24" i="18"/>
  <c r="Q24" i="12"/>
  <c r="MN24" i="18"/>
  <c r="R24" i="12"/>
  <c r="MO24" i="18"/>
  <c r="S24" i="12"/>
  <c r="MP24" i="18"/>
  <c r="T24" i="12"/>
  <c r="MQ24" i="18"/>
  <c r="U24" i="12"/>
  <c r="MR24" i="18"/>
  <c r="V24" i="12"/>
  <c r="MS24" i="18"/>
  <c r="W24" i="12"/>
  <c r="MT24" i="18"/>
  <c r="X24" i="12"/>
  <c r="MU24" i="18"/>
  <c r="Y24" i="12"/>
  <c r="MV24" i="18"/>
  <c r="Z24" i="12"/>
  <c r="MW24" i="18"/>
  <c r="AA24" i="12"/>
  <c r="MX24" i="18"/>
  <c r="AB24" i="12"/>
  <c r="MY24" i="18"/>
  <c r="AC24" i="12"/>
  <c r="MZ24" i="18"/>
  <c r="AD24" i="12"/>
  <c r="NA24" i="18"/>
  <c r="AE24" i="12"/>
  <c r="NB24" i="18"/>
  <c r="AF24" i="12"/>
  <c r="NC24" i="18"/>
  <c r="AG24" i="12"/>
  <c r="ND24" i="18"/>
  <c r="AH24" i="12"/>
  <c r="NE24" i="18"/>
  <c r="AI24" i="12"/>
  <c r="NF24" i="18"/>
  <c r="AJ24" i="12"/>
  <c r="MB24" i="18"/>
  <c r="F24" i="12"/>
  <c r="AK24" i="12"/>
  <c r="P20" i="13"/>
  <c r="G23" i="18"/>
  <c r="H23" i="18"/>
  <c r="I23" i="18"/>
  <c r="J23" i="18"/>
  <c r="K23" i="18"/>
  <c r="L23" i="18"/>
  <c r="M23" i="18"/>
  <c r="N23" i="18"/>
  <c r="O23" i="18"/>
  <c r="P23" i="18"/>
  <c r="Q23" i="18"/>
  <c r="R23" i="18"/>
  <c r="S23" i="18"/>
  <c r="T23" i="18"/>
  <c r="U23" i="18"/>
  <c r="V23" i="18"/>
  <c r="W23" i="18"/>
  <c r="X23" i="18"/>
  <c r="Y23" i="18"/>
  <c r="Z23" i="18"/>
  <c r="AA23" i="18"/>
  <c r="AB23" i="18"/>
  <c r="AC23" i="18"/>
  <c r="AD23" i="18"/>
  <c r="AE23" i="18"/>
  <c r="AF23" i="18"/>
  <c r="AG23" i="18"/>
  <c r="AH23" i="18"/>
  <c r="AI23" i="18"/>
  <c r="AJ23" i="18"/>
  <c r="F23" i="18"/>
  <c r="AL23" i="18"/>
  <c r="G23" i="2"/>
  <c r="AM23" i="18"/>
  <c r="H23" i="2"/>
  <c r="AN23" i="18"/>
  <c r="I23" i="2"/>
  <c r="AO23" i="18"/>
  <c r="J23" i="2"/>
  <c r="AP23" i="18"/>
  <c r="K23" i="2"/>
  <c r="AQ23" i="18"/>
  <c r="L23" i="2"/>
  <c r="AR23" i="18"/>
  <c r="M23" i="2"/>
  <c r="AS23" i="18"/>
  <c r="N23" i="2"/>
  <c r="AT23" i="18"/>
  <c r="O23" i="2"/>
  <c r="AU23" i="18"/>
  <c r="P23" i="2"/>
  <c r="AV23" i="18"/>
  <c r="Q23" i="2"/>
  <c r="AW23" i="18"/>
  <c r="R23" i="2"/>
  <c r="AX23" i="18"/>
  <c r="S23" i="2"/>
  <c r="AY23" i="18"/>
  <c r="T23" i="2"/>
  <c r="AZ23" i="18"/>
  <c r="U23" i="2"/>
  <c r="BA23" i="18"/>
  <c r="V23" i="2"/>
  <c r="BB23" i="18"/>
  <c r="W23" i="2"/>
  <c r="BC23" i="18"/>
  <c r="X23" i="2"/>
  <c r="BD23" i="18"/>
  <c r="Y23" i="2"/>
  <c r="BE23" i="18"/>
  <c r="Z23" i="2"/>
  <c r="BF23" i="18"/>
  <c r="AA23" i="2"/>
  <c r="BG23" i="18"/>
  <c r="AB23" i="2"/>
  <c r="BH23" i="18"/>
  <c r="AC23" i="2"/>
  <c r="BI23" i="18"/>
  <c r="AD23" i="2"/>
  <c r="BJ23" i="18"/>
  <c r="AE23" i="2"/>
  <c r="BK23" i="18"/>
  <c r="AF23" i="2"/>
  <c r="BL23" i="18"/>
  <c r="AG23" i="2"/>
  <c r="AI23" i="2"/>
  <c r="AK23" i="18"/>
  <c r="F23" i="2"/>
  <c r="AJ23" i="2"/>
  <c r="BN23" i="18"/>
  <c r="G23" i="3"/>
  <c r="BO23" i="18"/>
  <c r="H23" i="3"/>
  <c r="BP23" i="18"/>
  <c r="I23" i="3"/>
  <c r="BQ23" i="18"/>
  <c r="J23" i="3"/>
  <c r="BR23" i="18"/>
  <c r="K23" i="3"/>
  <c r="BS23" i="18"/>
  <c r="L23" i="3"/>
  <c r="BT23" i="18"/>
  <c r="M23" i="3"/>
  <c r="BU23" i="18"/>
  <c r="N23" i="3"/>
  <c r="BV23" i="18"/>
  <c r="O23" i="3"/>
  <c r="BW23" i="18"/>
  <c r="P23" i="3"/>
  <c r="BX23" i="18"/>
  <c r="Q23" i="3"/>
  <c r="BY23" i="18"/>
  <c r="R23" i="3"/>
  <c r="BZ23" i="18"/>
  <c r="S23" i="3"/>
  <c r="CA23" i="18"/>
  <c r="T23" i="3"/>
  <c r="CB23" i="18"/>
  <c r="U23" i="3"/>
  <c r="CC23" i="18"/>
  <c r="V23" i="3"/>
  <c r="CD23" i="18"/>
  <c r="W23" i="3"/>
  <c r="CE23" i="18"/>
  <c r="X23" i="3"/>
  <c r="CF23" i="18"/>
  <c r="Y23" i="3"/>
  <c r="CG23" i="18"/>
  <c r="Z23" i="3"/>
  <c r="CH23" i="18"/>
  <c r="AA23" i="3"/>
  <c r="CI23" i="18"/>
  <c r="AB23" i="3"/>
  <c r="CJ23" i="18"/>
  <c r="AC23" i="3"/>
  <c r="CK23" i="18"/>
  <c r="AD23" i="3"/>
  <c r="CL23" i="18"/>
  <c r="AE23" i="3"/>
  <c r="CM23" i="18"/>
  <c r="AF23" i="3"/>
  <c r="CN23" i="18"/>
  <c r="AG23" i="3"/>
  <c r="CO23" i="18"/>
  <c r="AH23" i="3"/>
  <c r="CP23" i="18"/>
  <c r="AI23" i="3"/>
  <c r="CQ23" i="18"/>
  <c r="AJ23" i="3"/>
  <c r="BM23" i="18"/>
  <c r="F23" i="3"/>
  <c r="AK23" i="3"/>
  <c r="CS23" i="18"/>
  <c r="G23" i="4"/>
  <c r="CT23" i="18"/>
  <c r="H23" i="4"/>
  <c r="CU23" i="18"/>
  <c r="I23" i="4"/>
  <c r="CV23" i="18"/>
  <c r="J23" i="4"/>
  <c r="CW23" i="18"/>
  <c r="K23" i="4"/>
  <c r="CX23" i="18"/>
  <c r="L23" i="4"/>
  <c r="CY23" i="18"/>
  <c r="M23" i="4"/>
  <c r="CZ23" i="18"/>
  <c r="N23" i="4"/>
  <c r="DA23" i="18"/>
  <c r="O23" i="4"/>
  <c r="DB23" i="18"/>
  <c r="P23" i="4"/>
  <c r="DC23" i="18"/>
  <c r="Q23" i="4"/>
  <c r="DD23" i="18"/>
  <c r="R23" i="4"/>
  <c r="DE23" i="18"/>
  <c r="S23" i="4"/>
  <c r="DF23" i="18"/>
  <c r="T23" i="4"/>
  <c r="DG23" i="18"/>
  <c r="U23" i="4"/>
  <c r="DH23" i="18"/>
  <c r="V23" i="4"/>
  <c r="DI23" i="18"/>
  <c r="W23" i="4"/>
  <c r="DJ23" i="18"/>
  <c r="X23" i="4"/>
  <c r="DK23" i="18"/>
  <c r="Y23" i="4"/>
  <c r="DL23" i="18"/>
  <c r="Z23" i="4"/>
  <c r="DM23" i="18"/>
  <c r="AA23" i="4"/>
  <c r="DN23" i="18"/>
  <c r="AB23" i="4"/>
  <c r="DO23" i="18"/>
  <c r="AC23" i="4"/>
  <c r="DP23" i="18"/>
  <c r="AD23" i="4"/>
  <c r="DQ23" i="18"/>
  <c r="AE23" i="4"/>
  <c r="DR23" i="18"/>
  <c r="AF23" i="4"/>
  <c r="DS23" i="18"/>
  <c r="AG23" i="4"/>
  <c r="DT23" i="18"/>
  <c r="AH23" i="4"/>
  <c r="DU23" i="18"/>
  <c r="AI23" i="4"/>
  <c r="CR23" i="18"/>
  <c r="F23" i="4"/>
  <c r="AK23" i="4"/>
  <c r="DW23" i="18"/>
  <c r="G23" i="5"/>
  <c r="DX23" i="18"/>
  <c r="H23" i="5"/>
  <c r="DY23" i="18"/>
  <c r="I23" i="5"/>
  <c r="DZ23" i="18"/>
  <c r="J23" i="5"/>
  <c r="EA23" i="18"/>
  <c r="K23" i="5"/>
  <c r="EB23" i="18"/>
  <c r="L23" i="5"/>
  <c r="EC23" i="18"/>
  <c r="M23" i="5"/>
  <c r="ED23" i="18"/>
  <c r="N23" i="5"/>
  <c r="EE23" i="18"/>
  <c r="O23" i="5"/>
  <c r="EF23" i="18"/>
  <c r="P23" i="5"/>
  <c r="EG23" i="18"/>
  <c r="Q23" i="5"/>
  <c r="EH23" i="18"/>
  <c r="R23" i="5"/>
  <c r="EI23" i="18"/>
  <c r="S23" i="5"/>
  <c r="EJ23" i="18"/>
  <c r="T23" i="5"/>
  <c r="EK23" i="18"/>
  <c r="U23" i="5"/>
  <c r="EL23" i="18"/>
  <c r="V23" i="5"/>
  <c r="EM23" i="18"/>
  <c r="W23" i="5"/>
  <c r="EN23" i="18"/>
  <c r="X23" i="5"/>
  <c r="EO23" i="18"/>
  <c r="Y23" i="5"/>
  <c r="EP23" i="18"/>
  <c r="Z23" i="5"/>
  <c r="EQ23" i="18"/>
  <c r="AA23" i="5"/>
  <c r="ER23" i="18"/>
  <c r="AB23" i="5"/>
  <c r="ES23" i="18"/>
  <c r="AC23" i="5"/>
  <c r="ET23" i="18"/>
  <c r="AD23" i="5"/>
  <c r="EU23" i="18"/>
  <c r="AE23" i="5"/>
  <c r="EV23" i="18"/>
  <c r="AF23" i="5"/>
  <c r="EW23" i="18"/>
  <c r="AG23" i="5"/>
  <c r="EX23" i="18"/>
  <c r="AH23" i="5"/>
  <c r="EY23" i="18"/>
  <c r="AI23" i="5"/>
  <c r="EZ23" i="18"/>
  <c r="AJ23" i="5"/>
  <c r="DV23" i="18"/>
  <c r="F23" i="5"/>
  <c r="AK23" i="5"/>
  <c r="FB23" i="18"/>
  <c r="G23" i="6"/>
  <c r="FC23" i="18"/>
  <c r="H23" i="6"/>
  <c r="FD23" i="18"/>
  <c r="I23" i="6"/>
  <c r="FE23" i="18"/>
  <c r="J23" i="6"/>
  <c r="FF23" i="18"/>
  <c r="K23" i="6"/>
  <c r="FG23" i="18"/>
  <c r="L23" i="6"/>
  <c r="FH23" i="18"/>
  <c r="M23" i="6"/>
  <c r="FI23" i="18"/>
  <c r="N23" i="6"/>
  <c r="FJ23" i="18"/>
  <c r="O23" i="6"/>
  <c r="FK23" i="18"/>
  <c r="P23" i="6"/>
  <c r="FL23" i="18"/>
  <c r="Q23" i="6"/>
  <c r="FM23" i="18"/>
  <c r="R23" i="6"/>
  <c r="FN23" i="18"/>
  <c r="S23" i="6"/>
  <c r="FO23" i="18"/>
  <c r="T23" i="6"/>
  <c r="FP23" i="18"/>
  <c r="U23" i="6"/>
  <c r="FQ23" i="18"/>
  <c r="V23" i="6"/>
  <c r="FR23" i="18"/>
  <c r="W23" i="6"/>
  <c r="FS23" i="18"/>
  <c r="X23" i="6"/>
  <c r="FT23" i="18"/>
  <c r="Y23" i="6"/>
  <c r="FU23" i="18"/>
  <c r="Z23" i="6"/>
  <c r="FV23" i="18"/>
  <c r="AA23" i="6"/>
  <c r="FW23" i="18"/>
  <c r="AB23" i="6"/>
  <c r="FX23" i="18"/>
  <c r="AC23" i="6"/>
  <c r="FY23" i="18"/>
  <c r="AD23" i="6"/>
  <c r="FZ23" i="18"/>
  <c r="AE23" i="6"/>
  <c r="GA23" i="18"/>
  <c r="AF23" i="6"/>
  <c r="GB23" i="18"/>
  <c r="AG23" i="6"/>
  <c r="GC23" i="18"/>
  <c r="AH23" i="6"/>
  <c r="GD23" i="18"/>
  <c r="AI23" i="6"/>
  <c r="FA23" i="18"/>
  <c r="F23" i="6"/>
  <c r="AK23" i="6"/>
  <c r="GF23" i="18"/>
  <c r="G23" i="7"/>
  <c r="GG23" i="18"/>
  <c r="H23" i="7"/>
  <c r="GH23" i="18"/>
  <c r="I23" i="7"/>
  <c r="GI23" i="18"/>
  <c r="J23" i="7"/>
  <c r="GJ23" i="18"/>
  <c r="K23" i="7"/>
  <c r="GK23" i="18"/>
  <c r="L23" i="7"/>
  <c r="GL23" i="18"/>
  <c r="M23" i="7"/>
  <c r="GM23" i="18"/>
  <c r="N23" i="7"/>
  <c r="GN23" i="18"/>
  <c r="O23" i="7"/>
  <c r="GO23" i="18"/>
  <c r="P23" i="7"/>
  <c r="GP23" i="18"/>
  <c r="Q23" i="7"/>
  <c r="GQ23" i="18"/>
  <c r="R23" i="7"/>
  <c r="GR23" i="18"/>
  <c r="S23" i="7"/>
  <c r="GS23" i="18"/>
  <c r="T23" i="7"/>
  <c r="GT23" i="18"/>
  <c r="U23" i="7"/>
  <c r="GU23" i="18"/>
  <c r="V23" i="7"/>
  <c r="GV23" i="18"/>
  <c r="W23" i="7"/>
  <c r="GW23" i="18"/>
  <c r="X23" i="7"/>
  <c r="GX23" i="18"/>
  <c r="Y23" i="7"/>
  <c r="GY23" i="18"/>
  <c r="Z23" i="7"/>
  <c r="GZ23" i="18"/>
  <c r="AA23" i="7"/>
  <c r="HA23" i="18"/>
  <c r="AB23" i="7"/>
  <c r="HB23" i="18"/>
  <c r="AC23" i="7"/>
  <c r="HC23" i="18"/>
  <c r="AD23" i="7"/>
  <c r="HD23" i="18"/>
  <c r="AE23" i="7"/>
  <c r="HE23" i="18"/>
  <c r="AF23" i="7"/>
  <c r="HF23" i="18"/>
  <c r="AG23" i="7"/>
  <c r="HG23" i="18"/>
  <c r="AH23" i="7"/>
  <c r="HH23" i="18"/>
  <c r="AI23" i="7"/>
  <c r="HI23" i="18"/>
  <c r="AJ23" i="7"/>
  <c r="GE23" i="18"/>
  <c r="F23" i="7"/>
  <c r="AK23" i="7"/>
  <c r="HK23" i="18"/>
  <c r="G23" i="8"/>
  <c r="HL23" i="18"/>
  <c r="H23" i="8"/>
  <c r="HM23" i="18"/>
  <c r="I23" i="8"/>
  <c r="HN23" i="18"/>
  <c r="J23" i="8"/>
  <c r="HO23" i="18"/>
  <c r="K23" i="8"/>
  <c r="HP23" i="18"/>
  <c r="L23" i="8"/>
  <c r="HQ23" i="18"/>
  <c r="M23" i="8"/>
  <c r="HR23" i="18"/>
  <c r="N23" i="8"/>
  <c r="HS23" i="18"/>
  <c r="O23" i="8"/>
  <c r="HT23" i="18"/>
  <c r="P23" i="8"/>
  <c r="HU23" i="18"/>
  <c r="Q23" i="8"/>
  <c r="HV23" i="18"/>
  <c r="R23" i="8"/>
  <c r="HW23" i="18"/>
  <c r="S23" i="8"/>
  <c r="HX23" i="18"/>
  <c r="T23" i="8"/>
  <c r="HY23" i="18"/>
  <c r="U23" i="8"/>
  <c r="HZ23" i="18"/>
  <c r="V23" i="8"/>
  <c r="IA23" i="18"/>
  <c r="W23" i="8"/>
  <c r="IB23" i="18"/>
  <c r="X23" i="8"/>
  <c r="IC23" i="18"/>
  <c r="Y23" i="8"/>
  <c r="ID23" i="18"/>
  <c r="Z23" i="8"/>
  <c r="IE23" i="18"/>
  <c r="AA23" i="8"/>
  <c r="IF23" i="18"/>
  <c r="AB23" i="8"/>
  <c r="IG23" i="18"/>
  <c r="AC23" i="8"/>
  <c r="IH23" i="18"/>
  <c r="AD23" i="8"/>
  <c r="II23" i="18"/>
  <c r="AE23" i="8"/>
  <c r="IJ23" i="18"/>
  <c r="AF23" i="8"/>
  <c r="IK23" i="18"/>
  <c r="AG23" i="8"/>
  <c r="IL23" i="18"/>
  <c r="AH23" i="8"/>
  <c r="IM23" i="18"/>
  <c r="AI23" i="8"/>
  <c r="IN23" i="18"/>
  <c r="AJ23" i="8"/>
  <c r="HJ23" i="18"/>
  <c r="F23" i="8"/>
  <c r="AK23" i="8"/>
  <c r="IP23" i="18"/>
  <c r="G23" i="9"/>
  <c r="IQ23" i="18"/>
  <c r="H23" i="9"/>
  <c r="IR23" i="18"/>
  <c r="I23" i="9"/>
  <c r="IS23" i="18"/>
  <c r="J23" i="9"/>
  <c r="IT23" i="18"/>
  <c r="K23" i="9"/>
  <c r="IU23" i="18"/>
  <c r="L23" i="9"/>
  <c r="IV23" i="18"/>
  <c r="M23" i="9"/>
  <c r="IW23" i="18"/>
  <c r="N23" i="9"/>
  <c r="IX23" i="18"/>
  <c r="O23" i="9"/>
  <c r="IY23" i="18"/>
  <c r="P23" i="9"/>
  <c r="IZ23" i="18"/>
  <c r="Q23" i="9"/>
  <c r="JA23" i="18"/>
  <c r="R23" i="9"/>
  <c r="JB23" i="18"/>
  <c r="S23" i="9"/>
  <c r="JC23" i="18"/>
  <c r="T23" i="9"/>
  <c r="JD23" i="18"/>
  <c r="U23" i="9"/>
  <c r="JE23" i="18"/>
  <c r="V23" i="9"/>
  <c r="JF23" i="18"/>
  <c r="W23" i="9"/>
  <c r="JG23" i="18"/>
  <c r="X23" i="9"/>
  <c r="JH23" i="18"/>
  <c r="Y23" i="9"/>
  <c r="JI23" i="18"/>
  <c r="Z23" i="9"/>
  <c r="JJ23" i="18"/>
  <c r="AA23" i="9"/>
  <c r="JK23" i="18"/>
  <c r="AB23" i="9"/>
  <c r="JL23" i="18"/>
  <c r="AC23" i="9"/>
  <c r="JM23" i="18"/>
  <c r="AD23" i="9"/>
  <c r="JN23" i="18"/>
  <c r="AE23" i="9"/>
  <c r="JO23" i="18"/>
  <c r="AF23" i="9"/>
  <c r="JP23" i="18"/>
  <c r="AG23" i="9"/>
  <c r="JQ23" i="18"/>
  <c r="AH23" i="9"/>
  <c r="JR23" i="18"/>
  <c r="AI23" i="9"/>
  <c r="IO23" i="18"/>
  <c r="F23" i="9"/>
  <c r="AK23" i="9"/>
  <c r="JT23" i="18"/>
  <c r="G23" i="10"/>
  <c r="JU23" i="18"/>
  <c r="H23" i="10"/>
  <c r="JV23" i="18"/>
  <c r="I23" i="10"/>
  <c r="JW23" i="18"/>
  <c r="J23" i="10"/>
  <c r="JX23" i="18"/>
  <c r="K23" i="10"/>
  <c r="JY23" i="18"/>
  <c r="L23" i="10"/>
  <c r="JZ23" i="18"/>
  <c r="M23" i="10"/>
  <c r="KA23" i="18"/>
  <c r="N23" i="10"/>
  <c r="KB23" i="18"/>
  <c r="O23" i="10"/>
  <c r="KC23" i="18"/>
  <c r="P23" i="10"/>
  <c r="KD23" i="18"/>
  <c r="Q23" i="10"/>
  <c r="KE23" i="18"/>
  <c r="R23" i="10"/>
  <c r="KF23" i="18"/>
  <c r="S23" i="10"/>
  <c r="KG23" i="18"/>
  <c r="T23" i="10"/>
  <c r="KH23" i="18"/>
  <c r="U23" i="10"/>
  <c r="KI23" i="18"/>
  <c r="V23" i="10"/>
  <c r="KJ23" i="18"/>
  <c r="W23" i="10"/>
  <c r="KK23" i="18"/>
  <c r="X23" i="10"/>
  <c r="KL23" i="18"/>
  <c r="Y23" i="10"/>
  <c r="KM23" i="18"/>
  <c r="Z23" i="10"/>
  <c r="KN23" i="18"/>
  <c r="AA23" i="10"/>
  <c r="KO23" i="18"/>
  <c r="AB23" i="10"/>
  <c r="KP23" i="18"/>
  <c r="AC23" i="10"/>
  <c r="KQ23" i="18"/>
  <c r="AD23" i="10"/>
  <c r="KR23" i="18"/>
  <c r="AE23" i="10"/>
  <c r="KS23" i="18"/>
  <c r="AF23" i="10"/>
  <c r="KT23" i="18"/>
  <c r="AG23" i="10"/>
  <c r="KU23" i="18"/>
  <c r="AH23" i="10"/>
  <c r="KV23" i="18"/>
  <c r="AI23" i="10"/>
  <c r="KW23" i="18"/>
  <c r="AJ23" i="10"/>
  <c r="JS23" i="18"/>
  <c r="F23" i="10"/>
  <c r="AK23" i="10"/>
  <c r="KY23" i="18"/>
  <c r="G23" i="11"/>
  <c r="KZ23" i="18"/>
  <c r="H23" i="11"/>
  <c r="LA23" i="18"/>
  <c r="I23" i="11"/>
  <c r="LB23" i="18"/>
  <c r="J23" i="11"/>
  <c r="LC23" i="18"/>
  <c r="K23" i="11"/>
  <c r="LD23" i="18"/>
  <c r="L23" i="11"/>
  <c r="LE23" i="18"/>
  <c r="M23" i="11"/>
  <c r="LF23" i="18"/>
  <c r="N23" i="11"/>
  <c r="LG23" i="18"/>
  <c r="O23" i="11"/>
  <c r="LH23" i="18"/>
  <c r="P23" i="11"/>
  <c r="LI23" i="18"/>
  <c r="Q23" i="11"/>
  <c r="LJ23" i="18"/>
  <c r="R23" i="11"/>
  <c r="LK23" i="18"/>
  <c r="S23" i="11"/>
  <c r="LL23" i="18"/>
  <c r="T23" i="11"/>
  <c r="LM23" i="18"/>
  <c r="U23" i="11"/>
  <c r="LN23" i="18"/>
  <c r="V23" i="11"/>
  <c r="LO23" i="18"/>
  <c r="W23" i="11"/>
  <c r="LP23" i="18"/>
  <c r="X23" i="11"/>
  <c r="LQ23" i="18"/>
  <c r="Y23" i="11"/>
  <c r="LR23" i="18"/>
  <c r="Z23" i="11"/>
  <c r="LS23" i="18"/>
  <c r="AA23" i="11"/>
  <c r="LT23" i="18"/>
  <c r="AB23" i="11"/>
  <c r="LU23" i="18"/>
  <c r="AC23" i="11"/>
  <c r="LV23" i="18"/>
  <c r="AD23" i="11"/>
  <c r="LW23" i="18"/>
  <c r="AE23" i="11"/>
  <c r="LX23" i="18"/>
  <c r="AF23" i="11"/>
  <c r="LY23" i="18"/>
  <c r="AG23" i="11"/>
  <c r="LZ23" i="18"/>
  <c r="AH23" i="11"/>
  <c r="MA23" i="18"/>
  <c r="AI23" i="11"/>
  <c r="KX23" i="18"/>
  <c r="F23" i="11"/>
  <c r="AK23" i="11"/>
  <c r="MC23" i="18"/>
  <c r="G23" i="12"/>
  <c r="MD23" i="18"/>
  <c r="H23" i="12"/>
  <c r="ME23" i="18"/>
  <c r="I23" i="12"/>
  <c r="MF23" i="18"/>
  <c r="J23" i="12"/>
  <c r="MG23" i="18"/>
  <c r="K23" i="12"/>
  <c r="MH23" i="18"/>
  <c r="L23" i="12"/>
  <c r="MI23" i="18"/>
  <c r="M23" i="12"/>
  <c r="MJ23" i="18"/>
  <c r="N23" i="12"/>
  <c r="MK23" i="18"/>
  <c r="O23" i="12"/>
  <c r="ML23" i="18"/>
  <c r="P23" i="12"/>
  <c r="MM23" i="18"/>
  <c r="Q23" i="12"/>
  <c r="MN23" i="18"/>
  <c r="R23" i="12"/>
  <c r="MO23" i="18"/>
  <c r="S23" i="12"/>
  <c r="MP23" i="18"/>
  <c r="T23" i="12"/>
  <c r="MQ23" i="18"/>
  <c r="U23" i="12"/>
  <c r="MR23" i="18"/>
  <c r="V23" i="12"/>
  <c r="MS23" i="18"/>
  <c r="W23" i="12"/>
  <c r="MT23" i="18"/>
  <c r="X23" i="12"/>
  <c r="MU23" i="18"/>
  <c r="Y23" i="12"/>
  <c r="MV23" i="18"/>
  <c r="Z23" i="12"/>
  <c r="MW23" i="18"/>
  <c r="AA23" i="12"/>
  <c r="MX23" i="18"/>
  <c r="AB23" i="12"/>
  <c r="MY23" i="18"/>
  <c r="AC23" i="12"/>
  <c r="MZ23" i="18"/>
  <c r="AD23" i="12"/>
  <c r="NA23" i="18"/>
  <c r="AE23" i="12"/>
  <c r="NB23" i="18"/>
  <c r="AF23" i="12"/>
  <c r="NC23" i="18"/>
  <c r="AG23" i="12"/>
  <c r="ND23" i="18"/>
  <c r="AH23" i="12"/>
  <c r="NE23" i="18"/>
  <c r="AI23" i="12"/>
  <c r="NF23" i="18"/>
  <c r="AJ23" i="12"/>
  <c r="MB23" i="18"/>
  <c r="F23" i="12"/>
  <c r="AK23" i="12"/>
  <c r="P19" i="13"/>
  <c r="G22" i="18"/>
  <c r="H22" i="18"/>
  <c r="I22" i="18"/>
  <c r="J22" i="18"/>
  <c r="K22" i="18"/>
  <c r="L22" i="18"/>
  <c r="M22" i="18"/>
  <c r="N22" i="18"/>
  <c r="O22" i="18"/>
  <c r="P22" i="18"/>
  <c r="Q22" i="18"/>
  <c r="R22" i="18"/>
  <c r="S22" i="18"/>
  <c r="T22" i="18"/>
  <c r="U22" i="18"/>
  <c r="V22" i="18"/>
  <c r="W22" i="18"/>
  <c r="X22" i="18"/>
  <c r="Y22" i="18"/>
  <c r="Z22" i="18"/>
  <c r="AA22" i="18"/>
  <c r="AB22" i="18"/>
  <c r="AC22" i="18"/>
  <c r="AD22" i="18"/>
  <c r="AE22" i="18"/>
  <c r="AF22" i="18"/>
  <c r="AG22" i="18"/>
  <c r="AH22" i="18"/>
  <c r="AI22" i="18"/>
  <c r="AJ22" i="18"/>
  <c r="F22" i="18"/>
  <c r="AL22" i="18"/>
  <c r="G22" i="2"/>
  <c r="AM22" i="18"/>
  <c r="H22" i="2"/>
  <c r="AN22" i="18"/>
  <c r="I22" i="2"/>
  <c r="AO22" i="18"/>
  <c r="J22" i="2"/>
  <c r="AP22" i="18"/>
  <c r="K22" i="2"/>
  <c r="AQ22" i="18"/>
  <c r="L22" i="2"/>
  <c r="AR22" i="18"/>
  <c r="M22" i="2"/>
  <c r="AS22" i="18"/>
  <c r="N22" i="2"/>
  <c r="AT22" i="18"/>
  <c r="O22" i="2"/>
  <c r="AU22" i="18"/>
  <c r="P22" i="2"/>
  <c r="AV22" i="18"/>
  <c r="Q22" i="2"/>
  <c r="AW22" i="18"/>
  <c r="R22" i="2"/>
  <c r="AX22" i="18"/>
  <c r="S22" i="2"/>
  <c r="AY22" i="18"/>
  <c r="T22" i="2"/>
  <c r="AZ22" i="18"/>
  <c r="U22" i="2"/>
  <c r="BA22" i="18"/>
  <c r="V22" i="2"/>
  <c r="BB22" i="18"/>
  <c r="W22" i="2"/>
  <c r="BC22" i="18"/>
  <c r="X22" i="2"/>
  <c r="BD22" i="18"/>
  <c r="Y22" i="2"/>
  <c r="BE22" i="18"/>
  <c r="Z22" i="2"/>
  <c r="BF22" i="18"/>
  <c r="AA22" i="2"/>
  <c r="BG22" i="18"/>
  <c r="AB22" i="2"/>
  <c r="BH22" i="18"/>
  <c r="AC22" i="2"/>
  <c r="BI22" i="18"/>
  <c r="AD22" i="2"/>
  <c r="BJ22" i="18"/>
  <c r="AE22" i="2"/>
  <c r="BK22" i="18"/>
  <c r="AF22" i="2"/>
  <c r="BL22" i="18"/>
  <c r="AG22" i="2"/>
  <c r="AI22" i="2"/>
  <c r="AK22" i="18"/>
  <c r="F22" i="2"/>
  <c r="AJ22" i="2"/>
  <c r="BN22" i="18"/>
  <c r="G22" i="3"/>
  <c r="BO22" i="18"/>
  <c r="H22" i="3"/>
  <c r="BP22" i="18"/>
  <c r="I22" i="3"/>
  <c r="BQ22" i="18"/>
  <c r="J22" i="3"/>
  <c r="BR22" i="18"/>
  <c r="K22" i="3"/>
  <c r="BS22" i="18"/>
  <c r="L22" i="3"/>
  <c r="BT22" i="18"/>
  <c r="M22" i="3"/>
  <c r="BU22" i="18"/>
  <c r="N22" i="3"/>
  <c r="BV22" i="18"/>
  <c r="O22" i="3"/>
  <c r="BW22" i="18"/>
  <c r="P22" i="3"/>
  <c r="BX22" i="18"/>
  <c r="Q22" i="3"/>
  <c r="BY22" i="18"/>
  <c r="R22" i="3"/>
  <c r="BZ22" i="18"/>
  <c r="S22" i="3"/>
  <c r="CA22" i="18"/>
  <c r="T22" i="3"/>
  <c r="CB22" i="18"/>
  <c r="U22" i="3"/>
  <c r="CC22" i="18"/>
  <c r="V22" i="3"/>
  <c r="CD22" i="18"/>
  <c r="W22" i="3"/>
  <c r="CE22" i="18"/>
  <c r="X22" i="3"/>
  <c r="CF22" i="18"/>
  <c r="Y22" i="3"/>
  <c r="CG22" i="18"/>
  <c r="Z22" i="3"/>
  <c r="CH22" i="18"/>
  <c r="AA22" i="3"/>
  <c r="CI22" i="18"/>
  <c r="AB22" i="3"/>
  <c r="CJ22" i="18"/>
  <c r="AC22" i="3"/>
  <c r="CK22" i="18"/>
  <c r="AD22" i="3"/>
  <c r="CL22" i="18"/>
  <c r="AE22" i="3"/>
  <c r="CM22" i="18"/>
  <c r="AF22" i="3"/>
  <c r="CN22" i="18"/>
  <c r="AG22" i="3"/>
  <c r="CO22" i="18"/>
  <c r="AH22" i="3"/>
  <c r="CP22" i="18"/>
  <c r="AI22" i="3"/>
  <c r="CQ22" i="18"/>
  <c r="AJ22" i="3"/>
  <c r="BM22" i="18"/>
  <c r="F22" i="3"/>
  <c r="AK22" i="3"/>
  <c r="CS22" i="18"/>
  <c r="G22" i="4"/>
  <c r="CT22" i="18"/>
  <c r="H22" i="4"/>
  <c r="CU22" i="18"/>
  <c r="I22" i="4"/>
  <c r="CV22" i="18"/>
  <c r="J22" i="4"/>
  <c r="CW22" i="18"/>
  <c r="K22" i="4"/>
  <c r="CX22" i="18"/>
  <c r="L22" i="4"/>
  <c r="CY22" i="18"/>
  <c r="M22" i="4"/>
  <c r="CZ22" i="18"/>
  <c r="N22" i="4"/>
  <c r="DA22" i="18"/>
  <c r="O22" i="4"/>
  <c r="DB22" i="18"/>
  <c r="P22" i="4"/>
  <c r="DC22" i="18"/>
  <c r="Q22" i="4"/>
  <c r="DD22" i="18"/>
  <c r="R22" i="4"/>
  <c r="DE22" i="18"/>
  <c r="S22" i="4"/>
  <c r="DF22" i="18"/>
  <c r="T22" i="4"/>
  <c r="DG22" i="18"/>
  <c r="U22" i="4"/>
  <c r="DH22" i="18"/>
  <c r="V22" i="4"/>
  <c r="DI22" i="18"/>
  <c r="W22" i="4"/>
  <c r="DJ22" i="18"/>
  <c r="X22" i="4"/>
  <c r="DK22" i="18"/>
  <c r="Y22" i="4"/>
  <c r="DL22" i="18"/>
  <c r="Z22" i="4"/>
  <c r="DM22" i="18"/>
  <c r="AA22" i="4"/>
  <c r="DN22" i="18"/>
  <c r="AB22" i="4"/>
  <c r="DO22" i="18"/>
  <c r="AC22" i="4"/>
  <c r="DP22" i="18"/>
  <c r="AD22" i="4"/>
  <c r="DQ22" i="18"/>
  <c r="AE22" i="4"/>
  <c r="DR22" i="18"/>
  <c r="AF22" i="4"/>
  <c r="DS22" i="18"/>
  <c r="AG22" i="4"/>
  <c r="DT22" i="18"/>
  <c r="AH22" i="4"/>
  <c r="DU22" i="18"/>
  <c r="AI22" i="4"/>
  <c r="CR22" i="18"/>
  <c r="F22" i="4"/>
  <c r="AK22" i="4"/>
  <c r="DW22" i="18"/>
  <c r="G22" i="5"/>
  <c r="DX22" i="18"/>
  <c r="H22" i="5"/>
  <c r="DY22" i="18"/>
  <c r="I22" i="5"/>
  <c r="DZ22" i="18"/>
  <c r="J22" i="5"/>
  <c r="EA22" i="18"/>
  <c r="K22" i="5"/>
  <c r="EB22" i="18"/>
  <c r="L22" i="5"/>
  <c r="EC22" i="18"/>
  <c r="M22" i="5"/>
  <c r="ED22" i="18"/>
  <c r="N22" i="5"/>
  <c r="EE22" i="18"/>
  <c r="O22" i="5"/>
  <c r="EF22" i="18"/>
  <c r="P22" i="5"/>
  <c r="EG22" i="18"/>
  <c r="Q22" i="5"/>
  <c r="EH22" i="18"/>
  <c r="R22" i="5"/>
  <c r="EI22" i="18"/>
  <c r="S22" i="5"/>
  <c r="EJ22" i="18"/>
  <c r="T22" i="5"/>
  <c r="EK22" i="18"/>
  <c r="U22" i="5"/>
  <c r="EL22" i="18"/>
  <c r="V22" i="5"/>
  <c r="EM22" i="18"/>
  <c r="W22" i="5"/>
  <c r="EN22" i="18"/>
  <c r="X22" i="5"/>
  <c r="EO22" i="18"/>
  <c r="Y22" i="5"/>
  <c r="EP22" i="18"/>
  <c r="Z22" i="5"/>
  <c r="EQ22" i="18"/>
  <c r="AA22" i="5"/>
  <c r="ER22" i="18"/>
  <c r="AB22" i="5"/>
  <c r="ES22" i="18"/>
  <c r="AC22" i="5"/>
  <c r="ET22" i="18"/>
  <c r="AD22" i="5"/>
  <c r="EU22" i="18"/>
  <c r="AE22" i="5"/>
  <c r="EV22" i="18"/>
  <c r="AF22" i="5"/>
  <c r="EW22" i="18"/>
  <c r="AG22" i="5"/>
  <c r="EX22" i="18"/>
  <c r="AH22" i="5"/>
  <c r="EY22" i="18"/>
  <c r="AI22" i="5"/>
  <c r="EZ22" i="18"/>
  <c r="AJ22" i="5"/>
  <c r="DV22" i="18"/>
  <c r="F22" i="5"/>
  <c r="AK22" i="5"/>
  <c r="FB22" i="18"/>
  <c r="G22" i="6"/>
  <c r="FC22" i="18"/>
  <c r="H22" i="6"/>
  <c r="FD22" i="18"/>
  <c r="I22" i="6"/>
  <c r="FE22" i="18"/>
  <c r="J22" i="6"/>
  <c r="FF22" i="18"/>
  <c r="K22" i="6"/>
  <c r="FG22" i="18"/>
  <c r="L22" i="6"/>
  <c r="FH22" i="18"/>
  <c r="M22" i="6"/>
  <c r="FI22" i="18"/>
  <c r="N22" i="6"/>
  <c r="FJ22" i="18"/>
  <c r="O22" i="6"/>
  <c r="FK22" i="18"/>
  <c r="P22" i="6"/>
  <c r="FL22" i="18"/>
  <c r="Q22" i="6"/>
  <c r="FM22" i="18"/>
  <c r="R22" i="6"/>
  <c r="FN22" i="18"/>
  <c r="S22" i="6"/>
  <c r="FO22" i="18"/>
  <c r="T22" i="6"/>
  <c r="FP22" i="18"/>
  <c r="U22" i="6"/>
  <c r="FQ22" i="18"/>
  <c r="V22" i="6"/>
  <c r="FR22" i="18"/>
  <c r="W22" i="6"/>
  <c r="FS22" i="18"/>
  <c r="X22" i="6"/>
  <c r="FT22" i="18"/>
  <c r="Y22" i="6"/>
  <c r="FU22" i="18"/>
  <c r="Z22" i="6"/>
  <c r="FV22" i="18"/>
  <c r="AA22" i="6"/>
  <c r="FW22" i="18"/>
  <c r="AB22" i="6"/>
  <c r="FX22" i="18"/>
  <c r="AC22" i="6"/>
  <c r="FY22" i="18"/>
  <c r="AD22" i="6"/>
  <c r="FZ22" i="18"/>
  <c r="AE22" i="6"/>
  <c r="GA22" i="18"/>
  <c r="AF22" i="6"/>
  <c r="GB22" i="18"/>
  <c r="AG22" i="6"/>
  <c r="GC22" i="18"/>
  <c r="AH22" i="6"/>
  <c r="GD22" i="18"/>
  <c r="AI22" i="6"/>
  <c r="FA22" i="18"/>
  <c r="F22" i="6"/>
  <c r="AK22" i="6"/>
  <c r="GF22" i="18"/>
  <c r="G22" i="7"/>
  <c r="GG22" i="18"/>
  <c r="H22" i="7"/>
  <c r="GH22" i="18"/>
  <c r="I22" i="7"/>
  <c r="GI22" i="18"/>
  <c r="J22" i="7"/>
  <c r="GJ22" i="18"/>
  <c r="K22" i="7"/>
  <c r="GK22" i="18"/>
  <c r="L22" i="7"/>
  <c r="GL22" i="18"/>
  <c r="M22" i="7"/>
  <c r="GM22" i="18"/>
  <c r="N22" i="7"/>
  <c r="GN22" i="18"/>
  <c r="O22" i="7"/>
  <c r="GO22" i="18"/>
  <c r="P22" i="7"/>
  <c r="GP22" i="18"/>
  <c r="Q22" i="7"/>
  <c r="GQ22" i="18"/>
  <c r="R22" i="7"/>
  <c r="GR22" i="18"/>
  <c r="S22" i="7"/>
  <c r="GS22" i="18"/>
  <c r="T22" i="7"/>
  <c r="GT22" i="18"/>
  <c r="U22" i="7"/>
  <c r="GU22" i="18"/>
  <c r="V22" i="7"/>
  <c r="GV22" i="18"/>
  <c r="W22" i="7"/>
  <c r="GW22" i="18"/>
  <c r="X22" i="7"/>
  <c r="GX22" i="18"/>
  <c r="Y22" i="7"/>
  <c r="GY22" i="18"/>
  <c r="Z22" i="7"/>
  <c r="GZ22" i="18"/>
  <c r="AA22" i="7"/>
  <c r="HA22" i="18"/>
  <c r="AB22" i="7"/>
  <c r="HB22" i="18"/>
  <c r="AC22" i="7"/>
  <c r="HC22" i="18"/>
  <c r="AD22" i="7"/>
  <c r="HD22" i="18"/>
  <c r="AE22" i="7"/>
  <c r="HE22" i="18"/>
  <c r="AF22" i="7"/>
  <c r="HF22" i="18"/>
  <c r="AG22" i="7"/>
  <c r="HG22" i="18"/>
  <c r="AH22" i="7"/>
  <c r="HH22" i="18"/>
  <c r="AI22" i="7"/>
  <c r="HI22" i="18"/>
  <c r="AJ22" i="7"/>
  <c r="GE22" i="18"/>
  <c r="F22" i="7"/>
  <c r="AK22" i="7"/>
  <c r="HK22" i="18"/>
  <c r="G22" i="8"/>
  <c r="HL22" i="18"/>
  <c r="H22" i="8"/>
  <c r="HM22" i="18"/>
  <c r="I22" i="8"/>
  <c r="HN22" i="18"/>
  <c r="J22" i="8"/>
  <c r="HO22" i="18"/>
  <c r="K22" i="8"/>
  <c r="HP22" i="18"/>
  <c r="L22" i="8"/>
  <c r="HQ22" i="18"/>
  <c r="M22" i="8"/>
  <c r="HR22" i="18"/>
  <c r="N22" i="8"/>
  <c r="HS22" i="18"/>
  <c r="O22" i="8"/>
  <c r="HT22" i="18"/>
  <c r="P22" i="8"/>
  <c r="HU22" i="18"/>
  <c r="Q22" i="8"/>
  <c r="HV22" i="18"/>
  <c r="R22" i="8"/>
  <c r="HW22" i="18"/>
  <c r="S22" i="8"/>
  <c r="HX22" i="18"/>
  <c r="T22" i="8"/>
  <c r="HY22" i="18"/>
  <c r="U22" i="8"/>
  <c r="HZ22" i="18"/>
  <c r="V22" i="8"/>
  <c r="IA22" i="18"/>
  <c r="W22" i="8"/>
  <c r="IB22" i="18"/>
  <c r="X22" i="8"/>
  <c r="IC22" i="18"/>
  <c r="Y22" i="8"/>
  <c r="ID22" i="18"/>
  <c r="Z22" i="8"/>
  <c r="IE22" i="18"/>
  <c r="AA22" i="8"/>
  <c r="IF22" i="18"/>
  <c r="AB22" i="8"/>
  <c r="IG22" i="18"/>
  <c r="AC22" i="8"/>
  <c r="IH22" i="18"/>
  <c r="AD22" i="8"/>
  <c r="II22" i="18"/>
  <c r="AE22" i="8"/>
  <c r="IJ22" i="18"/>
  <c r="AF22" i="8"/>
  <c r="IK22" i="18"/>
  <c r="AG22" i="8"/>
  <c r="IL22" i="18"/>
  <c r="AH22" i="8"/>
  <c r="IM22" i="18"/>
  <c r="AI22" i="8"/>
  <c r="IN22" i="18"/>
  <c r="AJ22" i="8"/>
  <c r="HJ22" i="18"/>
  <c r="F22" i="8"/>
  <c r="AK22" i="8"/>
  <c r="IP22" i="18"/>
  <c r="G22" i="9"/>
  <c r="IQ22" i="18"/>
  <c r="H22" i="9"/>
  <c r="IR22" i="18"/>
  <c r="I22" i="9"/>
  <c r="IS22" i="18"/>
  <c r="J22" i="9"/>
  <c r="IT22" i="18"/>
  <c r="K22" i="9"/>
  <c r="IU22" i="18"/>
  <c r="L22" i="9"/>
  <c r="IV22" i="18"/>
  <c r="M22" i="9"/>
  <c r="IW22" i="18"/>
  <c r="N22" i="9"/>
  <c r="IX22" i="18"/>
  <c r="O22" i="9"/>
  <c r="IY22" i="18"/>
  <c r="P22" i="9"/>
  <c r="IZ22" i="18"/>
  <c r="Q22" i="9"/>
  <c r="JA22" i="18"/>
  <c r="R22" i="9"/>
  <c r="JB22" i="18"/>
  <c r="S22" i="9"/>
  <c r="JC22" i="18"/>
  <c r="T22" i="9"/>
  <c r="JD22" i="18"/>
  <c r="U22" i="9"/>
  <c r="JE22" i="18"/>
  <c r="V22" i="9"/>
  <c r="JF22" i="18"/>
  <c r="W22" i="9"/>
  <c r="JG22" i="18"/>
  <c r="X22" i="9"/>
  <c r="JH22" i="18"/>
  <c r="Y22" i="9"/>
  <c r="JI22" i="18"/>
  <c r="Z22" i="9"/>
  <c r="JJ22" i="18"/>
  <c r="AA22" i="9"/>
  <c r="JK22" i="18"/>
  <c r="AB22" i="9"/>
  <c r="JL22" i="18"/>
  <c r="AC22" i="9"/>
  <c r="JM22" i="18"/>
  <c r="AD22" i="9"/>
  <c r="JN22" i="18"/>
  <c r="AE22" i="9"/>
  <c r="JO22" i="18"/>
  <c r="AF22" i="9"/>
  <c r="JP22" i="18"/>
  <c r="AG22" i="9"/>
  <c r="JQ22" i="18"/>
  <c r="AH22" i="9"/>
  <c r="JR22" i="18"/>
  <c r="AI22" i="9"/>
  <c r="IO22" i="18"/>
  <c r="F22" i="9"/>
  <c r="AK22" i="9"/>
  <c r="JT22" i="18"/>
  <c r="G22" i="10"/>
  <c r="JU22" i="18"/>
  <c r="H22" i="10"/>
  <c r="JV22" i="18"/>
  <c r="I22" i="10"/>
  <c r="JW22" i="18"/>
  <c r="J22" i="10"/>
  <c r="JX22" i="18"/>
  <c r="K22" i="10"/>
  <c r="JY22" i="18"/>
  <c r="L22" i="10"/>
  <c r="JZ22" i="18"/>
  <c r="M22" i="10"/>
  <c r="KA22" i="18"/>
  <c r="N22" i="10"/>
  <c r="KB22" i="18"/>
  <c r="O22" i="10"/>
  <c r="KC22" i="18"/>
  <c r="P22" i="10"/>
  <c r="KD22" i="18"/>
  <c r="Q22" i="10"/>
  <c r="KE22" i="18"/>
  <c r="R22" i="10"/>
  <c r="KF22" i="18"/>
  <c r="S22" i="10"/>
  <c r="KG22" i="18"/>
  <c r="T22" i="10"/>
  <c r="KH22" i="18"/>
  <c r="U22" i="10"/>
  <c r="KI22" i="18"/>
  <c r="V22" i="10"/>
  <c r="KJ22" i="18"/>
  <c r="W22" i="10"/>
  <c r="KK22" i="18"/>
  <c r="X22" i="10"/>
  <c r="KL22" i="18"/>
  <c r="Y22" i="10"/>
  <c r="KM22" i="18"/>
  <c r="Z22" i="10"/>
  <c r="KN22" i="18"/>
  <c r="AA22" i="10"/>
  <c r="KO22" i="18"/>
  <c r="AB22" i="10"/>
  <c r="KP22" i="18"/>
  <c r="AC22" i="10"/>
  <c r="KQ22" i="18"/>
  <c r="AD22" i="10"/>
  <c r="KR22" i="18"/>
  <c r="AE22" i="10"/>
  <c r="KS22" i="18"/>
  <c r="AF22" i="10"/>
  <c r="KT22" i="18"/>
  <c r="AG22" i="10"/>
  <c r="KU22" i="18"/>
  <c r="AH22" i="10"/>
  <c r="KV22" i="18"/>
  <c r="AI22" i="10"/>
  <c r="KW22" i="18"/>
  <c r="AJ22" i="10"/>
  <c r="JS22" i="18"/>
  <c r="F22" i="10"/>
  <c r="AK22" i="10"/>
  <c r="KY22" i="18"/>
  <c r="G22" i="11"/>
  <c r="KZ22" i="18"/>
  <c r="H22" i="11"/>
  <c r="LA22" i="18"/>
  <c r="I22" i="11"/>
  <c r="LB22" i="18"/>
  <c r="J22" i="11"/>
  <c r="LC22" i="18"/>
  <c r="K22" i="11"/>
  <c r="LD22" i="18"/>
  <c r="L22" i="11"/>
  <c r="LE22" i="18"/>
  <c r="M22" i="11"/>
  <c r="LF22" i="18"/>
  <c r="N22" i="11"/>
  <c r="LG22" i="18"/>
  <c r="O22" i="11"/>
  <c r="LH22" i="18"/>
  <c r="P22" i="11"/>
  <c r="LI22" i="18"/>
  <c r="Q22" i="11"/>
  <c r="LJ22" i="18"/>
  <c r="R22" i="11"/>
  <c r="LK22" i="18"/>
  <c r="S22" i="11"/>
  <c r="LL22" i="18"/>
  <c r="T22" i="11"/>
  <c r="LM22" i="18"/>
  <c r="U22" i="11"/>
  <c r="LN22" i="18"/>
  <c r="V22" i="11"/>
  <c r="LO22" i="18"/>
  <c r="W22" i="11"/>
  <c r="LP22" i="18"/>
  <c r="X22" i="11"/>
  <c r="LQ22" i="18"/>
  <c r="Y22" i="11"/>
  <c r="LR22" i="18"/>
  <c r="Z22" i="11"/>
  <c r="LS22" i="18"/>
  <c r="AA22" i="11"/>
  <c r="LT22" i="18"/>
  <c r="AB22" i="11"/>
  <c r="LU22" i="18"/>
  <c r="AC22" i="11"/>
  <c r="LV22" i="18"/>
  <c r="AD22" i="11"/>
  <c r="LW22" i="18"/>
  <c r="AE22" i="11"/>
  <c r="LX22" i="18"/>
  <c r="AF22" i="11"/>
  <c r="LY22" i="18"/>
  <c r="AG22" i="11"/>
  <c r="LZ22" i="18"/>
  <c r="AH22" i="11"/>
  <c r="MA22" i="18"/>
  <c r="AI22" i="11"/>
  <c r="KX22" i="18"/>
  <c r="F22" i="11"/>
  <c r="AK22" i="11"/>
  <c r="MC22" i="18"/>
  <c r="G22" i="12"/>
  <c r="MD22" i="18"/>
  <c r="H22" i="12"/>
  <c r="ME22" i="18"/>
  <c r="I22" i="12"/>
  <c r="MF22" i="18"/>
  <c r="J22" i="12"/>
  <c r="MG22" i="18"/>
  <c r="K22" i="12"/>
  <c r="MH22" i="18"/>
  <c r="L22" i="12"/>
  <c r="MI22" i="18"/>
  <c r="M22" i="12"/>
  <c r="MJ22" i="18"/>
  <c r="N22" i="12"/>
  <c r="MK22" i="18"/>
  <c r="O22" i="12"/>
  <c r="ML22" i="18"/>
  <c r="P22" i="12"/>
  <c r="MM22" i="18"/>
  <c r="Q22" i="12"/>
  <c r="MN22" i="18"/>
  <c r="R22" i="12"/>
  <c r="MO22" i="18"/>
  <c r="S22" i="12"/>
  <c r="MP22" i="18"/>
  <c r="T22" i="12"/>
  <c r="MQ22" i="18"/>
  <c r="U22" i="12"/>
  <c r="MR22" i="18"/>
  <c r="V22" i="12"/>
  <c r="MS22" i="18"/>
  <c r="W22" i="12"/>
  <c r="MT22" i="18"/>
  <c r="X22" i="12"/>
  <c r="MU22" i="18"/>
  <c r="Y22" i="12"/>
  <c r="MV22" i="18"/>
  <c r="Z22" i="12"/>
  <c r="MW22" i="18"/>
  <c r="AA22" i="12"/>
  <c r="MX22" i="18"/>
  <c r="AB22" i="12"/>
  <c r="MY22" i="18"/>
  <c r="AC22" i="12"/>
  <c r="MZ22" i="18"/>
  <c r="AD22" i="12"/>
  <c r="NA22" i="18"/>
  <c r="AE22" i="12"/>
  <c r="NB22" i="18"/>
  <c r="AF22" i="12"/>
  <c r="NC22" i="18"/>
  <c r="AG22" i="12"/>
  <c r="ND22" i="18"/>
  <c r="AH22" i="12"/>
  <c r="NE22" i="18"/>
  <c r="AI22" i="12"/>
  <c r="NF22" i="18"/>
  <c r="AJ22" i="12"/>
  <c r="MB22" i="18"/>
  <c r="F22" i="12"/>
  <c r="AK22" i="12"/>
  <c r="P18" i="13"/>
  <c r="G21" i="18"/>
  <c r="H21" i="18"/>
  <c r="I21" i="18"/>
  <c r="J21" i="18"/>
  <c r="K21" i="18"/>
  <c r="L21" i="18"/>
  <c r="M21" i="18"/>
  <c r="N21" i="18"/>
  <c r="O21" i="18"/>
  <c r="P21" i="18"/>
  <c r="Q21" i="18"/>
  <c r="R21" i="18"/>
  <c r="S21" i="18"/>
  <c r="T21" i="18"/>
  <c r="U21" i="18"/>
  <c r="V21" i="18"/>
  <c r="W21" i="18"/>
  <c r="X21" i="18"/>
  <c r="Y21" i="18"/>
  <c r="Z21" i="18"/>
  <c r="AA21" i="18"/>
  <c r="AB21" i="18"/>
  <c r="AC21" i="18"/>
  <c r="AD21" i="18"/>
  <c r="AE21" i="18"/>
  <c r="AF21" i="18"/>
  <c r="AG21" i="18"/>
  <c r="AH21" i="18"/>
  <c r="AI21" i="18"/>
  <c r="AJ21" i="18"/>
  <c r="F21" i="18"/>
  <c r="AL21" i="18"/>
  <c r="G21" i="2"/>
  <c r="AM21" i="18"/>
  <c r="H21" i="2"/>
  <c r="AN21" i="18"/>
  <c r="I21" i="2"/>
  <c r="AO21" i="18"/>
  <c r="J21" i="2"/>
  <c r="AP21" i="18"/>
  <c r="K21" i="2"/>
  <c r="AQ21" i="18"/>
  <c r="L21" i="2"/>
  <c r="AR21" i="18"/>
  <c r="M21" i="2"/>
  <c r="AS21" i="18"/>
  <c r="N21" i="2"/>
  <c r="AT21" i="18"/>
  <c r="O21" i="2"/>
  <c r="AU21" i="18"/>
  <c r="P21" i="2"/>
  <c r="AV21" i="18"/>
  <c r="Q21" i="2"/>
  <c r="AW21" i="18"/>
  <c r="R21" i="2"/>
  <c r="AX21" i="18"/>
  <c r="S21" i="2"/>
  <c r="AY21" i="18"/>
  <c r="T21" i="2"/>
  <c r="AZ21" i="18"/>
  <c r="U21" i="2"/>
  <c r="BA21" i="18"/>
  <c r="V21" i="2"/>
  <c r="BB21" i="18"/>
  <c r="W21" i="2"/>
  <c r="BC21" i="18"/>
  <c r="X21" i="2"/>
  <c r="BD21" i="18"/>
  <c r="Y21" i="2"/>
  <c r="BE21" i="18"/>
  <c r="Z21" i="2"/>
  <c r="BF21" i="18"/>
  <c r="AA21" i="2"/>
  <c r="BG21" i="18"/>
  <c r="AB21" i="2"/>
  <c r="BH21" i="18"/>
  <c r="AC21" i="2"/>
  <c r="BI21" i="18"/>
  <c r="AD21" i="2"/>
  <c r="BJ21" i="18"/>
  <c r="AE21" i="2"/>
  <c r="BK21" i="18"/>
  <c r="AF21" i="2"/>
  <c r="BL21" i="18"/>
  <c r="AG21" i="2"/>
  <c r="AI21" i="2"/>
  <c r="AK21" i="18"/>
  <c r="F21" i="2"/>
  <c r="AJ21" i="2"/>
  <c r="BN21" i="18"/>
  <c r="G21" i="3"/>
  <c r="BO21" i="18"/>
  <c r="H21" i="3"/>
  <c r="BP21" i="18"/>
  <c r="I21" i="3"/>
  <c r="BQ21" i="18"/>
  <c r="J21" i="3"/>
  <c r="BR21" i="18"/>
  <c r="K21" i="3"/>
  <c r="BS21" i="18"/>
  <c r="L21" i="3"/>
  <c r="BT21" i="18"/>
  <c r="M21" i="3"/>
  <c r="BU21" i="18"/>
  <c r="N21" i="3"/>
  <c r="BV21" i="18"/>
  <c r="O21" i="3"/>
  <c r="BW21" i="18"/>
  <c r="P21" i="3"/>
  <c r="BX21" i="18"/>
  <c r="Q21" i="3"/>
  <c r="BY21" i="18"/>
  <c r="R21" i="3"/>
  <c r="BZ21" i="18"/>
  <c r="S21" i="3"/>
  <c r="CA21" i="18"/>
  <c r="T21" i="3"/>
  <c r="CB21" i="18"/>
  <c r="U21" i="3"/>
  <c r="CC21" i="18"/>
  <c r="V21" i="3"/>
  <c r="CD21" i="18"/>
  <c r="W21" i="3"/>
  <c r="CE21" i="18"/>
  <c r="X21" i="3"/>
  <c r="CF21" i="18"/>
  <c r="Y21" i="3"/>
  <c r="CG21" i="18"/>
  <c r="Z21" i="3"/>
  <c r="CH21" i="18"/>
  <c r="AA21" i="3"/>
  <c r="CI21" i="18"/>
  <c r="AB21" i="3"/>
  <c r="CJ21" i="18"/>
  <c r="AC21" i="3"/>
  <c r="CK21" i="18"/>
  <c r="AD21" i="3"/>
  <c r="CL21" i="18"/>
  <c r="AE21" i="3"/>
  <c r="CM21" i="18"/>
  <c r="AF21" i="3"/>
  <c r="CN21" i="18"/>
  <c r="AG21" i="3"/>
  <c r="CO21" i="18"/>
  <c r="AH21" i="3"/>
  <c r="CP21" i="18"/>
  <c r="AI21" i="3"/>
  <c r="CQ21" i="18"/>
  <c r="AJ21" i="3"/>
  <c r="BM21" i="18"/>
  <c r="F21" i="3"/>
  <c r="AK21" i="3"/>
  <c r="CS21" i="18"/>
  <c r="G21" i="4"/>
  <c r="CT21" i="18"/>
  <c r="H21" i="4"/>
  <c r="CU21" i="18"/>
  <c r="I21" i="4"/>
  <c r="CV21" i="18"/>
  <c r="J21" i="4"/>
  <c r="CW21" i="18"/>
  <c r="K21" i="4"/>
  <c r="CX21" i="18"/>
  <c r="L21" i="4"/>
  <c r="CY21" i="18"/>
  <c r="M21" i="4"/>
  <c r="CZ21" i="18"/>
  <c r="N21" i="4"/>
  <c r="DA21" i="18"/>
  <c r="O21" i="4"/>
  <c r="DB21" i="18"/>
  <c r="P21" i="4"/>
  <c r="DC21" i="18"/>
  <c r="Q21" i="4"/>
  <c r="DD21" i="18"/>
  <c r="R21" i="4"/>
  <c r="DE21" i="18"/>
  <c r="S21" i="4"/>
  <c r="DF21" i="18"/>
  <c r="T21" i="4"/>
  <c r="DG21" i="18"/>
  <c r="U21" i="4"/>
  <c r="DH21" i="18"/>
  <c r="V21" i="4"/>
  <c r="DI21" i="18"/>
  <c r="W21" i="4"/>
  <c r="DJ21" i="18"/>
  <c r="X21" i="4"/>
  <c r="DK21" i="18"/>
  <c r="Y21" i="4"/>
  <c r="DL21" i="18"/>
  <c r="Z21" i="4"/>
  <c r="DM21" i="18"/>
  <c r="AA21" i="4"/>
  <c r="DN21" i="18"/>
  <c r="AB21" i="4"/>
  <c r="DO21" i="18"/>
  <c r="AC21" i="4"/>
  <c r="DP21" i="18"/>
  <c r="AD21" i="4"/>
  <c r="DQ21" i="18"/>
  <c r="AE21" i="4"/>
  <c r="DR21" i="18"/>
  <c r="AF21" i="4"/>
  <c r="DS21" i="18"/>
  <c r="AG21" i="4"/>
  <c r="DT21" i="18"/>
  <c r="AH21" i="4"/>
  <c r="DU21" i="18"/>
  <c r="AI21" i="4"/>
  <c r="CR21" i="18"/>
  <c r="F21" i="4"/>
  <c r="AK21" i="4"/>
  <c r="DW21" i="18"/>
  <c r="G21" i="5"/>
  <c r="DX21" i="18"/>
  <c r="H21" i="5"/>
  <c r="DY21" i="18"/>
  <c r="I21" i="5"/>
  <c r="DZ21" i="18"/>
  <c r="J21" i="5"/>
  <c r="EA21" i="18"/>
  <c r="K21" i="5"/>
  <c r="EB21" i="18"/>
  <c r="L21" i="5"/>
  <c r="EC21" i="18"/>
  <c r="M21" i="5"/>
  <c r="ED21" i="18"/>
  <c r="N21" i="5"/>
  <c r="EE21" i="18"/>
  <c r="O21" i="5"/>
  <c r="EF21" i="18"/>
  <c r="P21" i="5"/>
  <c r="EG21" i="18"/>
  <c r="Q21" i="5"/>
  <c r="EH21" i="18"/>
  <c r="R21" i="5"/>
  <c r="EI21" i="18"/>
  <c r="S21" i="5"/>
  <c r="EJ21" i="18"/>
  <c r="T21" i="5"/>
  <c r="EK21" i="18"/>
  <c r="U21" i="5"/>
  <c r="EL21" i="18"/>
  <c r="V21" i="5"/>
  <c r="EM21" i="18"/>
  <c r="W21" i="5"/>
  <c r="EN21" i="18"/>
  <c r="X21" i="5"/>
  <c r="EO21" i="18"/>
  <c r="Y21" i="5"/>
  <c r="EP21" i="18"/>
  <c r="Z21" i="5"/>
  <c r="EQ21" i="18"/>
  <c r="AA21" i="5"/>
  <c r="ER21" i="18"/>
  <c r="AB21" i="5"/>
  <c r="ES21" i="18"/>
  <c r="AC21" i="5"/>
  <c r="ET21" i="18"/>
  <c r="AD21" i="5"/>
  <c r="EU21" i="18"/>
  <c r="AE21" i="5"/>
  <c r="EV21" i="18"/>
  <c r="AF21" i="5"/>
  <c r="EW21" i="18"/>
  <c r="AG21" i="5"/>
  <c r="EX21" i="18"/>
  <c r="AH21" i="5"/>
  <c r="EY21" i="18"/>
  <c r="AI21" i="5"/>
  <c r="EZ21" i="18"/>
  <c r="AJ21" i="5"/>
  <c r="DV21" i="18"/>
  <c r="F21" i="5"/>
  <c r="AK21" i="5"/>
  <c r="FB21" i="18"/>
  <c r="G21" i="6"/>
  <c r="FC21" i="18"/>
  <c r="H21" i="6"/>
  <c r="FD21" i="18"/>
  <c r="I21" i="6"/>
  <c r="FE21" i="18"/>
  <c r="J21" i="6"/>
  <c r="FF21" i="18"/>
  <c r="K21" i="6"/>
  <c r="FG21" i="18"/>
  <c r="L21" i="6"/>
  <c r="FH21" i="18"/>
  <c r="M21" i="6"/>
  <c r="FI21" i="18"/>
  <c r="N21" i="6"/>
  <c r="FJ21" i="18"/>
  <c r="O21" i="6"/>
  <c r="FK21" i="18"/>
  <c r="P21" i="6"/>
  <c r="FL21" i="18"/>
  <c r="Q21" i="6"/>
  <c r="FM21" i="18"/>
  <c r="R21" i="6"/>
  <c r="FN21" i="18"/>
  <c r="S21" i="6"/>
  <c r="FO21" i="18"/>
  <c r="T21" i="6"/>
  <c r="FP21" i="18"/>
  <c r="U21" i="6"/>
  <c r="FQ21" i="18"/>
  <c r="V21" i="6"/>
  <c r="FR21" i="18"/>
  <c r="W21" i="6"/>
  <c r="FS21" i="18"/>
  <c r="X21" i="6"/>
  <c r="FT21" i="18"/>
  <c r="Y21" i="6"/>
  <c r="FU21" i="18"/>
  <c r="Z21" i="6"/>
  <c r="FV21" i="18"/>
  <c r="AA21" i="6"/>
  <c r="FW21" i="18"/>
  <c r="AB21" i="6"/>
  <c r="FX21" i="18"/>
  <c r="AC21" i="6"/>
  <c r="FY21" i="18"/>
  <c r="AD21" i="6"/>
  <c r="FZ21" i="18"/>
  <c r="AE21" i="6"/>
  <c r="GA21" i="18"/>
  <c r="AF21" i="6"/>
  <c r="GB21" i="18"/>
  <c r="AG21" i="6"/>
  <c r="GC21" i="18"/>
  <c r="AH21" i="6"/>
  <c r="GD21" i="18"/>
  <c r="AI21" i="6"/>
  <c r="FA21" i="18"/>
  <c r="F21" i="6"/>
  <c r="AK21" i="6"/>
  <c r="GF21" i="18"/>
  <c r="G21" i="7"/>
  <c r="GG21" i="18"/>
  <c r="H21" i="7"/>
  <c r="GH21" i="18"/>
  <c r="I21" i="7"/>
  <c r="GI21" i="18"/>
  <c r="J21" i="7"/>
  <c r="GJ21" i="18"/>
  <c r="K21" i="7"/>
  <c r="GK21" i="18"/>
  <c r="L21" i="7"/>
  <c r="GL21" i="18"/>
  <c r="M21" i="7"/>
  <c r="GM21" i="18"/>
  <c r="N21" i="7"/>
  <c r="GN21" i="18"/>
  <c r="O21" i="7"/>
  <c r="GO21" i="18"/>
  <c r="P21" i="7"/>
  <c r="GP21" i="18"/>
  <c r="Q21" i="7"/>
  <c r="GQ21" i="18"/>
  <c r="R21" i="7"/>
  <c r="GR21" i="18"/>
  <c r="S21" i="7"/>
  <c r="GS21" i="18"/>
  <c r="T21" i="7"/>
  <c r="GT21" i="18"/>
  <c r="U21" i="7"/>
  <c r="GU21" i="18"/>
  <c r="V21" i="7"/>
  <c r="GV21" i="18"/>
  <c r="W21" i="7"/>
  <c r="GW21" i="18"/>
  <c r="X21" i="7"/>
  <c r="GX21" i="18"/>
  <c r="Y21" i="7"/>
  <c r="GY21" i="18"/>
  <c r="Z21" i="7"/>
  <c r="GZ21" i="18"/>
  <c r="AA21" i="7"/>
  <c r="HA21" i="18"/>
  <c r="AB21" i="7"/>
  <c r="HB21" i="18"/>
  <c r="AC21" i="7"/>
  <c r="HC21" i="18"/>
  <c r="AD21" i="7"/>
  <c r="HD21" i="18"/>
  <c r="AE21" i="7"/>
  <c r="HE21" i="18"/>
  <c r="AF21" i="7"/>
  <c r="HF21" i="18"/>
  <c r="AG21" i="7"/>
  <c r="HG21" i="18"/>
  <c r="AH21" i="7"/>
  <c r="HH21" i="18"/>
  <c r="AI21" i="7"/>
  <c r="HI21" i="18"/>
  <c r="AJ21" i="7"/>
  <c r="GE21" i="18"/>
  <c r="F21" i="7"/>
  <c r="AK21" i="7"/>
  <c r="HK21" i="18"/>
  <c r="G21" i="8"/>
  <c r="HL21" i="18"/>
  <c r="H21" i="8"/>
  <c r="HM21" i="18"/>
  <c r="I21" i="8"/>
  <c r="HN21" i="18"/>
  <c r="J21" i="8"/>
  <c r="HO21" i="18"/>
  <c r="K21" i="8"/>
  <c r="HP21" i="18"/>
  <c r="L21" i="8"/>
  <c r="HQ21" i="18"/>
  <c r="M21" i="8"/>
  <c r="HR21" i="18"/>
  <c r="N21" i="8"/>
  <c r="HS21" i="18"/>
  <c r="O21" i="8"/>
  <c r="HT21" i="18"/>
  <c r="P21" i="8"/>
  <c r="HU21" i="18"/>
  <c r="Q21" i="8"/>
  <c r="HV21" i="18"/>
  <c r="R21" i="8"/>
  <c r="HW21" i="18"/>
  <c r="S21" i="8"/>
  <c r="HX21" i="18"/>
  <c r="T21" i="8"/>
  <c r="HY21" i="18"/>
  <c r="U21" i="8"/>
  <c r="HZ21" i="18"/>
  <c r="V21" i="8"/>
  <c r="IA21" i="18"/>
  <c r="W21" i="8"/>
  <c r="IB21" i="18"/>
  <c r="X21" i="8"/>
  <c r="IC21" i="18"/>
  <c r="Y21" i="8"/>
  <c r="ID21" i="18"/>
  <c r="Z21" i="8"/>
  <c r="IE21" i="18"/>
  <c r="AA21" i="8"/>
  <c r="IF21" i="18"/>
  <c r="AB21" i="8"/>
  <c r="IG21" i="18"/>
  <c r="AC21" i="8"/>
  <c r="IH21" i="18"/>
  <c r="AD21" i="8"/>
  <c r="II21" i="18"/>
  <c r="AE21" i="8"/>
  <c r="IJ21" i="18"/>
  <c r="AF21" i="8"/>
  <c r="IK21" i="18"/>
  <c r="AG21" i="8"/>
  <c r="IL21" i="18"/>
  <c r="AH21" i="8"/>
  <c r="IM21" i="18"/>
  <c r="AI21" i="8"/>
  <c r="IN21" i="18"/>
  <c r="AJ21" i="8"/>
  <c r="HJ21" i="18"/>
  <c r="F21" i="8"/>
  <c r="AK21" i="8"/>
  <c r="IP21" i="18"/>
  <c r="G21" i="9"/>
  <c r="IQ21" i="18"/>
  <c r="H21" i="9"/>
  <c r="IR21" i="18"/>
  <c r="I21" i="9"/>
  <c r="IS21" i="18"/>
  <c r="J21" i="9"/>
  <c r="IT21" i="18"/>
  <c r="K21" i="9"/>
  <c r="IU21" i="18"/>
  <c r="L21" i="9"/>
  <c r="IV21" i="18"/>
  <c r="M21" i="9"/>
  <c r="IW21" i="18"/>
  <c r="N21" i="9"/>
  <c r="IX21" i="18"/>
  <c r="O21" i="9"/>
  <c r="IY21" i="18"/>
  <c r="P21" i="9"/>
  <c r="IZ21" i="18"/>
  <c r="Q21" i="9"/>
  <c r="JA21" i="18"/>
  <c r="R21" i="9"/>
  <c r="JB21" i="18"/>
  <c r="S21" i="9"/>
  <c r="JC21" i="18"/>
  <c r="T21" i="9"/>
  <c r="JD21" i="18"/>
  <c r="U21" i="9"/>
  <c r="JE21" i="18"/>
  <c r="V21" i="9"/>
  <c r="JF21" i="18"/>
  <c r="W21" i="9"/>
  <c r="JG21" i="18"/>
  <c r="X21" i="9"/>
  <c r="JH21" i="18"/>
  <c r="Y21" i="9"/>
  <c r="JI21" i="18"/>
  <c r="Z21" i="9"/>
  <c r="JJ21" i="18"/>
  <c r="AA21" i="9"/>
  <c r="JK21" i="18"/>
  <c r="AB21" i="9"/>
  <c r="JL21" i="18"/>
  <c r="AC21" i="9"/>
  <c r="JM21" i="18"/>
  <c r="AD21" i="9"/>
  <c r="JN21" i="18"/>
  <c r="AE21" i="9"/>
  <c r="JO21" i="18"/>
  <c r="AF21" i="9"/>
  <c r="JP21" i="18"/>
  <c r="AG21" i="9"/>
  <c r="JQ21" i="18"/>
  <c r="AH21" i="9"/>
  <c r="JR21" i="18"/>
  <c r="AI21" i="9"/>
  <c r="IO21" i="18"/>
  <c r="F21" i="9"/>
  <c r="AK21" i="9"/>
  <c r="JT21" i="18"/>
  <c r="G21" i="10"/>
  <c r="JU21" i="18"/>
  <c r="H21" i="10"/>
  <c r="JV21" i="18"/>
  <c r="I21" i="10"/>
  <c r="JW21" i="18"/>
  <c r="J21" i="10"/>
  <c r="JX21" i="18"/>
  <c r="K21" i="10"/>
  <c r="JY21" i="18"/>
  <c r="L21" i="10"/>
  <c r="JZ21" i="18"/>
  <c r="M21" i="10"/>
  <c r="KA21" i="18"/>
  <c r="N21" i="10"/>
  <c r="KB21" i="18"/>
  <c r="O21" i="10"/>
  <c r="KC21" i="18"/>
  <c r="P21" i="10"/>
  <c r="KD21" i="18"/>
  <c r="Q21" i="10"/>
  <c r="KE21" i="18"/>
  <c r="R21" i="10"/>
  <c r="KF21" i="18"/>
  <c r="S21" i="10"/>
  <c r="KG21" i="18"/>
  <c r="T21" i="10"/>
  <c r="KH21" i="18"/>
  <c r="U21" i="10"/>
  <c r="KI21" i="18"/>
  <c r="V21" i="10"/>
  <c r="KJ21" i="18"/>
  <c r="W21" i="10"/>
  <c r="KK21" i="18"/>
  <c r="X21" i="10"/>
  <c r="KL21" i="18"/>
  <c r="Y21" i="10"/>
  <c r="KM21" i="18"/>
  <c r="Z21" i="10"/>
  <c r="KN21" i="18"/>
  <c r="AA21" i="10"/>
  <c r="KO21" i="18"/>
  <c r="AB21" i="10"/>
  <c r="KP21" i="18"/>
  <c r="AC21" i="10"/>
  <c r="KQ21" i="18"/>
  <c r="AD21" i="10"/>
  <c r="KR21" i="18"/>
  <c r="AE21" i="10"/>
  <c r="KS21" i="18"/>
  <c r="AF21" i="10"/>
  <c r="KT21" i="18"/>
  <c r="AG21" i="10"/>
  <c r="KU21" i="18"/>
  <c r="AH21" i="10"/>
  <c r="KV21" i="18"/>
  <c r="AI21" i="10"/>
  <c r="KW21" i="18"/>
  <c r="AJ21" i="10"/>
  <c r="JS21" i="18"/>
  <c r="F21" i="10"/>
  <c r="AK21" i="10"/>
  <c r="KY21" i="18"/>
  <c r="G21" i="11"/>
  <c r="KZ21" i="18"/>
  <c r="H21" i="11"/>
  <c r="LA21" i="18"/>
  <c r="I21" i="11"/>
  <c r="LB21" i="18"/>
  <c r="J21" i="11"/>
  <c r="LC21" i="18"/>
  <c r="K21" i="11"/>
  <c r="LD21" i="18"/>
  <c r="L21" i="11"/>
  <c r="LE21" i="18"/>
  <c r="M21" i="11"/>
  <c r="LF21" i="18"/>
  <c r="N21" i="11"/>
  <c r="LG21" i="18"/>
  <c r="O21" i="11"/>
  <c r="LH21" i="18"/>
  <c r="P21" i="11"/>
  <c r="LI21" i="18"/>
  <c r="Q21" i="11"/>
  <c r="LJ21" i="18"/>
  <c r="R21" i="11"/>
  <c r="LK21" i="18"/>
  <c r="S21" i="11"/>
  <c r="LL21" i="18"/>
  <c r="T21" i="11"/>
  <c r="LM21" i="18"/>
  <c r="U21" i="11"/>
  <c r="LN21" i="18"/>
  <c r="V21" i="11"/>
  <c r="LO21" i="18"/>
  <c r="W21" i="11"/>
  <c r="LP21" i="18"/>
  <c r="X21" i="11"/>
  <c r="LQ21" i="18"/>
  <c r="Y21" i="11"/>
  <c r="LR21" i="18"/>
  <c r="Z21" i="11"/>
  <c r="LS21" i="18"/>
  <c r="AA21" i="11"/>
  <c r="LT21" i="18"/>
  <c r="AB21" i="11"/>
  <c r="LU21" i="18"/>
  <c r="AC21" i="11"/>
  <c r="LV21" i="18"/>
  <c r="AD21" i="11"/>
  <c r="LW21" i="18"/>
  <c r="AE21" i="11"/>
  <c r="LX21" i="18"/>
  <c r="AF21" i="11"/>
  <c r="LY21" i="18"/>
  <c r="AG21" i="11"/>
  <c r="LZ21" i="18"/>
  <c r="AH21" i="11"/>
  <c r="MA21" i="18"/>
  <c r="AI21" i="11"/>
  <c r="KX21" i="18"/>
  <c r="F21" i="11"/>
  <c r="AK21" i="11"/>
  <c r="MC21" i="18"/>
  <c r="G21" i="12"/>
  <c r="MD21" i="18"/>
  <c r="H21" i="12"/>
  <c r="ME21" i="18"/>
  <c r="I21" i="12"/>
  <c r="MF21" i="18"/>
  <c r="J21" i="12"/>
  <c r="MG21" i="18"/>
  <c r="K21" i="12"/>
  <c r="MH21" i="18"/>
  <c r="L21" i="12"/>
  <c r="MI21" i="18"/>
  <c r="M21" i="12"/>
  <c r="MJ21" i="18"/>
  <c r="N21" i="12"/>
  <c r="MK21" i="18"/>
  <c r="O21" i="12"/>
  <c r="ML21" i="18"/>
  <c r="P21" i="12"/>
  <c r="MM21" i="18"/>
  <c r="Q21" i="12"/>
  <c r="MN21" i="18"/>
  <c r="R21" i="12"/>
  <c r="MO21" i="18"/>
  <c r="S21" i="12"/>
  <c r="MP21" i="18"/>
  <c r="T21" i="12"/>
  <c r="MQ21" i="18"/>
  <c r="U21" i="12"/>
  <c r="MR21" i="18"/>
  <c r="V21" i="12"/>
  <c r="MS21" i="18"/>
  <c r="W21" i="12"/>
  <c r="MT21" i="18"/>
  <c r="X21" i="12"/>
  <c r="MU21" i="18"/>
  <c r="Y21" i="12"/>
  <c r="MV21" i="18"/>
  <c r="Z21" i="12"/>
  <c r="MW21" i="18"/>
  <c r="AA21" i="12"/>
  <c r="MX21" i="18"/>
  <c r="AB21" i="12"/>
  <c r="MY21" i="18"/>
  <c r="AC21" i="12"/>
  <c r="MZ21" i="18"/>
  <c r="AD21" i="12"/>
  <c r="NA21" i="18"/>
  <c r="AE21" i="12"/>
  <c r="NB21" i="18"/>
  <c r="AF21" i="12"/>
  <c r="NC21" i="18"/>
  <c r="AG21" i="12"/>
  <c r="ND21" i="18"/>
  <c r="AH21" i="12"/>
  <c r="NE21" i="18"/>
  <c r="AI21" i="12"/>
  <c r="NF21" i="18"/>
  <c r="AJ21" i="12"/>
  <c r="MB21" i="18"/>
  <c r="F21" i="12"/>
  <c r="AK21" i="12"/>
  <c r="P17" i="13"/>
  <c r="G20" i="18"/>
  <c r="H20" i="18"/>
  <c r="I20" i="18"/>
  <c r="J20" i="18"/>
  <c r="K20" i="18"/>
  <c r="L20" i="18"/>
  <c r="M20" i="18"/>
  <c r="N20" i="18"/>
  <c r="O20" i="18"/>
  <c r="P20" i="18"/>
  <c r="Q20" i="18"/>
  <c r="R20" i="18"/>
  <c r="S20" i="18"/>
  <c r="T20" i="18"/>
  <c r="U20" i="18"/>
  <c r="V20" i="18"/>
  <c r="W20" i="18"/>
  <c r="X20" i="18"/>
  <c r="Y20" i="18"/>
  <c r="Z20" i="18"/>
  <c r="AA20" i="18"/>
  <c r="AB20" i="18"/>
  <c r="AC20" i="18"/>
  <c r="AD20" i="18"/>
  <c r="AE20" i="18"/>
  <c r="AF20" i="18"/>
  <c r="AG20" i="18"/>
  <c r="AH20" i="18"/>
  <c r="AI20" i="18"/>
  <c r="AJ20" i="18"/>
  <c r="F20" i="18"/>
  <c r="AL20" i="18"/>
  <c r="G20" i="2"/>
  <c r="AM20" i="18"/>
  <c r="H20" i="2"/>
  <c r="AN20" i="18"/>
  <c r="I20" i="2"/>
  <c r="AO20" i="18"/>
  <c r="J20" i="2"/>
  <c r="AP20" i="18"/>
  <c r="K20" i="2"/>
  <c r="AQ20" i="18"/>
  <c r="L20" i="2"/>
  <c r="AR20" i="18"/>
  <c r="M20" i="2"/>
  <c r="AS20" i="18"/>
  <c r="N20" i="2"/>
  <c r="AT20" i="18"/>
  <c r="O20" i="2"/>
  <c r="AU20" i="18"/>
  <c r="P20" i="2"/>
  <c r="AV20" i="18"/>
  <c r="Q20" i="2"/>
  <c r="AW20" i="18"/>
  <c r="R20" i="2"/>
  <c r="AX20" i="18"/>
  <c r="S20" i="2"/>
  <c r="AY20" i="18"/>
  <c r="T20" i="2"/>
  <c r="AZ20" i="18"/>
  <c r="U20" i="2"/>
  <c r="BA20" i="18"/>
  <c r="V20" i="2"/>
  <c r="BB20" i="18"/>
  <c r="W20" i="2"/>
  <c r="BC20" i="18"/>
  <c r="X20" i="2"/>
  <c r="BD20" i="18"/>
  <c r="Y20" i="2"/>
  <c r="BE20" i="18"/>
  <c r="Z20" i="2"/>
  <c r="BF20" i="18"/>
  <c r="AA20" i="2"/>
  <c r="BG20" i="18"/>
  <c r="AB20" i="2"/>
  <c r="BH20" i="18"/>
  <c r="AC20" i="2"/>
  <c r="BI20" i="18"/>
  <c r="AD20" i="2"/>
  <c r="BJ20" i="18"/>
  <c r="AE20" i="2"/>
  <c r="BK20" i="18"/>
  <c r="AF20" i="2"/>
  <c r="BL20" i="18"/>
  <c r="AG20" i="2"/>
  <c r="AI20" i="2"/>
  <c r="AK20" i="18"/>
  <c r="F20" i="2"/>
  <c r="AJ20" i="2"/>
  <c r="BN20" i="18"/>
  <c r="G20" i="3"/>
  <c r="BO20" i="18"/>
  <c r="H20" i="3"/>
  <c r="BP20" i="18"/>
  <c r="I20" i="3"/>
  <c r="BQ20" i="18"/>
  <c r="J20" i="3"/>
  <c r="BR20" i="18"/>
  <c r="K20" i="3"/>
  <c r="BS20" i="18"/>
  <c r="L20" i="3"/>
  <c r="BT20" i="18"/>
  <c r="M20" i="3"/>
  <c r="BU20" i="18"/>
  <c r="N20" i="3"/>
  <c r="BV20" i="18"/>
  <c r="O20" i="3"/>
  <c r="BW20" i="18"/>
  <c r="P20" i="3"/>
  <c r="BX20" i="18"/>
  <c r="Q20" i="3"/>
  <c r="BY20" i="18"/>
  <c r="R20" i="3"/>
  <c r="BZ20" i="18"/>
  <c r="S20" i="3"/>
  <c r="CA20" i="18"/>
  <c r="T20" i="3"/>
  <c r="CB20" i="18"/>
  <c r="U20" i="3"/>
  <c r="CC20" i="18"/>
  <c r="V20" i="3"/>
  <c r="CD20" i="18"/>
  <c r="W20" i="3"/>
  <c r="CE20" i="18"/>
  <c r="X20" i="3"/>
  <c r="CF20" i="18"/>
  <c r="Y20" i="3"/>
  <c r="CG20" i="18"/>
  <c r="Z20" i="3"/>
  <c r="CH20" i="18"/>
  <c r="AA20" i="3"/>
  <c r="CI20" i="18"/>
  <c r="AB20" i="3"/>
  <c r="CJ20" i="18"/>
  <c r="AC20" i="3"/>
  <c r="CK20" i="18"/>
  <c r="AD20" i="3"/>
  <c r="CL20" i="18"/>
  <c r="AE20" i="3"/>
  <c r="CM20" i="18"/>
  <c r="AF20" i="3"/>
  <c r="CN20" i="18"/>
  <c r="AG20" i="3"/>
  <c r="CO20" i="18"/>
  <c r="AH20" i="3"/>
  <c r="CP20" i="18"/>
  <c r="AI20" i="3"/>
  <c r="CQ20" i="18"/>
  <c r="AJ20" i="3"/>
  <c r="BM20" i="18"/>
  <c r="F20" i="3"/>
  <c r="AK20" i="3"/>
  <c r="CS20" i="18"/>
  <c r="G20" i="4"/>
  <c r="CT20" i="18"/>
  <c r="H20" i="4"/>
  <c r="CU20" i="18"/>
  <c r="I20" i="4"/>
  <c r="CV20" i="18"/>
  <c r="J20" i="4"/>
  <c r="CW20" i="18"/>
  <c r="K20" i="4"/>
  <c r="CX20" i="18"/>
  <c r="L20" i="4"/>
  <c r="CY20" i="18"/>
  <c r="M20" i="4"/>
  <c r="CZ20" i="18"/>
  <c r="N20" i="4"/>
  <c r="DA20" i="18"/>
  <c r="O20" i="4"/>
  <c r="DB20" i="18"/>
  <c r="P20" i="4"/>
  <c r="DC20" i="18"/>
  <c r="Q20" i="4"/>
  <c r="DD20" i="18"/>
  <c r="R20" i="4"/>
  <c r="DE20" i="18"/>
  <c r="S20" i="4"/>
  <c r="DF20" i="18"/>
  <c r="T20" i="4"/>
  <c r="DG20" i="18"/>
  <c r="U20" i="4"/>
  <c r="DH20" i="18"/>
  <c r="V20" i="4"/>
  <c r="DI20" i="18"/>
  <c r="W20" i="4"/>
  <c r="DJ20" i="18"/>
  <c r="X20" i="4"/>
  <c r="DK20" i="18"/>
  <c r="Y20" i="4"/>
  <c r="DL20" i="18"/>
  <c r="Z20" i="4"/>
  <c r="DM20" i="18"/>
  <c r="AA20" i="4"/>
  <c r="DN20" i="18"/>
  <c r="AB20" i="4"/>
  <c r="DO20" i="18"/>
  <c r="AC20" i="4"/>
  <c r="DP20" i="18"/>
  <c r="AD20" i="4"/>
  <c r="DQ20" i="18"/>
  <c r="AE20" i="4"/>
  <c r="DR20" i="18"/>
  <c r="AF20" i="4"/>
  <c r="DS20" i="18"/>
  <c r="AG20" i="4"/>
  <c r="DT20" i="18"/>
  <c r="AH20" i="4"/>
  <c r="DU20" i="18"/>
  <c r="AI20" i="4"/>
  <c r="CR20" i="18"/>
  <c r="F20" i="4"/>
  <c r="AK20" i="4"/>
  <c r="DW20" i="18"/>
  <c r="G20" i="5"/>
  <c r="DX20" i="18"/>
  <c r="H20" i="5"/>
  <c r="DY20" i="18"/>
  <c r="I20" i="5"/>
  <c r="DZ20" i="18"/>
  <c r="J20" i="5"/>
  <c r="EA20" i="18"/>
  <c r="K20" i="5"/>
  <c r="EB20" i="18"/>
  <c r="L20" i="5"/>
  <c r="EC20" i="18"/>
  <c r="M20" i="5"/>
  <c r="ED20" i="18"/>
  <c r="N20" i="5"/>
  <c r="EE20" i="18"/>
  <c r="O20" i="5"/>
  <c r="EF20" i="18"/>
  <c r="P20" i="5"/>
  <c r="EG20" i="18"/>
  <c r="Q20" i="5"/>
  <c r="EH20" i="18"/>
  <c r="R20" i="5"/>
  <c r="EI20" i="18"/>
  <c r="S20" i="5"/>
  <c r="EJ20" i="18"/>
  <c r="T20" i="5"/>
  <c r="EK20" i="18"/>
  <c r="U20" i="5"/>
  <c r="EL20" i="18"/>
  <c r="V20" i="5"/>
  <c r="EM20" i="18"/>
  <c r="W20" i="5"/>
  <c r="EN20" i="18"/>
  <c r="X20" i="5"/>
  <c r="EO20" i="18"/>
  <c r="Y20" i="5"/>
  <c r="EP20" i="18"/>
  <c r="Z20" i="5"/>
  <c r="EQ20" i="18"/>
  <c r="AA20" i="5"/>
  <c r="ER20" i="18"/>
  <c r="AB20" i="5"/>
  <c r="ES20" i="18"/>
  <c r="AC20" i="5"/>
  <c r="ET20" i="18"/>
  <c r="AD20" i="5"/>
  <c r="EU20" i="18"/>
  <c r="AE20" i="5"/>
  <c r="EV20" i="18"/>
  <c r="AF20" i="5"/>
  <c r="EW20" i="18"/>
  <c r="AG20" i="5"/>
  <c r="EX20" i="18"/>
  <c r="AH20" i="5"/>
  <c r="EY20" i="18"/>
  <c r="AI20" i="5"/>
  <c r="EZ20" i="18"/>
  <c r="AJ20" i="5"/>
  <c r="DV20" i="18"/>
  <c r="F20" i="5"/>
  <c r="AK20" i="5"/>
  <c r="FB20" i="18"/>
  <c r="G20" i="6"/>
  <c r="FC20" i="18"/>
  <c r="H20" i="6"/>
  <c r="FD20" i="18"/>
  <c r="I20" i="6"/>
  <c r="FE20" i="18"/>
  <c r="J20" i="6"/>
  <c r="FF20" i="18"/>
  <c r="K20" i="6"/>
  <c r="FG20" i="18"/>
  <c r="L20" i="6"/>
  <c r="FH20" i="18"/>
  <c r="M20" i="6"/>
  <c r="FI20" i="18"/>
  <c r="N20" i="6"/>
  <c r="FJ20" i="18"/>
  <c r="O20" i="6"/>
  <c r="FK20" i="18"/>
  <c r="P20" i="6"/>
  <c r="FL20" i="18"/>
  <c r="Q20" i="6"/>
  <c r="FM20" i="18"/>
  <c r="R20" i="6"/>
  <c r="FN20" i="18"/>
  <c r="S20" i="6"/>
  <c r="FO20" i="18"/>
  <c r="T20" i="6"/>
  <c r="FP20" i="18"/>
  <c r="U20" i="6"/>
  <c r="FQ20" i="18"/>
  <c r="V20" i="6"/>
  <c r="FR20" i="18"/>
  <c r="W20" i="6"/>
  <c r="FS20" i="18"/>
  <c r="X20" i="6"/>
  <c r="FT20" i="18"/>
  <c r="Y20" i="6"/>
  <c r="FU20" i="18"/>
  <c r="Z20" i="6"/>
  <c r="FV20" i="18"/>
  <c r="AA20" i="6"/>
  <c r="FW20" i="18"/>
  <c r="AB20" i="6"/>
  <c r="FX20" i="18"/>
  <c r="AC20" i="6"/>
  <c r="FY20" i="18"/>
  <c r="AD20" i="6"/>
  <c r="FZ20" i="18"/>
  <c r="AE20" i="6"/>
  <c r="GA20" i="18"/>
  <c r="AF20" i="6"/>
  <c r="GB20" i="18"/>
  <c r="AG20" i="6"/>
  <c r="GC20" i="18"/>
  <c r="AH20" i="6"/>
  <c r="GD20" i="18"/>
  <c r="AI20" i="6"/>
  <c r="FA20" i="18"/>
  <c r="F20" i="6"/>
  <c r="AK20" i="6"/>
  <c r="GF20" i="18"/>
  <c r="G20" i="7"/>
  <c r="GG20" i="18"/>
  <c r="H20" i="7"/>
  <c r="GH20" i="18"/>
  <c r="I20" i="7"/>
  <c r="GI20" i="18"/>
  <c r="J20" i="7"/>
  <c r="GJ20" i="18"/>
  <c r="K20" i="7"/>
  <c r="GK20" i="18"/>
  <c r="L20" i="7"/>
  <c r="GL20" i="18"/>
  <c r="M20" i="7"/>
  <c r="GM20" i="18"/>
  <c r="N20" i="7"/>
  <c r="GN20" i="18"/>
  <c r="O20" i="7"/>
  <c r="GO20" i="18"/>
  <c r="P20" i="7"/>
  <c r="GP20" i="18"/>
  <c r="Q20" i="7"/>
  <c r="GQ20" i="18"/>
  <c r="R20" i="7"/>
  <c r="GR20" i="18"/>
  <c r="S20" i="7"/>
  <c r="GS20" i="18"/>
  <c r="T20" i="7"/>
  <c r="GT20" i="18"/>
  <c r="U20" i="7"/>
  <c r="GU20" i="18"/>
  <c r="V20" i="7"/>
  <c r="GV20" i="18"/>
  <c r="W20" i="7"/>
  <c r="GW20" i="18"/>
  <c r="X20" i="7"/>
  <c r="GX20" i="18"/>
  <c r="Y20" i="7"/>
  <c r="GY20" i="18"/>
  <c r="Z20" i="7"/>
  <c r="GZ20" i="18"/>
  <c r="AA20" i="7"/>
  <c r="HA20" i="18"/>
  <c r="AB20" i="7"/>
  <c r="HB20" i="18"/>
  <c r="AC20" i="7"/>
  <c r="HC20" i="18"/>
  <c r="AD20" i="7"/>
  <c r="HD20" i="18"/>
  <c r="AE20" i="7"/>
  <c r="HE20" i="18"/>
  <c r="AF20" i="7"/>
  <c r="HF20" i="18"/>
  <c r="AG20" i="7"/>
  <c r="HG20" i="18"/>
  <c r="AH20" i="7"/>
  <c r="HH20" i="18"/>
  <c r="AI20" i="7"/>
  <c r="HI20" i="18"/>
  <c r="AJ20" i="7"/>
  <c r="GE20" i="18"/>
  <c r="F20" i="7"/>
  <c r="AK20" i="7"/>
  <c r="HK20" i="18"/>
  <c r="G20" i="8"/>
  <c r="HL20" i="18"/>
  <c r="H20" i="8"/>
  <c r="HM20" i="18"/>
  <c r="I20" i="8"/>
  <c r="HN20" i="18"/>
  <c r="J20" i="8"/>
  <c r="HO20" i="18"/>
  <c r="K20" i="8"/>
  <c r="HP20" i="18"/>
  <c r="L20" i="8"/>
  <c r="HQ20" i="18"/>
  <c r="M20" i="8"/>
  <c r="HR20" i="18"/>
  <c r="N20" i="8"/>
  <c r="HS20" i="18"/>
  <c r="O20" i="8"/>
  <c r="HT20" i="18"/>
  <c r="P20" i="8"/>
  <c r="HU20" i="18"/>
  <c r="Q20" i="8"/>
  <c r="HV20" i="18"/>
  <c r="R20" i="8"/>
  <c r="HW20" i="18"/>
  <c r="S20" i="8"/>
  <c r="HX20" i="18"/>
  <c r="T20" i="8"/>
  <c r="HY20" i="18"/>
  <c r="U20" i="8"/>
  <c r="HZ20" i="18"/>
  <c r="V20" i="8"/>
  <c r="IA20" i="18"/>
  <c r="W20" i="8"/>
  <c r="IB20" i="18"/>
  <c r="X20" i="8"/>
  <c r="IC20" i="18"/>
  <c r="Y20" i="8"/>
  <c r="ID20" i="18"/>
  <c r="Z20" i="8"/>
  <c r="IE20" i="18"/>
  <c r="AA20" i="8"/>
  <c r="IF20" i="18"/>
  <c r="AB20" i="8"/>
  <c r="IG20" i="18"/>
  <c r="AC20" i="8"/>
  <c r="IH20" i="18"/>
  <c r="AD20" i="8"/>
  <c r="II20" i="18"/>
  <c r="AE20" i="8"/>
  <c r="IJ20" i="18"/>
  <c r="AF20" i="8"/>
  <c r="IK20" i="18"/>
  <c r="AG20" i="8"/>
  <c r="IL20" i="18"/>
  <c r="AH20" i="8"/>
  <c r="IM20" i="18"/>
  <c r="AI20" i="8"/>
  <c r="IN20" i="18"/>
  <c r="AJ20" i="8"/>
  <c r="HJ20" i="18"/>
  <c r="F20" i="8"/>
  <c r="AK20" i="8"/>
  <c r="IP20" i="18"/>
  <c r="G20" i="9"/>
  <c r="IQ20" i="18"/>
  <c r="H20" i="9"/>
  <c r="IR20" i="18"/>
  <c r="I20" i="9"/>
  <c r="IS20" i="18"/>
  <c r="J20" i="9"/>
  <c r="IT20" i="18"/>
  <c r="K20" i="9"/>
  <c r="IU20" i="18"/>
  <c r="L20" i="9"/>
  <c r="IV20" i="18"/>
  <c r="M20" i="9"/>
  <c r="IW20" i="18"/>
  <c r="N20" i="9"/>
  <c r="IX20" i="18"/>
  <c r="O20" i="9"/>
  <c r="IY20" i="18"/>
  <c r="P20" i="9"/>
  <c r="IZ20" i="18"/>
  <c r="Q20" i="9"/>
  <c r="JA20" i="18"/>
  <c r="R20" i="9"/>
  <c r="JB20" i="18"/>
  <c r="S20" i="9"/>
  <c r="JC20" i="18"/>
  <c r="T20" i="9"/>
  <c r="JD20" i="18"/>
  <c r="U20" i="9"/>
  <c r="JE20" i="18"/>
  <c r="V20" i="9"/>
  <c r="JF20" i="18"/>
  <c r="W20" i="9"/>
  <c r="JG20" i="18"/>
  <c r="X20" i="9"/>
  <c r="JH20" i="18"/>
  <c r="Y20" i="9"/>
  <c r="JI20" i="18"/>
  <c r="Z20" i="9"/>
  <c r="JJ20" i="18"/>
  <c r="AA20" i="9"/>
  <c r="JK20" i="18"/>
  <c r="AB20" i="9"/>
  <c r="JL20" i="18"/>
  <c r="AC20" i="9"/>
  <c r="JM20" i="18"/>
  <c r="AD20" i="9"/>
  <c r="JN20" i="18"/>
  <c r="AE20" i="9"/>
  <c r="JO20" i="18"/>
  <c r="AF20" i="9"/>
  <c r="JP20" i="18"/>
  <c r="AG20" i="9"/>
  <c r="JQ20" i="18"/>
  <c r="AH20" i="9"/>
  <c r="JR20" i="18"/>
  <c r="AI20" i="9"/>
  <c r="IO20" i="18"/>
  <c r="F20" i="9"/>
  <c r="AK20" i="9"/>
  <c r="JT20" i="18"/>
  <c r="G20" i="10"/>
  <c r="JU20" i="18"/>
  <c r="H20" i="10"/>
  <c r="JV20" i="18"/>
  <c r="I20" i="10"/>
  <c r="JW20" i="18"/>
  <c r="J20" i="10"/>
  <c r="JX20" i="18"/>
  <c r="K20" i="10"/>
  <c r="JY20" i="18"/>
  <c r="L20" i="10"/>
  <c r="JZ20" i="18"/>
  <c r="M20" i="10"/>
  <c r="KA20" i="18"/>
  <c r="N20" i="10"/>
  <c r="KB20" i="18"/>
  <c r="O20" i="10"/>
  <c r="KC20" i="18"/>
  <c r="P20" i="10"/>
  <c r="KD20" i="18"/>
  <c r="Q20" i="10"/>
  <c r="KE20" i="18"/>
  <c r="R20" i="10"/>
  <c r="KF20" i="18"/>
  <c r="S20" i="10"/>
  <c r="KG20" i="18"/>
  <c r="T20" i="10"/>
  <c r="KH20" i="18"/>
  <c r="U20" i="10"/>
  <c r="KI20" i="18"/>
  <c r="V20" i="10"/>
  <c r="KJ20" i="18"/>
  <c r="W20" i="10"/>
  <c r="KK20" i="18"/>
  <c r="X20" i="10"/>
  <c r="KL20" i="18"/>
  <c r="Y20" i="10"/>
  <c r="KM20" i="18"/>
  <c r="Z20" i="10"/>
  <c r="KN20" i="18"/>
  <c r="AA20" i="10"/>
  <c r="KO20" i="18"/>
  <c r="AB20" i="10"/>
  <c r="KP20" i="18"/>
  <c r="AC20" i="10"/>
  <c r="KQ20" i="18"/>
  <c r="AD20" i="10"/>
  <c r="KR20" i="18"/>
  <c r="AE20" i="10"/>
  <c r="KS20" i="18"/>
  <c r="AF20" i="10"/>
  <c r="KT20" i="18"/>
  <c r="AG20" i="10"/>
  <c r="KU20" i="18"/>
  <c r="AH20" i="10"/>
  <c r="KV20" i="18"/>
  <c r="AI20" i="10"/>
  <c r="KW20" i="18"/>
  <c r="AJ20" i="10"/>
  <c r="JS20" i="18"/>
  <c r="F20" i="10"/>
  <c r="AK20" i="10"/>
  <c r="KY20" i="18"/>
  <c r="G20" i="11"/>
  <c r="KZ20" i="18"/>
  <c r="H20" i="11"/>
  <c r="LA20" i="18"/>
  <c r="I20" i="11"/>
  <c r="LB20" i="18"/>
  <c r="J20" i="11"/>
  <c r="LC20" i="18"/>
  <c r="K20" i="11"/>
  <c r="LD20" i="18"/>
  <c r="L20" i="11"/>
  <c r="LE20" i="18"/>
  <c r="M20" i="11"/>
  <c r="LF20" i="18"/>
  <c r="N20" i="11"/>
  <c r="LG20" i="18"/>
  <c r="O20" i="11"/>
  <c r="LH20" i="18"/>
  <c r="P20" i="11"/>
  <c r="LI20" i="18"/>
  <c r="Q20" i="11"/>
  <c r="LJ20" i="18"/>
  <c r="R20" i="11"/>
  <c r="LK20" i="18"/>
  <c r="S20" i="11"/>
  <c r="LL20" i="18"/>
  <c r="T20" i="11"/>
  <c r="LM20" i="18"/>
  <c r="U20" i="11"/>
  <c r="LN20" i="18"/>
  <c r="V20" i="11"/>
  <c r="LO20" i="18"/>
  <c r="W20" i="11"/>
  <c r="LP20" i="18"/>
  <c r="X20" i="11"/>
  <c r="LQ20" i="18"/>
  <c r="Y20" i="11"/>
  <c r="LR20" i="18"/>
  <c r="Z20" i="11"/>
  <c r="LS20" i="18"/>
  <c r="AA20" i="11"/>
  <c r="LT20" i="18"/>
  <c r="AB20" i="11"/>
  <c r="LU20" i="18"/>
  <c r="AC20" i="11"/>
  <c r="LV20" i="18"/>
  <c r="AD20" i="11"/>
  <c r="LW20" i="18"/>
  <c r="AE20" i="11"/>
  <c r="LX20" i="18"/>
  <c r="AF20" i="11"/>
  <c r="LY20" i="18"/>
  <c r="AG20" i="11"/>
  <c r="LZ20" i="18"/>
  <c r="AH20" i="11"/>
  <c r="MA20" i="18"/>
  <c r="AI20" i="11"/>
  <c r="KX20" i="18"/>
  <c r="F20" i="11"/>
  <c r="AK20" i="11"/>
  <c r="MC20" i="18"/>
  <c r="G20" i="12"/>
  <c r="MD20" i="18"/>
  <c r="H20" i="12"/>
  <c r="ME20" i="18"/>
  <c r="I20" i="12"/>
  <c r="MF20" i="18"/>
  <c r="J20" i="12"/>
  <c r="MG20" i="18"/>
  <c r="K20" i="12"/>
  <c r="MH20" i="18"/>
  <c r="L20" i="12"/>
  <c r="MI20" i="18"/>
  <c r="M20" i="12"/>
  <c r="MJ20" i="18"/>
  <c r="N20" i="12"/>
  <c r="MK20" i="18"/>
  <c r="O20" i="12"/>
  <c r="ML20" i="18"/>
  <c r="P20" i="12"/>
  <c r="MM20" i="18"/>
  <c r="Q20" i="12"/>
  <c r="MN20" i="18"/>
  <c r="R20" i="12"/>
  <c r="MO20" i="18"/>
  <c r="S20" i="12"/>
  <c r="MP20" i="18"/>
  <c r="T20" i="12"/>
  <c r="MQ20" i="18"/>
  <c r="U20" i="12"/>
  <c r="MR20" i="18"/>
  <c r="V20" i="12"/>
  <c r="MS20" i="18"/>
  <c r="W20" i="12"/>
  <c r="MT20" i="18"/>
  <c r="X20" i="12"/>
  <c r="MU20" i="18"/>
  <c r="Y20" i="12"/>
  <c r="MV20" i="18"/>
  <c r="Z20" i="12"/>
  <c r="MW20" i="18"/>
  <c r="AA20" i="12"/>
  <c r="MX20" i="18"/>
  <c r="AB20" i="12"/>
  <c r="MY20" i="18"/>
  <c r="AC20" i="12"/>
  <c r="MZ20" i="18"/>
  <c r="AD20" i="12"/>
  <c r="NA20" i="18"/>
  <c r="AE20" i="12"/>
  <c r="NB20" i="18"/>
  <c r="AF20" i="12"/>
  <c r="NC20" i="18"/>
  <c r="AG20" i="12"/>
  <c r="ND20" i="18"/>
  <c r="AH20" i="12"/>
  <c r="NE20" i="18"/>
  <c r="AI20" i="12"/>
  <c r="NF20" i="18"/>
  <c r="AJ20" i="12"/>
  <c r="MB20" i="18"/>
  <c r="F20" i="12"/>
  <c r="AK20" i="12"/>
  <c r="P16" i="13"/>
  <c r="G19" i="18"/>
  <c r="H19" i="18"/>
  <c r="I19" i="18"/>
  <c r="J19" i="18"/>
  <c r="K19" i="18"/>
  <c r="L19" i="18"/>
  <c r="M19" i="18"/>
  <c r="N19" i="18"/>
  <c r="O19" i="18"/>
  <c r="P19" i="18"/>
  <c r="Q19" i="18"/>
  <c r="R19" i="18"/>
  <c r="S19" i="18"/>
  <c r="T19" i="18"/>
  <c r="U19" i="18"/>
  <c r="V19" i="18"/>
  <c r="W19" i="18"/>
  <c r="X19" i="18"/>
  <c r="Y19" i="18"/>
  <c r="Z19" i="18"/>
  <c r="AA19" i="18"/>
  <c r="AB19" i="18"/>
  <c r="AC19" i="18"/>
  <c r="AD19" i="18"/>
  <c r="AE19" i="18"/>
  <c r="AF19" i="18"/>
  <c r="AG19" i="18"/>
  <c r="AH19" i="18"/>
  <c r="AI19" i="18"/>
  <c r="AJ19" i="18"/>
  <c r="F19" i="18"/>
  <c r="AL19" i="18"/>
  <c r="G19" i="2"/>
  <c r="AM19" i="18"/>
  <c r="H19" i="2"/>
  <c r="AN19" i="18"/>
  <c r="I19" i="2"/>
  <c r="AO19" i="18"/>
  <c r="J19" i="2"/>
  <c r="AP19" i="18"/>
  <c r="K19" i="2"/>
  <c r="AQ19" i="18"/>
  <c r="L19" i="2"/>
  <c r="AR19" i="18"/>
  <c r="M19" i="2"/>
  <c r="AS19" i="18"/>
  <c r="N19" i="2"/>
  <c r="AT19" i="18"/>
  <c r="O19" i="2"/>
  <c r="AU19" i="18"/>
  <c r="P19" i="2"/>
  <c r="AV19" i="18"/>
  <c r="Q19" i="2"/>
  <c r="AW19" i="18"/>
  <c r="R19" i="2"/>
  <c r="AX19" i="18"/>
  <c r="S19" i="2"/>
  <c r="AY19" i="18"/>
  <c r="T19" i="2"/>
  <c r="AZ19" i="18"/>
  <c r="U19" i="2"/>
  <c r="BA19" i="18"/>
  <c r="V19" i="2"/>
  <c r="BB19" i="18"/>
  <c r="W19" i="2"/>
  <c r="BC19" i="18"/>
  <c r="X19" i="2"/>
  <c r="BD19" i="18"/>
  <c r="Y19" i="2"/>
  <c r="BE19" i="18"/>
  <c r="Z19" i="2"/>
  <c r="BF19" i="18"/>
  <c r="AA19" i="2"/>
  <c r="BG19" i="18"/>
  <c r="AB19" i="2"/>
  <c r="BH19" i="18"/>
  <c r="AC19" i="2"/>
  <c r="BI19" i="18"/>
  <c r="AD19" i="2"/>
  <c r="BJ19" i="18"/>
  <c r="AE19" i="2"/>
  <c r="BK19" i="18"/>
  <c r="AF19" i="2"/>
  <c r="BL19" i="18"/>
  <c r="AG19" i="2"/>
  <c r="AI19" i="2"/>
  <c r="AK19" i="18"/>
  <c r="F19" i="2"/>
  <c r="AJ19" i="2"/>
  <c r="BN19" i="18"/>
  <c r="G19" i="3"/>
  <c r="BO19" i="18"/>
  <c r="H19" i="3"/>
  <c r="BP19" i="18"/>
  <c r="I19" i="3"/>
  <c r="BQ19" i="18"/>
  <c r="J19" i="3"/>
  <c r="BR19" i="18"/>
  <c r="K19" i="3"/>
  <c r="BS19" i="18"/>
  <c r="L19" i="3"/>
  <c r="BT19" i="18"/>
  <c r="M19" i="3"/>
  <c r="BU19" i="18"/>
  <c r="N19" i="3"/>
  <c r="BV19" i="18"/>
  <c r="O19" i="3"/>
  <c r="BW19" i="18"/>
  <c r="P19" i="3"/>
  <c r="BX19" i="18"/>
  <c r="Q19" i="3"/>
  <c r="BY19" i="18"/>
  <c r="R19" i="3"/>
  <c r="BZ19" i="18"/>
  <c r="S19" i="3"/>
  <c r="CA19" i="18"/>
  <c r="T19" i="3"/>
  <c r="CB19" i="18"/>
  <c r="U19" i="3"/>
  <c r="CC19" i="18"/>
  <c r="V19" i="3"/>
  <c r="CD19" i="18"/>
  <c r="W19" i="3"/>
  <c r="CE19" i="18"/>
  <c r="X19" i="3"/>
  <c r="CF19" i="18"/>
  <c r="Y19" i="3"/>
  <c r="CG19" i="18"/>
  <c r="Z19" i="3"/>
  <c r="CH19" i="18"/>
  <c r="AA19" i="3"/>
  <c r="CI19" i="18"/>
  <c r="AB19" i="3"/>
  <c r="CJ19" i="18"/>
  <c r="AC19" i="3"/>
  <c r="CK19" i="18"/>
  <c r="AD19" i="3"/>
  <c r="CL19" i="18"/>
  <c r="AE19" i="3"/>
  <c r="CM19" i="18"/>
  <c r="AF19" i="3"/>
  <c r="CN19" i="18"/>
  <c r="AG19" i="3"/>
  <c r="CO19" i="18"/>
  <c r="AH19" i="3"/>
  <c r="CP19" i="18"/>
  <c r="AI19" i="3"/>
  <c r="CQ19" i="18"/>
  <c r="AJ19" i="3"/>
  <c r="BM19" i="18"/>
  <c r="F19" i="3"/>
  <c r="AK19" i="3"/>
  <c r="CS19" i="18"/>
  <c r="G19" i="4"/>
  <c r="CT19" i="18"/>
  <c r="H19" i="4"/>
  <c r="CU19" i="18"/>
  <c r="I19" i="4"/>
  <c r="CV19" i="18"/>
  <c r="J19" i="4"/>
  <c r="CW19" i="18"/>
  <c r="K19" i="4"/>
  <c r="CX19" i="18"/>
  <c r="L19" i="4"/>
  <c r="CY19" i="18"/>
  <c r="M19" i="4"/>
  <c r="CZ19" i="18"/>
  <c r="N19" i="4"/>
  <c r="DA19" i="18"/>
  <c r="O19" i="4"/>
  <c r="DB19" i="18"/>
  <c r="P19" i="4"/>
  <c r="DC19" i="18"/>
  <c r="Q19" i="4"/>
  <c r="DD19" i="18"/>
  <c r="R19" i="4"/>
  <c r="DE19" i="18"/>
  <c r="S19" i="4"/>
  <c r="DF19" i="18"/>
  <c r="T19" i="4"/>
  <c r="DG19" i="18"/>
  <c r="U19" i="4"/>
  <c r="DH19" i="18"/>
  <c r="V19" i="4"/>
  <c r="DI19" i="18"/>
  <c r="W19" i="4"/>
  <c r="DJ19" i="18"/>
  <c r="X19" i="4"/>
  <c r="DK19" i="18"/>
  <c r="Y19" i="4"/>
  <c r="DL19" i="18"/>
  <c r="Z19" i="4"/>
  <c r="DM19" i="18"/>
  <c r="AA19" i="4"/>
  <c r="DN19" i="18"/>
  <c r="AB19" i="4"/>
  <c r="DO19" i="18"/>
  <c r="AC19" i="4"/>
  <c r="DP19" i="18"/>
  <c r="AD19" i="4"/>
  <c r="DQ19" i="18"/>
  <c r="AE19" i="4"/>
  <c r="DR19" i="18"/>
  <c r="AF19" i="4"/>
  <c r="DS19" i="18"/>
  <c r="AG19" i="4"/>
  <c r="DT19" i="18"/>
  <c r="AH19" i="4"/>
  <c r="DU19" i="18"/>
  <c r="AI19" i="4"/>
  <c r="CR19" i="18"/>
  <c r="F19" i="4"/>
  <c r="AK19" i="4"/>
  <c r="DW19" i="18"/>
  <c r="G19" i="5"/>
  <c r="DX19" i="18"/>
  <c r="H19" i="5"/>
  <c r="DY19" i="18"/>
  <c r="I19" i="5"/>
  <c r="DZ19" i="18"/>
  <c r="J19" i="5"/>
  <c r="EA19" i="18"/>
  <c r="K19" i="5"/>
  <c r="EB19" i="18"/>
  <c r="L19" i="5"/>
  <c r="EC19" i="18"/>
  <c r="M19" i="5"/>
  <c r="ED19" i="18"/>
  <c r="N19" i="5"/>
  <c r="EE19" i="18"/>
  <c r="O19" i="5"/>
  <c r="EF19" i="18"/>
  <c r="P19" i="5"/>
  <c r="EG19" i="18"/>
  <c r="Q19" i="5"/>
  <c r="EH19" i="18"/>
  <c r="R19" i="5"/>
  <c r="EI19" i="18"/>
  <c r="S19" i="5"/>
  <c r="EJ19" i="18"/>
  <c r="T19" i="5"/>
  <c r="EK19" i="18"/>
  <c r="U19" i="5"/>
  <c r="EL19" i="18"/>
  <c r="V19" i="5"/>
  <c r="EM19" i="18"/>
  <c r="W19" i="5"/>
  <c r="EN19" i="18"/>
  <c r="X19" i="5"/>
  <c r="EO19" i="18"/>
  <c r="Y19" i="5"/>
  <c r="EP19" i="18"/>
  <c r="Z19" i="5"/>
  <c r="EQ19" i="18"/>
  <c r="AA19" i="5"/>
  <c r="ER19" i="18"/>
  <c r="AB19" i="5"/>
  <c r="ES19" i="18"/>
  <c r="AC19" i="5"/>
  <c r="ET19" i="18"/>
  <c r="AD19" i="5"/>
  <c r="EU19" i="18"/>
  <c r="AE19" i="5"/>
  <c r="EV19" i="18"/>
  <c r="AF19" i="5"/>
  <c r="EW19" i="18"/>
  <c r="AG19" i="5"/>
  <c r="EX19" i="18"/>
  <c r="AH19" i="5"/>
  <c r="EY19" i="18"/>
  <c r="AI19" i="5"/>
  <c r="EZ19" i="18"/>
  <c r="AJ19" i="5"/>
  <c r="DV19" i="18"/>
  <c r="F19" i="5"/>
  <c r="AK19" i="5"/>
  <c r="FB19" i="18"/>
  <c r="G19" i="6"/>
  <c r="FC19" i="18"/>
  <c r="H19" i="6"/>
  <c r="FD19" i="18"/>
  <c r="I19" i="6"/>
  <c r="FE19" i="18"/>
  <c r="J19" i="6"/>
  <c r="FF19" i="18"/>
  <c r="K19" i="6"/>
  <c r="FG19" i="18"/>
  <c r="L19" i="6"/>
  <c r="FH19" i="18"/>
  <c r="M19" i="6"/>
  <c r="FI19" i="18"/>
  <c r="N19" i="6"/>
  <c r="FJ19" i="18"/>
  <c r="O19" i="6"/>
  <c r="FK19" i="18"/>
  <c r="P19" i="6"/>
  <c r="FL19" i="18"/>
  <c r="Q19" i="6"/>
  <c r="FM19" i="18"/>
  <c r="R19" i="6"/>
  <c r="FN19" i="18"/>
  <c r="S19" i="6"/>
  <c r="FO19" i="18"/>
  <c r="T19" i="6"/>
  <c r="FP19" i="18"/>
  <c r="U19" i="6"/>
  <c r="FQ19" i="18"/>
  <c r="V19" i="6"/>
  <c r="FR19" i="18"/>
  <c r="W19" i="6"/>
  <c r="FS19" i="18"/>
  <c r="X19" i="6"/>
  <c r="FT19" i="18"/>
  <c r="Y19" i="6"/>
  <c r="FU19" i="18"/>
  <c r="Z19" i="6"/>
  <c r="FV19" i="18"/>
  <c r="AA19" i="6"/>
  <c r="FW19" i="18"/>
  <c r="AB19" i="6"/>
  <c r="FX19" i="18"/>
  <c r="AC19" i="6"/>
  <c r="FY19" i="18"/>
  <c r="AD19" i="6"/>
  <c r="FZ19" i="18"/>
  <c r="AE19" i="6"/>
  <c r="GA19" i="18"/>
  <c r="AF19" i="6"/>
  <c r="GB19" i="18"/>
  <c r="AG19" i="6"/>
  <c r="GC19" i="18"/>
  <c r="AH19" i="6"/>
  <c r="GD19" i="18"/>
  <c r="AI19" i="6"/>
  <c r="FA19" i="18"/>
  <c r="F19" i="6"/>
  <c r="AK19" i="6"/>
  <c r="GF19" i="18"/>
  <c r="G19" i="7"/>
  <c r="GG19" i="18"/>
  <c r="H19" i="7"/>
  <c r="GH19" i="18"/>
  <c r="I19" i="7"/>
  <c r="GI19" i="18"/>
  <c r="J19" i="7"/>
  <c r="GJ19" i="18"/>
  <c r="K19" i="7"/>
  <c r="GK19" i="18"/>
  <c r="L19" i="7"/>
  <c r="GL19" i="18"/>
  <c r="M19" i="7"/>
  <c r="GM19" i="18"/>
  <c r="N19" i="7"/>
  <c r="GN19" i="18"/>
  <c r="O19" i="7"/>
  <c r="GO19" i="18"/>
  <c r="P19" i="7"/>
  <c r="GP19" i="18"/>
  <c r="Q19" i="7"/>
  <c r="GQ19" i="18"/>
  <c r="R19" i="7"/>
  <c r="GR19" i="18"/>
  <c r="S19" i="7"/>
  <c r="GS19" i="18"/>
  <c r="T19" i="7"/>
  <c r="GT19" i="18"/>
  <c r="U19" i="7"/>
  <c r="GU19" i="18"/>
  <c r="V19" i="7"/>
  <c r="GV19" i="18"/>
  <c r="W19" i="7"/>
  <c r="GW19" i="18"/>
  <c r="X19" i="7"/>
  <c r="GX19" i="18"/>
  <c r="Y19" i="7"/>
  <c r="GY19" i="18"/>
  <c r="Z19" i="7"/>
  <c r="GZ19" i="18"/>
  <c r="AA19" i="7"/>
  <c r="HA19" i="18"/>
  <c r="AB19" i="7"/>
  <c r="HB19" i="18"/>
  <c r="AC19" i="7"/>
  <c r="HC19" i="18"/>
  <c r="AD19" i="7"/>
  <c r="HD19" i="18"/>
  <c r="AE19" i="7"/>
  <c r="HE19" i="18"/>
  <c r="AF19" i="7"/>
  <c r="HF19" i="18"/>
  <c r="AG19" i="7"/>
  <c r="HG19" i="18"/>
  <c r="AH19" i="7"/>
  <c r="HH19" i="18"/>
  <c r="AI19" i="7"/>
  <c r="HI19" i="18"/>
  <c r="AJ19" i="7"/>
  <c r="GE19" i="18"/>
  <c r="F19" i="7"/>
  <c r="AK19" i="7"/>
  <c r="HK19" i="18"/>
  <c r="G19" i="8"/>
  <c r="HL19" i="18"/>
  <c r="H19" i="8"/>
  <c r="HM19" i="18"/>
  <c r="I19" i="8"/>
  <c r="HN19" i="18"/>
  <c r="J19" i="8"/>
  <c r="HO19" i="18"/>
  <c r="K19" i="8"/>
  <c r="HP19" i="18"/>
  <c r="L19" i="8"/>
  <c r="HQ19" i="18"/>
  <c r="M19" i="8"/>
  <c r="HR19" i="18"/>
  <c r="N19" i="8"/>
  <c r="HS19" i="18"/>
  <c r="O19" i="8"/>
  <c r="HT19" i="18"/>
  <c r="P19" i="8"/>
  <c r="HU19" i="18"/>
  <c r="Q19" i="8"/>
  <c r="HV19" i="18"/>
  <c r="R19" i="8"/>
  <c r="HW19" i="18"/>
  <c r="S19" i="8"/>
  <c r="HX19" i="18"/>
  <c r="T19" i="8"/>
  <c r="HY19" i="18"/>
  <c r="U19" i="8"/>
  <c r="HZ19" i="18"/>
  <c r="V19" i="8"/>
  <c r="IA19" i="18"/>
  <c r="W19" i="8"/>
  <c r="IB19" i="18"/>
  <c r="X19" i="8"/>
  <c r="IC19" i="18"/>
  <c r="Y19" i="8"/>
  <c r="ID19" i="18"/>
  <c r="Z19" i="8"/>
  <c r="IE19" i="18"/>
  <c r="AA19" i="8"/>
  <c r="IF19" i="18"/>
  <c r="AB19" i="8"/>
  <c r="IG19" i="18"/>
  <c r="AC19" i="8"/>
  <c r="IH19" i="18"/>
  <c r="AD19" i="8"/>
  <c r="II19" i="18"/>
  <c r="AE19" i="8"/>
  <c r="IJ19" i="18"/>
  <c r="AF19" i="8"/>
  <c r="IK19" i="18"/>
  <c r="AG19" i="8"/>
  <c r="IL19" i="18"/>
  <c r="AH19" i="8"/>
  <c r="IM19" i="18"/>
  <c r="AI19" i="8"/>
  <c r="IN19" i="18"/>
  <c r="AJ19" i="8"/>
  <c r="HJ19" i="18"/>
  <c r="F19" i="8"/>
  <c r="AK19" i="8"/>
  <c r="IP19" i="18"/>
  <c r="G19" i="9"/>
  <c r="IQ19" i="18"/>
  <c r="H19" i="9"/>
  <c r="IR19" i="18"/>
  <c r="I19" i="9"/>
  <c r="IS19" i="18"/>
  <c r="J19" i="9"/>
  <c r="IT19" i="18"/>
  <c r="K19" i="9"/>
  <c r="IU19" i="18"/>
  <c r="L19" i="9"/>
  <c r="IV19" i="18"/>
  <c r="M19" i="9"/>
  <c r="IW19" i="18"/>
  <c r="N19" i="9"/>
  <c r="IX19" i="18"/>
  <c r="O19" i="9"/>
  <c r="IY19" i="18"/>
  <c r="P19" i="9"/>
  <c r="IZ19" i="18"/>
  <c r="Q19" i="9"/>
  <c r="JA19" i="18"/>
  <c r="R19" i="9"/>
  <c r="JB19" i="18"/>
  <c r="S19" i="9"/>
  <c r="JC19" i="18"/>
  <c r="T19" i="9"/>
  <c r="JD19" i="18"/>
  <c r="U19" i="9"/>
  <c r="JE19" i="18"/>
  <c r="V19" i="9"/>
  <c r="JF19" i="18"/>
  <c r="W19" i="9"/>
  <c r="JG19" i="18"/>
  <c r="X19" i="9"/>
  <c r="JH19" i="18"/>
  <c r="Y19" i="9"/>
  <c r="JI19" i="18"/>
  <c r="Z19" i="9"/>
  <c r="JJ19" i="18"/>
  <c r="AA19" i="9"/>
  <c r="JK19" i="18"/>
  <c r="AB19" i="9"/>
  <c r="JL19" i="18"/>
  <c r="AC19" i="9"/>
  <c r="JM19" i="18"/>
  <c r="AD19" i="9"/>
  <c r="JN19" i="18"/>
  <c r="AE19" i="9"/>
  <c r="JO19" i="18"/>
  <c r="AF19" i="9"/>
  <c r="JP19" i="18"/>
  <c r="AG19" i="9"/>
  <c r="JQ19" i="18"/>
  <c r="AH19" i="9"/>
  <c r="JR19" i="18"/>
  <c r="AI19" i="9"/>
  <c r="IO19" i="18"/>
  <c r="F19" i="9"/>
  <c r="AK19" i="9"/>
  <c r="JT19" i="18"/>
  <c r="G19" i="10"/>
  <c r="JU19" i="18"/>
  <c r="H19" i="10"/>
  <c r="JV19" i="18"/>
  <c r="I19" i="10"/>
  <c r="JW19" i="18"/>
  <c r="J19" i="10"/>
  <c r="JX19" i="18"/>
  <c r="K19" i="10"/>
  <c r="JY19" i="18"/>
  <c r="L19" i="10"/>
  <c r="JZ19" i="18"/>
  <c r="M19" i="10"/>
  <c r="KA19" i="18"/>
  <c r="N19" i="10"/>
  <c r="KB19" i="18"/>
  <c r="O19" i="10"/>
  <c r="KC19" i="18"/>
  <c r="P19" i="10"/>
  <c r="KD19" i="18"/>
  <c r="Q19" i="10"/>
  <c r="KE19" i="18"/>
  <c r="R19" i="10"/>
  <c r="KF19" i="18"/>
  <c r="S19" i="10"/>
  <c r="KG19" i="18"/>
  <c r="T19" i="10"/>
  <c r="KH19" i="18"/>
  <c r="U19" i="10"/>
  <c r="KI19" i="18"/>
  <c r="V19" i="10"/>
  <c r="KJ19" i="18"/>
  <c r="W19" i="10"/>
  <c r="KK19" i="18"/>
  <c r="X19" i="10"/>
  <c r="KL19" i="18"/>
  <c r="Y19" i="10"/>
  <c r="KM19" i="18"/>
  <c r="Z19" i="10"/>
  <c r="KN19" i="18"/>
  <c r="AA19" i="10"/>
  <c r="KO19" i="18"/>
  <c r="AB19" i="10"/>
  <c r="KP19" i="18"/>
  <c r="AC19" i="10"/>
  <c r="KQ19" i="18"/>
  <c r="AD19" i="10"/>
  <c r="KR19" i="18"/>
  <c r="AE19" i="10"/>
  <c r="KS19" i="18"/>
  <c r="AF19" i="10"/>
  <c r="KT19" i="18"/>
  <c r="AG19" i="10"/>
  <c r="KU19" i="18"/>
  <c r="AH19" i="10"/>
  <c r="KV19" i="18"/>
  <c r="AI19" i="10"/>
  <c r="KW19" i="18"/>
  <c r="AJ19" i="10"/>
  <c r="JS19" i="18"/>
  <c r="F19" i="10"/>
  <c r="AK19" i="10"/>
  <c r="KY19" i="18"/>
  <c r="G19" i="11"/>
  <c r="KZ19" i="18"/>
  <c r="H19" i="11"/>
  <c r="LA19" i="18"/>
  <c r="I19" i="11"/>
  <c r="LB19" i="18"/>
  <c r="J19" i="11"/>
  <c r="LC19" i="18"/>
  <c r="K19" i="11"/>
  <c r="LD19" i="18"/>
  <c r="L19" i="11"/>
  <c r="LE19" i="18"/>
  <c r="M19" i="11"/>
  <c r="LF19" i="18"/>
  <c r="N19" i="11"/>
  <c r="LG19" i="18"/>
  <c r="O19" i="11"/>
  <c r="LH19" i="18"/>
  <c r="P19" i="11"/>
  <c r="LI19" i="18"/>
  <c r="Q19" i="11"/>
  <c r="LJ19" i="18"/>
  <c r="R19" i="11"/>
  <c r="LK19" i="18"/>
  <c r="S19" i="11"/>
  <c r="LL19" i="18"/>
  <c r="T19" i="11"/>
  <c r="LM19" i="18"/>
  <c r="U19" i="11"/>
  <c r="LN19" i="18"/>
  <c r="V19" i="11"/>
  <c r="LO19" i="18"/>
  <c r="W19" i="11"/>
  <c r="LP19" i="18"/>
  <c r="X19" i="11"/>
  <c r="LQ19" i="18"/>
  <c r="Y19" i="11"/>
  <c r="LR19" i="18"/>
  <c r="Z19" i="11"/>
  <c r="LS19" i="18"/>
  <c r="AA19" i="11"/>
  <c r="LT19" i="18"/>
  <c r="AB19" i="11"/>
  <c r="LU19" i="18"/>
  <c r="AC19" i="11"/>
  <c r="LV19" i="18"/>
  <c r="AD19" i="11"/>
  <c r="LW19" i="18"/>
  <c r="AE19" i="11"/>
  <c r="LX19" i="18"/>
  <c r="AF19" i="11"/>
  <c r="LY19" i="18"/>
  <c r="AG19" i="11"/>
  <c r="LZ19" i="18"/>
  <c r="AH19" i="11"/>
  <c r="MA19" i="18"/>
  <c r="AI19" i="11"/>
  <c r="KX19" i="18"/>
  <c r="F19" i="11"/>
  <c r="AK19" i="11"/>
  <c r="MC19" i="18"/>
  <c r="G19" i="12"/>
  <c r="MD19" i="18"/>
  <c r="H19" i="12"/>
  <c r="ME19" i="18"/>
  <c r="I19" i="12"/>
  <c r="MF19" i="18"/>
  <c r="J19" i="12"/>
  <c r="MG19" i="18"/>
  <c r="K19" i="12"/>
  <c r="MH19" i="18"/>
  <c r="L19" i="12"/>
  <c r="MI19" i="18"/>
  <c r="M19" i="12"/>
  <c r="MJ19" i="18"/>
  <c r="N19" i="12"/>
  <c r="MK19" i="18"/>
  <c r="O19" i="12"/>
  <c r="ML19" i="18"/>
  <c r="P19" i="12"/>
  <c r="MM19" i="18"/>
  <c r="Q19" i="12"/>
  <c r="MN19" i="18"/>
  <c r="R19" i="12"/>
  <c r="MO19" i="18"/>
  <c r="S19" i="12"/>
  <c r="MP19" i="18"/>
  <c r="T19" i="12"/>
  <c r="MQ19" i="18"/>
  <c r="U19" i="12"/>
  <c r="MR19" i="18"/>
  <c r="V19" i="12"/>
  <c r="MS19" i="18"/>
  <c r="W19" i="12"/>
  <c r="MT19" i="18"/>
  <c r="X19" i="12"/>
  <c r="MU19" i="18"/>
  <c r="Y19" i="12"/>
  <c r="MV19" i="18"/>
  <c r="Z19" i="12"/>
  <c r="MW19" i="18"/>
  <c r="AA19" i="12"/>
  <c r="MX19" i="18"/>
  <c r="AB19" i="12"/>
  <c r="MY19" i="18"/>
  <c r="AC19" i="12"/>
  <c r="MZ19" i="18"/>
  <c r="AD19" i="12"/>
  <c r="NA19" i="18"/>
  <c r="AE19" i="12"/>
  <c r="NB19" i="18"/>
  <c r="AF19" i="12"/>
  <c r="NC19" i="18"/>
  <c r="AG19" i="12"/>
  <c r="ND19" i="18"/>
  <c r="AH19" i="12"/>
  <c r="NE19" i="18"/>
  <c r="AI19" i="12"/>
  <c r="NF19" i="18"/>
  <c r="AJ19" i="12"/>
  <c r="MB19" i="18"/>
  <c r="F19" i="12"/>
  <c r="AK19" i="12"/>
  <c r="P15" i="13"/>
  <c r="G18" i="18"/>
  <c r="H18" i="18"/>
  <c r="I18" i="18"/>
  <c r="J18" i="18"/>
  <c r="K18" i="18"/>
  <c r="L18" i="18"/>
  <c r="M18" i="18"/>
  <c r="N18" i="18"/>
  <c r="O18" i="18"/>
  <c r="P18" i="18"/>
  <c r="Q18" i="18"/>
  <c r="R18" i="18"/>
  <c r="S18" i="18"/>
  <c r="T18" i="18"/>
  <c r="U18" i="18"/>
  <c r="V18" i="18"/>
  <c r="W18" i="18"/>
  <c r="X18" i="18"/>
  <c r="Y18" i="18"/>
  <c r="Z18" i="18"/>
  <c r="AA18" i="18"/>
  <c r="AB18" i="18"/>
  <c r="AC18" i="18"/>
  <c r="AD18" i="18"/>
  <c r="AE18" i="18"/>
  <c r="AF18" i="18"/>
  <c r="AG18" i="18"/>
  <c r="AH18" i="18"/>
  <c r="AI18" i="18"/>
  <c r="AJ18" i="18"/>
  <c r="F18" i="18"/>
  <c r="AL18" i="18"/>
  <c r="G18" i="2"/>
  <c r="AM18" i="18"/>
  <c r="H18" i="2"/>
  <c r="AN18" i="18"/>
  <c r="I18" i="2"/>
  <c r="AO18" i="18"/>
  <c r="J18" i="2"/>
  <c r="AP18" i="18"/>
  <c r="K18" i="2"/>
  <c r="AQ18" i="18"/>
  <c r="L18" i="2"/>
  <c r="AR18" i="18"/>
  <c r="M18" i="2"/>
  <c r="AS18" i="18"/>
  <c r="N18" i="2"/>
  <c r="AT18" i="18"/>
  <c r="O18" i="2"/>
  <c r="AU18" i="18"/>
  <c r="P18" i="2"/>
  <c r="AV18" i="18"/>
  <c r="Q18" i="2"/>
  <c r="AW18" i="18"/>
  <c r="R18" i="2"/>
  <c r="AX18" i="18"/>
  <c r="S18" i="2"/>
  <c r="AY18" i="18"/>
  <c r="T18" i="2"/>
  <c r="AZ18" i="18"/>
  <c r="U18" i="2"/>
  <c r="BA18" i="18"/>
  <c r="V18" i="2"/>
  <c r="BB18" i="18"/>
  <c r="W18" i="2"/>
  <c r="BC18" i="18"/>
  <c r="X18" i="2"/>
  <c r="BD18" i="18"/>
  <c r="Y18" i="2"/>
  <c r="BE18" i="18"/>
  <c r="Z18" i="2"/>
  <c r="BF18" i="18"/>
  <c r="AA18" i="2"/>
  <c r="BG18" i="18"/>
  <c r="AB18" i="2"/>
  <c r="BH18" i="18"/>
  <c r="AC18" i="2"/>
  <c r="BI18" i="18"/>
  <c r="AD18" i="2"/>
  <c r="BJ18" i="18"/>
  <c r="AE18" i="2"/>
  <c r="BK18" i="18"/>
  <c r="AF18" i="2"/>
  <c r="BL18" i="18"/>
  <c r="AG18" i="2"/>
  <c r="AI18" i="2"/>
  <c r="AK18" i="18"/>
  <c r="F18" i="2"/>
  <c r="AJ18" i="2"/>
  <c r="BN18" i="18"/>
  <c r="G18" i="3"/>
  <c r="BO18" i="18"/>
  <c r="H18" i="3"/>
  <c r="BP18" i="18"/>
  <c r="I18" i="3"/>
  <c r="BQ18" i="18"/>
  <c r="J18" i="3"/>
  <c r="BR18" i="18"/>
  <c r="K18" i="3"/>
  <c r="BS18" i="18"/>
  <c r="L18" i="3"/>
  <c r="BT18" i="18"/>
  <c r="M18" i="3"/>
  <c r="BU18" i="18"/>
  <c r="N18" i="3"/>
  <c r="BV18" i="18"/>
  <c r="O18" i="3"/>
  <c r="BW18" i="18"/>
  <c r="P18" i="3"/>
  <c r="BX18" i="18"/>
  <c r="Q18" i="3"/>
  <c r="BY18" i="18"/>
  <c r="R18" i="3"/>
  <c r="BZ18" i="18"/>
  <c r="S18" i="3"/>
  <c r="CA18" i="18"/>
  <c r="T18" i="3"/>
  <c r="CB18" i="18"/>
  <c r="U18" i="3"/>
  <c r="CC18" i="18"/>
  <c r="V18" i="3"/>
  <c r="CD18" i="18"/>
  <c r="W18" i="3"/>
  <c r="CE18" i="18"/>
  <c r="X18" i="3"/>
  <c r="CF18" i="18"/>
  <c r="Y18" i="3"/>
  <c r="CG18" i="18"/>
  <c r="Z18" i="3"/>
  <c r="CH18" i="18"/>
  <c r="AA18" i="3"/>
  <c r="CI18" i="18"/>
  <c r="AB18" i="3"/>
  <c r="CJ18" i="18"/>
  <c r="AC18" i="3"/>
  <c r="CK18" i="18"/>
  <c r="AD18" i="3"/>
  <c r="CL18" i="18"/>
  <c r="AE18" i="3"/>
  <c r="CM18" i="18"/>
  <c r="AF18" i="3"/>
  <c r="CN18" i="18"/>
  <c r="AG18" i="3"/>
  <c r="CO18" i="18"/>
  <c r="AH18" i="3"/>
  <c r="CP18" i="18"/>
  <c r="AI18" i="3"/>
  <c r="CQ18" i="18"/>
  <c r="AJ18" i="3"/>
  <c r="BM18" i="18"/>
  <c r="F18" i="3"/>
  <c r="AK18" i="3"/>
  <c r="CS18" i="18"/>
  <c r="G18" i="4"/>
  <c r="CT18" i="18"/>
  <c r="H18" i="4"/>
  <c r="CU18" i="18"/>
  <c r="I18" i="4"/>
  <c r="CV18" i="18"/>
  <c r="J18" i="4"/>
  <c r="CW18" i="18"/>
  <c r="K18" i="4"/>
  <c r="CX18" i="18"/>
  <c r="L18" i="4"/>
  <c r="CY18" i="18"/>
  <c r="M18" i="4"/>
  <c r="CZ18" i="18"/>
  <c r="N18" i="4"/>
  <c r="DA18" i="18"/>
  <c r="O18" i="4"/>
  <c r="DB18" i="18"/>
  <c r="P18" i="4"/>
  <c r="DC18" i="18"/>
  <c r="Q18" i="4"/>
  <c r="DD18" i="18"/>
  <c r="R18" i="4"/>
  <c r="DE18" i="18"/>
  <c r="S18" i="4"/>
  <c r="DF18" i="18"/>
  <c r="T18" i="4"/>
  <c r="DG18" i="18"/>
  <c r="U18" i="4"/>
  <c r="DH18" i="18"/>
  <c r="V18" i="4"/>
  <c r="DI18" i="18"/>
  <c r="W18" i="4"/>
  <c r="DJ18" i="18"/>
  <c r="X18" i="4"/>
  <c r="DK18" i="18"/>
  <c r="Y18" i="4"/>
  <c r="DL18" i="18"/>
  <c r="Z18" i="4"/>
  <c r="DM18" i="18"/>
  <c r="AA18" i="4"/>
  <c r="DN18" i="18"/>
  <c r="AB18" i="4"/>
  <c r="DO18" i="18"/>
  <c r="AC18" i="4"/>
  <c r="DP18" i="18"/>
  <c r="AD18" i="4"/>
  <c r="DQ18" i="18"/>
  <c r="AE18" i="4"/>
  <c r="DR18" i="18"/>
  <c r="AF18" i="4"/>
  <c r="DS18" i="18"/>
  <c r="AG18" i="4"/>
  <c r="DT18" i="18"/>
  <c r="AH18" i="4"/>
  <c r="DU18" i="18"/>
  <c r="AI18" i="4"/>
  <c r="CR18" i="18"/>
  <c r="F18" i="4"/>
  <c r="AK18" i="4"/>
  <c r="DW18" i="18"/>
  <c r="G18" i="5"/>
  <c r="DX18" i="18"/>
  <c r="H18" i="5"/>
  <c r="DY18" i="18"/>
  <c r="I18" i="5"/>
  <c r="DZ18" i="18"/>
  <c r="J18" i="5"/>
  <c r="EA18" i="18"/>
  <c r="K18" i="5"/>
  <c r="EB18" i="18"/>
  <c r="L18" i="5"/>
  <c r="EC18" i="18"/>
  <c r="M18" i="5"/>
  <c r="ED18" i="18"/>
  <c r="N18" i="5"/>
  <c r="EE18" i="18"/>
  <c r="O18" i="5"/>
  <c r="EF18" i="18"/>
  <c r="P18" i="5"/>
  <c r="EG18" i="18"/>
  <c r="Q18" i="5"/>
  <c r="EH18" i="18"/>
  <c r="R18" i="5"/>
  <c r="EI18" i="18"/>
  <c r="S18" i="5"/>
  <c r="EJ18" i="18"/>
  <c r="T18" i="5"/>
  <c r="EK18" i="18"/>
  <c r="U18" i="5"/>
  <c r="EL18" i="18"/>
  <c r="V18" i="5"/>
  <c r="EM18" i="18"/>
  <c r="W18" i="5"/>
  <c r="EN18" i="18"/>
  <c r="X18" i="5"/>
  <c r="EO18" i="18"/>
  <c r="Y18" i="5"/>
  <c r="EP18" i="18"/>
  <c r="Z18" i="5"/>
  <c r="EQ18" i="18"/>
  <c r="AA18" i="5"/>
  <c r="ER18" i="18"/>
  <c r="AB18" i="5"/>
  <c r="ES18" i="18"/>
  <c r="AC18" i="5"/>
  <c r="ET18" i="18"/>
  <c r="AD18" i="5"/>
  <c r="EU18" i="18"/>
  <c r="AE18" i="5"/>
  <c r="EV18" i="18"/>
  <c r="AF18" i="5"/>
  <c r="EW18" i="18"/>
  <c r="AG18" i="5"/>
  <c r="EX18" i="18"/>
  <c r="AH18" i="5"/>
  <c r="EY18" i="18"/>
  <c r="AI18" i="5"/>
  <c r="EZ18" i="18"/>
  <c r="AJ18" i="5"/>
  <c r="DV18" i="18"/>
  <c r="F18" i="5"/>
  <c r="AK18" i="5"/>
  <c r="FB18" i="18"/>
  <c r="G18" i="6"/>
  <c r="FC18" i="18"/>
  <c r="H18" i="6"/>
  <c r="FD18" i="18"/>
  <c r="I18" i="6"/>
  <c r="FE18" i="18"/>
  <c r="J18" i="6"/>
  <c r="FF18" i="18"/>
  <c r="K18" i="6"/>
  <c r="FG18" i="18"/>
  <c r="L18" i="6"/>
  <c r="FH18" i="18"/>
  <c r="M18" i="6"/>
  <c r="FI18" i="18"/>
  <c r="N18" i="6"/>
  <c r="FJ18" i="18"/>
  <c r="O18" i="6"/>
  <c r="FK18" i="18"/>
  <c r="P18" i="6"/>
  <c r="FL18" i="18"/>
  <c r="Q18" i="6"/>
  <c r="FM18" i="18"/>
  <c r="R18" i="6"/>
  <c r="FN18" i="18"/>
  <c r="S18" i="6"/>
  <c r="FO18" i="18"/>
  <c r="T18" i="6"/>
  <c r="FP18" i="18"/>
  <c r="U18" i="6"/>
  <c r="FQ18" i="18"/>
  <c r="V18" i="6"/>
  <c r="FR18" i="18"/>
  <c r="W18" i="6"/>
  <c r="FS18" i="18"/>
  <c r="X18" i="6"/>
  <c r="FT18" i="18"/>
  <c r="Y18" i="6"/>
  <c r="FU18" i="18"/>
  <c r="Z18" i="6"/>
  <c r="FV18" i="18"/>
  <c r="AA18" i="6"/>
  <c r="FW18" i="18"/>
  <c r="AB18" i="6"/>
  <c r="FX18" i="18"/>
  <c r="AC18" i="6"/>
  <c r="FY18" i="18"/>
  <c r="AD18" i="6"/>
  <c r="FZ18" i="18"/>
  <c r="AE18" i="6"/>
  <c r="GA18" i="18"/>
  <c r="AF18" i="6"/>
  <c r="GB18" i="18"/>
  <c r="AG18" i="6"/>
  <c r="GC18" i="18"/>
  <c r="AH18" i="6"/>
  <c r="GD18" i="18"/>
  <c r="AI18" i="6"/>
  <c r="FA18" i="18"/>
  <c r="F18" i="6"/>
  <c r="AK18" i="6"/>
  <c r="GF18" i="18"/>
  <c r="G18" i="7"/>
  <c r="GG18" i="18"/>
  <c r="H18" i="7"/>
  <c r="GH18" i="18"/>
  <c r="I18" i="7"/>
  <c r="GI18" i="18"/>
  <c r="J18" i="7"/>
  <c r="GJ18" i="18"/>
  <c r="K18" i="7"/>
  <c r="GK18" i="18"/>
  <c r="L18" i="7"/>
  <c r="GL18" i="18"/>
  <c r="M18" i="7"/>
  <c r="GM18" i="18"/>
  <c r="N18" i="7"/>
  <c r="GN18" i="18"/>
  <c r="O18" i="7"/>
  <c r="GO18" i="18"/>
  <c r="P18" i="7"/>
  <c r="GP18" i="18"/>
  <c r="Q18" i="7"/>
  <c r="GQ18" i="18"/>
  <c r="R18" i="7"/>
  <c r="GR18" i="18"/>
  <c r="S18" i="7"/>
  <c r="GS18" i="18"/>
  <c r="T18" i="7"/>
  <c r="GT18" i="18"/>
  <c r="U18" i="7"/>
  <c r="GU18" i="18"/>
  <c r="V18" i="7"/>
  <c r="GV18" i="18"/>
  <c r="W18" i="7"/>
  <c r="GW18" i="18"/>
  <c r="X18" i="7"/>
  <c r="GX18" i="18"/>
  <c r="Y18" i="7"/>
  <c r="GY18" i="18"/>
  <c r="Z18" i="7"/>
  <c r="GZ18" i="18"/>
  <c r="AA18" i="7"/>
  <c r="HA18" i="18"/>
  <c r="AB18" i="7"/>
  <c r="HB18" i="18"/>
  <c r="AC18" i="7"/>
  <c r="HC18" i="18"/>
  <c r="AD18" i="7"/>
  <c r="HD18" i="18"/>
  <c r="AE18" i="7"/>
  <c r="HE18" i="18"/>
  <c r="AF18" i="7"/>
  <c r="HF18" i="18"/>
  <c r="AG18" i="7"/>
  <c r="HG18" i="18"/>
  <c r="AH18" i="7"/>
  <c r="HH18" i="18"/>
  <c r="AI18" i="7"/>
  <c r="HI18" i="18"/>
  <c r="AJ18" i="7"/>
  <c r="GE18" i="18"/>
  <c r="F18" i="7"/>
  <c r="AK18" i="7"/>
  <c r="HK18" i="18"/>
  <c r="G18" i="8"/>
  <c r="HL18" i="18"/>
  <c r="H18" i="8"/>
  <c r="HM18" i="18"/>
  <c r="I18" i="8"/>
  <c r="HN18" i="18"/>
  <c r="J18" i="8"/>
  <c r="HO18" i="18"/>
  <c r="K18" i="8"/>
  <c r="HP18" i="18"/>
  <c r="L18" i="8"/>
  <c r="HQ18" i="18"/>
  <c r="M18" i="8"/>
  <c r="HR18" i="18"/>
  <c r="N18" i="8"/>
  <c r="HS18" i="18"/>
  <c r="O18" i="8"/>
  <c r="HT18" i="18"/>
  <c r="P18" i="8"/>
  <c r="HU18" i="18"/>
  <c r="Q18" i="8"/>
  <c r="HV18" i="18"/>
  <c r="R18" i="8"/>
  <c r="HW18" i="18"/>
  <c r="S18" i="8"/>
  <c r="HX18" i="18"/>
  <c r="T18" i="8"/>
  <c r="HY18" i="18"/>
  <c r="U18" i="8"/>
  <c r="HZ18" i="18"/>
  <c r="V18" i="8"/>
  <c r="IA18" i="18"/>
  <c r="W18" i="8"/>
  <c r="IB18" i="18"/>
  <c r="X18" i="8"/>
  <c r="IC18" i="18"/>
  <c r="Y18" i="8"/>
  <c r="ID18" i="18"/>
  <c r="Z18" i="8"/>
  <c r="IE18" i="18"/>
  <c r="AA18" i="8"/>
  <c r="IF18" i="18"/>
  <c r="AB18" i="8"/>
  <c r="IG18" i="18"/>
  <c r="AC18" i="8"/>
  <c r="IH18" i="18"/>
  <c r="AD18" i="8"/>
  <c r="II18" i="18"/>
  <c r="AE18" i="8"/>
  <c r="IJ18" i="18"/>
  <c r="AF18" i="8"/>
  <c r="IK18" i="18"/>
  <c r="AG18" i="8"/>
  <c r="IL18" i="18"/>
  <c r="AH18" i="8"/>
  <c r="IM18" i="18"/>
  <c r="AI18" i="8"/>
  <c r="IN18" i="18"/>
  <c r="AJ18" i="8"/>
  <c r="HJ18" i="18"/>
  <c r="F18" i="8"/>
  <c r="AK18" i="8"/>
  <c r="IP18" i="18"/>
  <c r="G18" i="9"/>
  <c r="IQ18" i="18"/>
  <c r="H18" i="9"/>
  <c r="IR18" i="18"/>
  <c r="I18" i="9"/>
  <c r="IS18" i="18"/>
  <c r="J18" i="9"/>
  <c r="IT18" i="18"/>
  <c r="K18" i="9"/>
  <c r="IU18" i="18"/>
  <c r="L18" i="9"/>
  <c r="IV18" i="18"/>
  <c r="M18" i="9"/>
  <c r="IW18" i="18"/>
  <c r="N18" i="9"/>
  <c r="IX18" i="18"/>
  <c r="O18" i="9"/>
  <c r="IY18" i="18"/>
  <c r="P18" i="9"/>
  <c r="IZ18" i="18"/>
  <c r="Q18" i="9"/>
  <c r="JA18" i="18"/>
  <c r="R18" i="9"/>
  <c r="JB18" i="18"/>
  <c r="S18" i="9"/>
  <c r="JC18" i="18"/>
  <c r="T18" i="9"/>
  <c r="JD18" i="18"/>
  <c r="U18" i="9"/>
  <c r="JE18" i="18"/>
  <c r="V18" i="9"/>
  <c r="JF18" i="18"/>
  <c r="W18" i="9"/>
  <c r="JG18" i="18"/>
  <c r="X18" i="9"/>
  <c r="JH18" i="18"/>
  <c r="Y18" i="9"/>
  <c r="JI18" i="18"/>
  <c r="Z18" i="9"/>
  <c r="JJ18" i="18"/>
  <c r="AA18" i="9"/>
  <c r="JK18" i="18"/>
  <c r="AB18" i="9"/>
  <c r="JL18" i="18"/>
  <c r="AC18" i="9"/>
  <c r="JM18" i="18"/>
  <c r="AD18" i="9"/>
  <c r="JN18" i="18"/>
  <c r="AE18" i="9"/>
  <c r="JO18" i="18"/>
  <c r="AF18" i="9"/>
  <c r="JP18" i="18"/>
  <c r="AG18" i="9"/>
  <c r="JQ18" i="18"/>
  <c r="AH18" i="9"/>
  <c r="JR18" i="18"/>
  <c r="AI18" i="9"/>
  <c r="IO18" i="18"/>
  <c r="F18" i="9"/>
  <c r="AK18" i="9"/>
  <c r="JT18" i="18"/>
  <c r="G18" i="10"/>
  <c r="JU18" i="18"/>
  <c r="H18" i="10"/>
  <c r="JV18" i="18"/>
  <c r="I18" i="10"/>
  <c r="JW18" i="18"/>
  <c r="J18" i="10"/>
  <c r="JX18" i="18"/>
  <c r="K18" i="10"/>
  <c r="JY18" i="18"/>
  <c r="L18" i="10"/>
  <c r="JZ18" i="18"/>
  <c r="M18" i="10"/>
  <c r="KA18" i="18"/>
  <c r="N18" i="10"/>
  <c r="KB18" i="18"/>
  <c r="O18" i="10"/>
  <c r="KC18" i="18"/>
  <c r="P18" i="10"/>
  <c r="KD18" i="18"/>
  <c r="Q18" i="10"/>
  <c r="KE18" i="18"/>
  <c r="R18" i="10"/>
  <c r="KF18" i="18"/>
  <c r="S18" i="10"/>
  <c r="KG18" i="18"/>
  <c r="T18" i="10"/>
  <c r="KH18" i="18"/>
  <c r="U18" i="10"/>
  <c r="KI18" i="18"/>
  <c r="V18" i="10"/>
  <c r="KJ18" i="18"/>
  <c r="W18" i="10"/>
  <c r="KK18" i="18"/>
  <c r="X18" i="10"/>
  <c r="KL18" i="18"/>
  <c r="Y18" i="10"/>
  <c r="KM18" i="18"/>
  <c r="Z18" i="10"/>
  <c r="KN18" i="18"/>
  <c r="AA18" i="10"/>
  <c r="KO18" i="18"/>
  <c r="AB18" i="10"/>
  <c r="KP18" i="18"/>
  <c r="AC18" i="10"/>
  <c r="KQ18" i="18"/>
  <c r="AD18" i="10"/>
  <c r="KR18" i="18"/>
  <c r="AE18" i="10"/>
  <c r="KS18" i="18"/>
  <c r="AF18" i="10"/>
  <c r="KT18" i="18"/>
  <c r="AG18" i="10"/>
  <c r="KU18" i="18"/>
  <c r="AH18" i="10"/>
  <c r="KV18" i="18"/>
  <c r="AI18" i="10"/>
  <c r="KW18" i="18"/>
  <c r="AJ18" i="10"/>
  <c r="JS18" i="18"/>
  <c r="F18" i="10"/>
  <c r="AK18" i="10"/>
  <c r="KY18" i="18"/>
  <c r="G18" i="11"/>
  <c r="KZ18" i="18"/>
  <c r="H18" i="11"/>
  <c r="LA18" i="18"/>
  <c r="I18" i="11"/>
  <c r="LB18" i="18"/>
  <c r="J18" i="11"/>
  <c r="LC18" i="18"/>
  <c r="K18" i="11"/>
  <c r="LD18" i="18"/>
  <c r="L18" i="11"/>
  <c r="LE18" i="18"/>
  <c r="M18" i="11"/>
  <c r="LF18" i="18"/>
  <c r="N18" i="11"/>
  <c r="LG18" i="18"/>
  <c r="O18" i="11"/>
  <c r="LH18" i="18"/>
  <c r="P18" i="11"/>
  <c r="LI18" i="18"/>
  <c r="Q18" i="11"/>
  <c r="LJ18" i="18"/>
  <c r="R18" i="11"/>
  <c r="LK18" i="18"/>
  <c r="S18" i="11"/>
  <c r="LL18" i="18"/>
  <c r="T18" i="11"/>
  <c r="LM18" i="18"/>
  <c r="U18" i="11"/>
  <c r="LN18" i="18"/>
  <c r="V18" i="11"/>
  <c r="LO18" i="18"/>
  <c r="W18" i="11"/>
  <c r="LP18" i="18"/>
  <c r="X18" i="11"/>
  <c r="LQ18" i="18"/>
  <c r="Y18" i="11"/>
  <c r="LR18" i="18"/>
  <c r="Z18" i="11"/>
  <c r="LS18" i="18"/>
  <c r="AA18" i="11"/>
  <c r="LT18" i="18"/>
  <c r="AB18" i="11"/>
  <c r="LU18" i="18"/>
  <c r="AC18" i="11"/>
  <c r="LV18" i="18"/>
  <c r="AD18" i="11"/>
  <c r="LW18" i="18"/>
  <c r="AE18" i="11"/>
  <c r="LX18" i="18"/>
  <c r="AF18" i="11"/>
  <c r="LY18" i="18"/>
  <c r="AG18" i="11"/>
  <c r="LZ18" i="18"/>
  <c r="AH18" i="11"/>
  <c r="MA18" i="18"/>
  <c r="AI18" i="11"/>
  <c r="KX18" i="18"/>
  <c r="F18" i="11"/>
  <c r="AK18" i="11"/>
  <c r="MC18" i="18"/>
  <c r="G18" i="12"/>
  <c r="MD18" i="18"/>
  <c r="H18" i="12"/>
  <c r="ME18" i="18"/>
  <c r="I18" i="12"/>
  <c r="MF18" i="18"/>
  <c r="J18" i="12"/>
  <c r="MG18" i="18"/>
  <c r="K18" i="12"/>
  <c r="MH18" i="18"/>
  <c r="L18" i="12"/>
  <c r="MI18" i="18"/>
  <c r="M18" i="12"/>
  <c r="MJ18" i="18"/>
  <c r="N18" i="12"/>
  <c r="MK18" i="18"/>
  <c r="O18" i="12"/>
  <c r="ML18" i="18"/>
  <c r="P18" i="12"/>
  <c r="MM18" i="18"/>
  <c r="Q18" i="12"/>
  <c r="MN18" i="18"/>
  <c r="R18" i="12"/>
  <c r="MO18" i="18"/>
  <c r="S18" i="12"/>
  <c r="MP18" i="18"/>
  <c r="T18" i="12"/>
  <c r="MQ18" i="18"/>
  <c r="U18" i="12"/>
  <c r="MR18" i="18"/>
  <c r="V18" i="12"/>
  <c r="MS18" i="18"/>
  <c r="W18" i="12"/>
  <c r="MT18" i="18"/>
  <c r="X18" i="12"/>
  <c r="MU18" i="18"/>
  <c r="Y18" i="12"/>
  <c r="MV18" i="18"/>
  <c r="Z18" i="12"/>
  <c r="MW18" i="18"/>
  <c r="AA18" i="12"/>
  <c r="MX18" i="18"/>
  <c r="AB18" i="12"/>
  <c r="MY18" i="18"/>
  <c r="AC18" i="12"/>
  <c r="MZ18" i="18"/>
  <c r="AD18" i="12"/>
  <c r="NA18" i="18"/>
  <c r="AE18" i="12"/>
  <c r="NB18" i="18"/>
  <c r="AF18" i="12"/>
  <c r="NC18" i="18"/>
  <c r="AG18" i="12"/>
  <c r="ND18" i="18"/>
  <c r="AH18" i="12"/>
  <c r="NE18" i="18"/>
  <c r="AI18" i="12"/>
  <c r="NF18" i="18"/>
  <c r="AJ18" i="12"/>
  <c r="MB18" i="18"/>
  <c r="F18" i="12"/>
  <c r="AK18" i="12"/>
  <c r="P14" i="13"/>
  <c r="G17" i="18"/>
  <c r="H17" i="18"/>
  <c r="I17" i="18"/>
  <c r="J17" i="18"/>
  <c r="K17" i="18"/>
  <c r="L17" i="18"/>
  <c r="M17" i="18"/>
  <c r="N17" i="18"/>
  <c r="O17" i="18"/>
  <c r="P17" i="18"/>
  <c r="Q17" i="18"/>
  <c r="R17" i="18"/>
  <c r="S17" i="18"/>
  <c r="T17" i="18"/>
  <c r="U17" i="18"/>
  <c r="V17" i="18"/>
  <c r="W17" i="18"/>
  <c r="X17" i="18"/>
  <c r="Y17" i="18"/>
  <c r="Z17" i="18"/>
  <c r="AA17" i="18"/>
  <c r="AB17" i="18"/>
  <c r="AC17" i="18"/>
  <c r="AD17" i="18"/>
  <c r="AE17" i="18"/>
  <c r="AF17" i="18"/>
  <c r="AG17" i="18"/>
  <c r="AH17" i="18"/>
  <c r="AI17" i="18"/>
  <c r="AJ17" i="18"/>
  <c r="F17" i="18"/>
  <c r="AL17" i="18"/>
  <c r="G17" i="2"/>
  <c r="AM17" i="18"/>
  <c r="H17" i="2"/>
  <c r="AN17" i="18"/>
  <c r="I17" i="2"/>
  <c r="AO17" i="18"/>
  <c r="J17" i="2"/>
  <c r="AP17" i="18"/>
  <c r="K17" i="2"/>
  <c r="AQ17" i="18"/>
  <c r="L17" i="2"/>
  <c r="AR17" i="18"/>
  <c r="M17" i="2"/>
  <c r="AS17" i="18"/>
  <c r="N17" i="2"/>
  <c r="AT17" i="18"/>
  <c r="O17" i="2"/>
  <c r="AU17" i="18"/>
  <c r="P17" i="2"/>
  <c r="AV17" i="18"/>
  <c r="Q17" i="2"/>
  <c r="AW17" i="18"/>
  <c r="R17" i="2"/>
  <c r="AX17" i="18"/>
  <c r="S17" i="2"/>
  <c r="AY17" i="18"/>
  <c r="T17" i="2"/>
  <c r="AZ17" i="18"/>
  <c r="U17" i="2"/>
  <c r="BA17" i="18"/>
  <c r="V17" i="2"/>
  <c r="BB17" i="18"/>
  <c r="W17" i="2"/>
  <c r="BC17" i="18"/>
  <c r="X17" i="2"/>
  <c r="BD17" i="18"/>
  <c r="Y17" i="2"/>
  <c r="BE17" i="18"/>
  <c r="Z17" i="2"/>
  <c r="BF17" i="18"/>
  <c r="AA17" i="2"/>
  <c r="BG17" i="18"/>
  <c r="AB17" i="2"/>
  <c r="BH17" i="18"/>
  <c r="AC17" i="2"/>
  <c r="BI17" i="18"/>
  <c r="AD17" i="2"/>
  <c r="BJ17" i="18"/>
  <c r="AE17" i="2"/>
  <c r="BK17" i="18"/>
  <c r="AF17" i="2"/>
  <c r="BL17" i="18"/>
  <c r="AG17" i="2"/>
  <c r="AI17" i="2"/>
  <c r="AK17" i="18"/>
  <c r="F17" i="2"/>
  <c r="AJ17" i="2"/>
  <c r="BN17" i="18"/>
  <c r="G17" i="3"/>
  <c r="BO17" i="18"/>
  <c r="H17" i="3"/>
  <c r="BP17" i="18"/>
  <c r="I17" i="3"/>
  <c r="BQ17" i="18"/>
  <c r="J17" i="3"/>
  <c r="BR17" i="18"/>
  <c r="K17" i="3"/>
  <c r="BS17" i="18"/>
  <c r="L17" i="3"/>
  <c r="BT17" i="18"/>
  <c r="M17" i="3"/>
  <c r="BU17" i="18"/>
  <c r="N17" i="3"/>
  <c r="BV17" i="18"/>
  <c r="O17" i="3"/>
  <c r="BW17" i="18"/>
  <c r="P17" i="3"/>
  <c r="BX17" i="18"/>
  <c r="Q17" i="3"/>
  <c r="BY17" i="18"/>
  <c r="R17" i="3"/>
  <c r="BZ17" i="18"/>
  <c r="S17" i="3"/>
  <c r="CA17" i="18"/>
  <c r="T17" i="3"/>
  <c r="CB17" i="18"/>
  <c r="U17" i="3"/>
  <c r="CC17" i="18"/>
  <c r="V17" i="3"/>
  <c r="CD17" i="18"/>
  <c r="W17" i="3"/>
  <c r="CE17" i="18"/>
  <c r="X17" i="3"/>
  <c r="CF17" i="18"/>
  <c r="Y17" i="3"/>
  <c r="CG17" i="18"/>
  <c r="Z17" i="3"/>
  <c r="CH17" i="18"/>
  <c r="AA17" i="3"/>
  <c r="CI17" i="18"/>
  <c r="AB17" i="3"/>
  <c r="CJ17" i="18"/>
  <c r="AC17" i="3"/>
  <c r="CK17" i="18"/>
  <c r="AD17" i="3"/>
  <c r="CL17" i="18"/>
  <c r="AE17" i="3"/>
  <c r="CM17" i="18"/>
  <c r="AF17" i="3"/>
  <c r="CN17" i="18"/>
  <c r="AG17" i="3"/>
  <c r="CO17" i="18"/>
  <c r="AH17" i="3"/>
  <c r="CP17" i="18"/>
  <c r="AI17" i="3"/>
  <c r="CQ17" i="18"/>
  <c r="AJ17" i="3"/>
  <c r="BM17" i="18"/>
  <c r="F17" i="3"/>
  <c r="AK17" i="3"/>
  <c r="CS17" i="18"/>
  <c r="G17" i="4"/>
  <c r="CT17" i="18"/>
  <c r="H17" i="4"/>
  <c r="CU17" i="18"/>
  <c r="I17" i="4"/>
  <c r="CV17" i="18"/>
  <c r="J17" i="4"/>
  <c r="CW17" i="18"/>
  <c r="K17" i="4"/>
  <c r="CX17" i="18"/>
  <c r="L17" i="4"/>
  <c r="CY17" i="18"/>
  <c r="M17" i="4"/>
  <c r="CZ17" i="18"/>
  <c r="N17" i="4"/>
  <c r="DA17" i="18"/>
  <c r="O17" i="4"/>
  <c r="DB17" i="18"/>
  <c r="P17" i="4"/>
  <c r="DC17" i="18"/>
  <c r="Q17" i="4"/>
  <c r="DD17" i="18"/>
  <c r="R17" i="4"/>
  <c r="DE17" i="18"/>
  <c r="S17" i="4"/>
  <c r="DF17" i="18"/>
  <c r="T17" i="4"/>
  <c r="DG17" i="18"/>
  <c r="U17" i="4"/>
  <c r="DH17" i="18"/>
  <c r="V17" i="4"/>
  <c r="DI17" i="18"/>
  <c r="W17" i="4"/>
  <c r="DJ17" i="18"/>
  <c r="X17" i="4"/>
  <c r="DK17" i="18"/>
  <c r="Y17" i="4"/>
  <c r="DL17" i="18"/>
  <c r="Z17" i="4"/>
  <c r="DM17" i="18"/>
  <c r="AA17" i="4"/>
  <c r="DN17" i="18"/>
  <c r="AB17" i="4"/>
  <c r="DO17" i="18"/>
  <c r="AC17" i="4"/>
  <c r="DP17" i="18"/>
  <c r="AD17" i="4"/>
  <c r="DQ17" i="18"/>
  <c r="AE17" i="4"/>
  <c r="DR17" i="18"/>
  <c r="AF17" i="4"/>
  <c r="DS17" i="18"/>
  <c r="AG17" i="4"/>
  <c r="DT17" i="18"/>
  <c r="AH17" i="4"/>
  <c r="DU17" i="18"/>
  <c r="AI17" i="4"/>
  <c r="CR17" i="18"/>
  <c r="F17" i="4"/>
  <c r="AK17" i="4"/>
  <c r="DW17" i="18"/>
  <c r="G17" i="5"/>
  <c r="DX17" i="18"/>
  <c r="H17" i="5"/>
  <c r="DY17" i="18"/>
  <c r="I17" i="5"/>
  <c r="DZ17" i="18"/>
  <c r="J17" i="5"/>
  <c r="EA17" i="18"/>
  <c r="K17" i="5"/>
  <c r="EB17" i="18"/>
  <c r="L17" i="5"/>
  <c r="EC17" i="18"/>
  <c r="M17" i="5"/>
  <c r="ED17" i="18"/>
  <c r="N17" i="5"/>
  <c r="EE17" i="18"/>
  <c r="O17" i="5"/>
  <c r="EF17" i="18"/>
  <c r="P17" i="5"/>
  <c r="EG17" i="18"/>
  <c r="Q17" i="5"/>
  <c r="EH17" i="18"/>
  <c r="R17" i="5"/>
  <c r="EI17" i="18"/>
  <c r="S17" i="5"/>
  <c r="EJ17" i="18"/>
  <c r="T17" i="5"/>
  <c r="EK17" i="18"/>
  <c r="U17" i="5"/>
  <c r="EL17" i="18"/>
  <c r="V17" i="5"/>
  <c r="EM17" i="18"/>
  <c r="W17" i="5"/>
  <c r="EN17" i="18"/>
  <c r="X17" i="5"/>
  <c r="EO17" i="18"/>
  <c r="Y17" i="5"/>
  <c r="EP17" i="18"/>
  <c r="Z17" i="5"/>
  <c r="EQ17" i="18"/>
  <c r="AA17" i="5"/>
  <c r="ER17" i="18"/>
  <c r="AB17" i="5"/>
  <c r="ES17" i="18"/>
  <c r="AC17" i="5"/>
  <c r="ET17" i="18"/>
  <c r="AD17" i="5"/>
  <c r="EU17" i="18"/>
  <c r="AE17" i="5"/>
  <c r="EV17" i="18"/>
  <c r="AF17" i="5"/>
  <c r="EW17" i="18"/>
  <c r="AG17" i="5"/>
  <c r="EX17" i="18"/>
  <c r="AH17" i="5"/>
  <c r="EY17" i="18"/>
  <c r="AI17" i="5"/>
  <c r="EZ17" i="18"/>
  <c r="AJ17" i="5"/>
  <c r="DV17" i="18"/>
  <c r="F17" i="5"/>
  <c r="AK17" i="5"/>
  <c r="FB17" i="18"/>
  <c r="G17" i="6"/>
  <c r="FC17" i="18"/>
  <c r="H17" i="6"/>
  <c r="FD17" i="18"/>
  <c r="I17" i="6"/>
  <c r="FE17" i="18"/>
  <c r="J17" i="6"/>
  <c r="FF17" i="18"/>
  <c r="K17" i="6"/>
  <c r="FG17" i="18"/>
  <c r="L17" i="6"/>
  <c r="FH17" i="18"/>
  <c r="M17" i="6"/>
  <c r="FI17" i="18"/>
  <c r="N17" i="6"/>
  <c r="FJ17" i="18"/>
  <c r="O17" i="6"/>
  <c r="FK17" i="18"/>
  <c r="P17" i="6"/>
  <c r="FL17" i="18"/>
  <c r="Q17" i="6"/>
  <c r="FM17" i="18"/>
  <c r="R17" i="6"/>
  <c r="FN17" i="18"/>
  <c r="S17" i="6"/>
  <c r="FO17" i="18"/>
  <c r="T17" i="6"/>
  <c r="FP17" i="18"/>
  <c r="U17" i="6"/>
  <c r="FQ17" i="18"/>
  <c r="V17" i="6"/>
  <c r="FR17" i="18"/>
  <c r="W17" i="6"/>
  <c r="FS17" i="18"/>
  <c r="X17" i="6"/>
  <c r="FT17" i="18"/>
  <c r="Y17" i="6"/>
  <c r="FU17" i="18"/>
  <c r="Z17" i="6"/>
  <c r="FV17" i="18"/>
  <c r="AA17" i="6"/>
  <c r="FW17" i="18"/>
  <c r="AB17" i="6"/>
  <c r="FX17" i="18"/>
  <c r="AC17" i="6"/>
  <c r="FY17" i="18"/>
  <c r="AD17" i="6"/>
  <c r="FZ17" i="18"/>
  <c r="AE17" i="6"/>
  <c r="GA17" i="18"/>
  <c r="AF17" i="6"/>
  <c r="GB17" i="18"/>
  <c r="AG17" i="6"/>
  <c r="GC17" i="18"/>
  <c r="AH17" i="6"/>
  <c r="GD17" i="18"/>
  <c r="AI17" i="6"/>
  <c r="FA17" i="18"/>
  <c r="F17" i="6"/>
  <c r="AK17" i="6"/>
  <c r="GF17" i="18"/>
  <c r="G17" i="7"/>
  <c r="GG17" i="18"/>
  <c r="H17" i="7"/>
  <c r="GH17" i="18"/>
  <c r="I17" i="7"/>
  <c r="GI17" i="18"/>
  <c r="J17" i="7"/>
  <c r="GJ17" i="18"/>
  <c r="K17" i="7"/>
  <c r="GK17" i="18"/>
  <c r="L17" i="7"/>
  <c r="GL17" i="18"/>
  <c r="M17" i="7"/>
  <c r="GM17" i="18"/>
  <c r="N17" i="7"/>
  <c r="GN17" i="18"/>
  <c r="O17" i="7"/>
  <c r="GO17" i="18"/>
  <c r="P17" i="7"/>
  <c r="GP17" i="18"/>
  <c r="Q17" i="7"/>
  <c r="GQ17" i="18"/>
  <c r="R17" i="7"/>
  <c r="GR17" i="18"/>
  <c r="S17" i="7"/>
  <c r="GS17" i="18"/>
  <c r="T17" i="7"/>
  <c r="GT17" i="18"/>
  <c r="U17" i="7"/>
  <c r="GU17" i="18"/>
  <c r="V17" i="7"/>
  <c r="GV17" i="18"/>
  <c r="W17" i="7"/>
  <c r="GW17" i="18"/>
  <c r="X17" i="7"/>
  <c r="GX17" i="18"/>
  <c r="Y17" i="7"/>
  <c r="GY17" i="18"/>
  <c r="Z17" i="7"/>
  <c r="GZ17" i="18"/>
  <c r="AA17" i="7"/>
  <c r="HA17" i="18"/>
  <c r="AB17" i="7"/>
  <c r="HB17" i="18"/>
  <c r="AC17" i="7"/>
  <c r="HC17" i="18"/>
  <c r="AD17" i="7"/>
  <c r="HD17" i="18"/>
  <c r="AE17" i="7"/>
  <c r="HE17" i="18"/>
  <c r="AF17" i="7"/>
  <c r="HF17" i="18"/>
  <c r="AG17" i="7"/>
  <c r="HG17" i="18"/>
  <c r="AH17" i="7"/>
  <c r="HH17" i="18"/>
  <c r="AI17" i="7"/>
  <c r="HI17" i="18"/>
  <c r="AJ17" i="7"/>
  <c r="GE17" i="18"/>
  <c r="F17" i="7"/>
  <c r="AK17" i="7"/>
  <c r="HK17" i="18"/>
  <c r="G17" i="8"/>
  <c r="HL17" i="18"/>
  <c r="H17" i="8"/>
  <c r="HM17" i="18"/>
  <c r="I17" i="8"/>
  <c r="HN17" i="18"/>
  <c r="J17" i="8"/>
  <c r="HO17" i="18"/>
  <c r="K17" i="8"/>
  <c r="HP17" i="18"/>
  <c r="L17" i="8"/>
  <c r="HQ17" i="18"/>
  <c r="M17" i="8"/>
  <c r="HR17" i="18"/>
  <c r="N17" i="8"/>
  <c r="HS17" i="18"/>
  <c r="O17" i="8"/>
  <c r="HT17" i="18"/>
  <c r="P17" i="8"/>
  <c r="HU17" i="18"/>
  <c r="Q17" i="8"/>
  <c r="HV17" i="18"/>
  <c r="R17" i="8"/>
  <c r="HW17" i="18"/>
  <c r="S17" i="8"/>
  <c r="HX17" i="18"/>
  <c r="T17" i="8"/>
  <c r="HY17" i="18"/>
  <c r="U17" i="8"/>
  <c r="HZ17" i="18"/>
  <c r="V17" i="8"/>
  <c r="IA17" i="18"/>
  <c r="W17" i="8"/>
  <c r="IB17" i="18"/>
  <c r="X17" i="8"/>
  <c r="IC17" i="18"/>
  <c r="Y17" i="8"/>
  <c r="ID17" i="18"/>
  <c r="Z17" i="8"/>
  <c r="IE17" i="18"/>
  <c r="AA17" i="8"/>
  <c r="IF17" i="18"/>
  <c r="AB17" i="8"/>
  <c r="IG17" i="18"/>
  <c r="AC17" i="8"/>
  <c r="IH17" i="18"/>
  <c r="AD17" i="8"/>
  <c r="II17" i="18"/>
  <c r="AE17" i="8"/>
  <c r="IJ17" i="18"/>
  <c r="AF17" i="8"/>
  <c r="IK17" i="18"/>
  <c r="AG17" i="8"/>
  <c r="IL17" i="18"/>
  <c r="AH17" i="8"/>
  <c r="IM17" i="18"/>
  <c r="AI17" i="8"/>
  <c r="IN17" i="18"/>
  <c r="AJ17" i="8"/>
  <c r="HJ17" i="18"/>
  <c r="F17" i="8"/>
  <c r="AK17" i="8"/>
  <c r="IP17" i="18"/>
  <c r="G17" i="9"/>
  <c r="IQ17" i="18"/>
  <c r="H17" i="9"/>
  <c r="IR17" i="18"/>
  <c r="I17" i="9"/>
  <c r="IS17" i="18"/>
  <c r="J17" i="9"/>
  <c r="IT17" i="18"/>
  <c r="K17" i="9"/>
  <c r="IU17" i="18"/>
  <c r="L17" i="9"/>
  <c r="IV17" i="18"/>
  <c r="M17" i="9"/>
  <c r="IW17" i="18"/>
  <c r="N17" i="9"/>
  <c r="IX17" i="18"/>
  <c r="O17" i="9"/>
  <c r="IY17" i="18"/>
  <c r="P17" i="9"/>
  <c r="IZ17" i="18"/>
  <c r="Q17" i="9"/>
  <c r="JA17" i="18"/>
  <c r="R17" i="9"/>
  <c r="JB17" i="18"/>
  <c r="S17" i="9"/>
  <c r="JC17" i="18"/>
  <c r="T17" i="9"/>
  <c r="JD17" i="18"/>
  <c r="U17" i="9"/>
  <c r="JE17" i="18"/>
  <c r="V17" i="9"/>
  <c r="JF17" i="18"/>
  <c r="W17" i="9"/>
  <c r="JG17" i="18"/>
  <c r="X17" i="9"/>
  <c r="JH17" i="18"/>
  <c r="Y17" i="9"/>
  <c r="JI17" i="18"/>
  <c r="Z17" i="9"/>
  <c r="JJ17" i="18"/>
  <c r="AA17" i="9"/>
  <c r="JK17" i="18"/>
  <c r="AB17" i="9"/>
  <c r="JL17" i="18"/>
  <c r="AC17" i="9"/>
  <c r="JM17" i="18"/>
  <c r="AD17" i="9"/>
  <c r="JN17" i="18"/>
  <c r="AE17" i="9"/>
  <c r="JO17" i="18"/>
  <c r="AF17" i="9"/>
  <c r="JP17" i="18"/>
  <c r="AG17" i="9"/>
  <c r="JQ17" i="18"/>
  <c r="AH17" i="9"/>
  <c r="JR17" i="18"/>
  <c r="AI17" i="9"/>
  <c r="IO17" i="18"/>
  <c r="F17" i="9"/>
  <c r="AK17" i="9"/>
  <c r="JT17" i="18"/>
  <c r="G17" i="10"/>
  <c r="JU17" i="18"/>
  <c r="H17" i="10"/>
  <c r="JV17" i="18"/>
  <c r="I17" i="10"/>
  <c r="JW17" i="18"/>
  <c r="J17" i="10"/>
  <c r="JX17" i="18"/>
  <c r="K17" i="10"/>
  <c r="JY17" i="18"/>
  <c r="L17" i="10"/>
  <c r="JZ17" i="18"/>
  <c r="M17" i="10"/>
  <c r="KA17" i="18"/>
  <c r="N17" i="10"/>
  <c r="KB17" i="18"/>
  <c r="O17" i="10"/>
  <c r="KC17" i="18"/>
  <c r="P17" i="10"/>
  <c r="KD17" i="18"/>
  <c r="Q17" i="10"/>
  <c r="KE17" i="18"/>
  <c r="R17" i="10"/>
  <c r="KF17" i="18"/>
  <c r="S17" i="10"/>
  <c r="KG17" i="18"/>
  <c r="T17" i="10"/>
  <c r="KH17" i="18"/>
  <c r="U17" i="10"/>
  <c r="KI17" i="18"/>
  <c r="V17" i="10"/>
  <c r="KJ17" i="18"/>
  <c r="W17" i="10"/>
  <c r="KK17" i="18"/>
  <c r="X17" i="10"/>
  <c r="KL17" i="18"/>
  <c r="Y17" i="10"/>
  <c r="KM17" i="18"/>
  <c r="Z17" i="10"/>
  <c r="KN17" i="18"/>
  <c r="AA17" i="10"/>
  <c r="KO17" i="18"/>
  <c r="AB17" i="10"/>
  <c r="KP17" i="18"/>
  <c r="AC17" i="10"/>
  <c r="KQ17" i="18"/>
  <c r="AD17" i="10"/>
  <c r="KR17" i="18"/>
  <c r="AE17" i="10"/>
  <c r="KS17" i="18"/>
  <c r="AF17" i="10"/>
  <c r="KT17" i="18"/>
  <c r="AG17" i="10"/>
  <c r="KU17" i="18"/>
  <c r="AH17" i="10"/>
  <c r="KV17" i="18"/>
  <c r="AI17" i="10"/>
  <c r="KW17" i="18"/>
  <c r="AJ17" i="10"/>
  <c r="JS17" i="18"/>
  <c r="F17" i="10"/>
  <c r="AK17" i="10"/>
  <c r="KY17" i="18"/>
  <c r="G17" i="11"/>
  <c r="KZ17" i="18"/>
  <c r="H17" i="11"/>
  <c r="LA17" i="18"/>
  <c r="I17" i="11"/>
  <c r="LB17" i="18"/>
  <c r="J17" i="11"/>
  <c r="LC17" i="18"/>
  <c r="K17" i="11"/>
  <c r="LD17" i="18"/>
  <c r="L17" i="11"/>
  <c r="LE17" i="18"/>
  <c r="M17" i="11"/>
  <c r="LF17" i="18"/>
  <c r="N17" i="11"/>
  <c r="LG17" i="18"/>
  <c r="O17" i="11"/>
  <c r="LH17" i="18"/>
  <c r="P17" i="11"/>
  <c r="LI17" i="18"/>
  <c r="Q17" i="11"/>
  <c r="LJ17" i="18"/>
  <c r="R17" i="11"/>
  <c r="LK17" i="18"/>
  <c r="S17" i="11"/>
  <c r="LL17" i="18"/>
  <c r="T17" i="11"/>
  <c r="LM17" i="18"/>
  <c r="U17" i="11"/>
  <c r="LN17" i="18"/>
  <c r="V17" i="11"/>
  <c r="LO17" i="18"/>
  <c r="W17" i="11"/>
  <c r="LP17" i="18"/>
  <c r="X17" i="11"/>
  <c r="LQ17" i="18"/>
  <c r="Y17" i="11"/>
  <c r="LR17" i="18"/>
  <c r="Z17" i="11"/>
  <c r="LS17" i="18"/>
  <c r="AA17" i="11"/>
  <c r="LT17" i="18"/>
  <c r="AB17" i="11"/>
  <c r="LU17" i="18"/>
  <c r="AC17" i="11"/>
  <c r="LV17" i="18"/>
  <c r="AD17" i="11"/>
  <c r="LW17" i="18"/>
  <c r="AE17" i="11"/>
  <c r="LX17" i="18"/>
  <c r="AF17" i="11"/>
  <c r="LY17" i="18"/>
  <c r="AG17" i="11"/>
  <c r="LZ17" i="18"/>
  <c r="AH17" i="11"/>
  <c r="MA17" i="18"/>
  <c r="AI17" i="11"/>
  <c r="KX17" i="18"/>
  <c r="F17" i="11"/>
  <c r="AK17" i="11"/>
  <c r="MC17" i="18"/>
  <c r="G17" i="12"/>
  <c r="MD17" i="18"/>
  <c r="H17" i="12"/>
  <c r="ME17" i="18"/>
  <c r="I17" i="12"/>
  <c r="MF17" i="18"/>
  <c r="J17" i="12"/>
  <c r="MG17" i="18"/>
  <c r="K17" i="12"/>
  <c r="MH17" i="18"/>
  <c r="L17" i="12"/>
  <c r="MI17" i="18"/>
  <c r="M17" i="12"/>
  <c r="MJ17" i="18"/>
  <c r="N17" i="12"/>
  <c r="MK17" i="18"/>
  <c r="O17" i="12"/>
  <c r="ML17" i="18"/>
  <c r="P17" i="12"/>
  <c r="MM17" i="18"/>
  <c r="Q17" i="12"/>
  <c r="MN17" i="18"/>
  <c r="R17" i="12"/>
  <c r="MO17" i="18"/>
  <c r="S17" i="12"/>
  <c r="MP17" i="18"/>
  <c r="T17" i="12"/>
  <c r="MQ17" i="18"/>
  <c r="U17" i="12"/>
  <c r="MR17" i="18"/>
  <c r="V17" i="12"/>
  <c r="MS17" i="18"/>
  <c r="W17" i="12"/>
  <c r="MT17" i="18"/>
  <c r="X17" i="12"/>
  <c r="MU17" i="18"/>
  <c r="Y17" i="12"/>
  <c r="MV17" i="18"/>
  <c r="Z17" i="12"/>
  <c r="MW17" i="18"/>
  <c r="AA17" i="12"/>
  <c r="MX17" i="18"/>
  <c r="AB17" i="12"/>
  <c r="MY17" i="18"/>
  <c r="AC17" i="12"/>
  <c r="MZ17" i="18"/>
  <c r="AD17" i="12"/>
  <c r="NA17" i="18"/>
  <c r="AE17" i="12"/>
  <c r="NB17" i="18"/>
  <c r="AF17" i="12"/>
  <c r="NC17" i="18"/>
  <c r="AG17" i="12"/>
  <c r="ND17" i="18"/>
  <c r="AH17" i="12"/>
  <c r="NE17" i="18"/>
  <c r="AI17" i="12"/>
  <c r="NF17" i="18"/>
  <c r="AJ17" i="12"/>
  <c r="MB17" i="18"/>
  <c r="F17" i="12"/>
  <c r="AK17" i="12"/>
  <c r="P13" i="13"/>
  <c r="G16" i="18"/>
  <c r="H16" i="18"/>
  <c r="I16" i="18"/>
  <c r="J16" i="18"/>
  <c r="K16" i="18"/>
  <c r="L16" i="18"/>
  <c r="M16" i="18"/>
  <c r="N16" i="18"/>
  <c r="O16" i="18"/>
  <c r="P16" i="18"/>
  <c r="Q16" i="18"/>
  <c r="R16" i="18"/>
  <c r="S16" i="18"/>
  <c r="T16" i="18"/>
  <c r="U16" i="18"/>
  <c r="V16" i="18"/>
  <c r="W16" i="18"/>
  <c r="X16" i="18"/>
  <c r="Y16" i="18"/>
  <c r="Z16" i="18"/>
  <c r="AA16" i="18"/>
  <c r="AB16" i="18"/>
  <c r="AC16" i="18"/>
  <c r="AD16" i="18"/>
  <c r="AE16" i="18"/>
  <c r="AF16" i="18"/>
  <c r="AG16" i="18"/>
  <c r="AH16" i="18"/>
  <c r="AI16" i="18"/>
  <c r="AJ16" i="18"/>
  <c r="F16" i="18"/>
  <c r="AL16" i="18"/>
  <c r="G16" i="2"/>
  <c r="AM16" i="18"/>
  <c r="H16" i="2"/>
  <c r="AN16" i="18"/>
  <c r="I16" i="2"/>
  <c r="AO16" i="18"/>
  <c r="J16" i="2"/>
  <c r="AP16" i="18"/>
  <c r="K16" i="2"/>
  <c r="AQ16" i="18"/>
  <c r="L16" i="2"/>
  <c r="AR16" i="18"/>
  <c r="M16" i="2"/>
  <c r="AS16" i="18"/>
  <c r="N16" i="2"/>
  <c r="AT16" i="18"/>
  <c r="O16" i="2"/>
  <c r="AU16" i="18"/>
  <c r="P16" i="2"/>
  <c r="AV16" i="18"/>
  <c r="Q16" i="2"/>
  <c r="AW16" i="18"/>
  <c r="R16" i="2"/>
  <c r="AX16" i="18"/>
  <c r="S16" i="2"/>
  <c r="AY16" i="18"/>
  <c r="T16" i="2"/>
  <c r="AZ16" i="18"/>
  <c r="U16" i="2"/>
  <c r="BA16" i="18"/>
  <c r="V16" i="2"/>
  <c r="BB16" i="18"/>
  <c r="W16" i="2"/>
  <c r="BC16" i="18"/>
  <c r="X16" i="2"/>
  <c r="BD16" i="18"/>
  <c r="Y16" i="2"/>
  <c r="BE16" i="18"/>
  <c r="Z16" i="2"/>
  <c r="BF16" i="18"/>
  <c r="AA16" i="2"/>
  <c r="BG16" i="18"/>
  <c r="AB16" i="2"/>
  <c r="BH16" i="18"/>
  <c r="AC16" i="2"/>
  <c r="BI16" i="18"/>
  <c r="AD16" i="2"/>
  <c r="BJ16" i="18"/>
  <c r="AE16" i="2"/>
  <c r="BK16" i="18"/>
  <c r="AF16" i="2"/>
  <c r="BL16" i="18"/>
  <c r="AG16" i="2"/>
  <c r="AI16" i="2"/>
  <c r="AK16" i="18"/>
  <c r="F16" i="2"/>
  <c r="AJ16" i="2"/>
  <c r="BN16" i="18"/>
  <c r="G16" i="3"/>
  <c r="BO16" i="18"/>
  <c r="H16" i="3"/>
  <c r="BP16" i="18"/>
  <c r="I16" i="3"/>
  <c r="BQ16" i="18"/>
  <c r="J16" i="3"/>
  <c r="BR16" i="18"/>
  <c r="K16" i="3"/>
  <c r="BS16" i="18"/>
  <c r="L16" i="3"/>
  <c r="BT16" i="18"/>
  <c r="M16" i="3"/>
  <c r="BU16" i="18"/>
  <c r="N16" i="3"/>
  <c r="BV16" i="18"/>
  <c r="O16" i="3"/>
  <c r="BW16" i="18"/>
  <c r="P16" i="3"/>
  <c r="BX16" i="18"/>
  <c r="Q16" i="3"/>
  <c r="BY16" i="18"/>
  <c r="R16" i="3"/>
  <c r="BZ16" i="18"/>
  <c r="S16" i="3"/>
  <c r="CA16" i="18"/>
  <c r="T16" i="3"/>
  <c r="CB16" i="18"/>
  <c r="U16" i="3"/>
  <c r="CC16" i="18"/>
  <c r="V16" i="3"/>
  <c r="CD16" i="18"/>
  <c r="W16" i="3"/>
  <c r="CE16" i="18"/>
  <c r="X16" i="3"/>
  <c r="CF16" i="18"/>
  <c r="Y16" i="3"/>
  <c r="CG16" i="18"/>
  <c r="Z16" i="3"/>
  <c r="CH16" i="18"/>
  <c r="AA16" i="3"/>
  <c r="CI16" i="18"/>
  <c r="AB16" i="3"/>
  <c r="CJ16" i="18"/>
  <c r="AC16" i="3"/>
  <c r="CK16" i="18"/>
  <c r="AD16" i="3"/>
  <c r="CL16" i="18"/>
  <c r="AE16" i="3"/>
  <c r="CM16" i="18"/>
  <c r="AF16" i="3"/>
  <c r="CN16" i="18"/>
  <c r="AG16" i="3"/>
  <c r="CO16" i="18"/>
  <c r="AH16" i="3"/>
  <c r="CP16" i="18"/>
  <c r="AI16" i="3"/>
  <c r="CQ16" i="18"/>
  <c r="AJ16" i="3"/>
  <c r="BM16" i="18"/>
  <c r="F16" i="3"/>
  <c r="AK16" i="3"/>
  <c r="CS16" i="18"/>
  <c r="G16" i="4"/>
  <c r="CT16" i="18"/>
  <c r="H16" i="4"/>
  <c r="CU16" i="18"/>
  <c r="I16" i="4"/>
  <c r="CV16" i="18"/>
  <c r="J16" i="4"/>
  <c r="CW16" i="18"/>
  <c r="K16" i="4"/>
  <c r="CX16" i="18"/>
  <c r="L16" i="4"/>
  <c r="CY16" i="18"/>
  <c r="M16" i="4"/>
  <c r="CZ16" i="18"/>
  <c r="N16" i="4"/>
  <c r="DA16" i="18"/>
  <c r="O16" i="4"/>
  <c r="DB16" i="18"/>
  <c r="P16" i="4"/>
  <c r="DC16" i="18"/>
  <c r="Q16" i="4"/>
  <c r="DD16" i="18"/>
  <c r="R16" i="4"/>
  <c r="DE16" i="18"/>
  <c r="S16" i="4"/>
  <c r="DF16" i="18"/>
  <c r="T16" i="4"/>
  <c r="DG16" i="18"/>
  <c r="U16" i="4"/>
  <c r="DH16" i="18"/>
  <c r="V16" i="4"/>
  <c r="DI16" i="18"/>
  <c r="W16" i="4"/>
  <c r="DJ16" i="18"/>
  <c r="X16" i="4"/>
  <c r="DK16" i="18"/>
  <c r="Y16" i="4"/>
  <c r="DL16" i="18"/>
  <c r="Z16" i="4"/>
  <c r="DM16" i="18"/>
  <c r="AA16" i="4"/>
  <c r="DN16" i="18"/>
  <c r="AB16" i="4"/>
  <c r="DO16" i="18"/>
  <c r="AC16" i="4"/>
  <c r="DP16" i="18"/>
  <c r="AD16" i="4"/>
  <c r="DQ16" i="18"/>
  <c r="AE16" i="4"/>
  <c r="DR16" i="18"/>
  <c r="AF16" i="4"/>
  <c r="DS16" i="18"/>
  <c r="AG16" i="4"/>
  <c r="DT16" i="18"/>
  <c r="AH16" i="4"/>
  <c r="DU16" i="18"/>
  <c r="AI16" i="4"/>
  <c r="CR16" i="18"/>
  <c r="F16" i="4"/>
  <c r="AK16" i="4"/>
  <c r="DW16" i="18"/>
  <c r="G16" i="5"/>
  <c r="DX16" i="18"/>
  <c r="H16" i="5"/>
  <c r="DY16" i="18"/>
  <c r="I16" i="5"/>
  <c r="DZ16" i="18"/>
  <c r="J16" i="5"/>
  <c r="EA16" i="18"/>
  <c r="K16" i="5"/>
  <c r="EB16" i="18"/>
  <c r="L16" i="5"/>
  <c r="EC16" i="18"/>
  <c r="M16" i="5"/>
  <c r="ED16" i="18"/>
  <c r="N16" i="5"/>
  <c r="EE16" i="18"/>
  <c r="O16" i="5"/>
  <c r="EF16" i="18"/>
  <c r="P16" i="5"/>
  <c r="EG16" i="18"/>
  <c r="Q16" i="5"/>
  <c r="EH16" i="18"/>
  <c r="R16" i="5"/>
  <c r="EI16" i="18"/>
  <c r="S16" i="5"/>
  <c r="EJ16" i="18"/>
  <c r="T16" i="5"/>
  <c r="EK16" i="18"/>
  <c r="U16" i="5"/>
  <c r="EL16" i="18"/>
  <c r="V16" i="5"/>
  <c r="EM16" i="18"/>
  <c r="W16" i="5"/>
  <c r="EN16" i="18"/>
  <c r="X16" i="5"/>
  <c r="EO16" i="18"/>
  <c r="Y16" i="5"/>
  <c r="EP16" i="18"/>
  <c r="Z16" i="5"/>
  <c r="EQ16" i="18"/>
  <c r="AA16" i="5"/>
  <c r="ER16" i="18"/>
  <c r="AB16" i="5"/>
  <c r="ES16" i="18"/>
  <c r="AC16" i="5"/>
  <c r="ET16" i="18"/>
  <c r="AD16" i="5"/>
  <c r="EU16" i="18"/>
  <c r="AE16" i="5"/>
  <c r="EV16" i="18"/>
  <c r="AF16" i="5"/>
  <c r="EW16" i="18"/>
  <c r="AG16" i="5"/>
  <c r="EX16" i="18"/>
  <c r="AH16" i="5"/>
  <c r="EY16" i="18"/>
  <c r="AI16" i="5"/>
  <c r="EZ16" i="18"/>
  <c r="AJ16" i="5"/>
  <c r="DV16" i="18"/>
  <c r="F16" i="5"/>
  <c r="AK16" i="5"/>
  <c r="FB16" i="18"/>
  <c r="G16" i="6"/>
  <c r="FC16" i="18"/>
  <c r="H16" i="6"/>
  <c r="FD16" i="18"/>
  <c r="I16" i="6"/>
  <c r="FE16" i="18"/>
  <c r="J16" i="6"/>
  <c r="FF16" i="18"/>
  <c r="K16" i="6"/>
  <c r="FG16" i="18"/>
  <c r="L16" i="6"/>
  <c r="FH16" i="18"/>
  <c r="M16" i="6"/>
  <c r="FI16" i="18"/>
  <c r="N16" i="6"/>
  <c r="FJ16" i="18"/>
  <c r="O16" i="6"/>
  <c r="FK16" i="18"/>
  <c r="P16" i="6"/>
  <c r="FL16" i="18"/>
  <c r="Q16" i="6"/>
  <c r="FM16" i="18"/>
  <c r="R16" i="6"/>
  <c r="FN16" i="18"/>
  <c r="S16" i="6"/>
  <c r="FO16" i="18"/>
  <c r="T16" i="6"/>
  <c r="FP16" i="18"/>
  <c r="U16" i="6"/>
  <c r="FQ16" i="18"/>
  <c r="V16" i="6"/>
  <c r="FR16" i="18"/>
  <c r="W16" i="6"/>
  <c r="FS16" i="18"/>
  <c r="X16" i="6"/>
  <c r="FT16" i="18"/>
  <c r="Y16" i="6"/>
  <c r="FU16" i="18"/>
  <c r="Z16" i="6"/>
  <c r="FV16" i="18"/>
  <c r="AA16" i="6"/>
  <c r="FW16" i="18"/>
  <c r="AB16" i="6"/>
  <c r="FX16" i="18"/>
  <c r="AC16" i="6"/>
  <c r="FY16" i="18"/>
  <c r="AD16" i="6"/>
  <c r="FZ16" i="18"/>
  <c r="AE16" i="6"/>
  <c r="GA16" i="18"/>
  <c r="AF16" i="6"/>
  <c r="GB16" i="18"/>
  <c r="AG16" i="6"/>
  <c r="GC16" i="18"/>
  <c r="AH16" i="6"/>
  <c r="GD16" i="18"/>
  <c r="AI16" i="6"/>
  <c r="FA16" i="18"/>
  <c r="F16" i="6"/>
  <c r="AK16" i="6"/>
  <c r="GF16" i="18"/>
  <c r="G16" i="7"/>
  <c r="GG16" i="18"/>
  <c r="H16" i="7"/>
  <c r="GH16" i="18"/>
  <c r="I16" i="7"/>
  <c r="GI16" i="18"/>
  <c r="J16" i="7"/>
  <c r="GJ16" i="18"/>
  <c r="K16" i="7"/>
  <c r="GK16" i="18"/>
  <c r="L16" i="7"/>
  <c r="GL16" i="18"/>
  <c r="M16" i="7"/>
  <c r="GM16" i="18"/>
  <c r="N16" i="7"/>
  <c r="GN16" i="18"/>
  <c r="O16" i="7"/>
  <c r="GO16" i="18"/>
  <c r="P16" i="7"/>
  <c r="GP16" i="18"/>
  <c r="Q16" i="7"/>
  <c r="GQ16" i="18"/>
  <c r="R16" i="7"/>
  <c r="GR16" i="18"/>
  <c r="S16" i="7"/>
  <c r="GS16" i="18"/>
  <c r="T16" i="7"/>
  <c r="GT16" i="18"/>
  <c r="U16" i="7"/>
  <c r="GU16" i="18"/>
  <c r="V16" i="7"/>
  <c r="GV16" i="18"/>
  <c r="W16" i="7"/>
  <c r="GW16" i="18"/>
  <c r="X16" i="7"/>
  <c r="GX16" i="18"/>
  <c r="Y16" i="7"/>
  <c r="GY16" i="18"/>
  <c r="Z16" i="7"/>
  <c r="GZ16" i="18"/>
  <c r="AA16" i="7"/>
  <c r="HA16" i="18"/>
  <c r="AB16" i="7"/>
  <c r="HB16" i="18"/>
  <c r="AC16" i="7"/>
  <c r="HC16" i="18"/>
  <c r="AD16" i="7"/>
  <c r="HD16" i="18"/>
  <c r="AE16" i="7"/>
  <c r="HE16" i="18"/>
  <c r="AF16" i="7"/>
  <c r="HF16" i="18"/>
  <c r="AG16" i="7"/>
  <c r="HG16" i="18"/>
  <c r="AH16" i="7"/>
  <c r="HH16" i="18"/>
  <c r="AI16" i="7"/>
  <c r="HI16" i="18"/>
  <c r="AJ16" i="7"/>
  <c r="GE16" i="18"/>
  <c r="F16" i="7"/>
  <c r="AK16" i="7"/>
  <c r="HK16" i="18"/>
  <c r="G16" i="8"/>
  <c r="HL16" i="18"/>
  <c r="H16" i="8"/>
  <c r="HM16" i="18"/>
  <c r="I16" i="8"/>
  <c r="HN16" i="18"/>
  <c r="J16" i="8"/>
  <c r="HO16" i="18"/>
  <c r="K16" i="8"/>
  <c r="HP16" i="18"/>
  <c r="L16" i="8"/>
  <c r="HQ16" i="18"/>
  <c r="M16" i="8"/>
  <c r="HR16" i="18"/>
  <c r="N16" i="8"/>
  <c r="HS16" i="18"/>
  <c r="O16" i="8"/>
  <c r="HT16" i="18"/>
  <c r="P16" i="8"/>
  <c r="HU16" i="18"/>
  <c r="Q16" i="8"/>
  <c r="HV16" i="18"/>
  <c r="R16" i="8"/>
  <c r="HW16" i="18"/>
  <c r="S16" i="8"/>
  <c r="HX16" i="18"/>
  <c r="T16" i="8"/>
  <c r="HY16" i="18"/>
  <c r="U16" i="8"/>
  <c r="HZ16" i="18"/>
  <c r="V16" i="8"/>
  <c r="IA16" i="18"/>
  <c r="W16" i="8"/>
  <c r="IB16" i="18"/>
  <c r="X16" i="8"/>
  <c r="IC16" i="18"/>
  <c r="Y16" i="8"/>
  <c r="ID16" i="18"/>
  <c r="Z16" i="8"/>
  <c r="IE16" i="18"/>
  <c r="AA16" i="8"/>
  <c r="IF16" i="18"/>
  <c r="AB16" i="8"/>
  <c r="IG16" i="18"/>
  <c r="AC16" i="8"/>
  <c r="IH16" i="18"/>
  <c r="AD16" i="8"/>
  <c r="II16" i="18"/>
  <c r="AE16" i="8"/>
  <c r="IJ16" i="18"/>
  <c r="AF16" i="8"/>
  <c r="IK16" i="18"/>
  <c r="AG16" i="8"/>
  <c r="IL16" i="18"/>
  <c r="AH16" i="8"/>
  <c r="IM16" i="18"/>
  <c r="AI16" i="8"/>
  <c r="IN16" i="18"/>
  <c r="AJ16" i="8"/>
  <c r="HJ16" i="18"/>
  <c r="F16" i="8"/>
  <c r="AK16" i="8"/>
  <c r="IP16" i="18"/>
  <c r="G16" i="9"/>
  <c r="IQ16" i="18"/>
  <c r="H16" i="9"/>
  <c r="IR16" i="18"/>
  <c r="I16" i="9"/>
  <c r="IS16" i="18"/>
  <c r="J16" i="9"/>
  <c r="IT16" i="18"/>
  <c r="K16" i="9"/>
  <c r="IU16" i="18"/>
  <c r="L16" i="9"/>
  <c r="IV16" i="18"/>
  <c r="M16" i="9"/>
  <c r="IW16" i="18"/>
  <c r="N16" i="9"/>
  <c r="IX16" i="18"/>
  <c r="O16" i="9"/>
  <c r="IY16" i="18"/>
  <c r="P16" i="9"/>
  <c r="IZ16" i="18"/>
  <c r="Q16" i="9"/>
  <c r="JA16" i="18"/>
  <c r="R16" i="9"/>
  <c r="JB16" i="18"/>
  <c r="S16" i="9"/>
  <c r="JC16" i="18"/>
  <c r="T16" i="9"/>
  <c r="JD16" i="18"/>
  <c r="U16" i="9"/>
  <c r="JE16" i="18"/>
  <c r="V16" i="9"/>
  <c r="JF16" i="18"/>
  <c r="W16" i="9"/>
  <c r="JG16" i="18"/>
  <c r="X16" i="9"/>
  <c r="JH16" i="18"/>
  <c r="Y16" i="9"/>
  <c r="JI16" i="18"/>
  <c r="Z16" i="9"/>
  <c r="JJ16" i="18"/>
  <c r="AA16" i="9"/>
  <c r="JK16" i="18"/>
  <c r="AB16" i="9"/>
  <c r="JL16" i="18"/>
  <c r="AC16" i="9"/>
  <c r="JM16" i="18"/>
  <c r="AD16" i="9"/>
  <c r="JN16" i="18"/>
  <c r="AE16" i="9"/>
  <c r="JO16" i="18"/>
  <c r="AF16" i="9"/>
  <c r="JP16" i="18"/>
  <c r="AG16" i="9"/>
  <c r="JQ16" i="18"/>
  <c r="AH16" i="9"/>
  <c r="JR16" i="18"/>
  <c r="AI16" i="9"/>
  <c r="IO16" i="18"/>
  <c r="F16" i="9"/>
  <c r="AK16" i="9"/>
  <c r="JT16" i="18"/>
  <c r="G16" i="10"/>
  <c r="JU16" i="18"/>
  <c r="H16" i="10"/>
  <c r="JV16" i="18"/>
  <c r="I16" i="10"/>
  <c r="JW16" i="18"/>
  <c r="J16" i="10"/>
  <c r="JX16" i="18"/>
  <c r="K16" i="10"/>
  <c r="JY16" i="18"/>
  <c r="L16" i="10"/>
  <c r="JZ16" i="18"/>
  <c r="M16" i="10"/>
  <c r="KA16" i="18"/>
  <c r="N16" i="10"/>
  <c r="KB16" i="18"/>
  <c r="O16" i="10"/>
  <c r="KC16" i="18"/>
  <c r="P16" i="10"/>
  <c r="KD16" i="18"/>
  <c r="Q16" i="10"/>
  <c r="KE16" i="18"/>
  <c r="R16" i="10"/>
  <c r="KF16" i="18"/>
  <c r="S16" i="10"/>
  <c r="KG16" i="18"/>
  <c r="T16" i="10"/>
  <c r="KH16" i="18"/>
  <c r="U16" i="10"/>
  <c r="KI16" i="18"/>
  <c r="V16" i="10"/>
  <c r="KJ16" i="18"/>
  <c r="W16" i="10"/>
  <c r="KK16" i="18"/>
  <c r="X16" i="10"/>
  <c r="KL16" i="18"/>
  <c r="Y16" i="10"/>
  <c r="KM16" i="18"/>
  <c r="Z16" i="10"/>
  <c r="KN16" i="18"/>
  <c r="AA16" i="10"/>
  <c r="KO16" i="18"/>
  <c r="AB16" i="10"/>
  <c r="KP16" i="18"/>
  <c r="AC16" i="10"/>
  <c r="KQ16" i="18"/>
  <c r="AD16" i="10"/>
  <c r="KR16" i="18"/>
  <c r="AE16" i="10"/>
  <c r="KS16" i="18"/>
  <c r="AF16" i="10"/>
  <c r="KT16" i="18"/>
  <c r="AG16" i="10"/>
  <c r="KU16" i="18"/>
  <c r="AH16" i="10"/>
  <c r="KV16" i="18"/>
  <c r="AI16" i="10"/>
  <c r="KW16" i="18"/>
  <c r="AJ16" i="10"/>
  <c r="JS16" i="18"/>
  <c r="F16" i="10"/>
  <c r="AK16" i="10"/>
  <c r="KY16" i="18"/>
  <c r="G16" i="11"/>
  <c r="KZ16" i="18"/>
  <c r="H16" i="11"/>
  <c r="LA16" i="18"/>
  <c r="I16" i="11"/>
  <c r="LB16" i="18"/>
  <c r="J16" i="11"/>
  <c r="LC16" i="18"/>
  <c r="K16" i="11"/>
  <c r="LD16" i="18"/>
  <c r="L16" i="11"/>
  <c r="LE16" i="18"/>
  <c r="M16" i="11"/>
  <c r="LF16" i="18"/>
  <c r="N16" i="11"/>
  <c r="LG16" i="18"/>
  <c r="O16" i="11"/>
  <c r="LH16" i="18"/>
  <c r="P16" i="11"/>
  <c r="LI16" i="18"/>
  <c r="Q16" i="11"/>
  <c r="LJ16" i="18"/>
  <c r="R16" i="11"/>
  <c r="LK16" i="18"/>
  <c r="S16" i="11"/>
  <c r="LL16" i="18"/>
  <c r="T16" i="11"/>
  <c r="LM16" i="18"/>
  <c r="U16" i="11"/>
  <c r="LN16" i="18"/>
  <c r="V16" i="11"/>
  <c r="LO16" i="18"/>
  <c r="W16" i="11"/>
  <c r="LP16" i="18"/>
  <c r="X16" i="11"/>
  <c r="LQ16" i="18"/>
  <c r="Y16" i="11"/>
  <c r="LR16" i="18"/>
  <c r="Z16" i="11"/>
  <c r="LS16" i="18"/>
  <c r="AA16" i="11"/>
  <c r="LT16" i="18"/>
  <c r="AB16" i="11"/>
  <c r="LU16" i="18"/>
  <c r="AC16" i="11"/>
  <c r="LV16" i="18"/>
  <c r="AD16" i="11"/>
  <c r="LW16" i="18"/>
  <c r="AE16" i="11"/>
  <c r="LX16" i="18"/>
  <c r="AF16" i="11"/>
  <c r="LY16" i="18"/>
  <c r="AG16" i="11"/>
  <c r="LZ16" i="18"/>
  <c r="AH16" i="11"/>
  <c r="MA16" i="18"/>
  <c r="AI16" i="11"/>
  <c r="KX16" i="18"/>
  <c r="F16" i="11"/>
  <c r="AK16" i="11"/>
  <c r="MC16" i="18"/>
  <c r="G16" i="12"/>
  <c r="MD16" i="18"/>
  <c r="H16" i="12"/>
  <c r="ME16" i="18"/>
  <c r="I16" i="12"/>
  <c r="MF16" i="18"/>
  <c r="J16" i="12"/>
  <c r="MG16" i="18"/>
  <c r="K16" i="12"/>
  <c r="MH16" i="18"/>
  <c r="L16" i="12"/>
  <c r="MI16" i="18"/>
  <c r="M16" i="12"/>
  <c r="MJ16" i="18"/>
  <c r="N16" i="12"/>
  <c r="MK16" i="18"/>
  <c r="O16" i="12"/>
  <c r="ML16" i="18"/>
  <c r="P16" i="12"/>
  <c r="MM16" i="18"/>
  <c r="Q16" i="12"/>
  <c r="MN16" i="18"/>
  <c r="R16" i="12"/>
  <c r="MO16" i="18"/>
  <c r="S16" i="12"/>
  <c r="MP16" i="18"/>
  <c r="T16" i="12"/>
  <c r="MQ16" i="18"/>
  <c r="U16" i="12"/>
  <c r="MR16" i="18"/>
  <c r="V16" i="12"/>
  <c r="MS16" i="18"/>
  <c r="W16" i="12"/>
  <c r="MT16" i="18"/>
  <c r="X16" i="12"/>
  <c r="MU16" i="18"/>
  <c r="Y16" i="12"/>
  <c r="MV16" i="18"/>
  <c r="Z16" i="12"/>
  <c r="MW16" i="18"/>
  <c r="AA16" i="12"/>
  <c r="MX16" i="18"/>
  <c r="AB16" i="12"/>
  <c r="MY16" i="18"/>
  <c r="AC16" i="12"/>
  <c r="MZ16" i="18"/>
  <c r="AD16" i="12"/>
  <c r="NA16" i="18"/>
  <c r="AE16" i="12"/>
  <c r="NB16" i="18"/>
  <c r="AF16" i="12"/>
  <c r="NC16" i="18"/>
  <c r="AG16" i="12"/>
  <c r="ND16" i="18"/>
  <c r="AH16" i="12"/>
  <c r="NE16" i="18"/>
  <c r="AI16" i="12"/>
  <c r="NF16" i="18"/>
  <c r="AJ16" i="12"/>
  <c r="MB16" i="18"/>
  <c r="F16" i="12"/>
  <c r="AK16" i="12"/>
  <c r="P12" i="13"/>
  <c r="G15" i="18"/>
  <c r="H15" i="18"/>
  <c r="I15" i="18"/>
  <c r="J15" i="18"/>
  <c r="K15" i="18"/>
  <c r="L15" i="18"/>
  <c r="M15" i="18"/>
  <c r="N15" i="18"/>
  <c r="O15" i="18"/>
  <c r="P15" i="18"/>
  <c r="Q15" i="18"/>
  <c r="R15" i="18"/>
  <c r="S15" i="18"/>
  <c r="T15" i="18"/>
  <c r="U15" i="18"/>
  <c r="V15" i="18"/>
  <c r="W15" i="18"/>
  <c r="X15" i="18"/>
  <c r="Y15" i="18"/>
  <c r="Z15" i="18"/>
  <c r="AA15" i="18"/>
  <c r="AB15" i="18"/>
  <c r="AC15" i="18"/>
  <c r="AD15" i="18"/>
  <c r="AE15" i="18"/>
  <c r="AF15" i="18"/>
  <c r="AG15" i="18"/>
  <c r="AH15" i="18"/>
  <c r="AI15" i="18"/>
  <c r="AJ15" i="18"/>
  <c r="F15" i="18"/>
  <c r="AL15" i="18"/>
  <c r="G15" i="2"/>
  <c r="AM15" i="18"/>
  <c r="H15" i="2"/>
  <c r="AN15" i="18"/>
  <c r="I15" i="2"/>
  <c r="AO15" i="18"/>
  <c r="J15" i="2"/>
  <c r="AP15" i="18"/>
  <c r="K15" i="2"/>
  <c r="AQ15" i="18"/>
  <c r="L15" i="2"/>
  <c r="AR15" i="18"/>
  <c r="M15" i="2"/>
  <c r="AS15" i="18"/>
  <c r="N15" i="2"/>
  <c r="AT15" i="18"/>
  <c r="O15" i="2"/>
  <c r="AU15" i="18"/>
  <c r="P15" i="2"/>
  <c r="AV15" i="18"/>
  <c r="Q15" i="2"/>
  <c r="AW15" i="18"/>
  <c r="R15" i="2"/>
  <c r="AX15" i="18"/>
  <c r="S15" i="2"/>
  <c r="AY15" i="18"/>
  <c r="T15" i="2"/>
  <c r="AZ15" i="18"/>
  <c r="U15" i="2"/>
  <c r="BA15" i="18"/>
  <c r="V15" i="2"/>
  <c r="BB15" i="18"/>
  <c r="W15" i="2"/>
  <c r="BC15" i="18"/>
  <c r="X15" i="2"/>
  <c r="BD15" i="18"/>
  <c r="Y15" i="2"/>
  <c r="BE15" i="18"/>
  <c r="Z15" i="2"/>
  <c r="BF15" i="18"/>
  <c r="AA15" i="2"/>
  <c r="BG15" i="18"/>
  <c r="AB15" i="2"/>
  <c r="BH15" i="18"/>
  <c r="AC15" i="2"/>
  <c r="BI15" i="18"/>
  <c r="AD15" i="2"/>
  <c r="BJ15" i="18"/>
  <c r="AE15" i="2"/>
  <c r="BK15" i="18"/>
  <c r="AF15" i="2"/>
  <c r="BL15" i="18"/>
  <c r="AG15" i="2"/>
  <c r="AI15" i="2"/>
  <c r="AK15" i="18"/>
  <c r="F15" i="2"/>
  <c r="AJ15" i="2"/>
  <c r="BN15" i="18"/>
  <c r="G15" i="3"/>
  <c r="BO15" i="18"/>
  <c r="H15" i="3"/>
  <c r="BP15" i="18"/>
  <c r="I15" i="3"/>
  <c r="BQ15" i="18"/>
  <c r="J15" i="3"/>
  <c r="BR15" i="18"/>
  <c r="K15" i="3"/>
  <c r="BS15" i="18"/>
  <c r="L15" i="3"/>
  <c r="BT15" i="18"/>
  <c r="M15" i="3"/>
  <c r="BU15" i="18"/>
  <c r="N15" i="3"/>
  <c r="BV15" i="18"/>
  <c r="O15" i="3"/>
  <c r="BW15" i="18"/>
  <c r="P15" i="3"/>
  <c r="BX15" i="18"/>
  <c r="Q15" i="3"/>
  <c r="BY15" i="18"/>
  <c r="R15" i="3"/>
  <c r="BZ15" i="18"/>
  <c r="S15" i="3"/>
  <c r="CA15" i="18"/>
  <c r="T15" i="3"/>
  <c r="CB15" i="18"/>
  <c r="U15" i="3"/>
  <c r="CC15" i="18"/>
  <c r="V15" i="3"/>
  <c r="CD15" i="18"/>
  <c r="W15" i="3"/>
  <c r="CE15" i="18"/>
  <c r="X15" i="3"/>
  <c r="CF15" i="18"/>
  <c r="Y15" i="3"/>
  <c r="CG15" i="18"/>
  <c r="Z15" i="3"/>
  <c r="CH15" i="18"/>
  <c r="AA15" i="3"/>
  <c r="CI15" i="18"/>
  <c r="AB15" i="3"/>
  <c r="CJ15" i="18"/>
  <c r="AC15" i="3"/>
  <c r="CK15" i="18"/>
  <c r="AD15" i="3"/>
  <c r="CL15" i="18"/>
  <c r="AE15" i="3"/>
  <c r="CM15" i="18"/>
  <c r="AF15" i="3"/>
  <c r="CN15" i="18"/>
  <c r="AG15" i="3"/>
  <c r="CO15" i="18"/>
  <c r="AH15" i="3"/>
  <c r="CP15" i="18"/>
  <c r="AI15" i="3"/>
  <c r="CQ15" i="18"/>
  <c r="AJ15" i="3"/>
  <c r="BM15" i="18"/>
  <c r="F15" i="3"/>
  <c r="AK15" i="3"/>
  <c r="CS15" i="18"/>
  <c r="G15" i="4"/>
  <c r="CT15" i="18"/>
  <c r="H15" i="4"/>
  <c r="CU15" i="18"/>
  <c r="I15" i="4"/>
  <c r="CV15" i="18"/>
  <c r="J15" i="4"/>
  <c r="CW15" i="18"/>
  <c r="K15" i="4"/>
  <c r="CX15" i="18"/>
  <c r="L15" i="4"/>
  <c r="CY15" i="18"/>
  <c r="M15" i="4"/>
  <c r="CZ15" i="18"/>
  <c r="N15" i="4"/>
  <c r="DA15" i="18"/>
  <c r="O15" i="4"/>
  <c r="DB15" i="18"/>
  <c r="P15" i="4"/>
  <c r="DC15" i="18"/>
  <c r="Q15" i="4"/>
  <c r="DD15" i="18"/>
  <c r="R15" i="4"/>
  <c r="DE15" i="18"/>
  <c r="S15" i="4"/>
  <c r="DF15" i="18"/>
  <c r="T15" i="4"/>
  <c r="DG15" i="18"/>
  <c r="U15" i="4"/>
  <c r="DH15" i="18"/>
  <c r="V15" i="4"/>
  <c r="DI15" i="18"/>
  <c r="W15" i="4"/>
  <c r="DJ15" i="18"/>
  <c r="X15" i="4"/>
  <c r="DK15" i="18"/>
  <c r="Y15" i="4"/>
  <c r="DL15" i="18"/>
  <c r="Z15" i="4"/>
  <c r="DM15" i="18"/>
  <c r="AA15" i="4"/>
  <c r="DN15" i="18"/>
  <c r="AB15" i="4"/>
  <c r="DO15" i="18"/>
  <c r="AC15" i="4"/>
  <c r="DP15" i="18"/>
  <c r="AD15" i="4"/>
  <c r="DQ15" i="18"/>
  <c r="AE15" i="4"/>
  <c r="DR15" i="18"/>
  <c r="AF15" i="4"/>
  <c r="DS15" i="18"/>
  <c r="AG15" i="4"/>
  <c r="DT15" i="18"/>
  <c r="AH15" i="4"/>
  <c r="DU15" i="18"/>
  <c r="AI15" i="4"/>
  <c r="CR15" i="18"/>
  <c r="F15" i="4"/>
  <c r="AK15" i="4"/>
  <c r="DW15" i="18"/>
  <c r="G15" i="5"/>
  <c r="DX15" i="18"/>
  <c r="H15" i="5"/>
  <c r="DY15" i="18"/>
  <c r="I15" i="5"/>
  <c r="DZ15" i="18"/>
  <c r="J15" i="5"/>
  <c r="EA15" i="18"/>
  <c r="K15" i="5"/>
  <c r="EB15" i="18"/>
  <c r="L15" i="5"/>
  <c r="EC15" i="18"/>
  <c r="M15" i="5"/>
  <c r="ED15" i="18"/>
  <c r="N15" i="5"/>
  <c r="EE15" i="18"/>
  <c r="O15" i="5"/>
  <c r="EF15" i="18"/>
  <c r="P15" i="5"/>
  <c r="EG15" i="18"/>
  <c r="Q15" i="5"/>
  <c r="EH15" i="18"/>
  <c r="R15" i="5"/>
  <c r="EI15" i="18"/>
  <c r="S15" i="5"/>
  <c r="EJ15" i="18"/>
  <c r="T15" i="5"/>
  <c r="EK15" i="18"/>
  <c r="U15" i="5"/>
  <c r="EL15" i="18"/>
  <c r="V15" i="5"/>
  <c r="EM15" i="18"/>
  <c r="W15" i="5"/>
  <c r="EN15" i="18"/>
  <c r="X15" i="5"/>
  <c r="EO15" i="18"/>
  <c r="Y15" i="5"/>
  <c r="EP15" i="18"/>
  <c r="Z15" i="5"/>
  <c r="EQ15" i="18"/>
  <c r="AA15" i="5"/>
  <c r="ER15" i="18"/>
  <c r="AB15" i="5"/>
  <c r="ES15" i="18"/>
  <c r="AC15" i="5"/>
  <c r="ET15" i="18"/>
  <c r="AD15" i="5"/>
  <c r="EU15" i="18"/>
  <c r="AE15" i="5"/>
  <c r="EV15" i="18"/>
  <c r="AF15" i="5"/>
  <c r="EW15" i="18"/>
  <c r="AG15" i="5"/>
  <c r="EX15" i="18"/>
  <c r="AH15" i="5"/>
  <c r="EY15" i="18"/>
  <c r="AI15" i="5"/>
  <c r="EZ15" i="18"/>
  <c r="AJ15" i="5"/>
  <c r="DV15" i="18"/>
  <c r="F15" i="5"/>
  <c r="AK15" i="5"/>
  <c r="FB15" i="18"/>
  <c r="G15" i="6"/>
  <c r="FC15" i="18"/>
  <c r="H15" i="6"/>
  <c r="FD15" i="18"/>
  <c r="I15" i="6"/>
  <c r="FE15" i="18"/>
  <c r="J15" i="6"/>
  <c r="FF15" i="18"/>
  <c r="K15" i="6"/>
  <c r="FG15" i="18"/>
  <c r="L15" i="6"/>
  <c r="FH15" i="18"/>
  <c r="M15" i="6"/>
  <c r="FI15" i="18"/>
  <c r="N15" i="6"/>
  <c r="FJ15" i="18"/>
  <c r="O15" i="6"/>
  <c r="FK15" i="18"/>
  <c r="P15" i="6"/>
  <c r="FL15" i="18"/>
  <c r="Q15" i="6"/>
  <c r="FM15" i="18"/>
  <c r="R15" i="6"/>
  <c r="FN15" i="18"/>
  <c r="S15" i="6"/>
  <c r="FO15" i="18"/>
  <c r="T15" i="6"/>
  <c r="FP15" i="18"/>
  <c r="U15" i="6"/>
  <c r="FQ15" i="18"/>
  <c r="V15" i="6"/>
  <c r="FR15" i="18"/>
  <c r="W15" i="6"/>
  <c r="FS15" i="18"/>
  <c r="X15" i="6"/>
  <c r="FT15" i="18"/>
  <c r="Y15" i="6"/>
  <c r="FU15" i="18"/>
  <c r="Z15" i="6"/>
  <c r="FV15" i="18"/>
  <c r="AA15" i="6"/>
  <c r="FW15" i="18"/>
  <c r="AB15" i="6"/>
  <c r="FX15" i="18"/>
  <c r="AC15" i="6"/>
  <c r="FY15" i="18"/>
  <c r="AD15" i="6"/>
  <c r="FZ15" i="18"/>
  <c r="AE15" i="6"/>
  <c r="GA15" i="18"/>
  <c r="AF15" i="6"/>
  <c r="GB15" i="18"/>
  <c r="AG15" i="6"/>
  <c r="GC15" i="18"/>
  <c r="AH15" i="6"/>
  <c r="GD15" i="18"/>
  <c r="AI15" i="6"/>
  <c r="FA15" i="18"/>
  <c r="F15" i="6"/>
  <c r="AK15" i="6"/>
  <c r="GF15" i="18"/>
  <c r="G15" i="7"/>
  <c r="GG15" i="18"/>
  <c r="H15" i="7"/>
  <c r="GH15" i="18"/>
  <c r="I15" i="7"/>
  <c r="GI15" i="18"/>
  <c r="J15" i="7"/>
  <c r="GJ15" i="18"/>
  <c r="K15" i="7"/>
  <c r="GK15" i="18"/>
  <c r="L15" i="7"/>
  <c r="GL15" i="18"/>
  <c r="M15" i="7"/>
  <c r="GM15" i="18"/>
  <c r="N15" i="7"/>
  <c r="GN15" i="18"/>
  <c r="O15" i="7"/>
  <c r="GO15" i="18"/>
  <c r="P15" i="7"/>
  <c r="GP15" i="18"/>
  <c r="Q15" i="7"/>
  <c r="GQ15" i="18"/>
  <c r="R15" i="7"/>
  <c r="GR15" i="18"/>
  <c r="S15" i="7"/>
  <c r="GS15" i="18"/>
  <c r="T15" i="7"/>
  <c r="GT15" i="18"/>
  <c r="U15" i="7"/>
  <c r="GU15" i="18"/>
  <c r="V15" i="7"/>
  <c r="GV15" i="18"/>
  <c r="W15" i="7"/>
  <c r="GW15" i="18"/>
  <c r="X15" i="7"/>
  <c r="GX15" i="18"/>
  <c r="Y15" i="7"/>
  <c r="GY15" i="18"/>
  <c r="Z15" i="7"/>
  <c r="GZ15" i="18"/>
  <c r="AA15" i="7"/>
  <c r="HA15" i="18"/>
  <c r="AB15" i="7"/>
  <c r="HB15" i="18"/>
  <c r="AC15" i="7"/>
  <c r="HC15" i="18"/>
  <c r="AD15" i="7"/>
  <c r="HD15" i="18"/>
  <c r="AE15" i="7"/>
  <c r="HE15" i="18"/>
  <c r="AF15" i="7"/>
  <c r="HF15" i="18"/>
  <c r="AG15" i="7"/>
  <c r="HG15" i="18"/>
  <c r="AH15" i="7"/>
  <c r="HH15" i="18"/>
  <c r="AI15" i="7"/>
  <c r="HI15" i="18"/>
  <c r="AJ15" i="7"/>
  <c r="GE15" i="18"/>
  <c r="F15" i="7"/>
  <c r="AK15" i="7"/>
  <c r="HK15" i="18"/>
  <c r="G15" i="8"/>
  <c r="HL15" i="18"/>
  <c r="H15" i="8"/>
  <c r="HM15" i="18"/>
  <c r="I15" i="8"/>
  <c r="HN15" i="18"/>
  <c r="J15" i="8"/>
  <c r="HO15" i="18"/>
  <c r="K15" i="8"/>
  <c r="HP15" i="18"/>
  <c r="L15" i="8"/>
  <c r="HQ15" i="18"/>
  <c r="M15" i="8"/>
  <c r="HR15" i="18"/>
  <c r="N15" i="8"/>
  <c r="HS15" i="18"/>
  <c r="O15" i="8"/>
  <c r="HT15" i="18"/>
  <c r="P15" i="8"/>
  <c r="HU15" i="18"/>
  <c r="Q15" i="8"/>
  <c r="HV15" i="18"/>
  <c r="R15" i="8"/>
  <c r="HW15" i="18"/>
  <c r="S15" i="8"/>
  <c r="HX15" i="18"/>
  <c r="T15" i="8"/>
  <c r="HY15" i="18"/>
  <c r="U15" i="8"/>
  <c r="HZ15" i="18"/>
  <c r="V15" i="8"/>
  <c r="IA15" i="18"/>
  <c r="W15" i="8"/>
  <c r="IB15" i="18"/>
  <c r="X15" i="8"/>
  <c r="IC15" i="18"/>
  <c r="Y15" i="8"/>
  <c r="ID15" i="18"/>
  <c r="Z15" i="8"/>
  <c r="IE15" i="18"/>
  <c r="AA15" i="8"/>
  <c r="IF15" i="18"/>
  <c r="AB15" i="8"/>
  <c r="IG15" i="18"/>
  <c r="AC15" i="8"/>
  <c r="IH15" i="18"/>
  <c r="AD15" i="8"/>
  <c r="II15" i="18"/>
  <c r="AE15" i="8"/>
  <c r="IJ15" i="18"/>
  <c r="AF15" i="8"/>
  <c r="IK15" i="18"/>
  <c r="AG15" i="8"/>
  <c r="IL15" i="18"/>
  <c r="AH15" i="8"/>
  <c r="IM15" i="18"/>
  <c r="AI15" i="8"/>
  <c r="IN15" i="18"/>
  <c r="AJ15" i="8"/>
  <c r="HJ15" i="18"/>
  <c r="F15" i="8"/>
  <c r="AK15" i="8"/>
  <c r="IP15" i="18"/>
  <c r="G15" i="9"/>
  <c r="IQ15" i="18"/>
  <c r="H15" i="9"/>
  <c r="IR15" i="18"/>
  <c r="I15" i="9"/>
  <c r="IS15" i="18"/>
  <c r="J15" i="9"/>
  <c r="IT15" i="18"/>
  <c r="K15" i="9"/>
  <c r="IU15" i="18"/>
  <c r="L15" i="9"/>
  <c r="IV15" i="18"/>
  <c r="M15" i="9"/>
  <c r="IW15" i="18"/>
  <c r="N15" i="9"/>
  <c r="IX15" i="18"/>
  <c r="O15" i="9"/>
  <c r="IY15" i="18"/>
  <c r="P15" i="9"/>
  <c r="IZ15" i="18"/>
  <c r="Q15" i="9"/>
  <c r="JA15" i="18"/>
  <c r="R15" i="9"/>
  <c r="JB15" i="18"/>
  <c r="S15" i="9"/>
  <c r="JC15" i="18"/>
  <c r="T15" i="9"/>
  <c r="JD15" i="18"/>
  <c r="U15" i="9"/>
  <c r="JE15" i="18"/>
  <c r="V15" i="9"/>
  <c r="JF15" i="18"/>
  <c r="W15" i="9"/>
  <c r="JG15" i="18"/>
  <c r="X15" i="9"/>
  <c r="JH15" i="18"/>
  <c r="Y15" i="9"/>
  <c r="JI15" i="18"/>
  <c r="Z15" i="9"/>
  <c r="JJ15" i="18"/>
  <c r="AA15" i="9"/>
  <c r="JK15" i="18"/>
  <c r="AB15" i="9"/>
  <c r="JL15" i="18"/>
  <c r="AC15" i="9"/>
  <c r="JM15" i="18"/>
  <c r="AD15" i="9"/>
  <c r="JN15" i="18"/>
  <c r="AE15" i="9"/>
  <c r="JO15" i="18"/>
  <c r="AF15" i="9"/>
  <c r="JP15" i="18"/>
  <c r="AG15" i="9"/>
  <c r="JQ15" i="18"/>
  <c r="AH15" i="9"/>
  <c r="JR15" i="18"/>
  <c r="AI15" i="9"/>
  <c r="IO15" i="18"/>
  <c r="F15" i="9"/>
  <c r="AK15" i="9"/>
  <c r="JT15" i="18"/>
  <c r="G15" i="10"/>
  <c r="JU15" i="18"/>
  <c r="H15" i="10"/>
  <c r="JV15" i="18"/>
  <c r="I15" i="10"/>
  <c r="JW15" i="18"/>
  <c r="J15" i="10"/>
  <c r="JX15" i="18"/>
  <c r="K15" i="10"/>
  <c r="JY15" i="18"/>
  <c r="L15" i="10"/>
  <c r="JZ15" i="18"/>
  <c r="M15" i="10"/>
  <c r="KA15" i="18"/>
  <c r="N15" i="10"/>
  <c r="KB15" i="18"/>
  <c r="O15" i="10"/>
  <c r="KC15" i="18"/>
  <c r="P15" i="10"/>
  <c r="KD15" i="18"/>
  <c r="Q15" i="10"/>
  <c r="KE15" i="18"/>
  <c r="R15" i="10"/>
  <c r="KF15" i="18"/>
  <c r="S15" i="10"/>
  <c r="KG15" i="18"/>
  <c r="T15" i="10"/>
  <c r="KH15" i="18"/>
  <c r="U15" i="10"/>
  <c r="KI15" i="18"/>
  <c r="V15" i="10"/>
  <c r="KJ15" i="18"/>
  <c r="W15" i="10"/>
  <c r="KK15" i="18"/>
  <c r="X15" i="10"/>
  <c r="KL15" i="18"/>
  <c r="Y15" i="10"/>
  <c r="KM15" i="18"/>
  <c r="Z15" i="10"/>
  <c r="KN15" i="18"/>
  <c r="AA15" i="10"/>
  <c r="KO15" i="18"/>
  <c r="AB15" i="10"/>
  <c r="KP15" i="18"/>
  <c r="AC15" i="10"/>
  <c r="KQ15" i="18"/>
  <c r="AD15" i="10"/>
  <c r="KR15" i="18"/>
  <c r="AE15" i="10"/>
  <c r="KS15" i="18"/>
  <c r="AF15" i="10"/>
  <c r="KT15" i="18"/>
  <c r="AG15" i="10"/>
  <c r="KU15" i="18"/>
  <c r="AH15" i="10"/>
  <c r="KV15" i="18"/>
  <c r="AI15" i="10"/>
  <c r="KW15" i="18"/>
  <c r="AJ15" i="10"/>
  <c r="JS15" i="18"/>
  <c r="F15" i="10"/>
  <c r="AK15" i="10"/>
  <c r="KY15" i="18"/>
  <c r="G15" i="11"/>
  <c r="KZ15" i="18"/>
  <c r="H15" i="11"/>
  <c r="LA15" i="18"/>
  <c r="I15" i="11"/>
  <c r="LB15" i="18"/>
  <c r="J15" i="11"/>
  <c r="LC15" i="18"/>
  <c r="K15" i="11"/>
  <c r="LD15" i="18"/>
  <c r="L15" i="11"/>
  <c r="LE15" i="18"/>
  <c r="M15" i="11"/>
  <c r="LF15" i="18"/>
  <c r="N15" i="11"/>
  <c r="LG15" i="18"/>
  <c r="O15" i="11"/>
  <c r="LH15" i="18"/>
  <c r="P15" i="11"/>
  <c r="LI15" i="18"/>
  <c r="Q15" i="11"/>
  <c r="LJ15" i="18"/>
  <c r="R15" i="11"/>
  <c r="LK15" i="18"/>
  <c r="S15" i="11"/>
  <c r="LL15" i="18"/>
  <c r="T15" i="11"/>
  <c r="LM15" i="18"/>
  <c r="U15" i="11"/>
  <c r="LN15" i="18"/>
  <c r="V15" i="11"/>
  <c r="LO15" i="18"/>
  <c r="W15" i="11"/>
  <c r="LP15" i="18"/>
  <c r="X15" i="11"/>
  <c r="LQ15" i="18"/>
  <c r="Y15" i="11"/>
  <c r="LR15" i="18"/>
  <c r="Z15" i="11"/>
  <c r="LS15" i="18"/>
  <c r="AA15" i="11"/>
  <c r="LT15" i="18"/>
  <c r="AB15" i="11"/>
  <c r="LU15" i="18"/>
  <c r="AC15" i="11"/>
  <c r="LV15" i="18"/>
  <c r="AD15" i="11"/>
  <c r="LW15" i="18"/>
  <c r="AE15" i="11"/>
  <c r="LX15" i="18"/>
  <c r="AF15" i="11"/>
  <c r="LY15" i="18"/>
  <c r="AG15" i="11"/>
  <c r="LZ15" i="18"/>
  <c r="AH15" i="11"/>
  <c r="MA15" i="18"/>
  <c r="AI15" i="11"/>
  <c r="KX15" i="18"/>
  <c r="F15" i="11"/>
  <c r="AK15" i="11"/>
  <c r="MC15" i="18"/>
  <c r="G15" i="12"/>
  <c r="MD15" i="18"/>
  <c r="H15" i="12"/>
  <c r="ME15" i="18"/>
  <c r="I15" i="12"/>
  <c r="MF15" i="18"/>
  <c r="J15" i="12"/>
  <c r="MG15" i="18"/>
  <c r="K15" i="12"/>
  <c r="MH15" i="18"/>
  <c r="L15" i="12"/>
  <c r="MI15" i="18"/>
  <c r="M15" i="12"/>
  <c r="MJ15" i="18"/>
  <c r="N15" i="12"/>
  <c r="MK15" i="18"/>
  <c r="O15" i="12"/>
  <c r="ML15" i="18"/>
  <c r="P15" i="12"/>
  <c r="MM15" i="18"/>
  <c r="Q15" i="12"/>
  <c r="MN15" i="18"/>
  <c r="R15" i="12"/>
  <c r="MO15" i="18"/>
  <c r="S15" i="12"/>
  <c r="MP15" i="18"/>
  <c r="T15" i="12"/>
  <c r="MQ15" i="18"/>
  <c r="U15" i="12"/>
  <c r="MR15" i="18"/>
  <c r="V15" i="12"/>
  <c r="MS15" i="18"/>
  <c r="W15" i="12"/>
  <c r="MT15" i="18"/>
  <c r="X15" i="12"/>
  <c r="MU15" i="18"/>
  <c r="Y15" i="12"/>
  <c r="MV15" i="18"/>
  <c r="Z15" i="12"/>
  <c r="MW15" i="18"/>
  <c r="AA15" i="12"/>
  <c r="MX15" i="18"/>
  <c r="AB15" i="12"/>
  <c r="MY15" i="18"/>
  <c r="AC15" i="12"/>
  <c r="MZ15" i="18"/>
  <c r="AD15" i="12"/>
  <c r="NA15" i="18"/>
  <c r="AE15" i="12"/>
  <c r="NB15" i="18"/>
  <c r="AF15" i="12"/>
  <c r="NC15" i="18"/>
  <c r="AG15" i="12"/>
  <c r="ND15" i="18"/>
  <c r="AH15" i="12"/>
  <c r="NE15" i="18"/>
  <c r="AI15" i="12"/>
  <c r="NF15" i="18"/>
  <c r="AJ15" i="12"/>
  <c r="MB15" i="18"/>
  <c r="F15" i="12"/>
  <c r="AK15" i="12"/>
  <c r="P11" i="13"/>
  <c r="G14" i="18"/>
  <c r="H14" i="18"/>
  <c r="I14" i="18"/>
  <c r="J14" i="18"/>
  <c r="K14" i="18"/>
  <c r="L14" i="18"/>
  <c r="M14" i="18"/>
  <c r="N14" i="18"/>
  <c r="O14" i="18"/>
  <c r="P14" i="18"/>
  <c r="Q14" i="18"/>
  <c r="R14" i="18"/>
  <c r="S14" i="18"/>
  <c r="T14" i="18"/>
  <c r="U14" i="18"/>
  <c r="V14" i="18"/>
  <c r="W14" i="18"/>
  <c r="X14" i="18"/>
  <c r="Y14" i="18"/>
  <c r="Z14" i="18"/>
  <c r="AA14" i="18"/>
  <c r="AB14" i="18"/>
  <c r="AC14" i="18"/>
  <c r="AD14" i="18"/>
  <c r="AE14" i="18"/>
  <c r="AF14" i="18"/>
  <c r="AG14" i="18"/>
  <c r="AH14" i="18"/>
  <c r="AI14" i="18"/>
  <c r="AJ14" i="18"/>
  <c r="F14" i="18"/>
  <c r="AL14" i="18"/>
  <c r="G14" i="2"/>
  <c r="AM14" i="18"/>
  <c r="H14" i="2"/>
  <c r="AN14" i="18"/>
  <c r="I14" i="2"/>
  <c r="AO14" i="18"/>
  <c r="J14" i="2"/>
  <c r="AP14" i="18"/>
  <c r="K14" i="2"/>
  <c r="AQ14" i="18"/>
  <c r="L14" i="2"/>
  <c r="AR14" i="18"/>
  <c r="M14" i="2"/>
  <c r="AS14" i="18"/>
  <c r="N14" i="2"/>
  <c r="AT14" i="18"/>
  <c r="O14" i="2"/>
  <c r="AU14" i="18"/>
  <c r="P14" i="2"/>
  <c r="AV14" i="18"/>
  <c r="Q14" i="2"/>
  <c r="AW14" i="18"/>
  <c r="R14" i="2"/>
  <c r="AX14" i="18"/>
  <c r="S14" i="2"/>
  <c r="AY14" i="18"/>
  <c r="T14" i="2"/>
  <c r="AZ14" i="18"/>
  <c r="U14" i="2"/>
  <c r="BA14" i="18"/>
  <c r="V14" i="2"/>
  <c r="BB14" i="18"/>
  <c r="W14" i="2"/>
  <c r="BC14" i="18"/>
  <c r="X14" i="2"/>
  <c r="BD14" i="18"/>
  <c r="Y14" i="2"/>
  <c r="BE14" i="18"/>
  <c r="Z14" i="2"/>
  <c r="BF14" i="18"/>
  <c r="AA14" i="2"/>
  <c r="BG14" i="18"/>
  <c r="AB14" i="2"/>
  <c r="BH14" i="18"/>
  <c r="AC14" i="2"/>
  <c r="BI14" i="18"/>
  <c r="AD14" i="2"/>
  <c r="BJ14" i="18"/>
  <c r="AE14" i="2"/>
  <c r="BK14" i="18"/>
  <c r="AF14" i="2"/>
  <c r="BL14" i="18"/>
  <c r="AG14" i="2"/>
  <c r="AI14" i="2"/>
  <c r="AK14" i="18"/>
  <c r="F14" i="2"/>
  <c r="AJ14" i="2"/>
  <c r="BN14" i="18"/>
  <c r="G14" i="3"/>
  <c r="BO14" i="18"/>
  <c r="H14" i="3"/>
  <c r="BP14" i="18"/>
  <c r="I14" i="3"/>
  <c r="BQ14" i="18"/>
  <c r="J14" i="3"/>
  <c r="BR14" i="18"/>
  <c r="K14" i="3"/>
  <c r="BS14" i="18"/>
  <c r="L14" i="3"/>
  <c r="BT14" i="18"/>
  <c r="M14" i="3"/>
  <c r="BU14" i="18"/>
  <c r="N14" i="3"/>
  <c r="BV14" i="18"/>
  <c r="O14" i="3"/>
  <c r="BW14" i="18"/>
  <c r="P14" i="3"/>
  <c r="BX14" i="18"/>
  <c r="Q14" i="3"/>
  <c r="BY14" i="18"/>
  <c r="R14" i="3"/>
  <c r="BZ14" i="18"/>
  <c r="S14" i="3"/>
  <c r="CA14" i="18"/>
  <c r="T14" i="3"/>
  <c r="CB14" i="18"/>
  <c r="U14" i="3"/>
  <c r="CC14" i="18"/>
  <c r="V14" i="3"/>
  <c r="CD14" i="18"/>
  <c r="W14" i="3"/>
  <c r="CE14" i="18"/>
  <c r="X14" i="3"/>
  <c r="CF14" i="18"/>
  <c r="Y14" i="3"/>
  <c r="CG14" i="18"/>
  <c r="Z14" i="3"/>
  <c r="CH14" i="18"/>
  <c r="AA14" i="3"/>
  <c r="CI14" i="18"/>
  <c r="AB14" i="3"/>
  <c r="CJ14" i="18"/>
  <c r="AC14" i="3"/>
  <c r="CK14" i="18"/>
  <c r="AD14" i="3"/>
  <c r="CL14" i="18"/>
  <c r="AE14" i="3"/>
  <c r="CM14" i="18"/>
  <c r="AF14" i="3"/>
  <c r="CN14" i="18"/>
  <c r="AG14" i="3"/>
  <c r="CO14" i="18"/>
  <c r="AH14" i="3"/>
  <c r="CP14" i="18"/>
  <c r="AI14" i="3"/>
  <c r="CQ14" i="18"/>
  <c r="AJ14" i="3"/>
  <c r="BM14" i="18"/>
  <c r="F14" i="3"/>
  <c r="AK14" i="3"/>
  <c r="CS14" i="18"/>
  <c r="G14" i="4"/>
  <c r="CT14" i="18"/>
  <c r="H14" i="4"/>
  <c r="CU14" i="18"/>
  <c r="I14" i="4"/>
  <c r="CV14" i="18"/>
  <c r="J14" i="4"/>
  <c r="CW14" i="18"/>
  <c r="K14" i="4"/>
  <c r="CX14" i="18"/>
  <c r="L14" i="4"/>
  <c r="CY14" i="18"/>
  <c r="M14" i="4"/>
  <c r="CZ14" i="18"/>
  <c r="N14" i="4"/>
  <c r="DA14" i="18"/>
  <c r="O14" i="4"/>
  <c r="DB14" i="18"/>
  <c r="P14" i="4"/>
  <c r="DC14" i="18"/>
  <c r="Q14" i="4"/>
  <c r="DD14" i="18"/>
  <c r="R14" i="4"/>
  <c r="DE14" i="18"/>
  <c r="S14" i="4"/>
  <c r="DF14" i="18"/>
  <c r="T14" i="4"/>
  <c r="DG14" i="18"/>
  <c r="U14" i="4"/>
  <c r="DH14" i="18"/>
  <c r="V14" i="4"/>
  <c r="DI14" i="18"/>
  <c r="W14" i="4"/>
  <c r="DJ14" i="18"/>
  <c r="X14" i="4"/>
  <c r="DK14" i="18"/>
  <c r="Y14" i="4"/>
  <c r="DL14" i="18"/>
  <c r="Z14" i="4"/>
  <c r="DM14" i="18"/>
  <c r="AA14" i="4"/>
  <c r="DN14" i="18"/>
  <c r="AB14" i="4"/>
  <c r="DO14" i="18"/>
  <c r="AC14" i="4"/>
  <c r="DP14" i="18"/>
  <c r="AD14" i="4"/>
  <c r="DQ14" i="18"/>
  <c r="AE14" i="4"/>
  <c r="DR14" i="18"/>
  <c r="AF14" i="4"/>
  <c r="DS14" i="18"/>
  <c r="AG14" i="4"/>
  <c r="DT14" i="18"/>
  <c r="AH14" i="4"/>
  <c r="DU14" i="18"/>
  <c r="AI14" i="4"/>
  <c r="CR14" i="18"/>
  <c r="F14" i="4"/>
  <c r="AK14" i="4"/>
  <c r="DW14" i="18"/>
  <c r="G14" i="5"/>
  <c r="DX14" i="18"/>
  <c r="H14" i="5"/>
  <c r="DY14" i="18"/>
  <c r="I14" i="5"/>
  <c r="DZ14" i="18"/>
  <c r="J14" i="5"/>
  <c r="EA14" i="18"/>
  <c r="K14" i="5"/>
  <c r="EB14" i="18"/>
  <c r="L14" i="5"/>
  <c r="EC14" i="18"/>
  <c r="M14" i="5"/>
  <c r="ED14" i="18"/>
  <c r="N14" i="5"/>
  <c r="EE14" i="18"/>
  <c r="O14" i="5"/>
  <c r="EF14" i="18"/>
  <c r="P14" i="5"/>
  <c r="EG14" i="18"/>
  <c r="Q14" i="5"/>
  <c r="EH14" i="18"/>
  <c r="R14" i="5"/>
  <c r="EI14" i="18"/>
  <c r="S14" i="5"/>
  <c r="EJ14" i="18"/>
  <c r="T14" i="5"/>
  <c r="EK14" i="18"/>
  <c r="U14" i="5"/>
  <c r="EL14" i="18"/>
  <c r="V14" i="5"/>
  <c r="EM14" i="18"/>
  <c r="W14" i="5"/>
  <c r="EN14" i="18"/>
  <c r="X14" i="5"/>
  <c r="EO14" i="18"/>
  <c r="Y14" i="5"/>
  <c r="EP14" i="18"/>
  <c r="Z14" i="5"/>
  <c r="EQ14" i="18"/>
  <c r="AA14" i="5"/>
  <c r="ER14" i="18"/>
  <c r="AB14" i="5"/>
  <c r="ES14" i="18"/>
  <c r="AC14" i="5"/>
  <c r="ET14" i="18"/>
  <c r="AD14" i="5"/>
  <c r="EU14" i="18"/>
  <c r="AE14" i="5"/>
  <c r="EV14" i="18"/>
  <c r="AF14" i="5"/>
  <c r="EW14" i="18"/>
  <c r="AG14" i="5"/>
  <c r="EX14" i="18"/>
  <c r="AH14" i="5"/>
  <c r="EY14" i="18"/>
  <c r="AI14" i="5"/>
  <c r="EZ14" i="18"/>
  <c r="AJ14" i="5"/>
  <c r="DV14" i="18"/>
  <c r="F14" i="5"/>
  <c r="AK14" i="5"/>
  <c r="FB14" i="18"/>
  <c r="G14" i="6"/>
  <c r="FC14" i="18"/>
  <c r="H14" i="6"/>
  <c r="FD14" i="18"/>
  <c r="I14" i="6"/>
  <c r="FE14" i="18"/>
  <c r="J14" i="6"/>
  <c r="FF14" i="18"/>
  <c r="K14" i="6"/>
  <c r="FG14" i="18"/>
  <c r="L14" i="6"/>
  <c r="FH14" i="18"/>
  <c r="M14" i="6"/>
  <c r="FI14" i="18"/>
  <c r="N14" i="6"/>
  <c r="FJ14" i="18"/>
  <c r="O14" i="6"/>
  <c r="FK14" i="18"/>
  <c r="P14" i="6"/>
  <c r="FL14" i="18"/>
  <c r="Q14" i="6"/>
  <c r="FM14" i="18"/>
  <c r="R14" i="6"/>
  <c r="FN14" i="18"/>
  <c r="S14" i="6"/>
  <c r="FO14" i="18"/>
  <c r="T14" i="6"/>
  <c r="FP14" i="18"/>
  <c r="U14" i="6"/>
  <c r="FQ14" i="18"/>
  <c r="V14" i="6"/>
  <c r="FR14" i="18"/>
  <c r="W14" i="6"/>
  <c r="FS14" i="18"/>
  <c r="X14" i="6"/>
  <c r="FT14" i="18"/>
  <c r="Y14" i="6"/>
  <c r="FU14" i="18"/>
  <c r="Z14" i="6"/>
  <c r="FV14" i="18"/>
  <c r="AA14" i="6"/>
  <c r="FW14" i="18"/>
  <c r="AB14" i="6"/>
  <c r="FX14" i="18"/>
  <c r="AC14" i="6"/>
  <c r="FY14" i="18"/>
  <c r="AD14" i="6"/>
  <c r="FZ14" i="18"/>
  <c r="AE14" i="6"/>
  <c r="GA14" i="18"/>
  <c r="AF14" i="6"/>
  <c r="GB14" i="18"/>
  <c r="AG14" i="6"/>
  <c r="GC14" i="18"/>
  <c r="AH14" i="6"/>
  <c r="GD14" i="18"/>
  <c r="AI14" i="6"/>
  <c r="FA14" i="18"/>
  <c r="F14" i="6"/>
  <c r="AK14" i="6"/>
  <c r="GF14" i="18"/>
  <c r="G14" i="7"/>
  <c r="GG14" i="18"/>
  <c r="H14" i="7"/>
  <c r="GH14" i="18"/>
  <c r="I14" i="7"/>
  <c r="GI14" i="18"/>
  <c r="J14" i="7"/>
  <c r="GJ14" i="18"/>
  <c r="K14" i="7"/>
  <c r="GK14" i="18"/>
  <c r="L14" i="7"/>
  <c r="GL14" i="18"/>
  <c r="M14" i="7"/>
  <c r="GM14" i="18"/>
  <c r="N14" i="7"/>
  <c r="GN14" i="18"/>
  <c r="O14" i="7"/>
  <c r="GO14" i="18"/>
  <c r="P14" i="7"/>
  <c r="GP14" i="18"/>
  <c r="Q14" i="7"/>
  <c r="GQ14" i="18"/>
  <c r="R14" i="7"/>
  <c r="GR14" i="18"/>
  <c r="S14" i="7"/>
  <c r="GS14" i="18"/>
  <c r="T14" i="7"/>
  <c r="GT14" i="18"/>
  <c r="U14" i="7"/>
  <c r="GU14" i="18"/>
  <c r="V14" i="7"/>
  <c r="GV14" i="18"/>
  <c r="W14" i="7"/>
  <c r="GW14" i="18"/>
  <c r="X14" i="7"/>
  <c r="GX14" i="18"/>
  <c r="Y14" i="7"/>
  <c r="GY14" i="18"/>
  <c r="Z14" i="7"/>
  <c r="GZ14" i="18"/>
  <c r="AA14" i="7"/>
  <c r="HA14" i="18"/>
  <c r="AB14" i="7"/>
  <c r="HB14" i="18"/>
  <c r="AC14" i="7"/>
  <c r="HC14" i="18"/>
  <c r="AD14" i="7"/>
  <c r="HD14" i="18"/>
  <c r="AE14" i="7"/>
  <c r="HE14" i="18"/>
  <c r="AF14" i="7"/>
  <c r="HF14" i="18"/>
  <c r="AG14" i="7"/>
  <c r="HG14" i="18"/>
  <c r="AH14" i="7"/>
  <c r="HH14" i="18"/>
  <c r="AI14" i="7"/>
  <c r="HI14" i="18"/>
  <c r="AJ14" i="7"/>
  <c r="GE14" i="18"/>
  <c r="F14" i="7"/>
  <c r="AK14" i="7"/>
  <c r="HK14" i="18"/>
  <c r="G14" i="8"/>
  <c r="HL14" i="18"/>
  <c r="H14" i="8"/>
  <c r="HM14" i="18"/>
  <c r="I14" i="8"/>
  <c r="HN14" i="18"/>
  <c r="J14" i="8"/>
  <c r="HO14" i="18"/>
  <c r="K14" i="8"/>
  <c r="HP14" i="18"/>
  <c r="L14" i="8"/>
  <c r="HQ14" i="18"/>
  <c r="M14" i="8"/>
  <c r="HR14" i="18"/>
  <c r="N14" i="8"/>
  <c r="HS14" i="18"/>
  <c r="O14" i="8"/>
  <c r="HT14" i="18"/>
  <c r="P14" i="8"/>
  <c r="HU14" i="18"/>
  <c r="Q14" i="8"/>
  <c r="HV14" i="18"/>
  <c r="R14" i="8"/>
  <c r="HW14" i="18"/>
  <c r="S14" i="8"/>
  <c r="HX14" i="18"/>
  <c r="T14" i="8"/>
  <c r="HY14" i="18"/>
  <c r="U14" i="8"/>
  <c r="HZ14" i="18"/>
  <c r="V14" i="8"/>
  <c r="IA14" i="18"/>
  <c r="W14" i="8"/>
  <c r="IB14" i="18"/>
  <c r="X14" i="8"/>
  <c r="IC14" i="18"/>
  <c r="Y14" i="8"/>
  <c r="ID14" i="18"/>
  <c r="Z14" i="8"/>
  <c r="IE14" i="18"/>
  <c r="AA14" i="8"/>
  <c r="IF14" i="18"/>
  <c r="AB14" i="8"/>
  <c r="IG14" i="18"/>
  <c r="AC14" i="8"/>
  <c r="IH14" i="18"/>
  <c r="AD14" i="8"/>
  <c r="II14" i="18"/>
  <c r="AE14" i="8"/>
  <c r="IJ14" i="18"/>
  <c r="AF14" i="8"/>
  <c r="IK14" i="18"/>
  <c r="AG14" i="8"/>
  <c r="IL14" i="18"/>
  <c r="AH14" i="8"/>
  <c r="IM14" i="18"/>
  <c r="AI14" i="8"/>
  <c r="IN14" i="18"/>
  <c r="AJ14" i="8"/>
  <c r="HJ14" i="18"/>
  <c r="F14" i="8"/>
  <c r="AK14" i="8"/>
  <c r="IP14" i="18"/>
  <c r="G14" i="9"/>
  <c r="IQ14" i="18"/>
  <c r="H14" i="9"/>
  <c r="IR14" i="18"/>
  <c r="I14" i="9"/>
  <c r="IS14" i="18"/>
  <c r="J14" i="9"/>
  <c r="IT14" i="18"/>
  <c r="K14" i="9"/>
  <c r="IU14" i="18"/>
  <c r="L14" i="9"/>
  <c r="IV14" i="18"/>
  <c r="M14" i="9"/>
  <c r="IW14" i="18"/>
  <c r="N14" i="9"/>
  <c r="IX14" i="18"/>
  <c r="O14" i="9"/>
  <c r="IY14" i="18"/>
  <c r="P14" i="9"/>
  <c r="IZ14" i="18"/>
  <c r="Q14" i="9"/>
  <c r="JA14" i="18"/>
  <c r="R14" i="9"/>
  <c r="JB14" i="18"/>
  <c r="S14" i="9"/>
  <c r="JC14" i="18"/>
  <c r="T14" i="9"/>
  <c r="JD14" i="18"/>
  <c r="U14" i="9"/>
  <c r="JE14" i="18"/>
  <c r="V14" i="9"/>
  <c r="JF14" i="18"/>
  <c r="W14" i="9"/>
  <c r="JG14" i="18"/>
  <c r="X14" i="9"/>
  <c r="JH14" i="18"/>
  <c r="Y14" i="9"/>
  <c r="JI14" i="18"/>
  <c r="Z14" i="9"/>
  <c r="JJ14" i="18"/>
  <c r="AA14" i="9"/>
  <c r="JK14" i="18"/>
  <c r="AB14" i="9"/>
  <c r="JL14" i="18"/>
  <c r="AC14" i="9"/>
  <c r="JM14" i="18"/>
  <c r="AD14" i="9"/>
  <c r="JN14" i="18"/>
  <c r="AE14" i="9"/>
  <c r="JO14" i="18"/>
  <c r="AF14" i="9"/>
  <c r="JP14" i="18"/>
  <c r="AG14" i="9"/>
  <c r="JQ14" i="18"/>
  <c r="AH14" i="9"/>
  <c r="JR14" i="18"/>
  <c r="AI14" i="9"/>
  <c r="IO14" i="18"/>
  <c r="F14" i="9"/>
  <c r="AK14" i="9"/>
  <c r="JT14" i="18"/>
  <c r="G14" i="10"/>
  <c r="JU14" i="18"/>
  <c r="H14" i="10"/>
  <c r="JV14" i="18"/>
  <c r="I14" i="10"/>
  <c r="JW14" i="18"/>
  <c r="J14" i="10"/>
  <c r="JX14" i="18"/>
  <c r="K14" i="10"/>
  <c r="JY14" i="18"/>
  <c r="L14" i="10"/>
  <c r="JZ14" i="18"/>
  <c r="M14" i="10"/>
  <c r="KA14" i="18"/>
  <c r="N14" i="10"/>
  <c r="KB14" i="18"/>
  <c r="O14" i="10"/>
  <c r="KC14" i="18"/>
  <c r="P14" i="10"/>
  <c r="KD14" i="18"/>
  <c r="Q14" i="10"/>
  <c r="KE14" i="18"/>
  <c r="R14" i="10"/>
  <c r="KF14" i="18"/>
  <c r="S14" i="10"/>
  <c r="KG14" i="18"/>
  <c r="T14" i="10"/>
  <c r="KH14" i="18"/>
  <c r="U14" i="10"/>
  <c r="KI14" i="18"/>
  <c r="V14" i="10"/>
  <c r="KJ14" i="18"/>
  <c r="W14" i="10"/>
  <c r="KK14" i="18"/>
  <c r="X14" i="10"/>
  <c r="KL14" i="18"/>
  <c r="Y14" i="10"/>
  <c r="KM14" i="18"/>
  <c r="Z14" i="10"/>
  <c r="KN14" i="18"/>
  <c r="AA14" i="10"/>
  <c r="KO14" i="18"/>
  <c r="AB14" i="10"/>
  <c r="KP14" i="18"/>
  <c r="AC14" i="10"/>
  <c r="KQ14" i="18"/>
  <c r="AD14" i="10"/>
  <c r="KR14" i="18"/>
  <c r="AE14" i="10"/>
  <c r="KS14" i="18"/>
  <c r="AF14" i="10"/>
  <c r="KT14" i="18"/>
  <c r="AG14" i="10"/>
  <c r="KU14" i="18"/>
  <c r="AH14" i="10"/>
  <c r="KV14" i="18"/>
  <c r="AI14" i="10"/>
  <c r="KW14" i="18"/>
  <c r="AJ14" i="10"/>
  <c r="JS14" i="18"/>
  <c r="F14" i="10"/>
  <c r="AK14" i="10"/>
  <c r="KY14" i="18"/>
  <c r="G14" i="11"/>
  <c r="KZ14" i="18"/>
  <c r="H14" i="11"/>
  <c r="LA14" i="18"/>
  <c r="I14" i="11"/>
  <c r="LB14" i="18"/>
  <c r="J14" i="11"/>
  <c r="LC14" i="18"/>
  <c r="K14" i="11"/>
  <c r="LD14" i="18"/>
  <c r="L14" i="11"/>
  <c r="LE14" i="18"/>
  <c r="M14" i="11"/>
  <c r="LF14" i="18"/>
  <c r="N14" i="11"/>
  <c r="LG14" i="18"/>
  <c r="O14" i="11"/>
  <c r="LH14" i="18"/>
  <c r="P14" i="11"/>
  <c r="LI14" i="18"/>
  <c r="Q14" i="11"/>
  <c r="LJ14" i="18"/>
  <c r="R14" i="11"/>
  <c r="LK14" i="18"/>
  <c r="S14" i="11"/>
  <c r="LL14" i="18"/>
  <c r="T14" i="11"/>
  <c r="LM14" i="18"/>
  <c r="U14" i="11"/>
  <c r="LN14" i="18"/>
  <c r="V14" i="11"/>
  <c r="LO14" i="18"/>
  <c r="W14" i="11"/>
  <c r="LP14" i="18"/>
  <c r="X14" i="11"/>
  <c r="LQ14" i="18"/>
  <c r="Y14" i="11"/>
  <c r="LR14" i="18"/>
  <c r="Z14" i="11"/>
  <c r="LS14" i="18"/>
  <c r="AA14" i="11"/>
  <c r="LT14" i="18"/>
  <c r="AB14" i="11"/>
  <c r="LU14" i="18"/>
  <c r="AC14" i="11"/>
  <c r="LV14" i="18"/>
  <c r="AD14" i="11"/>
  <c r="LW14" i="18"/>
  <c r="AE14" i="11"/>
  <c r="LX14" i="18"/>
  <c r="AF14" i="11"/>
  <c r="LY14" i="18"/>
  <c r="AG14" i="11"/>
  <c r="LZ14" i="18"/>
  <c r="AH14" i="11"/>
  <c r="MA14" i="18"/>
  <c r="AI14" i="11"/>
  <c r="KX14" i="18"/>
  <c r="F14" i="11"/>
  <c r="AK14" i="11"/>
  <c r="MC14" i="18"/>
  <c r="G14" i="12"/>
  <c r="MD14" i="18"/>
  <c r="H14" i="12"/>
  <c r="ME14" i="18"/>
  <c r="I14" i="12"/>
  <c r="MF14" i="18"/>
  <c r="J14" i="12"/>
  <c r="MG14" i="18"/>
  <c r="K14" i="12"/>
  <c r="MH14" i="18"/>
  <c r="L14" i="12"/>
  <c r="MI14" i="18"/>
  <c r="M14" i="12"/>
  <c r="MJ14" i="18"/>
  <c r="N14" i="12"/>
  <c r="MK14" i="18"/>
  <c r="O14" i="12"/>
  <c r="ML14" i="18"/>
  <c r="P14" i="12"/>
  <c r="MM14" i="18"/>
  <c r="Q14" i="12"/>
  <c r="MN14" i="18"/>
  <c r="R14" i="12"/>
  <c r="MO14" i="18"/>
  <c r="S14" i="12"/>
  <c r="MP14" i="18"/>
  <c r="T14" i="12"/>
  <c r="MQ14" i="18"/>
  <c r="U14" i="12"/>
  <c r="MR14" i="18"/>
  <c r="V14" i="12"/>
  <c r="MS14" i="18"/>
  <c r="W14" i="12"/>
  <c r="MT14" i="18"/>
  <c r="X14" i="12"/>
  <c r="MU14" i="18"/>
  <c r="Y14" i="12"/>
  <c r="MV14" i="18"/>
  <c r="Z14" i="12"/>
  <c r="MW14" i="18"/>
  <c r="AA14" i="12"/>
  <c r="MX14" i="18"/>
  <c r="AB14" i="12"/>
  <c r="MY14" i="18"/>
  <c r="AC14" i="12"/>
  <c r="MZ14" i="18"/>
  <c r="AD14" i="12"/>
  <c r="NA14" i="18"/>
  <c r="AE14" i="12"/>
  <c r="NB14" i="18"/>
  <c r="AF14" i="12"/>
  <c r="NC14" i="18"/>
  <c r="AG14" i="12"/>
  <c r="ND14" i="18"/>
  <c r="AH14" i="12"/>
  <c r="NE14" i="18"/>
  <c r="AI14" i="12"/>
  <c r="NF14" i="18"/>
  <c r="AJ14" i="12"/>
  <c r="MB14" i="18"/>
  <c r="F14" i="12"/>
  <c r="AK14" i="12"/>
  <c r="P10" i="13"/>
  <c r="G13" i="18"/>
  <c r="H13" i="18"/>
  <c r="I13" i="18"/>
  <c r="J13" i="18"/>
  <c r="K13" i="18"/>
  <c r="L13" i="18"/>
  <c r="M13" i="18"/>
  <c r="N13" i="18"/>
  <c r="O13" i="18"/>
  <c r="P13" i="18"/>
  <c r="Q13" i="18"/>
  <c r="R13" i="18"/>
  <c r="S13" i="18"/>
  <c r="T13" i="18"/>
  <c r="U13" i="18"/>
  <c r="V13" i="18"/>
  <c r="W13" i="18"/>
  <c r="X13" i="18"/>
  <c r="Y13" i="18"/>
  <c r="Z13" i="18"/>
  <c r="AA13" i="18"/>
  <c r="AB13" i="18"/>
  <c r="AC13" i="18"/>
  <c r="AD13" i="18"/>
  <c r="AE13" i="18"/>
  <c r="AF13" i="18"/>
  <c r="AG13" i="18"/>
  <c r="AH13" i="18"/>
  <c r="AI13" i="18"/>
  <c r="AJ13" i="18"/>
  <c r="F13" i="18"/>
  <c r="AL13" i="18"/>
  <c r="G13" i="2"/>
  <c r="AM13" i="18"/>
  <c r="H13" i="2"/>
  <c r="AN13" i="18"/>
  <c r="I13" i="2"/>
  <c r="AO13" i="18"/>
  <c r="J13" i="2"/>
  <c r="AP13" i="18"/>
  <c r="K13" i="2"/>
  <c r="AQ13" i="18"/>
  <c r="L13" i="2"/>
  <c r="AR13" i="18"/>
  <c r="M13" i="2"/>
  <c r="AS13" i="18"/>
  <c r="N13" i="2"/>
  <c r="AT13" i="18"/>
  <c r="O13" i="2"/>
  <c r="AU13" i="18"/>
  <c r="P13" i="2"/>
  <c r="AV13" i="18"/>
  <c r="Q13" i="2"/>
  <c r="AW13" i="18"/>
  <c r="R13" i="2"/>
  <c r="AX13" i="18"/>
  <c r="S13" i="2"/>
  <c r="AY13" i="18"/>
  <c r="T13" i="2"/>
  <c r="AZ13" i="18"/>
  <c r="U13" i="2"/>
  <c r="BA13" i="18"/>
  <c r="V13" i="2"/>
  <c r="BB13" i="18"/>
  <c r="W13" i="2"/>
  <c r="BC13" i="18"/>
  <c r="X13" i="2"/>
  <c r="BD13" i="18"/>
  <c r="Y13" i="2"/>
  <c r="BE13" i="18"/>
  <c r="Z13" i="2"/>
  <c r="BF13" i="18"/>
  <c r="AA13" i="2"/>
  <c r="BG13" i="18"/>
  <c r="AB13" i="2"/>
  <c r="BH13" i="18"/>
  <c r="AC13" i="2"/>
  <c r="BI13" i="18"/>
  <c r="AD13" i="2"/>
  <c r="BJ13" i="18"/>
  <c r="AE13" i="2"/>
  <c r="BK13" i="18"/>
  <c r="AF13" i="2"/>
  <c r="BL13" i="18"/>
  <c r="AG13" i="2"/>
  <c r="AI13" i="2"/>
  <c r="AK13" i="18"/>
  <c r="F13" i="2"/>
  <c r="AJ13" i="2"/>
  <c r="BN13" i="18"/>
  <c r="G13" i="3"/>
  <c r="BO13" i="18"/>
  <c r="H13" i="3"/>
  <c r="BP13" i="18"/>
  <c r="I13" i="3"/>
  <c r="BQ13" i="18"/>
  <c r="J13" i="3"/>
  <c r="BR13" i="18"/>
  <c r="K13" i="3"/>
  <c r="BS13" i="18"/>
  <c r="L13" i="3"/>
  <c r="BT13" i="18"/>
  <c r="M13" i="3"/>
  <c r="BU13" i="18"/>
  <c r="N13" i="3"/>
  <c r="BV13" i="18"/>
  <c r="O13" i="3"/>
  <c r="BW13" i="18"/>
  <c r="P13" i="3"/>
  <c r="BX13" i="18"/>
  <c r="Q13" i="3"/>
  <c r="BY13" i="18"/>
  <c r="R13" i="3"/>
  <c r="BZ13" i="18"/>
  <c r="S13" i="3"/>
  <c r="CA13" i="18"/>
  <c r="T13" i="3"/>
  <c r="CB13" i="18"/>
  <c r="U13" i="3"/>
  <c r="CC13" i="18"/>
  <c r="V13" i="3"/>
  <c r="CD13" i="18"/>
  <c r="W13" i="3"/>
  <c r="CE13" i="18"/>
  <c r="X13" i="3"/>
  <c r="CF13" i="18"/>
  <c r="Y13" i="3"/>
  <c r="CG13" i="18"/>
  <c r="Z13" i="3"/>
  <c r="CH13" i="18"/>
  <c r="AA13" i="3"/>
  <c r="CI13" i="18"/>
  <c r="AB13" i="3"/>
  <c r="CJ13" i="18"/>
  <c r="AC13" i="3"/>
  <c r="CK13" i="18"/>
  <c r="AD13" i="3"/>
  <c r="CL13" i="18"/>
  <c r="AE13" i="3"/>
  <c r="CM13" i="18"/>
  <c r="AF13" i="3"/>
  <c r="CN13" i="18"/>
  <c r="AG13" i="3"/>
  <c r="CO13" i="18"/>
  <c r="AH13" i="3"/>
  <c r="CP13" i="18"/>
  <c r="AI13" i="3"/>
  <c r="CQ13" i="18"/>
  <c r="AJ13" i="3"/>
  <c r="BM13" i="18"/>
  <c r="F13" i="3"/>
  <c r="AK13" i="3"/>
  <c r="CS13" i="18"/>
  <c r="G13" i="4"/>
  <c r="CT13" i="18"/>
  <c r="H13" i="4"/>
  <c r="CU13" i="18"/>
  <c r="I13" i="4"/>
  <c r="CV13" i="18"/>
  <c r="J13" i="4"/>
  <c r="CW13" i="18"/>
  <c r="K13" i="4"/>
  <c r="CX13" i="18"/>
  <c r="L13" i="4"/>
  <c r="CY13" i="18"/>
  <c r="M13" i="4"/>
  <c r="CZ13" i="18"/>
  <c r="N13" i="4"/>
  <c r="DA13" i="18"/>
  <c r="O13" i="4"/>
  <c r="DB13" i="18"/>
  <c r="P13" i="4"/>
  <c r="DC13" i="18"/>
  <c r="Q13" i="4"/>
  <c r="DD13" i="18"/>
  <c r="R13" i="4"/>
  <c r="DE13" i="18"/>
  <c r="S13" i="4"/>
  <c r="DF13" i="18"/>
  <c r="T13" i="4"/>
  <c r="DG13" i="18"/>
  <c r="U13" i="4"/>
  <c r="DH13" i="18"/>
  <c r="V13" i="4"/>
  <c r="DI13" i="18"/>
  <c r="W13" i="4"/>
  <c r="DJ13" i="18"/>
  <c r="X13" i="4"/>
  <c r="DK13" i="18"/>
  <c r="Y13" i="4"/>
  <c r="DL13" i="18"/>
  <c r="Z13" i="4"/>
  <c r="DM13" i="18"/>
  <c r="AA13" i="4"/>
  <c r="DN13" i="18"/>
  <c r="AB13" i="4"/>
  <c r="DO13" i="18"/>
  <c r="AC13" i="4"/>
  <c r="DP13" i="18"/>
  <c r="AD13" i="4"/>
  <c r="DQ13" i="18"/>
  <c r="AE13" i="4"/>
  <c r="DR13" i="18"/>
  <c r="AF13" i="4"/>
  <c r="DS13" i="18"/>
  <c r="AG13" i="4"/>
  <c r="DT13" i="18"/>
  <c r="AH13" i="4"/>
  <c r="DU13" i="18"/>
  <c r="AI13" i="4"/>
  <c r="CR13" i="18"/>
  <c r="F13" i="4"/>
  <c r="AK13" i="4"/>
  <c r="DW13" i="18"/>
  <c r="G13" i="5"/>
  <c r="DX13" i="18"/>
  <c r="H13" i="5"/>
  <c r="DY13" i="18"/>
  <c r="I13" i="5"/>
  <c r="DZ13" i="18"/>
  <c r="J13" i="5"/>
  <c r="EA13" i="18"/>
  <c r="K13" i="5"/>
  <c r="EB13" i="18"/>
  <c r="L13" i="5"/>
  <c r="EC13" i="18"/>
  <c r="M13" i="5"/>
  <c r="ED13" i="18"/>
  <c r="N13" i="5"/>
  <c r="EE13" i="18"/>
  <c r="O13" i="5"/>
  <c r="EF13" i="18"/>
  <c r="P13" i="5"/>
  <c r="EG13" i="18"/>
  <c r="Q13" i="5"/>
  <c r="EH13" i="18"/>
  <c r="R13" i="5"/>
  <c r="EI13" i="18"/>
  <c r="S13" i="5"/>
  <c r="EJ13" i="18"/>
  <c r="T13" i="5"/>
  <c r="EK13" i="18"/>
  <c r="U13" i="5"/>
  <c r="EL13" i="18"/>
  <c r="V13" i="5"/>
  <c r="EM13" i="18"/>
  <c r="W13" i="5"/>
  <c r="EN13" i="18"/>
  <c r="X13" i="5"/>
  <c r="EO13" i="18"/>
  <c r="Y13" i="5"/>
  <c r="EP13" i="18"/>
  <c r="Z13" i="5"/>
  <c r="EQ13" i="18"/>
  <c r="AA13" i="5"/>
  <c r="ER13" i="18"/>
  <c r="AB13" i="5"/>
  <c r="ES13" i="18"/>
  <c r="AC13" i="5"/>
  <c r="ET13" i="18"/>
  <c r="AD13" i="5"/>
  <c r="EU13" i="18"/>
  <c r="AE13" i="5"/>
  <c r="EV13" i="18"/>
  <c r="AF13" i="5"/>
  <c r="EW13" i="18"/>
  <c r="AG13" i="5"/>
  <c r="EX13" i="18"/>
  <c r="AH13" i="5"/>
  <c r="EY13" i="18"/>
  <c r="AI13" i="5"/>
  <c r="EZ13" i="18"/>
  <c r="AJ13" i="5"/>
  <c r="DV13" i="18"/>
  <c r="F13" i="5"/>
  <c r="AK13" i="5"/>
  <c r="FB13" i="18"/>
  <c r="G13" i="6"/>
  <c r="FC13" i="18"/>
  <c r="H13" i="6"/>
  <c r="FD13" i="18"/>
  <c r="I13" i="6"/>
  <c r="FE13" i="18"/>
  <c r="J13" i="6"/>
  <c r="FF13" i="18"/>
  <c r="K13" i="6"/>
  <c r="FG13" i="18"/>
  <c r="L13" i="6"/>
  <c r="FH13" i="18"/>
  <c r="M13" i="6"/>
  <c r="FI13" i="18"/>
  <c r="N13" i="6"/>
  <c r="FJ13" i="18"/>
  <c r="O13" i="6"/>
  <c r="FK13" i="18"/>
  <c r="P13" i="6"/>
  <c r="FL13" i="18"/>
  <c r="Q13" i="6"/>
  <c r="FM13" i="18"/>
  <c r="R13" i="6"/>
  <c r="FN13" i="18"/>
  <c r="S13" i="6"/>
  <c r="FO13" i="18"/>
  <c r="T13" i="6"/>
  <c r="FP13" i="18"/>
  <c r="U13" i="6"/>
  <c r="FQ13" i="18"/>
  <c r="V13" i="6"/>
  <c r="FR13" i="18"/>
  <c r="W13" i="6"/>
  <c r="FS13" i="18"/>
  <c r="X13" i="6"/>
  <c r="FT13" i="18"/>
  <c r="Y13" i="6"/>
  <c r="FU13" i="18"/>
  <c r="Z13" i="6"/>
  <c r="FV13" i="18"/>
  <c r="AA13" i="6"/>
  <c r="FW13" i="18"/>
  <c r="AB13" i="6"/>
  <c r="FX13" i="18"/>
  <c r="AC13" i="6"/>
  <c r="FY13" i="18"/>
  <c r="AD13" i="6"/>
  <c r="FZ13" i="18"/>
  <c r="AE13" i="6"/>
  <c r="GA13" i="18"/>
  <c r="AF13" i="6"/>
  <c r="GB13" i="18"/>
  <c r="AG13" i="6"/>
  <c r="GC13" i="18"/>
  <c r="AH13" i="6"/>
  <c r="GD13" i="18"/>
  <c r="AI13" i="6"/>
  <c r="FA13" i="18"/>
  <c r="F13" i="6"/>
  <c r="AK13" i="6"/>
  <c r="GF13" i="18"/>
  <c r="G13" i="7"/>
  <c r="GG13" i="18"/>
  <c r="H13" i="7"/>
  <c r="GH13" i="18"/>
  <c r="I13" i="7"/>
  <c r="GI13" i="18"/>
  <c r="J13" i="7"/>
  <c r="GJ13" i="18"/>
  <c r="K13" i="7"/>
  <c r="GK13" i="18"/>
  <c r="L13" i="7"/>
  <c r="GL13" i="18"/>
  <c r="M13" i="7"/>
  <c r="GM13" i="18"/>
  <c r="N13" i="7"/>
  <c r="GN13" i="18"/>
  <c r="O13" i="7"/>
  <c r="GO13" i="18"/>
  <c r="P13" i="7"/>
  <c r="GP13" i="18"/>
  <c r="Q13" i="7"/>
  <c r="GQ13" i="18"/>
  <c r="R13" i="7"/>
  <c r="GR13" i="18"/>
  <c r="S13" i="7"/>
  <c r="GS13" i="18"/>
  <c r="T13" i="7"/>
  <c r="GT13" i="18"/>
  <c r="U13" i="7"/>
  <c r="GU13" i="18"/>
  <c r="V13" i="7"/>
  <c r="GV13" i="18"/>
  <c r="W13" i="7"/>
  <c r="GW13" i="18"/>
  <c r="X13" i="7"/>
  <c r="GX13" i="18"/>
  <c r="Y13" i="7"/>
  <c r="GY13" i="18"/>
  <c r="Z13" i="7"/>
  <c r="GZ13" i="18"/>
  <c r="AA13" i="7"/>
  <c r="HA13" i="18"/>
  <c r="AB13" i="7"/>
  <c r="HB13" i="18"/>
  <c r="AC13" i="7"/>
  <c r="HC13" i="18"/>
  <c r="AD13" i="7"/>
  <c r="HD13" i="18"/>
  <c r="AE13" i="7"/>
  <c r="HE13" i="18"/>
  <c r="AF13" i="7"/>
  <c r="HF13" i="18"/>
  <c r="AG13" i="7"/>
  <c r="HG13" i="18"/>
  <c r="AH13" i="7"/>
  <c r="HH13" i="18"/>
  <c r="AI13" i="7"/>
  <c r="HI13" i="18"/>
  <c r="AJ13" i="7"/>
  <c r="GE13" i="18"/>
  <c r="F13" i="7"/>
  <c r="AK13" i="7"/>
  <c r="HK13" i="18"/>
  <c r="G13" i="8"/>
  <c r="HL13" i="18"/>
  <c r="H13" i="8"/>
  <c r="HM13" i="18"/>
  <c r="I13" i="8"/>
  <c r="HN13" i="18"/>
  <c r="J13" i="8"/>
  <c r="HO13" i="18"/>
  <c r="K13" i="8"/>
  <c r="HP13" i="18"/>
  <c r="L13" i="8"/>
  <c r="HQ13" i="18"/>
  <c r="M13" i="8"/>
  <c r="HR13" i="18"/>
  <c r="N13" i="8"/>
  <c r="HS13" i="18"/>
  <c r="O13" i="8"/>
  <c r="HT13" i="18"/>
  <c r="P13" i="8"/>
  <c r="HU13" i="18"/>
  <c r="Q13" i="8"/>
  <c r="HV13" i="18"/>
  <c r="R13" i="8"/>
  <c r="HW13" i="18"/>
  <c r="S13" i="8"/>
  <c r="HX13" i="18"/>
  <c r="T13" i="8"/>
  <c r="HY13" i="18"/>
  <c r="U13" i="8"/>
  <c r="HZ13" i="18"/>
  <c r="V13" i="8"/>
  <c r="IA13" i="18"/>
  <c r="W13" i="8"/>
  <c r="IB13" i="18"/>
  <c r="X13" i="8"/>
  <c r="IC13" i="18"/>
  <c r="Y13" i="8"/>
  <c r="ID13" i="18"/>
  <c r="Z13" i="8"/>
  <c r="IE13" i="18"/>
  <c r="AA13" i="8"/>
  <c r="IF13" i="18"/>
  <c r="AB13" i="8"/>
  <c r="IG13" i="18"/>
  <c r="AC13" i="8"/>
  <c r="IH13" i="18"/>
  <c r="AD13" i="8"/>
  <c r="II13" i="18"/>
  <c r="AE13" i="8"/>
  <c r="IJ13" i="18"/>
  <c r="AF13" i="8"/>
  <c r="IK13" i="18"/>
  <c r="AG13" i="8"/>
  <c r="IL13" i="18"/>
  <c r="AH13" i="8"/>
  <c r="IM13" i="18"/>
  <c r="AI13" i="8"/>
  <c r="IN13" i="18"/>
  <c r="AJ13" i="8"/>
  <c r="HJ13" i="18"/>
  <c r="F13" i="8"/>
  <c r="AK13" i="8"/>
  <c r="IP13" i="18"/>
  <c r="G13" i="9"/>
  <c r="IQ13" i="18"/>
  <c r="H13" i="9"/>
  <c r="IR13" i="18"/>
  <c r="I13" i="9"/>
  <c r="IS13" i="18"/>
  <c r="J13" i="9"/>
  <c r="IT13" i="18"/>
  <c r="K13" i="9"/>
  <c r="IU13" i="18"/>
  <c r="L13" i="9"/>
  <c r="IV13" i="18"/>
  <c r="M13" i="9"/>
  <c r="IW13" i="18"/>
  <c r="N13" i="9"/>
  <c r="IX13" i="18"/>
  <c r="O13" i="9"/>
  <c r="IY13" i="18"/>
  <c r="P13" i="9"/>
  <c r="IZ13" i="18"/>
  <c r="Q13" i="9"/>
  <c r="JA13" i="18"/>
  <c r="R13" i="9"/>
  <c r="JB13" i="18"/>
  <c r="S13" i="9"/>
  <c r="JC13" i="18"/>
  <c r="T13" i="9"/>
  <c r="JD13" i="18"/>
  <c r="U13" i="9"/>
  <c r="JE13" i="18"/>
  <c r="V13" i="9"/>
  <c r="JF13" i="18"/>
  <c r="W13" i="9"/>
  <c r="JG13" i="18"/>
  <c r="X13" i="9"/>
  <c r="JH13" i="18"/>
  <c r="Y13" i="9"/>
  <c r="JI13" i="18"/>
  <c r="Z13" i="9"/>
  <c r="JJ13" i="18"/>
  <c r="AA13" i="9"/>
  <c r="JK13" i="18"/>
  <c r="AB13" i="9"/>
  <c r="JL13" i="18"/>
  <c r="AC13" i="9"/>
  <c r="JM13" i="18"/>
  <c r="AD13" i="9"/>
  <c r="JN13" i="18"/>
  <c r="AE13" i="9"/>
  <c r="JO13" i="18"/>
  <c r="AF13" i="9"/>
  <c r="JP13" i="18"/>
  <c r="AG13" i="9"/>
  <c r="JQ13" i="18"/>
  <c r="AH13" i="9"/>
  <c r="JR13" i="18"/>
  <c r="AI13" i="9"/>
  <c r="IO13" i="18"/>
  <c r="F13" i="9"/>
  <c r="AK13" i="9"/>
  <c r="JT13" i="18"/>
  <c r="G13" i="10"/>
  <c r="JU13" i="18"/>
  <c r="H13" i="10"/>
  <c r="JV13" i="18"/>
  <c r="I13" i="10"/>
  <c r="JW13" i="18"/>
  <c r="J13" i="10"/>
  <c r="JX13" i="18"/>
  <c r="K13" i="10"/>
  <c r="JY13" i="18"/>
  <c r="L13" i="10"/>
  <c r="JZ13" i="18"/>
  <c r="M13" i="10"/>
  <c r="KA13" i="18"/>
  <c r="N13" i="10"/>
  <c r="KB13" i="18"/>
  <c r="O13" i="10"/>
  <c r="KC13" i="18"/>
  <c r="P13" i="10"/>
  <c r="KD13" i="18"/>
  <c r="Q13" i="10"/>
  <c r="KE13" i="18"/>
  <c r="R13" i="10"/>
  <c r="KF13" i="18"/>
  <c r="S13" i="10"/>
  <c r="KG13" i="18"/>
  <c r="T13" i="10"/>
  <c r="KH13" i="18"/>
  <c r="U13" i="10"/>
  <c r="KI13" i="18"/>
  <c r="V13" i="10"/>
  <c r="KJ13" i="18"/>
  <c r="W13" i="10"/>
  <c r="KK13" i="18"/>
  <c r="X13" i="10"/>
  <c r="KL13" i="18"/>
  <c r="Y13" i="10"/>
  <c r="KM13" i="18"/>
  <c r="Z13" i="10"/>
  <c r="KN13" i="18"/>
  <c r="AA13" i="10"/>
  <c r="KO13" i="18"/>
  <c r="AB13" i="10"/>
  <c r="KP13" i="18"/>
  <c r="AC13" i="10"/>
  <c r="KQ13" i="18"/>
  <c r="AD13" i="10"/>
  <c r="KR13" i="18"/>
  <c r="AE13" i="10"/>
  <c r="KS13" i="18"/>
  <c r="AF13" i="10"/>
  <c r="KT13" i="18"/>
  <c r="AG13" i="10"/>
  <c r="KU13" i="18"/>
  <c r="AH13" i="10"/>
  <c r="KV13" i="18"/>
  <c r="AI13" i="10"/>
  <c r="KW13" i="18"/>
  <c r="AJ13" i="10"/>
  <c r="JS13" i="18"/>
  <c r="F13" i="10"/>
  <c r="AK13" i="10"/>
  <c r="KY13" i="18"/>
  <c r="G13" i="11"/>
  <c r="KZ13" i="18"/>
  <c r="H13" i="11"/>
  <c r="LA13" i="18"/>
  <c r="I13" i="11"/>
  <c r="LB13" i="18"/>
  <c r="J13" i="11"/>
  <c r="LC13" i="18"/>
  <c r="K13" i="11"/>
  <c r="LD13" i="18"/>
  <c r="L13" i="11"/>
  <c r="LE13" i="18"/>
  <c r="M13" i="11"/>
  <c r="LF13" i="18"/>
  <c r="N13" i="11"/>
  <c r="LG13" i="18"/>
  <c r="O13" i="11"/>
  <c r="LH13" i="18"/>
  <c r="P13" i="11"/>
  <c r="LI13" i="18"/>
  <c r="Q13" i="11"/>
  <c r="LJ13" i="18"/>
  <c r="R13" i="11"/>
  <c r="LK13" i="18"/>
  <c r="S13" i="11"/>
  <c r="LL13" i="18"/>
  <c r="T13" i="11"/>
  <c r="LM13" i="18"/>
  <c r="U13" i="11"/>
  <c r="LN13" i="18"/>
  <c r="V13" i="11"/>
  <c r="LO13" i="18"/>
  <c r="W13" i="11"/>
  <c r="LP13" i="18"/>
  <c r="X13" i="11"/>
  <c r="LQ13" i="18"/>
  <c r="Y13" i="11"/>
  <c r="LR13" i="18"/>
  <c r="Z13" i="11"/>
  <c r="LS13" i="18"/>
  <c r="AA13" i="11"/>
  <c r="LT13" i="18"/>
  <c r="AB13" i="11"/>
  <c r="LU13" i="18"/>
  <c r="AC13" i="11"/>
  <c r="LV13" i="18"/>
  <c r="AD13" i="11"/>
  <c r="LW13" i="18"/>
  <c r="AE13" i="11"/>
  <c r="LX13" i="18"/>
  <c r="AF13" i="11"/>
  <c r="LY13" i="18"/>
  <c r="AG13" i="11"/>
  <c r="LZ13" i="18"/>
  <c r="AH13" i="11"/>
  <c r="MA13" i="18"/>
  <c r="AI13" i="11"/>
  <c r="KX13" i="18"/>
  <c r="F13" i="11"/>
  <c r="AK13" i="11"/>
  <c r="MC13" i="18"/>
  <c r="G13" i="12"/>
  <c r="MD13" i="18"/>
  <c r="H13" i="12"/>
  <c r="ME13" i="18"/>
  <c r="I13" i="12"/>
  <c r="MF13" i="18"/>
  <c r="J13" i="12"/>
  <c r="MG13" i="18"/>
  <c r="K13" i="12"/>
  <c r="MH13" i="18"/>
  <c r="L13" i="12"/>
  <c r="MI13" i="18"/>
  <c r="M13" i="12"/>
  <c r="MJ13" i="18"/>
  <c r="N13" i="12"/>
  <c r="MK13" i="18"/>
  <c r="O13" i="12"/>
  <c r="ML13" i="18"/>
  <c r="P13" i="12"/>
  <c r="MM13" i="18"/>
  <c r="Q13" i="12"/>
  <c r="MN13" i="18"/>
  <c r="R13" i="12"/>
  <c r="MO13" i="18"/>
  <c r="S13" i="12"/>
  <c r="MP13" i="18"/>
  <c r="T13" i="12"/>
  <c r="MQ13" i="18"/>
  <c r="U13" i="12"/>
  <c r="MR13" i="18"/>
  <c r="V13" i="12"/>
  <c r="MS13" i="18"/>
  <c r="W13" i="12"/>
  <c r="MT13" i="18"/>
  <c r="X13" i="12"/>
  <c r="MU13" i="18"/>
  <c r="Y13" i="12"/>
  <c r="MV13" i="18"/>
  <c r="Z13" i="12"/>
  <c r="MW13" i="18"/>
  <c r="AA13" i="12"/>
  <c r="MX13" i="18"/>
  <c r="AB13" i="12"/>
  <c r="MY13" i="18"/>
  <c r="AC13" i="12"/>
  <c r="MZ13" i="18"/>
  <c r="AD13" i="12"/>
  <c r="NA13" i="18"/>
  <c r="AE13" i="12"/>
  <c r="NB13" i="18"/>
  <c r="AF13" i="12"/>
  <c r="NC13" i="18"/>
  <c r="AG13" i="12"/>
  <c r="ND13" i="18"/>
  <c r="AH13" i="12"/>
  <c r="NE13" i="18"/>
  <c r="AI13" i="12"/>
  <c r="NF13" i="18"/>
  <c r="AJ13" i="12"/>
  <c r="MB13" i="18"/>
  <c r="F13" i="12"/>
  <c r="AK13" i="12"/>
  <c r="P9" i="13"/>
  <c r="G12" i="18"/>
  <c r="H12" i="18"/>
  <c r="I12" i="18"/>
  <c r="J12" i="18"/>
  <c r="K12" i="18"/>
  <c r="L12" i="18"/>
  <c r="M12" i="18"/>
  <c r="N12" i="18"/>
  <c r="O12" i="18"/>
  <c r="P12" i="18"/>
  <c r="Q12" i="18"/>
  <c r="R12" i="18"/>
  <c r="S12" i="18"/>
  <c r="T12" i="18"/>
  <c r="U12" i="18"/>
  <c r="V12" i="18"/>
  <c r="W12" i="18"/>
  <c r="X12" i="18"/>
  <c r="Y12" i="18"/>
  <c r="Z12" i="18"/>
  <c r="AA12" i="18"/>
  <c r="AB12" i="18"/>
  <c r="AC12" i="18"/>
  <c r="AD12" i="18"/>
  <c r="AE12" i="18"/>
  <c r="AF12" i="18"/>
  <c r="AG12" i="18"/>
  <c r="AH12" i="18"/>
  <c r="AI12" i="18"/>
  <c r="AJ12" i="18"/>
  <c r="F12" i="18"/>
  <c r="AL12" i="18"/>
  <c r="G12" i="2"/>
  <c r="AM12" i="18"/>
  <c r="H12" i="2"/>
  <c r="AN12" i="18"/>
  <c r="I12" i="2"/>
  <c r="AO12" i="18"/>
  <c r="J12" i="2"/>
  <c r="AP12" i="18"/>
  <c r="K12" i="2"/>
  <c r="AQ12" i="18"/>
  <c r="L12" i="2"/>
  <c r="AR12" i="18"/>
  <c r="M12" i="2"/>
  <c r="AS12" i="18"/>
  <c r="N12" i="2"/>
  <c r="AT12" i="18"/>
  <c r="O12" i="2"/>
  <c r="AU12" i="18"/>
  <c r="P12" i="2"/>
  <c r="AV12" i="18"/>
  <c r="Q12" i="2"/>
  <c r="AW12" i="18"/>
  <c r="R12" i="2"/>
  <c r="AX12" i="18"/>
  <c r="S12" i="2"/>
  <c r="AY12" i="18"/>
  <c r="T12" i="2"/>
  <c r="AZ12" i="18"/>
  <c r="U12" i="2"/>
  <c r="BA12" i="18"/>
  <c r="V12" i="2"/>
  <c r="BB12" i="18"/>
  <c r="W12" i="2"/>
  <c r="BC12" i="18"/>
  <c r="X12" i="2"/>
  <c r="BD12" i="18"/>
  <c r="Y12" i="2"/>
  <c r="BE12" i="18"/>
  <c r="Z12" i="2"/>
  <c r="BF12" i="18"/>
  <c r="AA12" i="2"/>
  <c r="BG12" i="18"/>
  <c r="AB12" i="2"/>
  <c r="BH12" i="18"/>
  <c r="AC12" i="2"/>
  <c r="BI12" i="18"/>
  <c r="AD12" i="2"/>
  <c r="BJ12" i="18"/>
  <c r="AE12" i="2"/>
  <c r="BK12" i="18"/>
  <c r="AF12" i="2"/>
  <c r="BL12" i="18"/>
  <c r="AG12" i="2"/>
  <c r="AI12" i="2"/>
  <c r="AK12" i="18"/>
  <c r="F12" i="2"/>
  <c r="AJ12" i="2"/>
  <c r="BN12" i="18"/>
  <c r="G12" i="3"/>
  <c r="BO12" i="18"/>
  <c r="H12" i="3"/>
  <c r="BP12" i="18"/>
  <c r="I12" i="3"/>
  <c r="BQ12" i="18"/>
  <c r="J12" i="3"/>
  <c r="BR12" i="18"/>
  <c r="K12" i="3"/>
  <c r="BS12" i="18"/>
  <c r="L12" i="3"/>
  <c r="BT12" i="18"/>
  <c r="M12" i="3"/>
  <c r="BU12" i="18"/>
  <c r="N12" i="3"/>
  <c r="BV12" i="18"/>
  <c r="O12" i="3"/>
  <c r="BW12" i="18"/>
  <c r="P12" i="3"/>
  <c r="BX12" i="18"/>
  <c r="Q12" i="3"/>
  <c r="BY12" i="18"/>
  <c r="R12" i="3"/>
  <c r="BZ12" i="18"/>
  <c r="S12" i="3"/>
  <c r="CA12" i="18"/>
  <c r="T12" i="3"/>
  <c r="CB12" i="18"/>
  <c r="U12" i="3"/>
  <c r="CC12" i="18"/>
  <c r="V12" i="3"/>
  <c r="CD12" i="18"/>
  <c r="W12" i="3"/>
  <c r="CE12" i="18"/>
  <c r="X12" i="3"/>
  <c r="CF12" i="18"/>
  <c r="Y12" i="3"/>
  <c r="CG12" i="18"/>
  <c r="Z12" i="3"/>
  <c r="CH12" i="18"/>
  <c r="AA12" i="3"/>
  <c r="CI12" i="18"/>
  <c r="AB12" i="3"/>
  <c r="CJ12" i="18"/>
  <c r="AC12" i="3"/>
  <c r="CK12" i="18"/>
  <c r="AD12" i="3"/>
  <c r="CL12" i="18"/>
  <c r="AE12" i="3"/>
  <c r="CM12" i="18"/>
  <c r="AF12" i="3"/>
  <c r="CN12" i="18"/>
  <c r="AG12" i="3"/>
  <c r="CO12" i="18"/>
  <c r="AH12" i="3"/>
  <c r="CP12" i="18"/>
  <c r="AI12" i="3"/>
  <c r="CQ12" i="18"/>
  <c r="AJ12" i="3"/>
  <c r="BM12" i="18"/>
  <c r="F12" i="3"/>
  <c r="AK12" i="3"/>
  <c r="CS12" i="18"/>
  <c r="G12" i="4"/>
  <c r="CT12" i="18"/>
  <c r="H12" i="4"/>
  <c r="CU12" i="18"/>
  <c r="I12" i="4"/>
  <c r="CV12" i="18"/>
  <c r="J12" i="4"/>
  <c r="CW12" i="18"/>
  <c r="K12" i="4"/>
  <c r="CX12" i="18"/>
  <c r="L12" i="4"/>
  <c r="CY12" i="18"/>
  <c r="M12" i="4"/>
  <c r="CZ12" i="18"/>
  <c r="N12" i="4"/>
  <c r="DA12" i="18"/>
  <c r="O12" i="4"/>
  <c r="DB12" i="18"/>
  <c r="P12" i="4"/>
  <c r="DC12" i="18"/>
  <c r="Q12" i="4"/>
  <c r="DD12" i="18"/>
  <c r="R12" i="4"/>
  <c r="DE12" i="18"/>
  <c r="S12" i="4"/>
  <c r="DF12" i="18"/>
  <c r="T12" i="4"/>
  <c r="DG12" i="18"/>
  <c r="U12" i="4"/>
  <c r="DH12" i="18"/>
  <c r="V12" i="4"/>
  <c r="DI12" i="18"/>
  <c r="W12" i="4"/>
  <c r="DJ12" i="18"/>
  <c r="X12" i="4"/>
  <c r="DK12" i="18"/>
  <c r="Y12" i="4"/>
  <c r="DL12" i="18"/>
  <c r="Z12" i="4"/>
  <c r="DM12" i="18"/>
  <c r="AA12" i="4"/>
  <c r="DN12" i="18"/>
  <c r="AB12" i="4"/>
  <c r="DO12" i="18"/>
  <c r="AC12" i="4"/>
  <c r="DP12" i="18"/>
  <c r="AD12" i="4"/>
  <c r="DQ12" i="18"/>
  <c r="AE12" i="4"/>
  <c r="DR12" i="18"/>
  <c r="AF12" i="4"/>
  <c r="DS12" i="18"/>
  <c r="AG12" i="4"/>
  <c r="DT12" i="18"/>
  <c r="AH12" i="4"/>
  <c r="DU12" i="18"/>
  <c r="AI12" i="4"/>
  <c r="CR12" i="18"/>
  <c r="F12" i="4"/>
  <c r="AK12" i="4"/>
  <c r="DW12" i="18"/>
  <c r="G12" i="5"/>
  <c r="DX12" i="18"/>
  <c r="H12" i="5"/>
  <c r="DY12" i="18"/>
  <c r="I12" i="5"/>
  <c r="DZ12" i="18"/>
  <c r="J12" i="5"/>
  <c r="EA12" i="18"/>
  <c r="K12" i="5"/>
  <c r="EB12" i="18"/>
  <c r="L12" i="5"/>
  <c r="EC12" i="18"/>
  <c r="M12" i="5"/>
  <c r="ED12" i="18"/>
  <c r="N12" i="5"/>
  <c r="EE12" i="18"/>
  <c r="O12" i="5"/>
  <c r="EF12" i="18"/>
  <c r="P12" i="5"/>
  <c r="EG12" i="18"/>
  <c r="Q12" i="5"/>
  <c r="EH12" i="18"/>
  <c r="R12" i="5"/>
  <c r="EI12" i="18"/>
  <c r="S12" i="5"/>
  <c r="EJ12" i="18"/>
  <c r="T12" i="5"/>
  <c r="EK12" i="18"/>
  <c r="U12" i="5"/>
  <c r="EL12" i="18"/>
  <c r="V12" i="5"/>
  <c r="EM12" i="18"/>
  <c r="W12" i="5"/>
  <c r="EN12" i="18"/>
  <c r="X12" i="5"/>
  <c r="EO12" i="18"/>
  <c r="Y12" i="5"/>
  <c r="EP12" i="18"/>
  <c r="Z12" i="5"/>
  <c r="EQ12" i="18"/>
  <c r="AA12" i="5"/>
  <c r="ER12" i="18"/>
  <c r="AB12" i="5"/>
  <c r="ES12" i="18"/>
  <c r="AC12" i="5"/>
  <c r="ET12" i="18"/>
  <c r="AD12" i="5"/>
  <c r="EU12" i="18"/>
  <c r="AE12" i="5"/>
  <c r="EV12" i="18"/>
  <c r="AF12" i="5"/>
  <c r="EW12" i="18"/>
  <c r="AG12" i="5"/>
  <c r="EX12" i="18"/>
  <c r="AH12" i="5"/>
  <c r="EY12" i="18"/>
  <c r="AI12" i="5"/>
  <c r="EZ12" i="18"/>
  <c r="AJ12" i="5"/>
  <c r="DV12" i="18"/>
  <c r="F12" i="5"/>
  <c r="AK12" i="5"/>
  <c r="FB12" i="18"/>
  <c r="G12" i="6"/>
  <c r="FC12" i="18"/>
  <c r="H12" i="6"/>
  <c r="FD12" i="18"/>
  <c r="I12" i="6"/>
  <c r="FE12" i="18"/>
  <c r="J12" i="6"/>
  <c r="FF12" i="18"/>
  <c r="K12" i="6"/>
  <c r="FG12" i="18"/>
  <c r="L12" i="6"/>
  <c r="FH12" i="18"/>
  <c r="M12" i="6"/>
  <c r="FI12" i="18"/>
  <c r="N12" i="6"/>
  <c r="FJ12" i="18"/>
  <c r="O12" i="6"/>
  <c r="FK12" i="18"/>
  <c r="P12" i="6"/>
  <c r="FL12" i="18"/>
  <c r="Q12" i="6"/>
  <c r="FM12" i="18"/>
  <c r="R12" i="6"/>
  <c r="FN12" i="18"/>
  <c r="S12" i="6"/>
  <c r="FO12" i="18"/>
  <c r="T12" i="6"/>
  <c r="FP12" i="18"/>
  <c r="U12" i="6"/>
  <c r="FQ12" i="18"/>
  <c r="V12" i="6"/>
  <c r="FR12" i="18"/>
  <c r="W12" i="6"/>
  <c r="FS12" i="18"/>
  <c r="X12" i="6"/>
  <c r="FT12" i="18"/>
  <c r="Y12" i="6"/>
  <c r="FU12" i="18"/>
  <c r="Z12" i="6"/>
  <c r="FV12" i="18"/>
  <c r="AA12" i="6"/>
  <c r="FW12" i="18"/>
  <c r="AB12" i="6"/>
  <c r="FX12" i="18"/>
  <c r="AC12" i="6"/>
  <c r="FY12" i="18"/>
  <c r="AD12" i="6"/>
  <c r="FZ12" i="18"/>
  <c r="AE12" i="6"/>
  <c r="GA12" i="18"/>
  <c r="AF12" i="6"/>
  <c r="GB12" i="18"/>
  <c r="AG12" i="6"/>
  <c r="GC12" i="18"/>
  <c r="AH12" i="6"/>
  <c r="GD12" i="18"/>
  <c r="AI12" i="6"/>
  <c r="FA12" i="18"/>
  <c r="F12" i="6"/>
  <c r="AK12" i="6"/>
  <c r="GF12" i="18"/>
  <c r="G12" i="7"/>
  <c r="GG12" i="18"/>
  <c r="H12" i="7"/>
  <c r="GH12" i="18"/>
  <c r="I12" i="7"/>
  <c r="GI12" i="18"/>
  <c r="J12" i="7"/>
  <c r="GJ12" i="18"/>
  <c r="K12" i="7"/>
  <c r="GK12" i="18"/>
  <c r="L12" i="7"/>
  <c r="GL12" i="18"/>
  <c r="M12" i="7"/>
  <c r="GM12" i="18"/>
  <c r="N12" i="7"/>
  <c r="GN12" i="18"/>
  <c r="O12" i="7"/>
  <c r="GO12" i="18"/>
  <c r="P12" i="7"/>
  <c r="GP12" i="18"/>
  <c r="Q12" i="7"/>
  <c r="GQ12" i="18"/>
  <c r="R12" i="7"/>
  <c r="GR12" i="18"/>
  <c r="S12" i="7"/>
  <c r="GS12" i="18"/>
  <c r="T12" i="7"/>
  <c r="GT12" i="18"/>
  <c r="U12" i="7"/>
  <c r="GU12" i="18"/>
  <c r="V12" i="7"/>
  <c r="GV12" i="18"/>
  <c r="W12" i="7"/>
  <c r="GW12" i="18"/>
  <c r="X12" i="7"/>
  <c r="GX12" i="18"/>
  <c r="Y12" i="7"/>
  <c r="GY12" i="18"/>
  <c r="Z12" i="7"/>
  <c r="GZ12" i="18"/>
  <c r="AA12" i="7"/>
  <c r="HA12" i="18"/>
  <c r="AB12" i="7"/>
  <c r="HB12" i="18"/>
  <c r="AC12" i="7"/>
  <c r="HC12" i="18"/>
  <c r="AD12" i="7"/>
  <c r="HD12" i="18"/>
  <c r="AE12" i="7"/>
  <c r="HE12" i="18"/>
  <c r="AF12" i="7"/>
  <c r="HF12" i="18"/>
  <c r="AG12" i="7"/>
  <c r="HG12" i="18"/>
  <c r="AH12" i="7"/>
  <c r="HH12" i="18"/>
  <c r="AI12" i="7"/>
  <c r="HI12" i="18"/>
  <c r="AJ12" i="7"/>
  <c r="GE12" i="18"/>
  <c r="F12" i="7"/>
  <c r="AK12" i="7"/>
  <c r="HK12" i="18"/>
  <c r="G12" i="8"/>
  <c r="HL12" i="18"/>
  <c r="H12" i="8"/>
  <c r="HM12" i="18"/>
  <c r="I12" i="8"/>
  <c r="HN12" i="18"/>
  <c r="J12" i="8"/>
  <c r="HO12" i="18"/>
  <c r="K12" i="8"/>
  <c r="HP12" i="18"/>
  <c r="L12" i="8"/>
  <c r="HQ12" i="18"/>
  <c r="M12" i="8"/>
  <c r="HR12" i="18"/>
  <c r="N12" i="8"/>
  <c r="HS12" i="18"/>
  <c r="O12" i="8"/>
  <c r="HT12" i="18"/>
  <c r="P12" i="8"/>
  <c r="HU12" i="18"/>
  <c r="Q12" i="8"/>
  <c r="HV12" i="18"/>
  <c r="R12" i="8"/>
  <c r="HW12" i="18"/>
  <c r="S12" i="8"/>
  <c r="HX12" i="18"/>
  <c r="T12" i="8"/>
  <c r="HY12" i="18"/>
  <c r="U12" i="8"/>
  <c r="HZ12" i="18"/>
  <c r="V12" i="8"/>
  <c r="IA12" i="18"/>
  <c r="W12" i="8"/>
  <c r="IB12" i="18"/>
  <c r="X12" i="8"/>
  <c r="IC12" i="18"/>
  <c r="Y12" i="8"/>
  <c r="ID12" i="18"/>
  <c r="Z12" i="8"/>
  <c r="IE12" i="18"/>
  <c r="AA12" i="8"/>
  <c r="IF12" i="18"/>
  <c r="AB12" i="8"/>
  <c r="IG12" i="18"/>
  <c r="AC12" i="8"/>
  <c r="IH12" i="18"/>
  <c r="AD12" i="8"/>
  <c r="II12" i="18"/>
  <c r="AE12" i="8"/>
  <c r="IJ12" i="18"/>
  <c r="AF12" i="8"/>
  <c r="IK12" i="18"/>
  <c r="AG12" i="8"/>
  <c r="IL12" i="18"/>
  <c r="AH12" i="8"/>
  <c r="IM12" i="18"/>
  <c r="AI12" i="8"/>
  <c r="IN12" i="18"/>
  <c r="AJ12" i="8"/>
  <c r="HJ12" i="18"/>
  <c r="F12" i="8"/>
  <c r="AK12" i="8"/>
  <c r="IP12" i="18"/>
  <c r="G12" i="9"/>
  <c r="IQ12" i="18"/>
  <c r="H12" i="9"/>
  <c r="IR12" i="18"/>
  <c r="I12" i="9"/>
  <c r="IS12" i="18"/>
  <c r="J12" i="9"/>
  <c r="IT12" i="18"/>
  <c r="K12" i="9"/>
  <c r="IU12" i="18"/>
  <c r="L12" i="9"/>
  <c r="IV12" i="18"/>
  <c r="M12" i="9"/>
  <c r="IW12" i="18"/>
  <c r="N12" i="9"/>
  <c r="IX12" i="18"/>
  <c r="O12" i="9"/>
  <c r="IY12" i="18"/>
  <c r="P12" i="9"/>
  <c r="IZ12" i="18"/>
  <c r="Q12" i="9"/>
  <c r="JA12" i="18"/>
  <c r="R12" i="9"/>
  <c r="JB12" i="18"/>
  <c r="S12" i="9"/>
  <c r="JC12" i="18"/>
  <c r="T12" i="9"/>
  <c r="JD12" i="18"/>
  <c r="U12" i="9"/>
  <c r="JE12" i="18"/>
  <c r="V12" i="9"/>
  <c r="JF12" i="18"/>
  <c r="W12" i="9"/>
  <c r="JG12" i="18"/>
  <c r="X12" i="9"/>
  <c r="JH12" i="18"/>
  <c r="Y12" i="9"/>
  <c r="JI12" i="18"/>
  <c r="Z12" i="9"/>
  <c r="JJ12" i="18"/>
  <c r="AA12" i="9"/>
  <c r="JK12" i="18"/>
  <c r="AB12" i="9"/>
  <c r="JL12" i="18"/>
  <c r="AC12" i="9"/>
  <c r="JM12" i="18"/>
  <c r="AD12" i="9"/>
  <c r="JN12" i="18"/>
  <c r="AE12" i="9"/>
  <c r="JO12" i="18"/>
  <c r="AF12" i="9"/>
  <c r="JP12" i="18"/>
  <c r="AG12" i="9"/>
  <c r="JQ12" i="18"/>
  <c r="AH12" i="9"/>
  <c r="JR12" i="18"/>
  <c r="AI12" i="9"/>
  <c r="IO12" i="18"/>
  <c r="F12" i="9"/>
  <c r="AK12" i="9"/>
  <c r="JT12" i="18"/>
  <c r="G12" i="10"/>
  <c r="JU12" i="18"/>
  <c r="H12" i="10"/>
  <c r="JV12" i="18"/>
  <c r="I12" i="10"/>
  <c r="JW12" i="18"/>
  <c r="J12" i="10"/>
  <c r="JX12" i="18"/>
  <c r="K12" i="10"/>
  <c r="JY12" i="18"/>
  <c r="L12" i="10"/>
  <c r="JZ12" i="18"/>
  <c r="M12" i="10"/>
  <c r="KA12" i="18"/>
  <c r="N12" i="10"/>
  <c r="KB12" i="18"/>
  <c r="O12" i="10"/>
  <c r="KC12" i="18"/>
  <c r="P12" i="10"/>
  <c r="KD12" i="18"/>
  <c r="Q12" i="10"/>
  <c r="KE12" i="18"/>
  <c r="R12" i="10"/>
  <c r="KF12" i="18"/>
  <c r="S12" i="10"/>
  <c r="KG12" i="18"/>
  <c r="T12" i="10"/>
  <c r="KH12" i="18"/>
  <c r="U12" i="10"/>
  <c r="KI12" i="18"/>
  <c r="V12" i="10"/>
  <c r="KJ12" i="18"/>
  <c r="W12" i="10"/>
  <c r="KK12" i="18"/>
  <c r="X12" i="10"/>
  <c r="KL12" i="18"/>
  <c r="Y12" i="10"/>
  <c r="KM12" i="18"/>
  <c r="Z12" i="10"/>
  <c r="KN12" i="18"/>
  <c r="AA12" i="10"/>
  <c r="KO12" i="18"/>
  <c r="AB12" i="10"/>
  <c r="KP12" i="18"/>
  <c r="AC12" i="10"/>
  <c r="KQ12" i="18"/>
  <c r="AD12" i="10"/>
  <c r="KR12" i="18"/>
  <c r="AE12" i="10"/>
  <c r="KS12" i="18"/>
  <c r="AF12" i="10"/>
  <c r="KT12" i="18"/>
  <c r="AG12" i="10"/>
  <c r="KU12" i="18"/>
  <c r="AH12" i="10"/>
  <c r="KV12" i="18"/>
  <c r="AI12" i="10"/>
  <c r="KW12" i="18"/>
  <c r="AJ12" i="10"/>
  <c r="JS12" i="18"/>
  <c r="F12" i="10"/>
  <c r="AK12" i="10"/>
  <c r="KY12" i="18"/>
  <c r="G12" i="11"/>
  <c r="KZ12" i="18"/>
  <c r="H12" i="11"/>
  <c r="LA12" i="18"/>
  <c r="I12" i="11"/>
  <c r="LB12" i="18"/>
  <c r="J12" i="11"/>
  <c r="LC12" i="18"/>
  <c r="K12" i="11"/>
  <c r="LD12" i="18"/>
  <c r="L12" i="11"/>
  <c r="LE12" i="18"/>
  <c r="M12" i="11"/>
  <c r="LF12" i="18"/>
  <c r="N12" i="11"/>
  <c r="LG12" i="18"/>
  <c r="O12" i="11"/>
  <c r="LH12" i="18"/>
  <c r="P12" i="11"/>
  <c r="LI12" i="18"/>
  <c r="Q12" i="11"/>
  <c r="LJ12" i="18"/>
  <c r="R12" i="11"/>
  <c r="LK12" i="18"/>
  <c r="S12" i="11"/>
  <c r="LL12" i="18"/>
  <c r="T12" i="11"/>
  <c r="LM12" i="18"/>
  <c r="U12" i="11"/>
  <c r="LN12" i="18"/>
  <c r="V12" i="11"/>
  <c r="LO12" i="18"/>
  <c r="W12" i="11"/>
  <c r="LP12" i="18"/>
  <c r="X12" i="11"/>
  <c r="LQ12" i="18"/>
  <c r="Y12" i="11"/>
  <c r="LR12" i="18"/>
  <c r="Z12" i="11"/>
  <c r="LS12" i="18"/>
  <c r="AA12" i="11"/>
  <c r="LT12" i="18"/>
  <c r="AB12" i="11"/>
  <c r="LU12" i="18"/>
  <c r="AC12" i="11"/>
  <c r="LV12" i="18"/>
  <c r="AD12" i="11"/>
  <c r="LW12" i="18"/>
  <c r="AE12" i="11"/>
  <c r="LX12" i="18"/>
  <c r="AF12" i="11"/>
  <c r="LY12" i="18"/>
  <c r="AG12" i="11"/>
  <c r="LZ12" i="18"/>
  <c r="AH12" i="11"/>
  <c r="MA12" i="18"/>
  <c r="AI12" i="11"/>
  <c r="KX12" i="18"/>
  <c r="F12" i="11"/>
  <c r="AK12" i="11"/>
  <c r="MC12" i="18"/>
  <c r="G12" i="12"/>
  <c r="MD12" i="18"/>
  <c r="H12" i="12"/>
  <c r="ME12" i="18"/>
  <c r="I12" i="12"/>
  <c r="MF12" i="18"/>
  <c r="J12" i="12"/>
  <c r="MG12" i="18"/>
  <c r="K12" i="12"/>
  <c r="MH12" i="18"/>
  <c r="L12" i="12"/>
  <c r="MI12" i="18"/>
  <c r="M12" i="12"/>
  <c r="MJ12" i="18"/>
  <c r="N12" i="12"/>
  <c r="MK12" i="18"/>
  <c r="O12" i="12"/>
  <c r="ML12" i="18"/>
  <c r="P12" i="12"/>
  <c r="MM12" i="18"/>
  <c r="Q12" i="12"/>
  <c r="MN12" i="18"/>
  <c r="R12" i="12"/>
  <c r="MO12" i="18"/>
  <c r="S12" i="12"/>
  <c r="MP12" i="18"/>
  <c r="T12" i="12"/>
  <c r="MQ12" i="18"/>
  <c r="U12" i="12"/>
  <c r="MR12" i="18"/>
  <c r="V12" i="12"/>
  <c r="MS12" i="18"/>
  <c r="W12" i="12"/>
  <c r="MT12" i="18"/>
  <c r="X12" i="12"/>
  <c r="MU12" i="18"/>
  <c r="Y12" i="12"/>
  <c r="MV12" i="18"/>
  <c r="Z12" i="12"/>
  <c r="MW12" i="18"/>
  <c r="AA12" i="12"/>
  <c r="MX12" i="18"/>
  <c r="AB12" i="12"/>
  <c r="MY12" i="18"/>
  <c r="AC12" i="12"/>
  <c r="MZ12" i="18"/>
  <c r="AD12" i="12"/>
  <c r="NA12" i="18"/>
  <c r="AE12" i="12"/>
  <c r="NB12" i="18"/>
  <c r="AF12" i="12"/>
  <c r="NC12" i="18"/>
  <c r="AG12" i="12"/>
  <c r="ND12" i="18"/>
  <c r="AH12" i="12"/>
  <c r="NE12" i="18"/>
  <c r="AI12" i="12"/>
  <c r="NF12" i="18"/>
  <c r="AJ12" i="12"/>
  <c r="MB12" i="18"/>
  <c r="F12" i="12"/>
  <c r="AK12" i="12"/>
  <c r="P8" i="13"/>
  <c r="G11" i="18"/>
  <c r="H11" i="18"/>
  <c r="I11" i="18"/>
  <c r="J11" i="18"/>
  <c r="K11" i="18"/>
  <c r="L11" i="18"/>
  <c r="M11" i="18"/>
  <c r="N11" i="18"/>
  <c r="O11" i="18"/>
  <c r="P11" i="18"/>
  <c r="Q11" i="18"/>
  <c r="R11" i="18"/>
  <c r="S11" i="18"/>
  <c r="T11" i="18"/>
  <c r="U11" i="18"/>
  <c r="V11" i="18"/>
  <c r="W11" i="18"/>
  <c r="X11" i="18"/>
  <c r="Y11" i="18"/>
  <c r="Z11" i="18"/>
  <c r="AA11" i="18"/>
  <c r="AB11" i="18"/>
  <c r="AC11" i="18"/>
  <c r="AD11" i="18"/>
  <c r="AE11" i="18"/>
  <c r="AF11" i="18"/>
  <c r="AG11" i="18"/>
  <c r="AH11" i="18"/>
  <c r="AI11" i="18"/>
  <c r="AJ11" i="18"/>
  <c r="F11" i="18"/>
  <c r="AL11" i="18"/>
  <c r="G11" i="2"/>
  <c r="AM11" i="18"/>
  <c r="H11" i="2"/>
  <c r="AN11" i="18"/>
  <c r="I11" i="2"/>
  <c r="AO11" i="18"/>
  <c r="J11" i="2"/>
  <c r="AP11" i="18"/>
  <c r="K11" i="2"/>
  <c r="AQ11" i="18"/>
  <c r="L11" i="2"/>
  <c r="AR11" i="18"/>
  <c r="M11" i="2"/>
  <c r="AS11" i="18"/>
  <c r="N11" i="2"/>
  <c r="AT11" i="18"/>
  <c r="O11" i="2"/>
  <c r="AU11" i="18"/>
  <c r="P11" i="2"/>
  <c r="AV11" i="18"/>
  <c r="Q11" i="2"/>
  <c r="AW11" i="18"/>
  <c r="R11" i="2"/>
  <c r="AX11" i="18"/>
  <c r="S11" i="2"/>
  <c r="AY11" i="18"/>
  <c r="T11" i="2"/>
  <c r="AZ11" i="18"/>
  <c r="U11" i="2"/>
  <c r="BA11" i="18"/>
  <c r="V11" i="2"/>
  <c r="BB11" i="18"/>
  <c r="W11" i="2"/>
  <c r="BC11" i="18"/>
  <c r="X11" i="2"/>
  <c r="BD11" i="18"/>
  <c r="Y11" i="2"/>
  <c r="BE11" i="18"/>
  <c r="Z11" i="2"/>
  <c r="BF11" i="18"/>
  <c r="AA11" i="2"/>
  <c r="BG11" i="18"/>
  <c r="AB11" i="2"/>
  <c r="BH11" i="18"/>
  <c r="AC11" i="2"/>
  <c r="BI11" i="18"/>
  <c r="AD11" i="2"/>
  <c r="BJ11" i="18"/>
  <c r="AE11" i="2"/>
  <c r="BK11" i="18"/>
  <c r="AF11" i="2"/>
  <c r="BL11" i="18"/>
  <c r="AG11" i="2"/>
  <c r="AI11" i="2"/>
  <c r="AK11" i="18"/>
  <c r="F11" i="2"/>
  <c r="AJ11" i="2"/>
  <c r="BN11" i="18"/>
  <c r="G11" i="3"/>
  <c r="BO11" i="18"/>
  <c r="H11" i="3"/>
  <c r="BP11" i="18"/>
  <c r="I11" i="3"/>
  <c r="BQ11" i="18"/>
  <c r="J11" i="3"/>
  <c r="BR11" i="18"/>
  <c r="K11" i="3"/>
  <c r="BS11" i="18"/>
  <c r="L11" i="3"/>
  <c r="BT11" i="18"/>
  <c r="M11" i="3"/>
  <c r="BU11" i="18"/>
  <c r="N11" i="3"/>
  <c r="BV11" i="18"/>
  <c r="O11" i="3"/>
  <c r="BW11" i="18"/>
  <c r="P11" i="3"/>
  <c r="BX11" i="18"/>
  <c r="Q11" i="3"/>
  <c r="BY11" i="18"/>
  <c r="R11" i="3"/>
  <c r="BZ11" i="18"/>
  <c r="S11" i="3"/>
  <c r="CA11" i="18"/>
  <c r="T11" i="3"/>
  <c r="CB11" i="18"/>
  <c r="U11" i="3"/>
  <c r="CC11" i="18"/>
  <c r="V11" i="3"/>
  <c r="CD11" i="18"/>
  <c r="W11" i="3"/>
  <c r="CE11" i="18"/>
  <c r="X11" i="3"/>
  <c r="CF11" i="18"/>
  <c r="Y11" i="3"/>
  <c r="CG11" i="18"/>
  <c r="Z11" i="3"/>
  <c r="CH11" i="18"/>
  <c r="AA11" i="3"/>
  <c r="CI11" i="18"/>
  <c r="AB11" i="3"/>
  <c r="CJ11" i="18"/>
  <c r="AC11" i="3"/>
  <c r="CK11" i="18"/>
  <c r="AD11" i="3"/>
  <c r="CL11" i="18"/>
  <c r="AE11" i="3"/>
  <c r="CM11" i="18"/>
  <c r="AF11" i="3"/>
  <c r="CN11" i="18"/>
  <c r="AG11" i="3"/>
  <c r="CO11" i="18"/>
  <c r="AH11" i="3"/>
  <c r="CP11" i="18"/>
  <c r="AI11" i="3"/>
  <c r="CQ11" i="18"/>
  <c r="AJ11" i="3"/>
  <c r="BM11" i="18"/>
  <c r="F11" i="3"/>
  <c r="AK11" i="3"/>
  <c r="CS11" i="18"/>
  <c r="G11" i="4"/>
  <c r="CT11" i="18"/>
  <c r="H11" i="4"/>
  <c r="CU11" i="18"/>
  <c r="I11" i="4"/>
  <c r="CV11" i="18"/>
  <c r="J11" i="4"/>
  <c r="CW11" i="18"/>
  <c r="K11" i="4"/>
  <c r="CX11" i="18"/>
  <c r="L11" i="4"/>
  <c r="CY11" i="18"/>
  <c r="M11" i="4"/>
  <c r="CZ11" i="18"/>
  <c r="N11" i="4"/>
  <c r="DA11" i="18"/>
  <c r="O11" i="4"/>
  <c r="DB11" i="18"/>
  <c r="P11" i="4"/>
  <c r="DC11" i="18"/>
  <c r="Q11" i="4"/>
  <c r="DD11" i="18"/>
  <c r="R11" i="4"/>
  <c r="DE11" i="18"/>
  <c r="S11" i="4"/>
  <c r="DF11" i="18"/>
  <c r="T11" i="4"/>
  <c r="DG11" i="18"/>
  <c r="U11" i="4"/>
  <c r="DH11" i="18"/>
  <c r="V11" i="4"/>
  <c r="DI11" i="18"/>
  <c r="W11" i="4"/>
  <c r="DJ11" i="18"/>
  <c r="X11" i="4"/>
  <c r="DK11" i="18"/>
  <c r="Y11" i="4"/>
  <c r="DL11" i="18"/>
  <c r="Z11" i="4"/>
  <c r="DM11" i="18"/>
  <c r="AA11" i="4"/>
  <c r="DN11" i="18"/>
  <c r="AB11" i="4"/>
  <c r="DO11" i="18"/>
  <c r="AC11" i="4"/>
  <c r="DP11" i="18"/>
  <c r="AD11" i="4"/>
  <c r="DQ11" i="18"/>
  <c r="AE11" i="4"/>
  <c r="DR11" i="18"/>
  <c r="AF11" i="4"/>
  <c r="DS11" i="18"/>
  <c r="AG11" i="4"/>
  <c r="DT11" i="18"/>
  <c r="AH11" i="4"/>
  <c r="DU11" i="18"/>
  <c r="AI11" i="4"/>
  <c r="CR11" i="18"/>
  <c r="F11" i="4"/>
  <c r="AK11" i="4"/>
  <c r="DW11" i="18"/>
  <c r="G11" i="5"/>
  <c r="DX11" i="18"/>
  <c r="H11" i="5"/>
  <c r="DY11" i="18"/>
  <c r="I11" i="5"/>
  <c r="DZ11" i="18"/>
  <c r="J11" i="5"/>
  <c r="EA11" i="18"/>
  <c r="K11" i="5"/>
  <c r="EB11" i="18"/>
  <c r="L11" i="5"/>
  <c r="EC11" i="18"/>
  <c r="M11" i="5"/>
  <c r="ED11" i="18"/>
  <c r="N11" i="5"/>
  <c r="EE11" i="18"/>
  <c r="O11" i="5"/>
  <c r="EF11" i="18"/>
  <c r="P11" i="5"/>
  <c r="EG11" i="18"/>
  <c r="Q11" i="5"/>
  <c r="EH11" i="18"/>
  <c r="R11" i="5"/>
  <c r="EI11" i="18"/>
  <c r="S11" i="5"/>
  <c r="EJ11" i="18"/>
  <c r="T11" i="5"/>
  <c r="EK11" i="18"/>
  <c r="U11" i="5"/>
  <c r="EL11" i="18"/>
  <c r="V11" i="5"/>
  <c r="EM11" i="18"/>
  <c r="W11" i="5"/>
  <c r="EN11" i="18"/>
  <c r="X11" i="5"/>
  <c r="EO11" i="18"/>
  <c r="Y11" i="5"/>
  <c r="EP11" i="18"/>
  <c r="Z11" i="5"/>
  <c r="EQ11" i="18"/>
  <c r="AA11" i="5"/>
  <c r="ER11" i="18"/>
  <c r="AB11" i="5"/>
  <c r="ES11" i="18"/>
  <c r="AC11" i="5"/>
  <c r="ET11" i="18"/>
  <c r="AD11" i="5"/>
  <c r="EU11" i="18"/>
  <c r="AE11" i="5"/>
  <c r="EV11" i="18"/>
  <c r="AF11" i="5"/>
  <c r="EW11" i="18"/>
  <c r="AG11" i="5"/>
  <c r="EX11" i="18"/>
  <c r="AH11" i="5"/>
  <c r="EY11" i="18"/>
  <c r="AI11" i="5"/>
  <c r="EZ11" i="18"/>
  <c r="AJ11" i="5"/>
  <c r="DV11" i="18"/>
  <c r="F11" i="5"/>
  <c r="AK11" i="5"/>
  <c r="FB11" i="18"/>
  <c r="G11" i="6"/>
  <c r="FC11" i="18"/>
  <c r="H11" i="6"/>
  <c r="FD11" i="18"/>
  <c r="I11" i="6"/>
  <c r="FE11" i="18"/>
  <c r="J11" i="6"/>
  <c r="FF11" i="18"/>
  <c r="K11" i="6"/>
  <c r="FG11" i="18"/>
  <c r="L11" i="6"/>
  <c r="FH11" i="18"/>
  <c r="M11" i="6"/>
  <c r="FI11" i="18"/>
  <c r="N11" i="6"/>
  <c r="FJ11" i="18"/>
  <c r="O11" i="6"/>
  <c r="FK11" i="18"/>
  <c r="P11" i="6"/>
  <c r="FL11" i="18"/>
  <c r="Q11" i="6"/>
  <c r="FM11" i="18"/>
  <c r="R11" i="6"/>
  <c r="FN11" i="18"/>
  <c r="S11" i="6"/>
  <c r="FO11" i="18"/>
  <c r="T11" i="6"/>
  <c r="FP11" i="18"/>
  <c r="U11" i="6"/>
  <c r="FQ11" i="18"/>
  <c r="V11" i="6"/>
  <c r="FR11" i="18"/>
  <c r="W11" i="6"/>
  <c r="FS11" i="18"/>
  <c r="X11" i="6"/>
  <c r="FT11" i="18"/>
  <c r="Y11" i="6"/>
  <c r="FU11" i="18"/>
  <c r="Z11" i="6"/>
  <c r="FV11" i="18"/>
  <c r="AA11" i="6"/>
  <c r="FW11" i="18"/>
  <c r="AB11" i="6"/>
  <c r="FX11" i="18"/>
  <c r="AC11" i="6"/>
  <c r="FY11" i="18"/>
  <c r="AD11" i="6"/>
  <c r="FZ11" i="18"/>
  <c r="AE11" i="6"/>
  <c r="GA11" i="18"/>
  <c r="AF11" i="6"/>
  <c r="GB11" i="18"/>
  <c r="AG11" i="6"/>
  <c r="GC11" i="18"/>
  <c r="AH11" i="6"/>
  <c r="GD11" i="18"/>
  <c r="AI11" i="6"/>
  <c r="FA11" i="18"/>
  <c r="F11" i="6"/>
  <c r="AK11" i="6"/>
  <c r="GF11" i="18"/>
  <c r="G11" i="7"/>
  <c r="GG11" i="18"/>
  <c r="H11" i="7"/>
  <c r="GH11" i="18"/>
  <c r="I11" i="7"/>
  <c r="GI11" i="18"/>
  <c r="J11" i="7"/>
  <c r="GJ11" i="18"/>
  <c r="K11" i="7"/>
  <c r="GK11" i="18"/>
  <c r="L11" i="7"/>
  <c r="GL11" i="18"/>
  <c r="M11" i="7"/>
  <c r="GM11" i="18"/>
  <c r="N11" i="7"/>
  <c r="GN11" i="18"/>
  <c r="O11" i="7"/>
  <c r="GO11" i="18"/>
  <c r="P11" i="7"/>
  <c r="GP11" i="18"/>
  <c r="Q11" i="7"/>
  <c r="GQ11" i="18"/>
  <c r="R11" i="7"/>
  <c r="GR11" i="18"/>
  <c r="S11" i="7"/>
  <c r="GS11" i="18"/>
  <c r="T11" i="7"/>
  <c r="GT11" i="18"/>
  <c r="U11" i="7"/>
  <c r="GU11" i="18"/>
  <c r="V11" i="7"/>
  <c r="GV11" i="18"/>
  <c r="W11" i="7"/>
  <c r="GW11" i="18"/>
  <c r="X11" i="7"/>
  <c r="GX11" i="18"/>
  <c r="Y11" i="7"/>
  <c r="GY11" i="18"/>
  <c r="Z11" i="7"/>
  <c r="GZ11" i="18"/>
  <c r="AA11" i="7"/>
  <c r="HA11" i="18"/>
  <c r="AB11" i="7"/>
  <c r="HB11" i="18"/>
  <c r="AC11" i="7"/>
  <c r="HC11" i="18"/>
  <c r="AD11" i="7"/>
  <c r="HD11" i="18"/>
  <c r="AE11" i="7"/>
  <c r="HE11" i="18"/>
  <c r="AF11" i="7"/>
  <c r="HF11" i="18"/>
  <c r="AG11" i="7"/>
  <c r="HG11" i="18"/>
  <c r="AH11" i="7"/>
  <c r="HH11" i="18"/>
  <c r="AI11" i="7"/>
  <c r="HI11" i="18"/>
  <c r="AJ11" i="7"/>
  <c r="GE11" i="18"/>
  <c r="F11" i="7"/>
  <c r="AK11" i="7"/>
  <c r="HK11" i="18"/>
  <c r="G11" i="8"/>
  <c r="HL11" i="18"/>
  <c r="H11" i="8"/>
  <c r="HM11" i="18"/>
  <c r="I11" i="8"/>
  <c r="HN11" i="18"/>
  <c r="J11" i="8"/>
  <c r="HO11" i="18"/>
  <c r="K11" i="8"/>
  <c r="HP11" i="18"/>
  <c r="L11" i="8"/>
  <c r="HQ11" i="18"/>
  <c r="M11" i="8"/>
  <c r="HR11" i="18"/>
  <c r="N11" i="8"/>
  <c r="HS11" i="18"/>
  <c r="O11" i="8"/>
  <c r="HT11" i="18"/>
  <c r="P11" i="8"/>
  <c r="HU11" i="18"/>
  <c r="Q11" i="8"/>
  <c r="HV11" i="18"/>
  <c r="R11" i="8"/>
  <c r="HW11" i="18"/>
  <c r="S11" i="8"/>
  <c r="HX11" i="18"/>
  <c r="T11" i="8"/>
  <c r="HY11" i="18"/>
  <c r="U11" i="8"/>
  <c r="HZ11" i="18"/>
  <c r="V11" i="8"/>
  <c r="IA11" i="18"/>
  <c r="W11" i="8"/>
  <c r="IB11" i="18"/>
  <c r="X11" i="8"/>
  <c r="IC11" i="18"/>
  <c r="Y11" i="8"/>
  <c r="ID11" i="18"/>
  <c r="Z11" i="8"/>
  <c r="IE11" i="18"/>
  <c r="AA11" i="8"/>
  <c r="IF11" i="18"/>
  <c r="AB11" i="8"/>
  <c r="IG11" i="18"/>
  <c r="AC11" i="8"/>
  <c r="IH11" i="18"/>
  <c r="AD11" i="8"/>
  <c r="II11" i="18"/>
  <c r="AE11" i="8"/>
  <c r="IJ11" i="18"/>
  <c r="AF11" i="8"/>
  <c r="IK11" i="18"/>
  <c r="AG11" i="8"/>
  <c r="IL11" i="18"/>
  <c r="AH11" i="8"/>
  <c r="IM11" i="18"/>
  <c r="AI11" i="8"/>
  <c r="IN11" i="18"/>
  <c r="AJ11" i="8"/>
  <c r="HJ11" i="18"/>
  <c r="F11" i="8"/>
  <c r="AK11" i="8"/>
  <c r="IP11" i="18"/>
  <c r="G11" i="9"/>
  <c r="IQ11" i="18"/>
  <c r="H11" i="9"/>
  <c r="IR11" i="18"/>
  <c r="I11" i="9"/>
  <c r="IS11" i="18"/>
  <c r="J11" i="9"/>
  <c r="IT11" i="18"/>
  <c r="K11" i="9"/>
  <c r="IU11" i="18"/>
  <c r="L11" i="9"/>
  <c r="IV11" i="18"/>
  <c r="M11" i="9"/>
  <c r="IW11" i="18"/>
  <c r="N11" i="9"/>
  <c r="IX11" i="18"/>
  <c r="O11" i="9"/>
  <c r="IY11" i="18"/>
  <c r="P11" i="9"/>
  <c r="IZ11" i="18"/>
  <c r="Q11" i="9"/>
  <c r="JA11" i="18"/>
  <c r="R11" i="9"/>
  <c r="JB11" i="18"/>
  <c r="S11" i="9"/>
  <c r="JC11" i="18"/>
  <c r="T11" i="9"/>
  <c r="JD11" i="18"/>
  <c r="U11" i="9"/>
  <c r="JE11" i="18"/>
  <c r="V11" i="9"/>
  <c r="JF11" i="18"/>
  <c r="W11" i="9"/>
  <c r="JG11" i="18"/>
  <c r="X11" i="9"/>
  <c r="JH11" i="18"/>
  <c r="Y11" i="9"/>
  <c r="JI11" i="18"/>
  <c r="Z11" i="9"/>
  <c r="JJ11" i="18"/>
  <c r="AA11" i="9"/>
  <c r="JK11" i="18"/>
  <c r="AB11" i="9"/>
  <c r="JL11" i="18"/>
  <c r="AC11" i="9"/>
  <c r="JM11" i="18"/>
  <c r="AD11" i="9"/>
  <c r="JN11" i="18"/>
  <c r="AE11" i="9"/>
  <c r="JO11" i="18"/>
  <c r="AF11" i="9"/>
  <c r="JP11" i="18"/>
  <c r="AG11" i="9"/>
  <c r="JQ11" i="18"/>
  <c r="AH11" i="9"/>
  <c r="JR11" i="18"/>
  <c r="AI11" i="9"/>
  <c r="IO11" i="18"/>
  <c r="F11" i="9"/>
  <c r="AK11" i="9"/>
  <c r="JT11" i="18"/>
  <c r="G11" i="10"/>
  <c r="JU11" i="18"/>
  <c r="H11" i="10"/>
  <c r="JV11" i="18"/>
  <c r="I11" i="10"/>
  <c r="JW11" i="18"/>
  <c r="J11" i="10"/>
  <c r="JX11" i="18"/>
  <c r="K11" i="10"/>
  <c r="JY11" i="18"/>
  <c r="L11" i="10"/>
  <c r="JZ11" i="18"/>
  <c r="M11" i="10"/>
  <c r="KA11" i="18"/>
  <c r="N11" i="10"/>
  <c r="KB11" i="18"/>
  <c r="O11" i="10"/>
  <c r="KC11" i="18"/>
  <c r="P11" i="10"/>
  <c r="KD11" i="18"/>
  <c r="Q11" i="10"/>
  <c r="KE11" i="18"/>
  <c r="R11" i="10"/>
  <c r="KF11" i="18"/>
  <c r="S11" i="10"/>
  <c r="KG11" i="18"/>
  <c r="T11" i="10"/>
  <c r="KH11" i="18"/>
  <c r="U11" i="10"/>
  <c r="KI11" i="18"/>
  <c r="V11" i="10"/>
  <c r="KJ11" i="18"/>
  <c r="W11" i="10"/>
  <c r="KK11" i="18"/>
  <c r="X11" i="10"/>
  <c r="KL11" i="18"/>
  <c r="Y11" i="10"/>
  <c r="KM11" i="18"/>
  <c r="Z11" i="10"/>
  <c r="KN11" i="18"/>
  <c r="AA11" i="10"/>
  <c r="KO11" i="18"/>
  <c r="AB11" i="10"/>
  <c r="KP11" i="18"/>
  <c r="AC11" i="10"/>
  <c r="KQ11" i="18"/>
  <c r="AD11" i="10"/>
  <c r="KR11" i="18"/>
  <c r="AE11" i="10"/>
  <c r="KS11" i="18"/>
  <c r="AF11" i="10"/>
  <c r="KT11" i="18"/>
  <c r="AG11" i="10"/>
  <c r="KU11" i="18"/>
  <c r="AH11" i="10"/>
  <c r="KV11" i="18"/>
  <c r="AI11" i="10"/>
  <c r="KW11" i="18"/>
  <c r="AJ11" i="10"/>
  <c r="JS11" i="18"/>
  <c r="F11" i="10"/>
  <c r="AK11" i="10"/>
  <c r="KY11" i="18"/>
  <c r="G11" i="11"/>
  <c r="KZ11" i="18"/>
  <c r="H11" i="11"/>
  <c r="LA11" i="18"/>
  <c r="I11" i="11"/>
  <c r="LB11" i="18"/>
  <c r="J11" i="11"/>
  <c r="LC11" i="18"/>
  <c r="K11" i="11"/>
  <c r="LD11" i="18"/>
  <c r="L11" i="11"/>
  <c r="LE11" i="18"/>
  <c r="M11" i="11"/>
  <c r="LF11" i="18"/>
  <c r="N11" i="11"/>
  <c r="LG11" i="18"/>
  <c r="O11" i="11"/>
  <c r="LH11" i="18"/>
  <c r="P11" i="11"/>
  <c r="LI11" i="18"/>
  <c r="Q11" i="11"/>
  <c r="LJ11" i="18"/>
  <c r="R11" i="11"/>
  <c r="LK11" i="18"/>
  <c r="S11" i="11"/>
  <c r="LL11" i="18"/>
  <c r="T11" i="11"/>
  <c r="LM11" i="18"/>
  <c r="U11" i="11"/>
  <c r="LN11" i="18"/>
  <c r="V11" i="11"/>
  <c r="LO11" i="18"/>
  <c r="W11" i="11"/>
  <c r="LP11" i="18"/>
  <c r="X11" i="11"/>
  <c r="LQ11" i="18"/>
  <c r="Y11" i="11"/>
  <c r="LR11" i="18"/>
  <c r="Z11" i="11"/>
  <c r="LS11" i="18"/>
  <c r="AA11" i="11"/>
  <c r="LT11" i="18"/>
  <c r="AB11" i="11"/>
  <c r="LU11" i="18"/>
  <c r="AC11" i="11"/>
  <c r="LV11" i="18"/>
  <c r="AD11" i="11"/>
  <c r="LW11" i="18"/>
  <c r="AE11" i="11"/>
  <c r="LX11" i="18"/>
  <c r="AF11" i="11"/>
  <c r="LY11" i="18"/>
  <c r="AG11" i="11"/>
  <c r="LZ11" i="18"/>
  <c r="AH11" i="11"/>
  <c r="MA11" i="18"/>
  <c r="AI11" i="11"/>
  <c r="KX11" i="18"/>
  <c r="F11" i="11"/>
  <c r="AK11" i="11"/>
  <c r="MC11" i="18"/>
  <c r="G11" i="12"/>
  <c r="MD11" i="18"/>
  <c r="H11" i="12"/>
  <c r="ME11" i="18"/>
  <c r="I11" i="12"/>
  <c r="MF11" i="18"/>
  <c r="J11" i="12"/>
  <c r="MG11" i="18"/>
  <c r="K11" i="12"/>
  <c r="MH11" i="18"/>
  <c r="L11" i="12"/>
  <c r="MI11" i="18"/>
  <c r="M11" i="12"/>
  <c r="MJ11" i="18"/>
  <c r="N11" i="12"/>
  <c r="MK11" i="18"/>
  <c r="O11" i="12"/>
  <c r="ML11" i="18"/>
  <c r="P11" i="12"/>
  <c r="MM11" i="18"/>
  <c r="Q11" i="12"/>
  <c r="MN11" i="18"/>
  <c r="R11" i="12"/>
  <c r="MO11" i="18"/>
  <c r="S11" i="12"/>
  <c r="MP11" i="18"/>
  <c r="T11" i="12"/>
  <c r="MQ11" i="18"/>
  <c r="U11" i="12"/>
  <c r="MR11" i="18"/>
  <c r="V11" i="12"/>
  <c r="MS11" i="18"/>
  <c r="W11" i="12"/>
  <c r="MT11" i="18"/>
  <c r="X11" i="12"/>
  <c r="MU11" i="18"/>
  <c r="Y11" i="12"/>
  <c r="MV11" i="18"/>
  <c r="Z11" i="12"/>
  <c r="MW11" i="18"/>
  <c r="AA11" i="12"/>
  <c r="MX11" i="18"/>
  <c r="AB11" i="12"/>
  <c r="MY11" i="18"/>
  <c r="AC11" i="12"/>
  <c r="MZ11" i="18"/>
  <c r="AD11" i="12"/>
  <c r="NA11" i="18"/>
  <c r="AE11" i="12"/>
  <c r="NB11" i="18"/>
  <c r="AF11" i="12"/>
  <c r="NC11" i="18"/>
  <c r="AG11" i="12"/>
  <c r="ND11" i="18"/>
  <c r="AH11" i="12"/>
  <c r="NE11" i="18"/>
  <c r="AI11" i="12"/>
  <c r="NF11" i="18"/>
  <c r="AJ11" i="12"/>
  <c r="MB11" i="18"/>
  <c r="F11" i="12"/>
  <c r="AK11" i="12"/>
  <c r="P7" i="13"/>
  <c r="G10" i="18"/>
  <c r="H10" i="18"/>
  <c r="I10" i="18"/>
  <c r="J10" i="18"/>
  <c r="K10" i="18"/>
  <c r="L10" i="18"/>
  <c r="M10" i="18"/>
  <c r="N10" i="18"/>
  <c r="O10" i="18"/>
  <c r="P10" i="18"/>
  <c r="Q10" i="18"/>
  <c r="R10" i="18"/>
  <c r="S10" i="18"/>
  <c r="T10" i="18"/>
  <c r="U10" i="18"/>
  <c r="V10" i="18"/>
  <c r="W10" i="18"/>
  <c r="X10" i="18"/>
  <c r="Y10" i="18"/>
  <c r="Z10" i="18"/>
  <c r="AA10" i="18"/>
  <c r="AB10" i="18"/>
  <c r="AC10" i="18"/>
  <c r="AD10" i="18"/>
  <c r="AE10" i="18"/>
  <c r="AF10" i="18"/>
  <c r="AG10" i="18"/>
  <c r="AH10" i="18"/>
  <c r="AI10" i="18"/>
  <c r="AJ10" i="18"/>
  <c r="F10" i="18"/>
  <c r="AL10" i="18"/>
  <c r="G10" i="2"/>
  <c r="AM10" i="18"/>
  <c r="H10" i="2"/>
  <c r="AN10" i="18"/>
  <c r="I10" i="2"/>
  <c r="AO10" i="18"/>
  <c r="J10" i="2"/>
  <c r="AP10" i="18"/>
  <c r="K10" i="2"/>
  <c r="AQ10" i="18"/>
  <c r="L10" i="2"/>
  <c r="AR10" i="18"/>
  <c r="M10" i="2"/>
  <c r="AS10" i="18"/>
  <c r="N10" i="2"/>
  <c r="AT10" i="18"/>
  <c r="O10" i="2"/>
  <c r="AU10" i="18"/>
  <c r="P10" i="2"/>
  <c r="AV10" i="18"/>
  <c r="Q10" i="2"/>
  <c r="AW10" i="18"/>
  <c r="R10" i="2"/>
  <c r="AX10" i="18"/>
  <c r="S10" i="2"/>
  <c r="AY10" i="18"/>
  <c r="T10" i="2"/>
  <c r="AZ10" i="18"/>
  <c r="U10" i="2"/>
  <c r="BA10" i="18"/>
  <c r="V10" i="2"/>
  <c r="BB10" i="18"/>
  <c r="W10" i="2"/>
  <c r="BC10" i="18"/>
  <c r="X10" i="2"/>
  <c r="BD10" i="18"/>
  <c r="Y10" i="2"/>
  <c r="BE10" i="18"/>
  <c r="Z10" i="2"/>
  <c r="BF10" i="18"/>
  <c r="AA10" i="2"/>
  <c r="BG10" i="18"/>
  <c r="AB10" i="2"/>
  <c r="BH10" i="18"/>
  <c r="AC10" i="2"/>
  <c r="BI10" i="18"/>
  <c r="AD10" i="2"/>
  <c r="BJ10" i="18"/>
  <c r="AE10" i="2"/>
  <c r="BK10" i="18"/>
  <c r="AF10" i="2"/>
  <c r="BL10" i="18"/>
  <c r="AG10" i="2"/>
  <c r="AI10" i="2"/>
  <c r="AK10" i="18"/>
  <c r="F10" i="2"/>
  <c r="AJ10" i="2"/>
  <c r="BN10" i="18"/>
  <c r="G10" i="3"/>
  <c r="BO10" i="18"/>
  <c r="H10" i="3"/>
  <c r="BP10" i="18"/>
  <c r="I10" i="3"/>
  <c r="BQ10" i="18"/>
  <c r="J10" i="3"/>
  <c r="BR10" i="18"/>
  <c r="K10" i="3"/>
  <c r="BS10" i="18"/>
  <c r="L10" i="3"/>
  <c r="BT10" i="18"/>
  <c r="M10" i="3"/>
  <c r="BU10" i="18"/>
  <c r="N10" i="3"/>
  <c r="BV10" i="18"/>
  <c r="O10" i="3"/>
  <c r="BW10" i="18"/>
  <c r="P10" i="3"/>
  <c r="BX10" i="18"/>
  <c r="Q10" i="3"/>
  <c r="BY10" i="18"/>
  <c r="R10" i="3"/>
  <c r="BZ10" i="18"/>
  <c r="S10" i="3"/>
  <c r="CA10" i="18"/>
  <c r="T10" i="3"/>
  <c r="CB10" i="18"/>
  <c r="U10" i="3"/>
  <c r="CC10" i="18"/>
  <c r="V10" i="3"/>
  <c r="CD10" i="18"/>
  <c r="W10" i="3"/>
  <c r="CE10" i="18"/>
  <c r="X10" i="3"/>
  <c r="CF10" i="18"/>
  <c r="Y10" i="3"/>
  <c r="CG10" i="18"/>
  <c r="Z10" i="3"/>
  <c r="CH10" i="18"/>
  <c r="AA10" i="3"/>
  <c r="CI10" i="18"/>
  <c r="AB10" i="3"/>
  <c r="CJ10" i="18"/>
  <c r="AC10" i="3"/>
  <c r="CK10" i="18"/>
  <c r="AD10" i="3"/>
  <c r="CL10" i="18"/>
  <c r="AE10" i="3"/>
  <c r="CM10" i="18"/>
  <c r="AF10" i="3"/>
  <c r="CN10" i="18"/>
  <c r="AG10" i="3"/>
  <c r="CO10" i="18"/>
  <c r="AH10" i="3"/>
  <c r="CP10" i="18"/>
  <c r="AI10" i="3"/>
  <c r="CQ10" i="18"/>
  <c r="AJ10" i="3"/>
  <c r="BM10" i="18"/>
  <c r="F10" i="3"/>
  <c r="AK10" i="3"/>
  <c r="CS10" i="18"/>
  <c r="G10" i="4"/>
  <c r="CT10" i="18"/>
  <c r="H10" i="4"/>
  <c r="CU10" i="18"/>
  <c r="I10" i="4"/>
  <c r="CV10" i="18"/>
  <c r="J10" i="4"/>
  <c r="CW10" i="18"/>
  <c r="K10" i="4"/>
  <c r="CX10" i="18"/>
  <c r="L10" i="4"/>
  <c r="CY10" i="18"/>
  <c r="M10" i="4"/>
  <c r="CZ10" i="18"/>
  <c r="N10" i="4"/>
  <c r="DA10" i="18"/>
  <c r="O10" i="4"/>
  <c r="DB10" i="18"/>
  <c r="P10" i="4"/>
  <c r="DC10" i="18"/>
  <c r="Q10" i="4"/>
  <c r="DD10" i="18"/>
  <c r="R10" i="4"/>
  <c r="DE10" i="18"/>
  <c r="S10" i="4"/>
  <c r="DF10" i="18"/>
  <c r="T10" i="4"/>
  <c r="DG10" i="18"/>
  <c r="U10" i="4"/>
  <c r="DH10" i="18"/>
  <c r="V10" i="4"/>
  <c r="DI10" i="18"/>
  <c r="W10" i="4"/>
  <c r="DJ10" i="18"/>
  <c r="X10" i="4"/>
  <c r="DK10" i="18"/>
  <c r="Y10" i="4"/>
  <c r="DL10" i="18"/>
  <c r="Z10" i="4"/>
  <c r="DM10" i="18"/>
  <c r="AA10" i="4"/>
  <c r="DN10" i="18"/>
  <c r="AB10" i="4"/>
  <c r="DO10" i="18"/>
  <c r="AC10" i="4"/>
  <c r="DP10" i="18"/>
  <c r="AD10" i="4"/>
  <c r="DQ10" i="18"/>
  <c r="AE10" i="4"/>
  <c r="DR10" i="18"/>
  <c r="AF10" i="4"/>
  <c r="DS10" i="18"/>
  <c r="AG10" i="4"/>
  <c r="DT10" i="18"/>
  <c r="AH10" i="4"/>
  <c r="DU10" i="18"/>
  <c r="AI10" i="4"/>
  <c r="CR10" i="18"/>
  <c r="F10" i="4"/>
  <c r="AK10" i="4"/>
  <c r="DW10" i="18"/>
  <c r="G10" i="5"/>
  <c r="DX10" i="18"/>
  <c r="H10" i="5"/>
  <c r="DY10" i="18"/>
  <c r="I10" i="5"/>
  <c r="DZ10" i="18"/>
  <c r="J10" i="5"/>
  <c r="EA10" i="18"/>
  <c r="K10" i="5"/>
  <c r="EB10" i="18"/>
  <c r="L10" i="5"/>
  <c r="EC10" i="18"/>
  <c r="M10" i="5"/>
  <c r="ED10" i="18"/>
  <c r="N10" i="5"/>
  <c r="EE10" i="18"/>
  <c r="O10" i="5"/>
  <c r="EF10" i="18"/>
  <c r="P10" i="5"/>
  <c r="EG10" i="18"/>
  <c r="Q10" i="5"/>
  <c r="EH10" i="18"/>
  <c r="R10" i="5"/>
  <c r="EI10" i="18"/>
  <c r="S10" i="5"/>
  <c r="EJ10" i="18"/>
  <c r="T10" i="5"/>
  <c r="EK10" i="18"/>
  <c r="U10" i="5"/>
  <c r="EL10" i="18"/>
  <c r="V10" i="5"/>
  <c r="EM10" i="18"/>
  <c r="W10" i="5"/>
  <c r="EN10" i="18"/>
  <c r="X10" i="5"/>
  <c r="EO10" i="18"/>
  <c r="Y10" i="5"/>
  <c r="EP10" i="18"/>
  <c r="Z10" i="5"/>
  <c r="EQ10" i="18"/>
  <c r="AA10" i="5"/>
  <c r="ER10" i="18"/>
  <c r="AB10" i="5"/>
  <c r="ES10" i="18"/>
  <c r="AC10" i="5"/>
  <c r="ET10" i="18"/>
  <c r="AD10" i="5"/>
  <c r="EU10" i="18"/>
  <c r="AE10" i="5"/>
  <c r="EV10" i="18"/>
  <c r="AF10" i="5"/>
  <c r="EW10" i="18"/>
  <c r="AG10" i="5"/>
  <c r="EX10" i="18"/>
  <c r="AH10" i="5"/>
  <c r="EY10" i="18"/>
  <c r="AI10" i="5"/>
  <c r="EZ10" i="18"/>
  <c r="AJ10" i="5"/>
  <c r="DV10" i="18"/>
  <c r="F10" i="5"/>
  <c r="AK10" i="5"/>
  <c r="FB10" i="18"/>
  <c r="G10" i="6"/>
  <c r="FC10" i="18"/>
  <c r="H10" i="6"/>
  <c r="FD10" i="18"/>
  <c r="I10" i="6"/>
  <c r="FE10" i="18"/>
  <c r="J10" i="6"/>
  <c r="FF10" i="18"/>
  <c r="K10" i="6"/>
  <c r="FG10" i="18"/>
  <c r="L10" i="6"/>
  <c r="FH10" i="18"/>
  <c r="M10" i="6"/>
  <c r="FI10" i="18"/>
  <c r="N10" i="6"/>
  <c r="FJ10" i="18"/>
  <c r="O10" i="6"/>
  <c r="FK10" i="18"/>
  <c r="P10" i="6"/>
  <c r="FL10" i="18"/>
  <c r="Q10" i="6"/>
  <c r="FM10" i="18"/>
  <c r="R10" i="6"/>
  <c r="FN10" i="18"/>
  <c r="S10" i="6"/>
  <c r="FO10" i="18"/>
  <c r="T10" i="6"/>
  <c r="FP10" i="18"/>
  <c r="U10" i="6"/>
  <c r="FQ10" i="18"/>
  <c r="V10" i="6"/>
  <c r="FR10" i="18"/>
  <c r="W10" i="6"/>
  <c r="FS10" i="18"/>
  <c r="X10" i="6"/>
  <c r="FT10" i="18"/>
  <c r="Y10" i="6"/>
  <c r="FU10" i="18"/>
  <c r="Z10" i="6"/>
  <c r="FV10" i="18"/>
  <c r="AA10" i="6"/>
  <c r="FW10" i="18"/>
  <c r="AB10" i="6"/>
  <c r="FX10" i="18"/>
  <c r="AC10" i="6"/>
  <c r="FY10" i="18"/>
  <c r="AD10" i="6"/>
  <c r="FZ10" i="18"/>
  <c r="AE10" i="6"/>
  <c r="GA10" i="18"/>
  <c r="AF10" i="6"/>
  <c r="GB10" i="18"/>
  <c r="AG10" i="6"/>
  <c r="GC10" i="18"/>
  <c r="AH10" i="6"/>
  <c r="GD10" i="18"/>
  <c r="AI10" i="6"/>
  <c r="FA10" i="18"/>
  <c r="F10" i="6"/>
  <c r="AK10" i="6"/>
  <c r="GF10" i="18"/>
  <c r="G10" i="7"/>
  <c r="GG10" i="18"/>
  <c r="H10" i="7"/>
  <c r="GH10" i="18"/>
  <c r="I10" i="7"/>
  <c r="GI10" i="18"/>
  <c r="J10" i="7"/>
  <c r="GJ10" i="18"/>
  <c r="K10" i="7"/>
  <c r="GK10" i="18"/>
  <c r="L10" i="7"/>
  <c r="GL10" i="18"/>
  <c r="M10" i="7"/>
  <c r="GM10" i="18"/>
  <c r="N10" i="7"/>
  <c r="GN10" i="18"/>
  <c r="O10" i="7"/>
  <c r="GO10" i="18"/>
  <c r="P10" i="7"/>
  <c r="GP10" i="18"/>
  <c r="Q10" i="7"/>
  <c r="GQ10" i="18"/>
  <c r="R10" i="7"/>
  <c r="GR10" i="18"/>
  <c r="S10" i="7"/>
  <c r="GS10" i="18"/>
  <c r="T10" i="7"/>
  <c r="GT10" i="18"/>
  <c r="U10" i="7"/>
  <c r="GU10" i="18"/>
  <c r="V10" i="7"/>
  <c r="GV10" i="18"/>
  <c r="W10" i="7"/>
  <c r="GW10" i="18"/>
  <c r="X10" i="7"/>
  <c r="GX10" i="18"/>
  <c r="Y10" i="7"/>
  <c r="GY10" i="18"/>
  <c r="Z10" i="7"/>
  <c r="GZ10" i="18"/>
  <c r="AA10" i="7"/>
  <c r="HA10" i="18"/>
  <c r="AB10" i="7"/>
  <c r="HB10" i="18"/>
  <c r="AC10" i="7"/>
  <c r="HC10" i="18"/>
  <c r="AD10" i="7"/>
  <c r="HD10" i="18"/>
  <c r="AE10" i="7"/>
  <c r="HE10" i="18"/>
  <c r="AF10" i="7"/>
  <c r="HF10" i="18"/>
  <c r="AG10" i="7"/>
  <c r="HG10" i="18"/>
  <c r="AH10" i="7"/>
  <c r="HH10" i="18"/>
  <c r="AI10" i="7"/>
  <c r="HI10" i="18"/>
  <c r="AJ10" i="7"/>
  <c r="GE10" i="18"/>
  <c r="F10" i="7"/>
  <c r="AK10" i="7"/>
  <c r="HK10" i="18"/>
  <c r="G10" i="8"/>
  <c r="HL10" i="18"/>
  <c r="H10" i="8"/>
  <c r="HM10" i="18"/>
  <c r="I10" i="8"/>
  <c r="HN10" i="18"/>
  <c r="J10" i="8"/>
  <c r="HO10" i="18"/>
  <c r="K10" i="8"/>
  <c r="HP10" i="18"/>
  <c r="L10" i="8"/>
  <c r="HQ10" i="18"/>
  <c r="M10" i="8"/>
  <c r="HR10" i="18"/>
  <c r="N10" i="8"/>
  <c r="HS10" i="18"/>
  <c r="O10" i="8"/>
  <c r="HT10" i="18"/>
  <c r="P10" i="8"/>
  <c r="HU10" i="18"/>
  <c r="Q10" i="8"/>
  <c r="HV10" i="18"/>
  <c r="R10" i="8"/>
  <c r="HW10" i="18"/>
  <c r="S10" i="8"/>
  <c r="HX10" i="18"/>
  <c r="T10" i="8"/>
  <c r="HY10" i="18"/>
  <c r="U10" i="8"/>
  <c r="HZ10" i="18"/>
  <c r="V10" i="8"/>
  <c r="IA10" i="18"/>
  <c r="W10" i="8"/>
  <c r="IB10" i="18"/>
  <c r="X10" i="8"/>
  <c r="IC10" i="18"/>
  <c r="Y10" i="8"/>
  <c r="ID10" i="18"/>
  <c r="Z10" i="8"/>
  <c r="IE10" i="18"/>
  <c r="AA10" i="8"/>
  <c r="IF10" i="18"/>
  <c r="AB10" i="8"/>
  <c r="IG10" i="18"/>
  <c r="AC10" i="8"/>
  <c r="IH10" i="18"/>
  <c r="AD10" i="8"/>
  <c r="II10" i="18"/>
  <c r="AE10" i="8"/>
  <c r="IJ10" i="18"/>
  <c r="AF10" i="8"/>
  <c r="IK10" i="18"/>
  <c r="AG10" i="8"/>
  <c r="IL10" i="18"/>
  <c r="AH10" i="8"/>
  <c r="IM10" i="18"/>
  <c r="AI10" i="8"/>
  <c r="IN10" i="18"/>
  <c r="AJ10" i="8"/>
  <c r="HJ10" i="18"/>
  <c r="F10" i="8"/>
  <c r="AK10" i="8"/>
  <c r="IP10" i="18"/>
  <c r="G10" i="9"/>
  <c r="IQ10" i="18"/>
  <c r="H10" i="9"/>
  <c r="IR10" i="18"/>
  <c r="I10" i="9"/>
  <c r="IS10" i="18"/>
  <c r="J10" i="9"/>
  <c r="IT10" i="18"/>
  <c r="K10" i="9"/>
  <c r="IU10" i="18"/>
  <c r="L10" i="9"/>
  <c r="IV10" i="18"/>
  <c r="M10" i="9"/>
  <c r="IW10" i="18"/>
  <c r="N10" i="9"/>
  <c r="IX10" i="18"/>
  <c r="O10" i="9"/>
  <c r="IY10" i="18"/>
  <c r="P10" i="9"/>
  <c r="IZ10" i="18"/>
  <c r="Q10" i="9"/>
  <c r="JA10" i="18"/>
  <c r="R10" i="9"/>
  <c r="JB10" i="18"/>
  <c r="S10" i="9"/>
  <c r="JC10" i="18"/>
  <c r="T10" i="9"/>
  <c r="JD10" i="18"/>
  <c r="U10" i="9"/>
  <c r="JE10" i="18"/>
  <c r="V10" i="9"/>
  <c r="JF10" i="18"/>
  <c r="W10" i="9"/>
  <c r="JG10" i="18"/>
  <c r="X10" i="9"/>
  <c r="JH10" i="18"/>
  <c r="Y10" i="9"/>
  <c r="JI10" i="18"/>
  <c r="Z10" i="9"/>
  <c r="JJ10" i="18"/>
  <c r="AA10" i="9"/>
  <c r="JK10" i="18"/>
  <c r="AB10" i="9"/>
  <c r="JL10" i="18"/>
  <c r="AC10" i="9"/>
  <c r="JM10" i="18"/>
  <c r="AD10" i="9"/>
  <c r="JN10" i="18"/>
  <c r="AE10" i="9"/>
  <c r="JO10" i="18"/>
  <c r="AF10" i="9"/>
  <c r="JP10" i="18"/>
  <c r="AG10" i="9"/>
  <c r="JQ10" i="18"/>
  <c r="AH10" i="9"/>
  <c r="JR10" i="18"/>
  <c r="AI10" i="9"/>
  <c r="IO10" i="18"/>
  <c r="F10" i="9"/>
  <c r="AK10" i="9"/>
  <c r="JT10" i="18"/>
  <c r="G10" i="10"/>
  <c r="JU10" i="18"/>
  <c r="H10" i="10"/>
  <c r="JV10" i="18"/>
  <c r="I10" i="10"/>
  <c r="JW10" i="18"/>
  <c r="J10" i="10"/>
  <c r="JX10" i="18"/>
  <c r="K10" i="10"/>
  <c r="JY10" i="18"/>
  <c r="L10" i="10"/>
  <c r="JZ10" i="18"/>
  <c r="M10" i="10"/>
  <c r="KA10" i="18"/>
  <c r="N10" i="10"/>
  <c r="KB10" i="18"/>
  <c r="O10" i="10"/>
  <c r="KC10" i="18"/>
  <c r="P10" i="10"/>
  <c r="KD10" i="18"/>
  <c r="Q10" i="10"/>
  <c r="KE10" i="18"/>
  <c r="R10" i="10"/>
  <c r="KF10" i="18"/>
  <c r="S10" i="10"/>
  <c r="KG10" i="18"/>
  <c r="T10" i="10"/>
  <c r="KH10" i="18"/>
  <c r="U10" i="10"/>
  <c r="KI10" i="18"/>
  <c r="V10" i="10"/>
  <c r="KJ10" i="18"/>
  <c r="W10" i="10"/>
  <c r="KK10" i="18"/>
  <c r="X10" i="10"/>
  <c r="KL10" i="18"/>
  <c r="Y10" i="10"/>
  <c r="KM10" i="18"/>
  <c r="Z10" i="10"/>
  <c r="KN10" i="18"/>
  <c r="AA10" i="10"/>
  <c r="KO10" i="18"/>
  <c r="AB10" i="10"/>
  <c r="KP10" i="18"/>
  <c r="AC10" i="10"/>
  <c r="KQ10" i="18"/>
  <c r="AD10" i="10"/>
  <c r="KR10" i="18"/>
  <c r="AE10" i="10"/>
  <c r="KS10" i="18"/>
  <c r="AF10" i="10"/>
  <c r="KT10" i="18"/>
  <c r="AG10" i="10"/>
  <c r="KU10" i="18"/>
  <c r="AH10" i="10"/>
  <c r="KV10" i="18"/>
  <c r="AI10" i="10"/>
  <c r="KW10" i="18"/>
  <c r="AJ10" i="10"/>
  <c r="JS10" i="18"/>
  <c r="F10" i="10"/>
  <c r="AK10" i="10"/>
  <c r="KY10" i="18"/>
  <c r="G10" i="11"/>
  <c r="KZ10" i="18"/>
  <c r="H10" i="11"/>
  <c r="LA10" i="18"/>
  <c r="I10" i="11"/>
  <c r="LB10" i="18"/>
  <c r="J10" i="11"/>
  <c r="LC10" i="18"/>
  <c r="K10" i="11"/>
  <c r="LD10" i="18"/>
  <c r="L10" i="11"/>
  <c r="LE10" i="18"/>
  <c r="M10" i="11"/>
  <c r="LF10" i="18"/>
  <c r="N10" i="11"/>
  <c r="LG10" i="18"/>
  <c r="O10" i="11"/>
  <c r="LH10" i="18"/>
  <c r="P10" i="11"/>
  <c r="LI10" i="18"/>
  <c r="Q10" i="11"/>
  <c r="LJ10" i="18"/>
  <c r="R10" i="11"/>
  <c r="LK10" i="18"/>
  <c r="S10" i="11"/>
  <c r="LL10" i="18"/>
  <c r="T10" i="11"/>
  <c r="LM10" i="18"/>
  <c r="U10" i="11"/>
  <c r="LN10" i="18"/>
  <c r="V10" i="11"/>
  <c r="LO10" i="18"/>
  <c r="W10" i="11"/>
  <c r="LP10" i="18"/>
  <c r="X10" i="11"/>
  <c r="LQ10" i="18"/>
  <c r="Y10" i="11"/>
  <c r="LR10" i="18"/>
  <c r="Z10" i="11"/>
  <c r="LS10" i="18"/>
  <c r="AA10" i="11"/>
  <c r="LT10" i="18"/>
  <c r="AB10" i="11"/>
  <c r="LU10" i="18"/>
  <c r="AC10" i="11"/>
  <c r="LV10" i="18"/>
  <c r="AD10" i="11"/>
  <c r="LW10" i="18"/>
  <c r="AE10" i="11"/>
  <c r="LX10" i="18"/>
  <c r="AF10" i="11"/>
  <c r="LY10" i="18"/>
  <c r="AG10" i="11"/>
  <c r="LZ10" i="18"/>
  <c r="AH10" i="11"/>
  <c r="MA10" i="18"/>
  <c r="AI10" i="11"/>
  <c r="KX10" i="18"/>
  <c r="F10" i="11"/>
  <c r="AK10" i="11"/>
  <c r="MC10" i="18"/>
  <c r="G10" i="12"/>
  <c r="MD10" i="18"/>
  <c r="H10" i="12"/>
  <c r="ME10" i="18"/>
  <c r="I10" i="12"/>
  <c r="MF10" i="18"/>
  <c r="J10" i="12"/>
  <c r="MG10" i="18"/>
  <c r="K10" i="12"/>
  <c r="MH10" i="18"/>
  <c r="L10" i="12"/>
  <c r="MI10" i="18"/>
  <c r="M10" i="12"/>
  <c r="MJ10" i="18"/>
  <c r="N10" i="12"/>
  <c r="MK10" i="18"/>
  <c r="O10" i="12"/>
  <c r="ML10" i="18"/>
  <c r="P10" i="12"/>
  <c r="MM10" i="18"/>
  <c r="Q10" i="12"/>
  <c r="MN10" i="18"/>
  <c r="R10" i="12"/>
  <c r="MO10" i="18"/>
  <c r="S10" i="12"/>
  <c r="MP10" i="18"/>
  <c r="T10" i="12"/>
  <c r="MQ10" i="18"/>
  <c r="U10" i="12"/>
  <c r="MR10" i="18"/>
  <c r="V10" i="12"/>
  <c r="MS10" i="18"/>
  <c r="W10" i="12"/>
  <c r="MT10" i="18"/>
  <c r="X10" i="12"/>
  <c r="MU10" i="18"/>
  <c r="Y10" i="12"/>
  <c r="MV10" i="18"/>
  <c r="Z10" i="12"/>
  <c r="MW10" i="18"/>
  <c r="AA10" i="12"/>
  <c r="MX10" i="18"/>
  <c r="AB10" i="12"/>
  <c r="MY10" i="18"/>
  <c r="AC10" i="12"/>
  <c r="MZ10" i="18"/>
  <c r="AD10" i="12"/>
  <c r="NA10" i="18"/>
  <c r="AE10" i="12"/>
  <c r="NB10" i="18"/>
  <c r="AF10" i="12"/>
  <c r="NC10" i="18"/>
  <c r="AG10" i="12"/>
  <c r="ND10" i="18"/>
  <c r="AH10" i="12"/>
  <c r="NE10" i="18"/>
  <c r="AI10" i="12"/>
  <c r="NF10" i="18"/>
  <c r="AJ10" i="12"/>
  <c r="MB10" i="18"/>
  <c r="F10" i="12"/>
  <c r="AK10" i="12"/>
  <c r="P6" i="13"/>
  <c r="G9" i="18"/>
  <c r="H9" i="18"/>
  <c r="I9" i="18"/>
  <c r="J9" i="18"/>
  <c r="K9" i="18"/>
  <c r="L9" i="18"/>
  <c r="M9" i="18"/>
  <c r="N9" i="18"/>
  <c r="O9" i="18"/>
  <c r="P9" i="18"/>
  <c r="Q9" i="18"/>
  <c r="R9" i="18"/>
  <c r="S9" i="18"/>
  <c r="T9" i="18"/>
  <c r="U9" i="18"/>
  <c r="V9" i="18"/>
  <c r="W9" i="18"/>
  <c r="X9" i="18"/>
  <c r="Y9" i="18"/>
  <c r="Z9" i="18"/>
  <c r="AA9" i="18"/>
  <c r="AB9" i="18"/>
  <c r="AC9" i="18"/>
  <c r="AD9" i="18"/>
  <c r="AE9" i="18"/>
  <c r="AF9" i="18"/>
  <c r="AG9" i="18"/>
  <c r="AH9" i="18"/>
  <c r="AI9" i="18"/>
  <c r="AJ9" i="18"/>
  <c r="F9" i="18"/>
  <c r="AL9" i="18"/>
  <c r="G9" i="2"/>
  <c r="AM9" i="18"/>
  <c r="H9" i="2"/>
  <c r="AN9" i="18"/>
  <c r="I9" i="2"/>
  <c r="AO9" i="18"/>
  <c r="J9" i="2"/>
  <c r="AP9" i="18"/>
  <c r="K9" i="2"/>
  <c r="AQ9" i="18"/>
  <c r="L9" i="2"/>
  <c r="AR9" i="18"/>
  <c r="M9" i="2"/>
  <c r="AS9" i="18"/>
  <c r="N9" i="2"/>
  <c r="AT9" i="18"/>
  <c r="O9" i="2"/>
  <c r="AU9" i="18"/>
  <c r="P9" i="2"/>
  <c r="AV9" i="18"/>
  <c r="Q9" i="2"/>
  <c r="AW9" i="18"/>
  <c r="R9" i="2"/>
  <c r="AX9" i="18"/>
  <c r="S9" i="2"/>
  <c r="AY9" i="18"/>
  <c r="T9" i="2"/>
  <c r="AZ9" i="18"/>
  <c r="U9" i="2"/>
  <c r="BA9" i="18"/>
  <c r="V9" i="2"/>
  <c r="BB9" i="18"/>
  <c r="W9" i="2"/>
  <c r="BC9" i="18"/>
  <c r="X9" i="2"/>
  <c r="BD9" i="18"/>
  <c r="Y9" i="2"/>
  <c r="BE9" i="18"/>
  <c r="Z9" i="2"/>
  <c r="BF9" i="18"/>
  <c r="AA9" i="2"/>
  <c r="BG9" i="18"/>
  <c r="AB9" i="2"/>
  <c r="BH9" i="18"/>
  <c r="AC9" i="2"/>
  <c r="BI9" i="18"/>
  <c r="AD9" i="2"/>
  <c r="BJ9" i="18"/>
  <c r="AE9" i="2"/>
  <c r="BK9" i="18"/>
  <c r="AF9" i="2"/>
  <c r="BL9" i="18"/>
  <c r="AG9" i="2"/>
  <c r="AI9" i="2"/>
  <c r="AK9" i="18"/>
  <c r="F9" i="2"/>
  <c r="AJ9" i="2"/>
  <c r="BN9" i="18"/>
  <c r="G9" i="3"/>
  <c r="BO9" i="18"/>
  <c r="H9" i="3"/>
  <c r="BP9" i="18"/>
  <c r="I9" i="3"/>
  <c r="BQ9" i="18"/>
  <c r="J9" i="3"/>
  <c r="BR9" i="18"/>
  <c r="K9" i="3"/>
  <c r="BS9" i="18"/>
  <c r="L9" i="3"/>
  <c r="BT9" i="18"/>
  <c r="M9" i="3"/>
  <c r="BU9" i="18"/>
  <c r="N9" i="3"/>
  <c r="BV9" i="18"/>
  <c r="O9" i="3"/>
  <c r="BW9" i="18"/>
  <c r="P9" i="3"/>
  <c r="BX9" i="18"/>
  <c r="Q9" i="3"/>
  <c r="BY9" i="18"/>
  <c r="R9" i="3"/>
  <c r="BZ9" i="18"/>
  <c r="S9" i="3"/>
  <c r="CA9" i="18"/>
  <c r="T9" i="3"/>
  <c r="CB9" i="18"/>
  <c r="U9" i="3"/>
  <c r="CC9" i="18"/>
  <c r="V9" i="3"/>
  <c r="CD9" i="18"/>
  <c r="W9" i="3"/>
  <c r="CE9" i="18"/>
  <c r="X9" i="3"/>
  <c r="CF9" i="18"/>
  <c r="Y9" i="3"/>
  <c r="CG9" i="18"/>
  <c r="Z9" i="3"/>
  <c r="CH9" i="18"/>
  <c r="AA9" i="3"/>
  <c r="CI9" i="18"/>
  <c r="AB9" i="3"/>
  <c r="CJ9" i="18"/>
  <c r="AC9" i="3"/>
  <c r="CK9" i="18"/>
  <c r="AD9" i="3"/>
  <c r="CL9" i="18"/>
  <c r="AE9" i="3"/>
  <c r="CM9" i="18"/>
  <c r="AF9" i="3"/>
  <c r="CN9" i="18"/>
  <c r="AG9" i="3"/>
  <c r="CO9" i="18"/>
  <c r="AH9" i="3"/>
  <c r="CP9" i="18"/>
  <c r="AI9" i="3"/>
  <c r="CQ9" i="18"/>
  <c r="AJ9" i="3"/>
  <c r="BM9" i="18"/>
  <c r="F9" i="3"/>
  <c r="AK9" i="3"/>
  <c r="CS9" i="18"/>
  <c r="G9" i="4"/>
  <c r="CT9" i="18"/>
  <c r="H9" i="4"/>
  <c r="CU9" i="18"/>
  <c r="I9" i="4"/>
  <c r="CV9" i="18"/>
  <c r="J9" i="4"/>
  <c r="CW9" i="18"/>
  <c r="K9" i="4"/>
  <c r="CX9" i="18"/>
  <c r="L9" i="4"/>
  <c r="CY9" i="18"/>
  <c r="M9" i="4"/>
  <c r="CZ9" i="18"/>
  <c r="N9" i="4"/>
  <c r="DA9" i="18"/>
  <c r="O9" i="4"/>
  <c r="DB9" i="18"/>
  <c r="P9" i="4"/>
  <c r="DC9" i="18"/>
  <c r="Q9" i="4"/>
  <c r="DD9" i="18"/>
  <c r="R9" i="4"/>
  <c r="DE9" i="18"/>
  <c r="S9" i="4"/>
  <c r="DF9" i="18"/>
  <c r="T9" i="4"/>
  <c r="DG9" i="18"/>
  <c r="U9" i="4"/>
  <c r="DH9" i="18"/>
  <c r="V9" i="4"/>
  <c r="DI9" i="18"/>
  <c r="W9" i="4"/>
  <c r="DJ9" i="18"/>
  <c r="X9" i="4"/>
  <c r="DK9" i="18"/>
  <c r="Y9" i="4"/>
  <c r="DL9" i="18"/>
  <c r="Z9" i="4"/>
  <c r="DM9" i="18"/>
  <c r="AA9" i="4"/>
  <c r="DN9" i="18"/>
  <c r="AB9" i="4"/>
  <c r="DO9" i="18"/>
  <c r="AC9" i="4"/>
  <c r="DP9" i="18"/>
  <c r="AD9" i="4"/>
  <c r="DQ9" i="18"/>
  <c r="AE9" i="4"/>
  <c r="DR9" i="18"/>
  <c r="AF9" i="4"/>
  <c r="DS9" i="18"/>
  <c r="AG9" i="4"/>
  <c r="DT9" i="18"/>
  <c r="AH9" i="4"/>
  <c r="DU9" i="18"/>
  <c r="AI9" i="4"/>
  <c r="CR9" i="18"/>
  <c r="F9" i="4"/>
  <c r="AK9" i="4"/>
  <c r="DW9" i="18"/>
  <c r="G9" i="5"/>
  <c r="DX9" i="18"/>
  <c r="H9" i="5"/>
  <c r="DY9" i="18"/>
  <c r="I9" i="5"/>
  <c r="DZ9" i="18"/>
  <c r="J9" i="5"/>
  <c r="EA9" i="18"/>
  <c r="K9" i="5"/>
  <c r="EB9" i="18"/>
  <c r="L9" i="5"/>
  <c r="EC9" i="18"/>
  <c r="M9" i="5"/>
  <c r="ED9" i="18"/>
  <c r="N9" i="5"/>
  <c r="EE9" i="18"/>
  <c r="O9" i="5"/>
  <c r="EF9" i="18"/>
  <c r="P9" i="5"/>
  <c r="EG9" i="18"/>
  <c r="Q9" i="5"/>
  <c r="EH9" i="18"/>
  <c r="R9" i="5"/>
  <c r="EI9" i="18"/>
  <c r="S9" i="5"/>
  <c r="EJ9" i="18"/>
  <c r="T9" i="5"/>
  <c r="EK9" i="18"/>
  <c r="U9" i="5"/>
  <c r="EL9" i="18"/>
  <c r="V9" i="5"/>
  <c r="EM9" i="18"/>
  <c r="W9" i="5"/>
  <c r="EN9" i="18"/>
  <c r="X9" i="5"/>
  <c r="EO9" i="18"/>
  <c r="Y9" i="5"/>
  <c r="EP9" i="18"/>
  <c r="Z9" i="5"/>
  <c r="EQ9" i="18"/>
  <c r="AA9" i="5"/>
  <c r="ER9" i="18"/>
  <c r="AB9" i="5"/>
  <c r="ES9" i="18"/>
  <c r="AC9" i="5"/>
  <c r="ET9" i="18"/>
  <c r="AD9" i="5"/>
  <c r="EU9" i="18"/>
  <c r="AE9" i="5"/>
  <c r="EV9" i="18"/>
  <c r="AF9" i="5"/>
  <c r="EW9" i="18"/>
  <c r="AG9" i="5"/>
  <c r="EX9" i="18"/>
  <c r="AH9" i="5"/>
  <c r="EY9" i="18"/>
  <c r="AI9" i="5"/>
  <c r="EZ9" i="18"/>
  <c r="AJ9" i="5"/>
  <c r="DV9" i="18"/>
  <c r="F9" i="5"/>
  <c r="AK9" i="5"/>
  <c r="FB9" i="18"/>
  <c r="G9" i="6"/>
  <c r="FC9" i="18"/>
  <c r="H9" i="6"/>
  <c r="FD9" i="18"/>
  <c r="I9" i="6"/>
  <c r="FE9" i="18"/>
  <c r="J9" i="6"/>
  <c r="FF9" i="18"/>
  <c r="K9" i="6"/>
  <c r="FG9" i="18"/>
  <c r="L9" i="6"/>
  <c r="FH9" i="18"/>
  <c r="M9" i="6"/>
  <c r="FI9" i="18"/>
  <c r="N9" i="6"/>
  <c r="FJ9" i="18"/>
  <c r="O9" i="6"/>
  <c r="FK9" i="18"/>
  <c r="P9" i="6"/>
  <c r="FL9" i="18"/>
  <c r="Q9" i="6"/>
  <c r="FM9" i="18"/>
  <c r="R9" i="6"/>
  <c r="FN9" i="18"/>
  <c r="S9" i="6"/>
  <c r="FO9" i="18"/>
  <c r="T9" i="6"/>
  <c r="FP9" i="18"/>
  <c r="U9" i="6"/>
  <c r="FQ9" i="18"/>
  <c r="V9" i="6"/>
  <c r="FR9" i="18"/>
  <c r="W9" i="6"/>
  <c r="FS9" i="18"/>
  <c r="X9" i="6"/>
  <c r="FT9" i="18"/>
  <c r="Y9" i="6"/>
  <c r="FU9" i="18"/>
  <c r="Z9" i="6"/>
  <c r="FV9" i="18"/>
  <c r="AA9" i="6"/>
  <c r="FW9" i="18"/>
  <c r="AB9" i="6"/>
  <c r="FX9" i="18"/>
  <c r="AC9" i="6"/>
  <c r="FY9" i="18"/>
  <c r="AD9" i="6"/>
  <c r="FZ9" i="18"/>
  <c r="AE9" i="6"/>
  <c r="GA9" i="18"/>
  <c r="AF9" i="6"/>
  <c r="GB9" i="18"/>
  <c r="AG9" i="6"/>
  <c r="GC9" i="18"/>
  <c r="AH9" i="6"/>
  <c r="GD9" i="18"/>
  <c r="AI9" i="6"/>
  <c r="FA9" i="18"/>
  <c r="F9" i="6"/>
  <c r="AK9" i="6"/>
  <c r="GF9" i="18"/>
  <c r="G9" i="7"/>
  <c r="GG9" i="18"/>
  <c r="H9" i="7"/>
  <c r="GH9" i="18"/>
  <c r="I9" i="7"/>
  <c r="GI9" i="18"/>
  <c r="J9" i="7"/>
  <c r="GJ9" i="18"/>
  <c r="K9" i="7"/>
  <c r="GK9" i="18"/>
  <c r="L9" i="7"/>
  <c r="GL9" i="18"/>
  <c r="M9" i="7"/>
  <c r="GM9" i="18"/>
  <c r="N9" i="7"/>
  <c r="GN9" i="18"/>
  <c r="O9" i="7"/>
  <c r="GO9" i="18"/>
  <c r="P9" i="7"/>
  <c r="GP9" i="18"/>
  <c r="Q9" i="7"/>
  <c r="GQ9" i="18"/>
  <c r="R9" i="7"/>
  <c r="GR9" i="18"/>
  <c r="S9" i="7"/>
  <c r="GS9" i="18"/>
  <c r="T9" i="7"/>
  <c r="GT9" i="18"/>
  <c r="U9" i="7"/>
  <c r="GU9" i="18"/>
  <c r="V9" i="7"/>
  <c r="GV9" i="18"/>
  <c r="W9" i="7"/>
  <c r="GW9" i="18"/>
  <c r="X9" i="7"/>
  <c r="GX9" i="18"/>
  <c r="Y9" i="7"/>
  <c r="GY9" i="18"/>
  <c r="Z9" i="7"/>
  <c r="GZ9" i="18"/>
  <c r="AA9" i="7"/>
  <c r="HA9" i="18"/>
  <c r="AB9" i="7"/>
  <c r="HB9" i="18"/>
  <c r="AC9" i="7"/>
  <c r="HC9" i="18"/>
  <c r="AD9" i="7"/>
  <c r="HD9" i="18"/>
  <c r="AE9" i="7"/>
  <c r="HE9" i="18"/>
  <c r="AF9" i="7"/>
  <c r="HF9" i="18"/>
  <c r="AG9" i="7"/>
  <c r="HG9" i="18"/>
  <c r="AH9" i="7"/>
  <c r="HH9" i="18"/>
  <c r="AI9" i="7"/>
  <c r="HI9" i="18"/>
  <c r="AJ9" i="7"/>
  <c r="GE9" i="18"/>
  <c r="F9" i="7"/>
  <c r="AK9" i="7"/>
  <c r="HK9" i="18"/>
  <c r="G9" i="8"/>
  <c r="HL9" i="18"/>
  <c r="H9" i="8"/>
  <c r="HM9" i="18"/>
  <c r="I9" i="8"/>
  <c r="HN9" i="18"/>
  <c r="J9" i="8"/>
  <c r="HO9" i="18"/>
  <c r="K9" i="8"/>
  <c r="HP9" i="18"/>
  <c r="L9" i="8"/>
  <c r="HQ9" i="18"/>
  <c r="M9" i="8"/>
  <c r="HR9" i="18"/>
  <c r="N9" i="8"/>
  <c r="HS9" i="18"/>
  <c r="O9" i="8"/>
  <c r="HT9" i="18"/>
  <c r="P9" i="8"/>
  <c r="HU9" i="18"/>
  <c r="Q9" i="8"/>
  <c r="HV9" i="18"/>
  <c r="R9" i="8"/>
  <c r="HW9" i="18"/>
  <c r="S9" i="8"/>
  <c r="HX9" i="18"/>
  <c r="T9" i="8"/>
  <c r="HY9" i="18"/>
  <c r="U9" i="8"/>
  <c r="HZ9" i="18"/>
  <c r="V9" i="8"/>
  <c r="IA9" i="18"/>
  <c r="W9" i="8"/>
  <c r="IB9" i="18"/>
  <c r="X9" i="8"/>
  <c r="IC9" i="18"/>
  <c r="Y9" i="8"/>
  <c r="ID9" i="18"/>
  <c r="Z9" i="8"/>
  <c r="IE9" i="18"/>
  <c r="AA9" i="8"/>
  <c r="IF9" i="18"/>
  <c r="AB9" i="8"/>
  <c r="IG9" i="18"/>
  <c r="AC9" i="8"/>
  <c r="IH9" i="18"/>
  <c r="AD9" i="8"/>
  <c r="II9" i="18"/>
  <c r="AE9" i="8"/>
  <c r="IJ9" i="18"/>
  <c r="AF9" i="8"/>
  <c r="IK9" i="18"/>
  <c r="AG9" i="8"/>
  <c r="IL9" i="18"/>
  <c r="AH9" i="8"/>
  <c r="IM9" i="18"/>
  <c r="AI9" i="8"/>
  <c r="IN9" i="18"/>
  <c r="AJ9" i="8"/>
  <c r="HJ9" i="18"/>
  <c r="F9" i="8"/>
  <c r="AK9" i="8"/>
  <c r="IP9" i="18"/>
  <c r="G9" i="9"/>
  <c r="IQ9" i="18"/>
  <c r="H9" i="9"/>
  <c r="IR9" i="18"/>
  <c r="I9" i="9"/>
  <c r="IS9" i="18"/>
  <c r="J9" i="9"/>
  <c r="IT9" i="18"/>
  <c r="K9" i="9"/>
  <c r="IU9" i="18"/>
  <c r="L9" i="9"/>
  <c r="IV9" i="18"/>
  <c r="M9" i="9"/>
  <c r="IW9" i="18"/>
  <c r="N9" i="9"/>
  <c r="IX9" i="18"/>
  <c r="O9" i="9"/>
  <c r="IY9" i="18"/>
  <c r="P9" i="9"/>
  <c r="IZ9" i="18"/>
  <c r="Q9" i="9"/>
  <c r="JA9" i="18"/>
  <c r="R9" i="9"/>
  <c r="JB9" i="18"/>
  <c r="S9" i="9"/>
  <c r="JC9" i="18"/>
  <c r="T9" i="9"/>
  <c r="JD9" i="18"/>
  <c r="U9" i="9"/>
  <c r="JE9" i="18"/>
  <c r="V9" i="9"/>
  <c r="JF9" i="18"/>
  <c r="W9" i="9"/>
  <c r="JG9" i="18"/>
  <c r="X9" i="9"/>
  <c r="JH9" i="18"/>
  <c r="Y9" i="9"/>
  <c r="JI9" i="18"/>
  <c r="Z9" i="9"/>
  <c r="JJ9" i="18"/>
  <c r="AA9" i="9"/>
  <c r="JK9" i="18"/>
  <c r="AB9" i="9"/>
  <c r="JL9" i="18"/>
  <c r="AC9" i="9"/>
  <c r="JM9" i="18"/>
  <c r="AD9" i="9"/>
  <c r="JN9" i="18"/>
  <c r="AE9" i="9"/>
  <c r="JO9" i="18"/>
  <c r="AF9" i="9"/>
  <c r="JP9" i="18"/>
  <c r="AG9" i="9"/>
  <c r="JQ9" i="18"/>
  <c r="AH9" i="9"/>
  <c r="JR9" i="18"/>
  <c r="AI9" i="9"/>
  <c r="IO9" i="18"/>
  <c r="F9" i="9"/>
  <c r="AK9" i="9"/>
  <c r="JT9" i="18"/>
  <c r="G9" i="10"/>
  <c r="JU9" i="18"/>
  <c r="H9" i="10"/>
  <c r="JV9" i="18"/>
  <c r="I9" i="10"/>
  <c r="JW9" i="18"/>
  <c r="J9" i="10"/>
  <c r="JX9" i="18"/>
  <c r="K9" i="10"/>
  <c r="JY9" i="18"/>
  <c r="L9" i="10"/>
  <c r="JZ9" i="18"/>
  <c r="M9" i="10"/>
  <c r="KA9" i="18"/>
  <c r="N9" i="10"/>
  <c r="KB9" i="18"/>
  <c r="O9" i="10"/>
  <c r="KC9" i="18"/>
  <c r="P9" i="10"/>
  <c r="KD9" i="18"/>
  <c r="Q9" i="10"/>
  <c r="KE9" i="18"/>
  <c r="R9" i="10"/>
  <c r="KF9" i="18"/>
  <c r="S9" i="10"/>
  <c r="KG9" i="18"/>
  <c r="T9" i="10"/>
  <c r="KH9" i="18"/>
  <c r="U9" i="10"/>
  <c r="KI9" i="18"/>
  <c r="V9" i="10"/>
  <c r="KJ9" i="18"/>
  <c r="W9" i="10"/>
  <c r="KK9" i="18"/>
  <c r="X9" i="10"/>
  <c r="KL9" i="18"/>
  <c r="Y9" i="10"/>
  <c r="KM9" i="18"/>
  <c r="Z9" i="10"/>
  <c r="KN9" i="18"/>
  <c r="AA9" i="10"/>
  <c r="KO9" i="18"/>
  <c r="AB9" i="10"/>
  <c r="KP9" i="18"/>
  <c r="AC9" i="10"/>
  <c r="KQ9" i="18"/>
  <c r="AD9" i="10"/>
  <c r="KR9" i="18"/>
  <c r="AE9" i="10"/>
  <c r="KS9" i="18"/>
  <c r="AF9" i="10"/>
  <c r="KT9" i="18"/>
  <c r="AG9" i="10"/>
  <c r="KU9" i="18"/>
  <c r="AH9" i="10"/>
  <c r="KV9" i="18"/>
  <c r="AI9" i="10"/>
  <c r="KW9" i="18"/>
  <c r="AJ9" i="10"/>
  <c r="JS9" i="18"/>
  <c r="F9" i="10"/>
  <c r="AK9" i="10"/>
  <c r="KY9" i="18"/>
  <c r="G9" i="11"/>
  <c r="KZ9" i="18"/>
  <c r="H9" i="11"/>
  <c r="LA9" i="18"/>
  <c r="I9" i="11"/>
  <c r="LB9" i="18"/>
  <c r="J9" i="11"/>
  <c r="LC9" i="18"/>
  <c r="K9" i="11"/>
  <c r="LD9" i="18"/>
  <c r="L9" i="11"/>
  <c r="LE9" i="18"/>
  <c r="M9" i="11"/>
  <c r="LF9" i="18"/>
  <c r="N9" i="11"/>
  <c r="LG9" i="18"/>
  <c r="O9" i="11"/>
  <c r="LH9" i="18"/>
  <c r="P9" i="11"/>
  <c r="LI9" i="18"/>
  <c r="Q9" i="11"/>
  <c r="LJ9" i="18"/>
  <c r="R9" i="11"/>
  <c r="LK9" i="18"/>
  <c r="S9" i="11"/>
  <c r="LL9" i="18"/>
  <c r="T9" i="11"/>
  <c r="LM9" i="18"/>
  <c r="U9" i="11"/>
  <c r="LN9" i="18"/>
  <c r="V9" i="11"/>
  <c r="LO9" i="18"/>
  <c r="W9" i="11"/>
  <c r="LP9" i="18"/>
  <c r="X9" i="11"/>
  <c r="LQ9" i="18"/>
  <c r="Y9" i="11"/>
  <c r="LR9" i="18"/>
  <c r="Z9" i="11"/>
  <c r="LS9" i="18"/>
  <c r="AA9" i="11"/>
  <c r="LT9" i="18"/>
  <c r="AB9" i="11"/>
  <c r="LU9" i="18"/>
  <c r="AC9" i="11"/>
  <c r="LV9" i="18"/>
  <c r="AD9" i="11"/>
  <c r="LW9" i="18"/>
  <c r="AE9" i="11"/>
  <c r="LX9" i="18"/>
  <c r="AF9" i="11"/>
  <c r="LY9" i="18"/>
  <c r="AG9" i="11"/>
  <c r="LZ9" i="18"/>
  <c r="AH9" i="11"/>
  <c r="MA9" i="18"/>
  <c r="AI9" i="11"/>
  <c r="KX9" i="18"/>
  <c r="F9" i="11"/>
  <c r="AK9" i="11"/>
  <c r="MC9" i="18"/>
  <c r="G9" i="12"/>
  <c r="MD9" i="18"/>
  <c r="H9" i="12"/>
  <c r="ME9" i="18"/>
  <c r="I9" i="12"/>
  <c r="MF9" i="18"/>
  <c r="J9" i="12"/>
  <c r="MG9" i="18"/>
  <c r="K9" i="12"/>
  <c r="MH9" i="18"/>
  <c r="L9" i="12"/>
  <c r="MI9" i="18"/>
  <c r="M9" i="12"/>
  <c r="MJ9" i="18"/>
  <c r="N9" i="12"/>
  <c r="MK9" i="18"/>
  <c r="O9" i="12"/>
  <c r="ML9" i="18"/>
  <c r="P9" i="12"/>
  <c r="MM9" i="18"/>
  <c r="Q9" i="12"/>
  <c r="MN9" i="18"/>
  <c r="R9" i="12"/>
  <c r="MO9" i="18"/>
  <c r="S9" i="12"/>
  <c r="MP9" i="18"/>
  <c r="T9" i="12"/>
  <c r="MQ9" i="18"/>
  <c r="U9" i="12"/>
  <c r="MR9" i="18"/>
  <c r="V9" i="12"/>
  <c r="MS9" i="18"/>
  <c r="W9" i="12"/>
  <c r="MT9" i="18"/>
  <c r="X9" i="12"/>
  <c r="MU9" i="18"/>
  <c r="Y9" i="12"/>
  <c r="MV9" i="18"/>
  <c r="Z9" i="12"/>
  <c r="MW9" i="18"/>
  <c r="AA9" i="12"/>
  <c r="MX9" i="18"/>
  <c r="AB9" i="12"/>
  <c r="MY9" i="18"/>
  <c r="AC9" i="12"/>
  <c r="MZ9" i="18"/>
  <c r="AD9" i="12"/>
  <c r="NA9" i="18"/>
  <c r="AE9" i="12"/>
  <c r="NB9" i="18"/>
  <c r="AF9" i="12"/>
  <c r="NC9" i="18"/>
  <c r="AG9" i="12"/>
  <c r="ND9" i="18"/>
  <c r="AH9" i="12"/>
  <c r="NE9" i="18"/>
  <c r="AI9" i="12"/>
  <c r="NF9" i="18"/>
  <c r="AJ9" i="12"/>
  <c r="MB9" i="18"/>
  <c r="F9" i="12"/>
  <c r="AK9" i="12"/>
  <c r="P5" i="13"/>
  <c r="G8" i="18"/>
  <c r="H8" i="18"/>
  <c r="I8" i="18"/>
  <c r="J8" i="18"/>
  <c r="K8" i="18"/>
  <c r="L8" i="18"/>
  <c r="M8" i="18"/>
  <c r="N8" i="18"/>
  <c r="O8" i="18"/>
  <c r="P8" i="18"/>
  <c r="Q8" i="18"/>
  <c r="R8" i="18"/>
  <c r="S8" i="18"/>
  <c r="T8" i="18"/>
  <c r="U8" i="18"/>
  <c r="V8" i="18"/>
  <c r="W8" i="18"/>
  <c r="X8" i="18"/>
  <c r="Y8" i="18"/>
  <c r="Z8" i="18"/>
  <c r="AA8" i="18"/>
  <c r="AB8" i="18"/>
  <c r="AC8" i="18"/>
  <c r="AD8" i="18"/>
  <c r="AE8" i="18"/>
  <c r="AF8" i="18"/>
  <c r="AG8" i="18"/>
  <c r="AH8" i="18"/>
  <c r="AI8" i="18"/>
  <c r="AJ8" i="18"/>
  <c r="F8" i="18"/>
  <c r="AL8" i="18"/>
  <c r="G8" i="2"/>
  <c r="AM8" i="18"/>
  <c r="H8" i="2"/>
  <c r="AN8" i="18"/>
  <c r="I8" i="2"/>
  <c r="AO8" i="18"/>
  <c r="J8" i="2"/>
  <c r="AP8" i="18"/>
  <c r="K8" i="2"/>
  <c r="AQ8" i="18"/>
  <c r="L8" i="2"/>
  <c r="AR8" i="18"/>
  <c r="M8" i="2"/>
  <c r="AS8" i="18"/>
  <c r="N8" i="2"/>
  <c r="AT8" i="18"/>
  <c r="O8" i="2"/>
  <c r="AU8" i="18"/>
  <c r="P8" i="2"/>
  <c r="AV8" i="18"/>
  <c r="Q8" i="2"/>
  <c r="AW8" i="18"/>
  <c r="R8" i="2"/>
  <c r="AX8" i="18"/>
  <c r="S8" i="2"/>
  <c r="AY8" i="18"/>
  <c r="T8" i="2"/>
  <c r="AZ8" i="18"/>
  <c r="U8" i="2"/>
  <c r="BA8" i="18"/>
  <c r="V8" i="2"/>
  <c r="BB8" i="18"/>
  <c r="W8" i="2"/>
  <c r="BC8" i="18"/>
  <c r="X8" i="2"/>
  <c r="BD8" i="18"/>
  <c r="Y8" i="2"/>
  <c r="BE8" i="18"/>
  <c r="Z8" i="2"/>
  <c r="BF8" i="18"/>
  <c r="AA8" i="2"/>
  <c r="BG8" i="18"/>
  <c r="AB8" i="2"/>
  <c r="BH8" i="18"/>
  <c r="AC8" i="2"/>
  <c r="BI8" i="18"/>
  <c r="AD8" i="2"/>
  <c r="BJ8" i="18"/>
  <c r="AE8" i="2"/>
  <c r="BK8" i="18"/>
  <c r="AF8" i="2"/>
  <c r="BL8" i="18"/>
  <c r="AG8" i="2"/>
  <c r="AI8" i="2"/>
  <c r="AK8" i="18"/>
  <c r="F8" i="2"/>
  <c r="AJ8" i="2"/>
  <c r="BN8" i="18"/>
  <c r="G8" i="3"/>
  <c r="BO8" i="18"/>
  <c r="H8" i="3"/>
  <c r="BP8" i="18"/>
  <c r="I8" i="3"/>
  <c r="BQ8" i="18"/>
  <c r="J8" i="3"/>
  <c r="BR8" i="18"/>
  <c r="K8" i="3"/>
  <c r="BS8" i="18"/>
  <c r="L8" i="3"/>
  <c r="BT8" i="18"/>
  <c r="M8" i="3"/>
  <c r="BU8" i="18"/>
  <c r="N8" i="3"/>
  <c r="BV8" i="18"/>
  <c r="O8" i="3"/>
  <c r="BW8" i="18"/>
  <c r="P8" i="3"/>
  <c r="BX8" i="18"/>
  <c r="Q8" i="3"/>
  <c r="BY8" i="18"/>
  <c r="R8" i="3"/>
  <c r="BZ8" i="18"/>
  <c r="S8" i="3"/>
  <c r="CA8" i="18"/>
  <c r="T8" i="3"/>
  <c r="CB8" i="18"/>
  <c r="U8" i="3"/>
  <c r="CC8" i="18"/>
  <c r="V8" i="3"/>
  <c r="CD8" i="18"/>
  <c r="W8" i="3"/>
  <c r="CE8" i="18"/>
  <c r="X8" i="3"/>
  <c r="CF8" i="18"/>
  <c r="Y8" i="3"/>
  <c r="CG8" i="18"/>
  <c r="Z8" i="3"/>
  <c r="CH8" i="18"/>
  <c r="AA8" i="3"/>
  <c r="CI8" i="18"/>
  <c r="AB8" i="3"/>
  <c r="CJ8" i="18"/>
  <c r="AC8" i="3"/>
  <c r="CK8" i="18"/>
  <c r="AD8" i="3"/>
  <c r="CL8" i="18"/>
  <c r="AE8" i="3"/>
  <c r="CM8" i="18"/>
  <c r="AF8" i="3"/>
  <c r="CN8" i="18"/>
  <c r="AG8" i="3"/>
  <c r="CO8" i="18"/>
  <c r="AH8" i="3"/>
  <c r="CP8" i="18"/>
  <c r="AI8" i="3"/>
  <c r="CQ8" i="18"/>
  <c r="AJ8" i="3"/>
  <c r="BM8" i="18"/>
  <c r="F8" i="3"/>
  <c r="AK8" i="3"/>
  <c r="CS8" i="18"/>
  <c r="G8" i="4"/>
  <c r="CT8" i="18"/>
  <c r="H8" i="4"/>
  <c r="CU8" i="18"/>
  <c r="I8" i="4"/>
  <c r="CV8" i="18"/>
  <c r="J8" i="4"/>
  <c r="CW8" i="18"/>
  <c r="K8" i="4"/>
  <c r="CX8" i="18"/>
  <c r="L8" i="4"/>
  <c r="CY8" i="18"/>
  <c r="M8" i="4"/>
  <c r="CZ8" i="18"/>
  <c r="N8" i="4"/>
  <c r="DA8" i="18"/>
  <c r="O8" i="4"/>
  <c r="DB8" i="18"/>
  <c r="P8" i="4"/>
  <c r="DC8" i="18"/>
  <c r="Q8" i="4"/>
  <c r="DD8" i="18"/>
  <c r="R8" i="4"/>
  <c r="DE8" i="18"/>
  <c r="S8" i="4"/>
  <c r="DF8" i="18"/>
  <c r="T8" i="4"/>
  <c r="DG8" i="18"/>
  <c r="U8" i="4"/>
  <c r="DH8" i="18"/>
  <c r="V8" i="4"/>
  <c r="DI8" i="18"/>
  <c r="W8" i="4"/>
  <c r="DJ8" i="18"/>
  <c r="X8" i="4"/>
  <c r="DK8" i="18"/>
  <c r="Y8" i="4"/>
  <c r="DL8" i="18"/>
  <c r="Z8" i="4"/>
  <c r="DM8" i="18"/>
  <c r="AA8" i="4"/>
  <c r="DN8" i="18"/>
  <c r="AB8" i="4"/>
  <c r="DO8" i="18"/>
  <c r="AC8" i="4"/>
  <c r="DP8" i="18"/>
  <c r="AD8" i="4"/>
  <c r="DQ8" i="18"/>
  <c r="AE8" i="4"/>
  <c r="DR8" i="18"/>
  <c r="AF8" i="4"/>
  <c r="DS8" i="18"/>
  <c r="AG8" i="4"/>
  <c r="DT8" i="18"/>
  <c r="AH8" i="4"/>
  <c r="DU8" i="18"/>
  <c r="AI8" i="4"/>
  <c r="CR8" i="18"/>
  <c r="F8" i="4"/>
  <c r="AK8" i="4"/>
  <c r="DW8" i="18"/>
  <c r="G8" i="5"/>
  <c r="DX8" i="18"/>
  <c r="H8" i="5"/>
  <c r="DY8" i="18"/>
  <c r="I8" i="5"/>
  <c r="DZ8" i="18"/>
  <c r="J8" i="5"/>
  <c r="EA8" i="18"/>
  <c r="K8" i="5"/>
  <c r="EB8" i="18"/>
  <c r="L8" i="5"/>
  <c r="EC8" i="18"/>
  <c r="M8" i="5"/>
  <c r="ED8" i="18"/>
  <c r="N8" i="5"/>
  <c r="EE8" i="18"/>
  <c r="O8" i="5"/>
  <c r="EF8" i="18"/>
  <c r="P8" i="5"/>
  <c r="EG8" i="18"/>
  <c r="Q8" i="5"/>
  <c r="EH8" i="18"/>
  <c r="R8" i="5"/>
  <c r="EI8" i="18"/>
  <c r="S8" i="5"/>
  <c r="EJ8" i="18"/>
  <c r="T8" i="5"/>
  <c r="EK8" i="18"/>
  <c r="U8" i="5"/>
  <c r="EL8" i="18"/>
  <c r="V8" i="5"/>
  <c r="EM8" i="18"/>
  <c r="W8" i="5"/>
  <c r="EN8" i="18"/>
  <c r="X8" i="5"/>
  <c r="EO8" i="18"/>
  <c r="Y8" i="5"/>
  <c r="EP8" i="18"/>
  <c r="Z8" i="5"/>
  <c r="EQ8" i="18"/>
  <c r="AA8" i="5"/>
  <c r="ER8" i="18"/>
  <c r="AB8" i="5"/>
  <c r="ES8" i="18"/>
  <c r="AC8" i="5"/>
  <c r="ET8" i="18"/>
  <c r="AD8" i="5"/>
  <c r="EU8" i="18"/>
  <c r="AE8" i="5"/>
  <c r="EV8" i="18"/>
  <c r="AF8" i="5"/>
  <c r="EW8" i="18"/>
  <c r="AG8" i="5"/>
  <c r="EX8" i="18"/>
  <c r="AH8" i="5"/>
  <c r="EY8" i="18"/>
  <c r="AI8" i="5"/>
  <c r="EZ8" i="18"/>
  <c r="AJ8" i="5"/>
  <c r="DV8" i="18"/>
  <c r="F8" i="5"/>
  <c r="AK8" i="5"/>
  <c r="FB8" i="18"/>
  <c r="G8" i="6"/>
  <c r="FC8" i="18"/>
  <c r="H8" i="6"/>
  <c r="FD8" i="18"/>
  <c r="I8" i="6"/>
  <c r="FE8" i="18"/>
  <c r="J8" i="6"/>
  <c r="FF8" i="18"/>
  <c r="K8" i="6"/>
  <c r="FG8" i="18"/>
  <c r="L8" i="6"/>
  <c r="FH8" i="18"/>
  <c r="M8" i="6"/>
  <c r="FI8" i="18"/>
  <c r="N8" i="6"/>
  <c r="FJ8" i="18"/>
  <c r="O8" i="6"/>
  <c r="FK8" i="18"/>
  <c r="P8" i="6"/>
  <c r="FL8" i="18"/>
  <c r="Q8" i="6"/>
  <c r="FM8" i="18"/>
  <c r="R8" i="6"/>
  <c r="FN8" i="18"/>
  <c r="S8" i="6"/>
  <c r="FO8" i="18"/>
  <c r="T8" i="6"/>
  <c r="FP8" i="18"/>
  <c r="U8" i="6"/>
  <c r="FQ8" i="18"/>
  <c r="V8" i="6"/>
  <c r="FR8" i="18"/>
  <c r="W8" i="6"/>
  <c r="FS8" i="18"/>
  <c r="X8" i="6"/>
  <c r="FT8" i="18"/>
  <c r="Y8" i="6"/>
  <c r="FU8" i="18"/>
  <c r="Z8" i="6"/>
  <c r="FV8" i="18"/>
  <c r="AA8" i="6"/>
  <c r="FW8" i="18"/>
  <c r="AB8" i="6"/>
  <c r="FX8" i="18"/>
  <c r="AC8" i="6"/>
  <c r="FY8" i="18"/>
  <c r="AD8" i="6"/>
  <c r="FZ8" i="18"/>
  <c r="AE8" i="6"/>
  <c r="GA8" i="18"/>
  <c r="AF8" i="6"/>
  <c r="GB8" i="18"/>
  <c r="AG8" i="6"/>
  <c r="GC8" i="18"/>
  <c r="AH8" i="6"/>
  <c r="GD8" i="18"/>
  <c r="AI8" i="6"/>
  <c r="FA8" i="18"/>
  <c r="F8" i="6"/>
  <c r="AK8" i="6"/>
  <c r="GF8" i="18"/>
  <c r="G8" i="7"/>
  <c r="GG8" i="18"/>
  <c r="H8" i="7"/>
  <c r="GH8" i="18"/>
  <c r="I8" i="7"/>
  <c r="GI8" i="18"/>
  <c r="J8" i="7"/>
  <c r="GJ8" i="18"/>
  <c r="K8" i="7"/>
  <c r="GK8" i="18"/>
  <c r="L8" i="7"/>
  <c r="GL8" i="18"/>
  <c r="M8" i="7"/>
  <c r="GM8" i="18"/>
  <c r="N8" i="7"/>
  <c r="GN8" i="18"/>
  <c r="O8" i="7"/>
  <c r="GO8" i="18"/>
  <c r="P8" i="7"/>
  <c r="GP8" i="18"/>
  <c r="Q8" i="7"/>
  <c r="GQ8" i="18"/>
  <c r="R8" i="7"/>
  <c r="GR8" i="18"/>
  <c r="S8" i="7"/>
  <c r="GS8" i="18"/>
  <c r="T8" i="7"/>
  <c r="GT8" i="18"/>
  <c r="U8" i="7"/>
  <c r="GU8" i="18"/>
  <c r="V8" i="7"/>
  <c r="GV8" i="18"/>
  <c r="W8" i="7"/>
  <c r="GW8" i="18"/>
  <c r="X8" i="7"/>
  <c r="GX8" i="18"/>
  <c r="Y8" i="7"/>
  <c r="GY8" i="18"/>
  <c r="Z8" i="7"/>
  <c r="GZ8" i="18"/>
  <c r="AA8" i="7"/>
  <c r="HA8" i="18"/>
  <c r="AB8" i="7"/>
  <c r="HB8" i="18"/>
  <c r="AC8" i="7"/>
  <c r="HC8" i="18"/>
  <c r="AD8" i="7"/>
  <c r="HD8" i="18"/>
  <c r="AE8" i="7"/>
  <c r="HE8" i="18"/>
  <c r="AF8" i="7"/>
  <c r="HF8" i="18"/>
  <c r="AG8" i="7"/>
  <c r="HG8" i="18"/>
  <c r="AH8" i="7"/>
  <c r="HH8" i="18"/>
  <c r="AI8" i="7"/>
  <c r="HI8" i="18"/>
  <c r="AJ8" i="7"/>
  <c r="GE8" i="18"/>
  <c r="F8" i="7"/>
  <c r="AK8" i="7"/>
  <c r="HK8" i="18"/>
  <c r="G8" i="8"/>
  <c r="HL8" i="18"/>
  <c r="H8" i="8"/>
  <c r="HM8" i="18"/>
  <c r="I8" i="8"/>
  <c r="HN8" i="18"/>
  <c r="J8" i="8"/>
  <c r="HO8" i="18"/>
  <c r="K8" i="8"/>
  <c r="HP8" i="18"/>
  <c r="L8" i="8"/>
  <c r="HQ8" i="18"/>
  <c r="M8" i="8"/>
  <c r="HR8" i="18"/>
  <c r="N8" i="8"/>
  <c r="HS8" i="18"/>
  <c r="O8" i="8"/>
  <c r="HT8" i="18"/>
  <c r="P8" i="8"/>
  <c r="HU8" i="18"/>
  <c r="Q8" i="8"/>
  <c r="HV8" i="18"/>
  <c r="R8" i="8"/>
  <c r="HW8" i="18"/>
  <c r="S8" i="8"/>
  <c r="HX8" i="18"/>
  <c r="T8" i="8"/>
  <c r="HY8" i="18"/>
  <c r="U8" i="8"/>
  <c r="HZ8" i="18"/>
  <c r="V8" i="8"/>
  <c r="IA8" i="18"/>
  <c r="W8" i="8"/>
  <c r="IB8" i="18"/>
  <c r="X8" i="8"/>
  <c r="IC8" i="18"/>
  <c r="Y8" i="8"/>
  <c r="ID8" i="18"/>
  <c r="Z8" i="8"/>
  <c r="IE8" i="18"/>
  <c r="AA8" i="8"/>
  <c r="IF8" i="18"/>
  <c r="AB8" i="8"/>
  <c r="IG8" i="18"/>
  <c r="AC8" i="8"/>
  <c r="IH8" i="18"/>
  <c r="AD8" i="8"/>
  <c r="II8" i="18"/>
  <c r="AE8" i="8"/>
  <c r="IJ8" i="18"/>
  <c r="AF8" i="8"/>
  <c r="IK8" i="18"/>
  <c r="AG8" i="8"/>
  <c r="IL8" i="18"/>
  <c r="AH8" i="8"/>
  <c r="IM8" i="18"/>
  <c r="AI8" i="8"/>
  <c r="IN8" i="18"/>
  <c r="AJ8" i="8"/>
  <c r="HJ8" i="18"/>
  <c r="F8" i="8"/>
  <c r="AK8" i="8"/>
  <c r="IP8" i="18"/>
  <c r="G8" i="9"/>
  <c r="IQ8" i="18"/>
  <c r="H8" i="9"/>
  <c r="IR8" i="18"/>
  <c r="I8" i="9"/>
  <c r="IS8" i="18"/>
  <c r="J8" i="9"/>
  <c r="IT8" i="18"/>
  <c r="K8" i="9"/>
  <c r="IU8" i="18"/>
  <c r="L8" i="9"/>
  <c r="IV8" i="18"/>
  <c r="M8" i="9"/>
  <c r="IW8" i="18"/>
  <c r="N8" i="9"/>
  <c r="IX8" i="18"/>
  <c r="O8" i="9"/>
  <c r="IY8" i="18"/>
  <c r="P8" i="9"/>
  <c r="IZ8" i="18"/>
  <c r="Q8" i="9"/>
  <c r="JA8" i="18"/>
  <c r="R8" i="9"/>
  <c r="JB8" i="18"/>
  <c r="S8" i="9"/>
  <c r="JC8" i="18"/>
  <c r="T8" i="9"/>
  <c r="JD8" i="18"/>
  <c r="U8" i="9"/>
  <c r="JE8" i="18"/>
  <c r="V8" i="9"/>
  <c r="JF8" i="18"/>
  <c r="W8" i="9"/>
  <c r="JG8" i="18"/>
  <c r="X8" i="9"/>
  <c r="JH8" i="18"/>
  <c r="Y8" i="9"/>
  <c r="JI8" i="18"/>
  <c r="Z8" i="9"/>
  <c r="JJ8" i="18"/>
  <c r="AA8" i="9"/>
  <c r="JK8" i="18"/>
  <c r="AB8" i="9"/>
  <c r="JL8" i="18"/>
  <c r="AC8" i="9"/>
  <c r="JM8" i="18"/>
  <c r="AD8" i="9"/>
  <c r="JN8" i="18"/>
  <c r="AE8" i="9"/>
  <c r="JO8" i="18"/>
  <c r="AF8" i="9"/>
  <c r="JP8" i="18"/>
  <c r="AG8" i="9"/>
  <c r="JQ8" i="18"/>
  <c r="AH8" i="9"/>
  <c r="JR8" i="18"/>
  <c r="AI8" i="9"/>
  <c r="IO8" i="18"/>
  <c r="F8" i="9"/>
  <c r="AK8" i="9"/>
  <c r="JT8" i="18"/>
  <c r="G8" i="10"/>
  <c r="JU8" i="18"/>
  <c r="H8" i="10"/>
  <c r="JV8" i="18"/>
  <c r="I8" i="10"/>
  <c r="JW8" i="18"/>
  <c r="J8" i="10"/>
  <c r="JX8" i="18"/>
  <c r="K8" i="10"/>
  <c r="JY8" i="18"/>
  <c r="L8" i="10"/>
  <c r="JZ8" i="18"/>
  <c r="M8" i="10"/>
  <c r="KA8" i="18"/>
  <c r="N8" i="10"/>
  <c r="KB8" i="18"/>
  <c r="O8" i="10"/>
  <c r="KC8" i="18"/>
  <c r="P8" i="10"/>
  <c r="KD8" i="18"/>
  <c r="Q8" i="10"/>
  <c r="KE8" i="18"/>
  <c r="R8" i="10"/>
  <c r="KF8" i="18"/>
  <c r="S8" i="10"/>
  <c r="KG8" i="18"/>
  <c r="T8" i="10"/>
  <c r="KH8" i="18"/>
  <c r="U8" i="10"/>
  <c r="KI8" i="18"/>
  <c r="V8" i="10"/>
  <c r="KJ8" i="18"/>
  <c r="W8" i="10"/>
  <c r="KK8" i="18"/>
  <c r="X8" i="10"/>
  <c r="KL8" i="18"/>
  <c r="Y8" i="10"/>
  <c r="KM8" i="18"/>
  <c r="Z8" i="10"/>
  <c r="KN8" i="18"/>
  <c r="AA8" i="10"/>
  <c r="KO8" i="18"/>
  <c r="AB8" i="10"/>
  <c r="KP8" i="18"/>
  <c r="AC8" i="10"/>
  <c r="KQ8" i="18"/>
  <c r="AD8" i="10"/>
  <c r="KR8" i="18"/>
  <c r="AE8" i="10"/>
  <c r="KS8" i="18"/>
  <c r="AF8" i="10"/>
  <c r="KT8" i="18"/>
  <c r="AG8" i="10"/>
  <c r="KU8" i="18"/>
  <c r="AH8" i="10"/>
  <c r="KV8" i="18"/>
  <c r="AI8" i="10"/>
  <c r="KW8" i="18"/>
  <c r="AJ8" i="10"/>
  <c r="JS8" i="18"/>
  <c r="F8" i="10"/>
  <c r="AK8" i="10"/>
  <c r="KY8" i="18"/>
  <c r="G8" i="11"/>
  <c r="KZ8" i="18"/>
  <c r="H8" i="11"/>
  <c r="LA8" i="18"/>
  <c r="I8" i="11"/>
  <c r="LB8" i="18"/>
  <c r="J8" i="11"/>
  <c r="LC8" i="18"/>
  <c r="K8" i="11"/>
  <c r="LD8" i="18"/>
  <c r="L8" i="11"/>
  <c r="LE8" i="18"/>
  <c r="M8" i="11"/>
  <c r="LF8" i="18"/>
  <c r="N8" i="11"/>
  <c r="LG8" i="18"/>
  <c r="O8" i="11"/>
  <c r="LH8" i="18"/>
  <c r="P8" i="11"/>
  <c r="LI8" i="18"/>
  <c r="Q8" i="11"/>
  <c r="LJ8" i="18"/>
  <c r="R8" i="11"/>
  <c r="LK8" i="18"/>
  <c r="S8" i="11"/>
  <c r="LL8" i="18"/>
  <c r="T8" i="11"/>
  <c r="LM8" i="18"/>
  <c r="U8" i="11"/>
  <c r="LN8" i="18"/>
  <c r="V8" i="11"/>
  <c r="LO8" i="18"/>
  <c r="W8" i="11"/>
  <c r="LP8" i="18"/>
  <c r="X8" i="11"/>
  <c r="LQ8" i="18"/>
  <c r="Y8" i="11"/>
  <c r="LR8" i="18"/>
  <c r="Z8" i="11"/>
  <c r="LS8" i="18"/>
  <c r="AA8" i="11"/>
  <c r="LT8" i="18"/>
  <c r="AB8" i="11"/>
  <c r="LU8" i="18"/>
  <c r="AC8" i="11"/>
  <c r="LV8" i="18"/>
  <c r="AD8" i="11"/>
  <c r="LW8" i="18"/>
  <c r="AE8" i="11"/>
  <c r="LX8" i="18"/>
  <c r="AF8" i="11"/>
  <c r="LY8" i="18"/>
  <c r="AG8" i="11"/>
  <c r="LZ8" i="18"/>
  <c r="AH8" i="11"/>
  <c r="MA8" i="18"/>
  <c r="AI8" i="11"/>
  <c r="KX8" i="18"/>
  <c r="F8" i="11"/>
  <c r="AK8" i="11"/>
  <c r="MC8" i="18"/>
  <c r="G8" i="12"/>
  <c r="MD8" i="18"/>
  <c r="H8" i="12"/>
  <c r="ME8" i="18"/>
  <c r="I8" i="12"/>
  <c r="MF8" i="18"/>
  <c r="J8" i="12"/>
  <c r="MG8" i="18"/>
  <c r="K8" i="12"/>
  <c r="MH8" i="18"/>
  <c r="L8" i="12"/>
  <c r="MI8" i="18"/>
  <c r="M8" i="12"/>
  <c r="MJ8" i="18"/>
  <c r="N8" i="12"/>
  <c r="MK8" i="18"/>
  <c r="O8" i="12"/>
  <c r="ML8" i="18"/>
  <c r="P8" i="12"/>
  <c r="MM8" i="18"/>
  <c r="Q8" i="12"/>
  <c r="MN8" i="18"/>
  <c r="R8" i="12"/>
  <c r="MO8" i="18"/>
  <c r="S8" i="12"/>
  <c r="MP8" i="18"/>
  <c r="T8" i="12"/>
  <c r="MQ8" i="18"/>
  <c r="U8" i="12"/>
  <c r="MR8" i="18"/>
  <c r="V8" i="12"/>
  <c r="MS8" i="18"/>
  <c r="W8" i="12"/>
  <c r="MT8" i="18"/>
  <c r="X8" i="12"/>
  <c r="MU8" i="18"/>
  <c r="Y8" i="12"/>
  <c r="MV8" i="18"/>
  <c r="Z8" i="12"/>
  <c r="MW8" i="18"/>
  <c r="AA8" i="12"/>
  <c r="MX8" i="18"/>
  <c r="AB8" i="12"/>
  <c r="MY8" i="18"/>
  <c r="AC8" i="12"/>
  <c r="MZ8" i="18"/>
  <c r="AD8" i="12"/>
  <c r="NA8" i="18"/>
  <c r="AE8" i="12"/>
  <c r="NB8" i="18"/>
  <c r="AF8" i="12"/>
  <c r="NC8" i="18"/>
  <c r="AG8" i="12"/>
  <c r="ND8" i="18"/>
  <c r="AH8" i="12"/>
  <c r="NE8" i="18"/>
  <c r="AI8" i="12"/>
  <c r="NF8" i="18"/>
  <c r="AJ8" i="12"/>
  <c r="MB8" i="18"/>
  <c r="F8" i="12"/>
  <c r="AK8" i="12"/>
  <c r="P4" i="13"/>
  <c r="NO2" i="18"/>
  <c r="NI56" i="18"/>
  <c r="NG56" i="18"/>
  <c r="NJ56" i="18"/>
  <c r="F1" i="18"/>
  <c r="NM56" i="18"/>
  <c r="NI55" i="18"/>
  <c r="NG55" i="18"/>
  <c r="NJ55" i="18"/>
  <c r="NM55" i="18"/>
  <c r="NI54" i="18"/>
  <c r="NG54" i="18"/>
  <c r="NJ54" i="18"/>
  <c r="NM54" i="18"/>
  <c r="NI53" i="18"/>
  <c r="NG53" i="18"/>
  <c r="NJ53" i="18"/>
  <c r="NM53" i="18"/>
  <c r="NI52" i="18"/>
  <c r="NG52" i="18"/>
  <c r="NJ52" i="18"/>
  <c r="NM52" i="18"/>
  <c r="NI51" i="18"/>
  <c r="NG51" i="18"/>
  <c r="NJ51" i="18"/>
  <c r="NM51" i="18"/>
  <c r="NI50" i="18"/>
  <c r="NG50" i="18"/>
  <c r="NJ50" i="18"/>
  <c r="NM50" i="18"/>
  <c r="NI49" i="18"/>
  <c r="NG49" i="18"/>
  <c r="NJ49" i="18"/>
  <c r="NM49" i="18"/>
  <c r="NI48" i="18"/>
  <c r="NG48" i="18"/>
  <c r="NJ48" i="18"/>
  <c r="NM48" i="18"/>
  <c r="NI47" i="18"/>
  <c r="NG47" i="18"/>
  <c r="NJ47" i="18"/>
  <c r="NM47" i="18"/>
  <c r="NI46" i="18"/>
  <c r="NG46" i="18"/>
  <c r="NJ46" i="18"/>
  <c r="NM46" i="18"/>
  <c r="NI45" i="18"/>
  <c r="NG45" i="18"/>
  <c r="NJ45" i="18"/>
  <c r="NM45" i="18"/>
  <c r="NI44" i="18"/>
  <c r="NG44" i="18"/>
  <c r="NJ44" i="18"/>
  <c r="NM44" i="18"/>
  <c r="NI43" i="18"/>
  <c r="NG43" i="18"/>
  <c r="NJ43" i="18"/>
  <c r="NM43" i="18"/>
  <c r="NI42" i="18"/>
  <c r="NG42" i="18"/>
  <c r="NJ42" i="18"/>
  <c r="NM42" i="18"/>
  <c r="NI41" i="18"/>
  <c r="NG41" i="18"/>
  <c r="NJ41" i="18"/>
  <c r="NM41" i="18"/>
  <c r="NI40" i="18"/>
  <c r="NG40" i="18"/>
  <c r="NJ40" i="18"/>
  <c r="NM40" i="18"/>
  <c r="NI39" i="18"/>
  <c r="NG39" i="18"/>
  <c r="NJ39" i="18"/>
  <c r="NM39" i="18"/>
  <c r="NI38" i="18"/>
  <c r="NG38" i="18"/>
  <c r="NJ38" i="18"/>
  <c r="NM38" i="18"/>
  <c r="NI37" i="18"/>
  <c r="NG37" i="18"/>
  <c r="NJ37" i="18"/>
  <c r="NM37" i="18"/>
  <c r="NI36" i="18"/>
  <c r="NG36" i="18"/>
  <c r="NJ36" i="18"/>
  <c r="NM36" i="18"/>
  <c r="NI35" i="18"/>
  <c r="NG35" i="18"/>
  <c r="NJ35" i="18"/>
  <c r="NM35" i="18"/>
  <c r="NI34" i="18"/>
  <c r="NG34" i="18"/>
  <c r="NJ34" i="18"/>
  <c r="NM34" i="18"/>
  <c r="NI33" i="18"/>
  <c r="NG33" i="18"/>
  <c r="NJ33" i="18"/>
  <c r="NM33" i="18"/>
  <c r="NI32" i="18"/>
  <c r="NG32" i="18"/>
  <c r="NJ32" i="18"/>
  <c r="NM32" i="18"/>
  <c r="NI31" i="18"/>
  <c r="NG31" i="18"/>
  <c r="NJ31" i="18"/>
  <c r="NM31" i="18"/>
  <c r="NI30" i="18"/>
  <c r="NG30" i="18"/>
  <c r="NJ30" i="18"/>
  <c r="NM30" i="18"/>
  <c r="NI29" i="18"/>
  <c r="NG29" i="18"/>
  <c r="NJ29" i="18"/>
  <c r="NM29" i="18"/>
  <c r="NI28" i="18"/>
  <c r="NG28" i="18"/>
  <c r="NJ28" i="18"/>
  <c r="NM28" i="18"/>
  <c r="NI27" i="18"/>
  <c r="NG27" i="18"/>
  <c r="NJ27" i="18"/>
  <c r="NM27" i="18"/>
  <c r="NI26" i="18"/>
  <c r="NG26" i="18"/>
  <c r="NJ26" i="18"/>
  <c r="NM26" i="18"/>
  <c r="NI25" i="18"/>
  <c r="NG25" i="18"/>
  <c r="NJ25" i="18"/>
  <c r="NM25" i="18"/>
  <c r="NI24" i="18"/>
  <c r="NG24" i="18"/>
  <c r="NJ24" i="18"/>
  <c r="NM24" i="18"/>
  <c r="NI23" i="18"/>
  <c r="NG23" i="18"/>
  <c r="NJ23" i="18"/>
  <c r="NM23" i="18"/>
  <c r="NI22" i="18"/>
  <c r="NG22" i="18"/>
  <c r="NJ22" i="18"/>
  <c r="NM22" i="18"/>
  <c r="NI21" i="18"/>
  <c r="NG21" i="18"/>
  <c r="NJ21" i="18"/>
  <c r="NM21" i="18"/>
  <c r="NI20" i="18"/>
  <c r="NG20" i="18"/>
  <c r="NJ20" i="18"/>
  <c r="NM20" i="18"/>
  <c r="NI19" i="18"/>
  <c r="NG19" i="18"/>
  <c r="NJ19" i="18"/>
  <c r="NM19" i="18"/>
  <c r="NI18" i="18"/>
  <c r="NG18" i="18"/>
  <c r="NJ18" i="18"/>
  <c r="NM18" i="18"/>
  <c r="NI17" i="18"/>
  <c r="NG17" i="18"/>
  <c r="NJ17" i="18"/>
  <c r="NM17" i="18"/>
  <c r="NI16" i="18"/>
  <c r="NG16" i="18"/>
  <c r="NJ16" i="18"/>
  <c r="NM16" i="18"/>
  <c r="NI15" i="18"/>
  <c r="NG15" i="18"/>
  <c r="NJ15" i="18"/>
  <c r="NM15" i="18"/>
  <c r="NI14" i="18"/>
  <c r="NG14" i="18"/>
  <c r="NJ14" i="18"/>
  <c r="NM14" i="18"/>
  <c r="NI13" i="18"/>
  <c r="NG13" i="18"/>
  <c r="NJ13" i="18"/>
  <c r="NM13" i="18"/>
  <c r="NI12" i="18"/>
  <c r="NG12" i="18"/>
  <c r="NJ12" i="18"/>
  <c r="NM12" i="18"/>
  <c r="NI11" i="18"/>
  <c r="NG11" i="18"/>
  <c r="NJ11" i="18"/>
  <c r="NM11" i="18"/>
  <c r="NI10" i="18"/>
  <c r="NG10" i="18"/>
  <c r="NJ10" i="18"/>
  <c r="NM10" i="18"/>
  <c r="NI9" i="18"/>
  <c r="NG9" i="18"/>
  <c r="NJ9" i="18"/>
  <c r="NM9" i="18"/>
  <c r="NI8" i="18"/>
  <c r="NG8" i="18"/>
  <c r="NJ8" i="18"/>
  <c r="NM8" i="18"/>
  <c r="NO3" i="18"/>
  <c r="NP10" i="18"/>
  <c r="AM56" i="12"/>
  <c r="AN56" i="12"/>
  <c r="AO56" i="12"/>
  <c r="AL56" i="12"/>
  <c r="AM55" i="12"/>
  <c r="AN55" i="12"/>
  <c r="AO55" i="12"/>
  <c r="AL55" i="12"/>
  <c r="AM54" i="12"/>
  <c r="AN54" i="12"/>
  <c r="AO54" i="12"/>
  <c r="AL54" i="12"/>
  <c r="AM53" i="12"/>
  <c r="AN53" i="12"/>
  <c r="AO53" i="12"/>
  <c r="AL53" i="12"/>
  <c r="AM52" i="12"/>
  <c r="AN52" i="12"/>
  <c r="AO52" i="12"/>
  <c r="AL52" i="12"/>
  <c r="AM51" i="12"/>
  <c r="AN51" i="12"/>
  <c r="AO51" i="12"/>
  <c r="AL51" i="12"/>
  <c r="AM50" i="12"/>
  <c r="AN50" i="12"/>
  <c r="AO50" i="12"/>
  <c r="AL50" i="12"/>
  <c r="AM49" i="12"/>
  <c r="AN49" i="12"/>
  <c r="AO49" i="12"/>
  <c r="AL49" i="12"/>
  <c r="AM48" i="12"/>
  <c r="AN48" i="12"/>
  <c r="AO48" i="12"/>
  <c r="AL48" i="12"/>
  <c r="AM47" i="12"/>
  <c r="AN47" i="12"/>
  <c r="AO47" i="12"/>
  <c r="AL47" i="12"/>
  <c r="AM46" i="12"/>
  <c r="AN46" i="12"/>
  <c r="AO46" i="12"/>
  <c r="AL46" i="12"/>
  <c r="AM45" i="12"/>
  <c r="AN45" i="12"/>
  <c r="AO45" i="12"/>
  <c r="AL45" i="12"/>
  <c r="AM44" i="12"/>
  <c r="AN44" i="12"/>
  <c r="AO44" i="12"/>
  <c r="AL44" i="12"/>
  <c r="AM43" i="12"/>
  <c r="AN43" i="12"/>
  <c r="AO43" i="12"/>
  <c r="AL43" i="12"/>
  <c r="AM42" i="12"/>
  <c r="AN42" i="12"/>
  <c r="AO42" i="12"/>
  <c r="AL42" i="12"/>
  <c r="AM41" i="12"/>
  <c r="AN41" i="12"/>
  <c r="AO41" i="12"/>
  <c r="AL41" i="12"/>
  <c r="AM40" i="12"/>
  <c r="AN40" i="12"/>
  <c r="AO40" i="12"/>
  <c r="AL40" i="12"/>
  <c r="AM39" i="12"/>
  <c r="AN39" i="12"/>
  <c r="AO39" i="12"/>
  <c r="AL39" i="12"/>
  <c r="AM38" i="12"/>
  <c r="AN38" i="12"/>
  <c r="AO38" i="12"/>
  <c r="AL38" i="12"/>
  <c r="AM37" i="12"/>
  <c r="AN37" i="12"/>
  <c r="AO37" i="12"/>
  <c r="AL37" i="12"/>
  <c r="AM36" i="12"/>
  <c r="AN36" i="12"/>
  <c r="AO36" i="12"/>
  <c r="AL36" i="12"/>
  <c r="AM35" i="12"/>
  <c r="AN35" i="12"/>
  <c r="AO35" i="12"/>
  <c r="AL35" i="12"/>
  <c r="AM34" i="12"/>
  <c r="AN34" i="12"/>
  <c r="AO34" i="12"/>
  <c r="AL34" i="12"/>
  <c r="AM33" i="12"/>
  <c r="AN33" i="12"/>
  <c r="AO33" i="12"/>
  <c r="AL33" i="12"/>
  <c r="AM32" i="12"/>
  <c r="AN32" i="12"/>
  <c r="AO32" i="12"/>
  <c r="AL32" i="12"/>
  <c r="AM31" i="12"/>
  <c r="AN31" i="12"/>
  <c r="AO31" i="12"/>
  <c r="AL31" i="12"/>
  <c r="AM30" i="12"/>
  <c r="AN30" i="12"/>
  <c r="AO30" i="12"/>
  <c r="AL30" i="12"/>
  <c r="AM29" i="12"/>
  <c r="AN29" i="12"/>
  <c r="AO29" i="12"/>
  <c r="AL29" i="12"/>
  <c r="AM28" i="12"/>
  <c r="AN28" i="12"/>
  <c r="AO28" i="12"/>
  <c r="AL28" i="12"/>
  <c r="AM27" i="12"/>
  <c r="AN27" i="12"/>
  <c r="AO27" i="12"/>
  <c r="AL27" i="12"/>
  <c r="AM26" i="12"/>
  <c r="AN26" i="12"/>
  <c r="AO26" i="12"/>
  <c r="AL26" i="12"/>
  <c r="AM25" i="12"/>
  <c r="AN25" i="12"/>
  <c r="AO25" i="12"/>
  <c r="AL25" i="12"/>
  <c r="AM24" i="12"/>
  <c r="AN24" i="12"/>
  <c r="AO24" i="12"/>
  <c r="AL24" i="12"/>
  <c r="AM23" i="12"/>
  <c r="AN23" i="12"/>
  <c r="AO23" i="12"/>
  <c r="AL23" i="12"/>
  <c r="AM22" i="12"/>
  <c r="AN22" i="12"/>
  <c r="AO22" i="12"/>
  <c r="AL22" i="12"/>
  <c r="AM21" i="12"/>
  <c r="AN21" i="12"/>
  <c r="AO21" i="12"/>
  <c r="AL21" i="12"/>
  <c r="AM20" i="12"/>
  <c r="AN20" i="12"/>
  <c r="AO20" i="12"/>
  <c r="AL20" i="12"/>
  <c r="AM19" i="12"/>
  <c r="AN19" i="12"/>
  <c r="AO19" i="12"/>
  <c r="AL19" i="12"/>
  <c r="AM18" i="12"/>
  <c r="AN18" i="12"/>
  <c r="AO18" i="12"/>
  <c r="AL18" i="12"/>
  <c r="AM17" i="12"/>
  <c r="AN17" i="12"/>
  <c r="AO17" i="12"/>
  <c r="AL17" i="12"/>
  <c r="AM16" i="12"/>
  <c r="AN16" i="12"/>
  <c r="AO16" i="12"/>
  <c r="AL16" i="12"/>
  <c r="AM15" i="12"/>
  <c r="AN15" i="12"/>
  <c r="AO15" i="12"/>
  <c r="AL15" i="12"/>
  <c r="AM14" i="12"/>
  <c r="AN14" i="12"/>
  <c r="AO14" i="12"/>
  <c r="AL14" i="12"/>
  <c r="AM13" i="12"/>
  <c r="AN13" i="12"/>
  <c r="AO13" i="12"/>
  <c r="AL13" i="12"/>
  <c r="AM12" i="12"/>
  <c r="AN12" i="12"/>
  <c r="AO12" i="12"/>
  <c r="AL12" i="12"/>
  <c r="AM11" i="12"/>
  <c r="AN11" i="12"/>
  <c r="AO11" i="12"/>
  <c r="AL11" i="12"/>
  <c r="AM10" i="12"/>
  <c r="AN10" i="12"/>
  <c r="AO10" i="12"/>
  <c r="AL10" i="12"/>
  <c r="AM9" i="12"/>
  <c r="AN9" i="12"/>
  <c r="AO9" i="12"/>
  <c r="AL9" i="12"/>
  <c r="AM8" i="12"/>
  <c r="AN8" i="12"/>
  <c r="AO8" i="12"/>
  <c r="AL8" i="12"/>
  <c r="AM56" i="11"/>
  <c r="AN56" i="11"/>
  <c r="AO56" i="11"/>
  <c r="AL56" i="11"/>
  <c r="AM55" i="11"/>
  <c r="AN55" i="11"/>
  <c r="AO55" i="11"/>
  <c r="AL55" i="11"/>
  <c r="AM54" i="11"/>
  <c r="AN54" i="11"/>
  <c r="AO54" i="11"/>
  <c r="AL54" i="11"/>
  <c r="AM53" i="11"/>
  <c r="AN53" i="11"/>
  <c r="AO53" i="11"/>
  <c r="AL53" i="11"/>
  <c r="AM52" i="11"/>
  <c r="AN52" i="11"/>
  <c r="AO52" i="11"/>
  <c r="AL52" i="11"/>
  <c r="AM51" i="11"/>
  <c r="AN51" i="11"/>
  <c r="AO51" i="11"/>
  <c r="AL51" i="11"/>
  <c r="AM50" i="11"/>
  <c r="AN50" i="11"/>
  <c r="AO50" i="11"/>
  <c r="AL50" i="11"/>
  <c r="AM49" i="11"/>
  <c r="AN49" i="11"/>
  <c r="AO49" i="11"/>
  <c r="AL49" i="11"/>
  <c r="AM48" i="11"/>
  <c r="AN48" i="11"/>
  <c r="AO48" i="11"/>
  <c r="AL48" i="11"/>
  <c r="AM47" i="11"/>
  <c r="AN47" i="11"/>
  <c r="AO47" i="11"/>
  <c r="AL47" i="11"/>
  <c r="AM46" i="11"/>
  <c r="AN46" i="11"/>
  <c r="AO46" i="11"/>
  <c r="AL46" i="11"/>
  <c r="AM45" i="11"/>
  <c r="AN45" i="11"/>
  <c r="AO45" i="11"/>
  <c r="AL45" i="11"/>
  <c r="AM44" i="11"/>
  <c r="AN44" i="11"/>
  <c r="AO44" i="11"/>
  <c r="AL44" i="11"/>
  <c r="AM43" i="11"/>
  <c r="AN43" i="11"/>
  <c r="AO43" i="11"/>
  <c r="AL43" i="11"/>
  <c r="AM42" i="11"/>
  <c r="AN42" i="11"/>
  <c r="AO42" i="11"/>
  <c r="AL42" i="11"/>
  <c r="AM41" i="11"/>
  <c r="AN41" i="11"/>
  <c r="AO41" i="11"/>
  <c r="AL41" i="11"/>
  <c r="AM40" i="11"/>
  <c r="AN40" i="11"/>
  <c r="AO40" i="11"/>
  <c r="AL40" i="11"/>
  <c r="AM39" i="11"/>
  <c r="AN39" i="11"/>
  <c r="AO39" i="11"/>
  <c r="AL39" i="11"/>
  <c r="AM38" i="11"/>
  <c r="AN38" i="11"/>
  <c r="AO38" i="11"/>
  <c r="AL38" i="11"/>
  <c r="AM37" i="11"/>
  <c r="AN37" i="11"/>
  <c r="AO37" i="11"/>
  <c r="AL37" i="11"/>
  <c r="AM36" i="11"/>
  <c r="AN36" i="11"/>
  <c r="AO36" i="11"/>
  <c r="AL36" i="11"/>
  <c r="AM35" i="11"/>
  <c r="AN35" i="11"/>
  <c r="AO35" i="11"/>
  <c r="AL35" i="11"/>
  <c r="AM34" i="11"/>
  <c r="AN34" i="11"/>
  <c r="AO34" i="11"/>
  <c r="AL34" i="11"/>
  <c r="AM33" i="11"/>
  <c r="AN33" i="11"/>
  <c r="AO33" i="11"/>
  <c r="AL33" i="11"/>
  <c r="AM32" i="11"/>
  <c r="AN32" i="11"/>
  <c r="AO32" i="11"/>
  <c r="AL32" i="11"/>
  <c r="AM31" i="11"/>
  <c r="AN31" i="11"/>
  <c r="AO31" i="11"/>
  <c r="AL31" i="11"/>
  <c r="AM30" i="11"/>
  <c r="AN30" i="11"/>
  <c r="AO30" i="11"/>
  <c r="AL30" i="11"/>
  <c r="AM29" i="11"/>
  <c r="AN29" i="11"/>
  <c r="AO29" i="11"/>
  <c r="AL29" i="11"/>
  <c r="AM28" i="11"/>
  <c r="AN28" i="11"/>
  <c r="AO28" i="11"/>
  <c r="AL28" i="11"/>
  <c r="AM27" i="11"/>
  <c r="AN27" i="11"/>
  <c r="AO27" i="11"/>
  <c r="AL27" i="11"/>
  <c r="AM26" i="11"/>
  <c r="AN26" i="11"/>
  <c r="AO26" i="11"/>
  <c r="AL26" i="11"/>
  <c r="AM25" i="11"/>
  <c r="AN25" i="11"/>
  <c r="AO25" i="11"/>
  <c r="AL25" i="11"/>
  <c r="AM24" i="11"/>
  <c r="AN24" i="11"/>
  <c r="AO24" i="11"/>
  <c r="AL24" i="11"/>
  <c r="AM23" i="11"/>
  <c r="AN23" i="11"/>
  <c r="AO23" i="11"/>
  <c r="AL23" i="11"/>
  <c r="AM22" i="11"/>
  <c r="AN22" i="11"/>
  <c r="AO22" i="11"/>
  <c r="AL22" i="11"/>
  <c r="AM21" i="11"/>
  <c r="AN21" i="11"/>
  <c r="AO21" i="11"/>
  <c r="AL21" i="11"/>
  <c r="AM20" i="11"/>
  <c r="AN20" i="11"/>
  <c r="AO20" i="11"/>
  <c r="AL20" i="11"/>
  <c r="AM19" i="11"/>
  <c r="AN19" i="11"/>
  <c r="AO19" i="11"/>
  <c r="AL19" i="11"/>
  <c r="AM18" i="11"/>
  <c r="AN18" i="11"/>
  <c r="AO18" i="11"/>
  <c r="AL18" i="11"/>
  <c r="AM17" i="11"/>
  <c r="AN17" i="11"/>
  <c r="AO17" i="11"/>
  <c r="AL17" i="11"/>
  <c r="AM16" i="11"/>
  <c r="AN16" i="11"/>
  <c r="AO16" i="11"/>
  <c r="AL16" i="11"/>
  <c r="AM15" i="11"/>
  <c r="AN15" i="11"/>
  <c r="AO15" i="11"/>
  <c r="AL15" i="11"/>
  <c r="AM14" i="11"/>
  <c r="AN14" i="11"/>
  <c r="AO14" i="11"/>
  <c r="AL14" i="11"/>
  <c r="AM13" i="11"/>
  <c r="AN13" i="11"/>
  <c r="AO13" i="11"/>
  <c r="AL13" i="11"/>
  <c r="AM12" i="11"/>
  <c r="AN12" i="11"/>
  <c r="AO12" i="11"/>
  <c r="AL12" i="11"/>
  <c r="AM11" i="11"/>
  <c r="AN11" i="11"/>
  <c r="AO11" i="11"/>
  <c r="AL11" i="11"/>
  <c r="AM10" i="11"/>
  <c r="AN10" i="11"/>
  <c r="AO10" i="11"/>
  <c r="AL10" i="11"/>
  <c r="AM9" i="11"/>
  <c r="AN9" i="11"/>
  <c r="AO9" i="11"/>
  <c r="AL9" i="11"/>
  <c r="AM8" i="11"/>
  <c r="AN8" i="11"/>
  <c r="AO8" i="11"/>
  <c r="AL8" i="11"/>
  <c r="AM56" i="10"/>
  <c r="AN56" i="10"/>
  <c r="AO56" i="10"/>
  <c r="AL56" i="10"/>
  <c r="AM55" i="10"/>
  <c r="AN55" i="10"/>
  <c r="AO55" i="10"/>
  <c r="AL55" i="10"/>
  <c r="AM54" i="10"/>
  <c r="AN54" i="10"/>
  <c r="AO54" i="10"/>
  <c r="AL54" i="10"/>
  <c r="AM53" i="10"/>
  <c r="AN53" i="10"/>
  <c r="AO53" i="10"/>
  <c r="AL53" i="10"/>
  <c r="AM52" i="10"/>
  <c r="AN52" i="10"/>
  <c r="AO52" i="10"/>
  <c r="AL52" i="10"/>
  <c r="AM51" i="10"/>
  <c r="AN51" i="10"/>
  <c r="AO51" i="10"/>
  <c r="AL51" i="10"/>
  <c r="AM50" i="10"/>
  <c r="AN50" i="10"/>
  <c r="AO50" i="10"/>
  <c r="AL50" i="10"/>
  <c r="AM49" i="10"/>
  <c r="AN49" i="10"/>
  <c r="AO49" i="10"/>
  <c r="AL49" i="10"/>
  <c r="AM48" i="10"/>
  <c r="AN48" i="10"/>
  <c r="AO48" i="10"/>
  <c r="AL48" i="10"/>
  <c r="AM47" i="10"/>
  <c r="AN47" i="10"/>
  <c r="AO47" i="10"/>
  <c r="AL47" i="10"/>
  <c r="AM46" i="10"/>
  <c r="AN46" i="10"/>
  <c r="AO46" i="10"/>
  <c r="AL46" i="10"/>
  <c r="AM45" i="10"/>
  <c r="AN45" i="10"/>
  <c r="AO45" i="10"/>
  <c r="AL45" i="10"/>
  <c r="AM44" i="10"/>
  <c r="AN44" i="10"/>
  <c r="AO44" i="10"/>
  <c r="AL44" i="10"/>
  <c r="AM43" i="10"/>
  <c r="AN43" i="10"/>
  <c r="AO43" i="10"/>
  <c r="AL43" i="10"/>
  <c r="AM42" i="10"/>
  <c r="AN42" i="10"/>
  <c r="AO42" i="10"/>
  <c r="AL42" i="10"/>
  <c r="AM41" i="10"/>
  <c r="AN41" i="10"/>
  <c r="AO41" i="10"/>
  <c r="AL41" i="10"/>
  <c r="AM40" i="10"/>
  <c r="AN40" i="10"/>
  <c r="AO40" i="10"/>
  <c r="AL40" i="10"/>
  <c r="AM39" i="10"/>
  <c r="AN39" i="10"/>
  <c r="AO39" i="10"/>
  <c r="AL39" i="10"/>
  <c r="AM38" i="10"/>
  <c r="AN38" i="10"/>
  <c r="AO38" i="10"/>
  <c r="AL38" i="10"/>
  <c r="AM37" i="10"/>
  <c r="AN37" i="10"/>
  <c r="AO37" i="10"/>
  <c r="AL37" i="10"/>
  <c r="AM36" i="10"/>
  <c r="AN36" i="10"/>
  <c r="AO36" i="10"/>
  <c r="AL36" i="10"/>
  <c r="AM35" i="10"/>
  <c r="AN35" i="10"/>
  <c r="AO35" i="10"/>
  <c r="AL35" i="10"/>
  <c r="AM34" i="10"/>
  <c r="AN34" i="10"/>
  <c r="AO34" i="10"/>
  <c r="AL34" i="10"/>
  <c r="AM33" i="10"/>
  <c r="AN33" i="10"/>
  <c r="AO33" i="10"/>
  <c r="AL33" i="10"/>
  <c r="AM32" i="10"/>
  <c r="AN32" i="10"/>
  <c r="AO32" i="10"/>
  <c r="AL32" i="10"/>
  <c r="AM31" i="10"/>
  <c r="AN31" i="10"/>
  <c r="AO31" i="10"/>
  <c r="AL31" i="10"/>
  <c r="AM30" i="10"/>
  <c r="AN30" i="10"/>
  <c r="AO30" i="10"/>
  <c r="AL30" i="10"/>
  <c r="AM29" i="10"/>
  <c r="AN29" i="10"/>
  <c r="AO29" i="10"/>
  <c r="AL29" i="10"/>
  <c r="AM28" i="10"/>
  <c r="AN28" i="10"/>
  <c r="AO28" i="10"/>
  <c r="AL28" i="10"/>
  <c r="AM27" i="10"/>
  <c r="AN27" i="10"/>
  <c r="AO27" i="10"/>
  <c r="AL27" i="10"/>
  <c r="AM26" i="10"/>
  <c r="AN26" i="10"/>
  <c r="AO26" i="10"/>
  <c r="AL26" i="10"/>
  <c r="AM25" i="10"/>
  <c r="AN25" i="10"/>
  <c r="AO25" i="10"/>
  <c r="AL25" i="10"/>
  <c r="AM24" i="10"/>
  <c r="AN24" i="10"/>
  <c r="AO24" i="10"/>
  <c r="AL24" i="10"/>
  <c r="AM23" i="10"/>
  <c r="AN23" i="10"/>
  <c r="AO23" i="10"/>
  <c r="AL23" i="10"/>
  <c r="AM22" i="10"/>
  <c r="AN22" i="10"/>
  <c r="AO22" i="10"/>
  <c r="AL22" i="10"/>
  <c r="AM21" i="10"/>
  <c r="AN21" i="10"/>
  <c r="AO21" i="10"/>
  <c r="AL21" i="10"/>
  <c r="AM20" i="10"/>
  <c r="AN20" i="10"/>
  <c r="AO20" i="10"/>
  <c r="AL20" i="10"/>
  <c r="AM19" i="10"/>
  <c r="AN19" i="10"/>
  <c r="AO19" i="10"/>
  <c r="AL19" i="10"/>
  <c r="AM18" i="10"/>
  <c r="AN18" i="10"/>
  <c r="AO18" i="10"/>
  <c r="AL18" i="10"/>
  <c r="AM17" i="10"/>
  <c r="AN17" i="10"/>
  <c r="AO17" i="10"/>
  <c r="AL17" i="10"/>
  <c r="AM16" i="10"/>
  <c r="AN16" i="10"/>
  <c r="AO16" i="10"/>
  <c r="AL16" i="10"/>
  <c r="AM15" i="10"/>
  <c r="AN15" i="10"/>
  <c r="AO15" i="10"/>
  <c r="AL15" i="10"/>
  <c r="AM14" i="10"/>
  <c r="AN14" i="10"/>
  <c r="AO14" i="10"/>
  <c r="AL14" i="10"/>
  <c r="AM13" i="10"/>
  <c r="AN13" i="10"/>
  <c r="AO13" i="10"/>
  <c r="AL13" i="10"/>
  <c r="AM12" i="10"/>
  <c r="AN12" i="10"/>
  <c r="AO12" i="10"/>
  <c r="AL12" i="10"/>
  <c r="AM11" i="10"/>
  <c r="AN11" i="10"/>
  <c r="AO11" i="10"/>
  <c r="AL11" i="10"/>
  <c r="AM10" i="10"/>
  <c r="AN10" i="10"/>
  <c r="AO10" i="10"/>
  <c r="AL10" i="10"/>
  <c r="AM9" i="10"/>
  <c r="AN9" i="10"/>
  <c r="AO9" i="10"/>
  <c r="AL9" i="10"/>
  <c r="AM8" i="10"/>
  <c r="AN8" i="10"/>
  <c r="AO8" i="10"/>
  <c r="AL8" i="10"/>
  <c r="AM56" i="9"/>
  <c r="AN56" i="9"/>
  <c r="AO56" i="9"/>
  <c r="AL56" i="9"/>
  <c r="AM55" i="9"/>
  <c r="AN55" i="9"/>
  <c r="AO55" i="9"/>
  <c r="AL55" i="9"/>
  <c r="AM54" i="9"/>
  <c r="AN54" i="9"/>
  <c r="AO54" i="9"/>
  <c r="AL54" i="9"/>
  <c r="AM53" i="9"/>
  <c r="AN53" i="9"/>
  <c r="AO53" i="9"/>
  <c r="AL53" i="9"/>
  <c r="AM52" i="9"/>
  <c r="AN52" i="9"/>
  <c r="AO52" i="9"/>
  <c r="AL52" i="9"/>
  <c r="AM51" i="9"/>
  <c r="AN51" i="9"/>
  <c r="AO51" i="9"/>
  <c r="AL51" i="9"/>
  <c r="AM50" i="9"/>
  <c r="AN50" i="9"/>
  <c r="AO50" i="9"/>
  <c r="AL50" i="9"/>
  <c r="AM49" i="9"/>
  <c r="AN49" i="9"/>
  <c r="AO49" i="9"/>
  <c r="AL49" i="9"/>
  <c r="AM48" i="9"/>
  <c r="AN48" i="9"/>
  <c r="AO48" i="9"/>
  <c r="AL48" i="9"/>
  <c r="AM47" i="9"/>
  <c r="AN47" i="9"/>
  <c r="AO47" i="9"/>
  <c r="AL47" i="9"/>
  <c r="AM46" i="9"/>
  <c r="AN46" i="9"/>
  <c r="AO46" i="9"/>
  <c r="AL46" i="9"/>
  <c r="AM45" i="9"/>
  <c r="AN45" i="9"/>
  <c r="AO45" i="9"/>
  <c r="AL45" i="9"/>
  <c r="AM44" i="9"/>
  <c r="AN44" i="9"/>
  <c r="AO44" i="9"/>
  <c r="AL44" i="9"/>
  <c r="AM43" i="9"/>
  <c r="AN43" i="9"/>
  <c r="AO43" i="9"/>
  <c r="AL43" i="9"/>
  <c r="AM42" i="9"/>
  <c r="AN42" i="9"/>
  <c r="AO42" i="9"/>
  <c r="AL42" i="9"/>
  <c r="AM41" i="9"/>
  <c r="AN41" i="9"/>
  <c r="AO41" i="9"/>
  <c r="AL41" i="9"/>
  <c r="AM40" i="9"/>
  <c r="AN40" i="9"/>
  <c r="AO40" i="9"/>
  <c r="AL40" i="9"/>
  <c r="AM39" i="9"/>
  <c r="AN39" i="9"/>
  <c r="AO39" i="9"/>
  <c r="AL39" i="9"/>
  <c r="AM38" i="9"/>
  <c r="AN38" i="9"/>
  <c r="AO38" i="9"/>
  <c r="AL38" i="9"/>
  <c r="AM37" i="9"/>
  <c r="AN37" i="9"/>
  <c r="AO37" i="9"/>
  <c r="AL37" i="9"/>
  <c r="AM36" i="9"/>
  <c r="AN36" i="9"/>
  <c r="AO36" i="9"/>
  <c r="AL36" i="9"/>
  <c r="AM35" i="9"/>
  <c r="AN35" i="9"/>
  <c r="AO35" i="9"/>
  <c r="AL35" i="9"/>
  <c r="AM34" i="9"/>
  <c r="AN34" i="9"/>
  <c r="AO34" i="9"/>
  <c r="AL34" i="9"/>
  <c r="AM33" i="9"/>
  <c r="AN33" i="9"/>
  <c r="AO33" i="9"/>
  <c r="AL33" i="9"/>
  <c r="AM32" i="9"/>
  <c r="AN32" i="9"/>
  <c r="AO32" i="9"/>
  <c r="AL32" i="9"/>
  <c r="AM31" i="9"/>
  <c r="AN31" i="9"/>
  <c r="AO31" i="9"/>
  <c r="AL31" i="9"/>
  <c r="AM30" i="9"/>
  <c r="AN30" i="9"/>
  <c r="AO30" i="9"/>
  <c r="AL30" i="9"/>
  <c r="AM29" i="9"/>
  <c r="AN29" i="9"/>
  <c r="AO29" i="9"/>
  <c r="AL29" i="9"/>
  <c r="AM28" i="9"/>
  <c r="AN28" i="9"/>
  <c r="AO28" i="9"/>
  <c r="AL28" i="9"/>
  <c r="AM27" i="9"/>
  <c r="AN27" i="9"/>
  <c r="AO27" i="9"/>
  <c r="AL27" i="9"/>
  <c r="AM26" i="9"/>
  <c r="AN26" i="9"/>
  <c r="AO26" i="9"/>
  <c r="AL26" i="9"/>
  <c r="AM25" i="9"/>
  <c r="AN25" i="9"/>
  <c r="AO25" i="9"/>
  <c r="AL25" i="9"/>
  <c r="AM24" i="9"/>
  <c r="AN24" i="9"/>
  <c r="AO24" i="9"/>
  <c r="AL24" i="9"/>
  <c r="AM23" i="9"/>
  <c r="AN23" i="9"/>
  <c r="AO23" i="9"/>
  <c r="AL23" i="9"/>
  <c r="AM22" i="9"/>
  <c r="AN22" i="9"/>
  <c r="AO22" i="9"/>
  <c r="AL22" i="9"/>
  <c r="AM21" i="9"/>
  <c r="AN21" i="9"/>
  <c r="AO21" i="9"/>
  <c r="AL21" i="9"/>
  <c r="AM20" i="9"/>
  <c r="AN20" i="9"/>
  <c r="AO20" i="9"/>
  <c r="AL20" i="9"/>
  <c r="AM19" i="9"/>
  <c r="AN19" i="9"/>
  <c r="AO19" i="9"/>
  <c r="AL19" i="9"/>
  <c r="AM18" i="9"/>
  <c r="AN18" i="9"/>
  <c r="AO18" i="9"/>
  <c r="AL18" i="9"/>
  <c r="AM17" i="9"/>
  <c r="AN17" i="9"/>
  <c r="AO17" i="9"/>
  <c r="AL17" i="9"/>
  <c r="AM16" i="9"/>
  <c r="AN16" i="9"/>
  <c r="AO16" i="9"/>
  <c r="AL16" i="9"/>
  <c r="AM15" i="9"/>
  <c r="AN15" i="9"/>
  <c r="AO15" i="9"/>
  <c r="AL15" i="9"/>
  <c r="AM14" i="9"/>
  <c r="AN14" i="9"/>
  <c r="AO14" i="9"/>
  <c r="AL14" i="9"/>
  <c r="AM13" i="9"/>
  <c r="AN13" i="9"/>
  <c r="AO13" i="9"/>
  <c r="AL13" i="9"/>
  <c r="AM12" i="9"/>
  <c r="AN12" i="9"/>
  <c r="AO12" i="9"/>
  <c r="AL12" i="9"/>
  <c r="AM11" i="9"/>
  <c r="AN11" i="9"/>
  <c r="AO11" i="9"/>
  <c r="AL11" i="9"/>
  <c r="AM10" i="9"/>
  <c r="AN10" i="9"/>
  <c r="AO10" i="9"/>
  <c r="AL10" i="9"/>
  <c r="AM9" i="9"/>
  <c r="AN9" i="9"/>
  <c r="AO9" i="9"/>
  <c r="AL9" i="9"/>
  <c r="AM8" i="9"/>
  <c r="AN8" i="9"/>
  <c r="AO8" i="9"/>
  <c r="AL8" i="9"/>
  <c r="AM56" i="8"/>
  <c r="AN56" i="8"/>
  <c r="AO56" i="8"/>
  <c r="AL56" i="8"/>
  <c r="AM55" i="8"/>
  <c r="AN55" i="8"/>
  <c r="AO55" i="8"/>
  <c r="AL55" i="8"/>
  <c r="AM54" i="8"/>
  <c r="AN54" i="8"/>
  <c r="AO54" i="8"/>
  <c r="AL54" i="8"/>
  <c r="AM53" i="8"/>
  <c r="AN53" i="8"/>
  <c r="AO53" i="8"/>
  <c r="AL53" i="8"/>
  <c r="AM52" i="8"/>
  <c r="AN52" i="8"/>
  <c r="AO52" i="8"/>
  <c r="AL52" i="8"/>
  <c r="AM51" i="8"/>
  <c r="AN51" i="8"/>
  <c r="AO51" i="8"/>
  <c r="AL51" i="8"/>
  <c r="AM50" i="8"/>
  <c r="AN50" i="8"/>
  <c r="AO50" i="8"/>
  <c r="AL50" i="8"/>
  <c r="AM49" i="8"/>
  <c r="AN49" i="8"/>
  <c r="AO49" i="8"/>
  <c r="AL49" i="8"/>
  <c r="AM48" i="8"/>
  <c r="AN48" i="8"/>
  <c r="AO48" i="8"/>
  <c r="AL48" i="8"/>
  <c r="AM47" i="8"/>
  <c r="AN47" i="8"/>
  <c r="AO47" i="8"/>
  <c r="AL47" i="8"/>
  <c r="AM46" i="8"/>
  <c r="AN46" i="8"/>
  <c r="AO46" i="8"/>
  <c r="AL46" i="8"/>
  <c r="AM45" i="8"/>
  <c r="AN45" i="8"/>
  <c r="AO45" i="8"/>
  <c r="AL45" i="8"/>
  <c r="AM44" i="8"/>
  <c r="AN44" i="8"/>
  <c r="AO44" i="8"/>
  <c r="AL44" i="8"/>
  <c r="AM43" i="8"/>
  <c r="AN43" i="8"/>
  <c r="AO43" i="8"/>
  <c r="AL43" i="8"/>
  <c r="AM42" i="8"/>
  <c r="AN42" i="8"/>
  <c r="AO42" i="8"/>
  <c r="AL42" i="8"/>
  <c r="AM41" i="8"/>
  <c r="AN41" i="8"/>
  <c r="AO41" i="8"/>
  <c r="AL41" i="8"/>
  <c r="AM40" i="8"/>
  <c r="AN40" i="8"/>
  <c r="AO40" i="8"/>
  <c r="AL40" i="8"/>
  <c r="AM39" i="8"/>
  <c r="AN39" i="8"/>
  <c r="AO39" i="8"/>
  <c r="AL39" i="8"/>
  <c r="AM38" i="8"/>
  <c r="AN38" i="8"/>
  <c r="AO38" i="8"/>
  <c r="AL38" i="8"/>
  <c r="AM37" i="8"/>
  <c r="AN37" i="8"/>
  <c r="AO37" i="8"/>
  <c r="AL37" i="8"/>
  <c r="AM36" i="8"/>
  <c r="AN36" i="8"/>
  <c r="AO36" i="8"/>
  <c r="AL36" i="8"/>
  <c r="AM35" i="8"/>
  <c r="AN35" i="8"/>
  <c r="AO35" i="8"/>
  <c r="AL35" i="8"/>
  <c r="AM34" i="8"/>
  <c r="AN34" i="8"/>
  <c r="AO34" i="8"/>
  <c r="AL34" i="8"/>
  <c r="AM33" i="8"/>
  <c r="AN33" i="8"/>
  <c r="AO33" i="8"/>
  <c r="AL33" i="8"/>
  <c r="AM32" i="8"/>
  <c r="AN32" i="8"/>
  <c r="AO32" i="8"/>
  <c r="AL32" i="8"/>
  <c r="AM31" i="8"/>
  <c r="AN31" i="8"/>
  <c r="AO31" i="8"/>
  <c r="AL31" i="8"/>
  <c r="AM30" i="8"/>
  <c r="AN30" i="8"/>
  <c r="AO30" i="8"/>
  <c r="AL30" i="8"/>
  <c r="AM29" i="8"/>
  <c r="AN29" i="8"/>
  <c r="AO29" i="8"/>
  <c r="AL29" i="8"/>
  <c r="AM28" i="8"/>
  <c r="AN28" i="8"/>
  <c r="AO28" i="8"/>
  <c r="AL28" i="8"/>
  <c r="AM27" i="8"/>
  <c r="AN27" i="8"/>
  <c r="AO27" i="8"/>
  <c r="AL27" i="8"/>
  <c r="AM26" i="8"/>
  <c r="AN26" i="8"/>
  <c r="AO26" i="8"/>
  <c r="AL26" i="8"/>
  <c r="AM25" i="8"/>
  <c r="AN25" i="8"/>
  <c r="AO25" i="8"/>
  <c r="AL25" i="8"/>
  <c r="AM24" i="8"/>
  <c r="AN24" i="8"/>
  <c r="AO24" i="8"/>
  <c r="AL24" i="8"/>
  <c r="AM23" i="8"/>
  <c r="AN23" i="8"/>
  <c r="AO23" i="8"/>
  <c r="AL23" i="8"/>
  <c r="AM22" i="8"/>
  <c r="AN22" i="8"/>
  <c r="AO22" i="8"/>
  <c r="AL22" i="8"/>
  <c r="AM21" i="8"/>
  <c r="AN21" i="8"/>
  <c r="AO21" i="8"/>
  <c r="AL21" i="8"/>
  <c r="AM20" i="8"/>
  <c r="AN20" i="8"/>
  <c r="AO20" i="8"/>
  <c r="AL20" i="8"/>
  <c r="AM19" i="8"/>
  <c r="AN19" i="8"/>
  <c r="AO19" i="8"/>
  <c r="AL19" i="8"/>
  <c r="AM18" i="8"/>
  <c r="AN18" i="8"/>
  <c r="AO18" i="8"/>
  <c r="AL18" i="8"/>
  <c r="AM17" i="8"/>
  <c r="AN17" i="8"/>
  <c r="AO17" i="8"/>
  <c r="AL17" i="8"/>
  <c r="AM16" i="8"/>
  <c r="AN16" i="8"/>
  <c r="AO16" i="8"/>
  <c r="AL16" i="8"/>
  <c r="AM15" i="8"/>
  <c r="AN15" i="8"/>
  <c r="AO15" i="8"/>
  <c r="AL15" i="8"/>
  <c r="AM14" i="8"/>
  <c r="AN14" i="8"/>
  <c r="AO14" i="8"/>
  <c r="AL14" i="8"/>
  <c r="AM13" i="8"/>
  <c r="AN13" i="8"/>
  <c r="AO13" i="8"/>
  <c r="AL13" i="8"/>
  <c r="AM12" i="8"/>
  <c r="AN12" i="8"/>
  <c r="AO12" i="8"/>
  <c r="AL12" i="8"/>
  <c r="AM11" i="8"/>
  <c r="AN11" i="8"/>
  <c r="AO11" i="8"/>
  <c r="AL11" i="8"/>
  <c r="AM10" i="8"/>
  <c r="AN10" i="8"/>
  <c r="AO10" i="8"/>
  <c r="AL10" i="8"/>
  <c r="AM9" i="8"/>
  <c r="AN9" i="8"/>
  <c r="AO9" i="8"/>
  <c r="AL9" i="8"/>
  <c r="AM8" i="8"/>
  <c r="AN8" i="8"/>
  <c r="AO8" i="8"/>
  <c r="AL8" i="8"/>
  <c r="AM56" i="7"/>
  <c r="AN56" i="7"/>
  <c r="AO56" i="7"/>
  <c r="AL56" i="7"/>
  <c r="AM55" i="7"/>
  <c r="AN55" i="7"/>
  <c r="AO55" i="7"/>
  <c r="AL55" i="7"/>
  <c r="AM54" i="7"/>
  <c r="AN54" i="7"/>
  <c r="AO54" i="7"/>
  <c r="AL54" i="7"/>
  <c r="AM53" i="7"/>
  <c r="AN53" i="7"/>
  <c r="AO53" i="7"/>
  <c r="AL53" i="7"/>
  <c r="AM52" i="7"/>
  <c r="AN52" i="7"/>
  <c r="AO52" i="7"/>
  <c r="AL52" i="7"/>
  <c r="AM51" i="7"/>
  <c r="AN51" i="7"/>
  <c r="AO51" i="7"/>
  <c r="AL51" i="7"/>
  <c r="AM50" i="7"/>
  <c r="AN50" i="7"/>
  <c r="AO50" i="7"/>
  <c r="AL50" i="7"/>
  <c r="AM49" i="7"/>
  <c r="AN49" i="7"/>
  <c r="AO49" i="7"/>
  <c r="AL49" i="7"/>
  <c r="AM48" i="7"/>
  <c r="AN48" i="7"/>
  <c r="AO48" i="7"/>
  <c r="AL48" i="7"/>
  <c r="AM47" i="7"/>
  <c r="AN47" i="7"/>
  <c r="AO47" i="7"/>
  <c r="AL47" i="7"/>
  <c r="AM46" i="7"/>
  <c r="AN46" i="7"/>
  <c r="AO46" i="7"/>
  <c r="AL46" i="7"/>
  <c r="AM45" i="7"/>
  <c r="AN45" i="7"/>
  <c r="AO45" i="7"/>
  <c r="AL45" i="7"/>
  <c r="AM44" i="7"/>
  <c r="AN44" i="7"/>
  <c r="AO44" i="7"/>
  <c r="AL44" i="7"/>
  <c r="AM43" i="7"/>
  <c r="AN43" i="7"/>
  <c r="AO43" i="7"/>
  <c r="AL43" i="7"/>
  <c r="AM42" i="7"/>
  <c r="AN42" i="7"/>
  <c r="AO42" i="7"/>
  <c r="AL42" i="7"/>
  <c r="AM41" i="7"/>
  <c r="AN41" i="7"/>
  <c r="AO41" i="7"/>
  <c r="AL41" i="7"/>
  <c r="AM40" i="7"/>
  <c r="AN40" i="7"/>
  <c r="AO40" i="7"/>
  <c r="AL40" i="7"/>
  <c r="AM39" i="7"/>
  <c r="AN39" i="7"/>
  <c r="AO39" i="7"/>
  <c r="AL39" i="7"/>
  <c r="AM38" i="7"/>
  <c r="AN38" i="7"/>
  <c r="AO38" i="7"/>
  <c r="AL38" i="7"/>
  <c r="AM37" i="7"/>
  <c r="AN37" i="7"/>
  <c r="AO37" i="7"/>
  <c r="AL37" i="7"/>
  <c r="AM36" i="7"/>
  <c r="AN36" i="7"/>
  <c r="AO36" i="7"/>
  <c r="AL36" i="7"/>
  <c r="AM35" i="7"/>
  <c r="AN35" i="7"/>
  <c r="AO35" i="7"/>
  <c r="AL35" i="7"/>
  <c r="AM34" i="7"/>
  <c r="AN34" i="7"/>
  <c r="AO34" i="7"/>
  <c r="AL34" i="7"/>
  <c r="AM33" i="7"/>
  <c r="AN33" i="7"/>
  <c r="AO33" i="7"/>
  <c r="AL33" i="7"/>
  <c r="AM32" i="7"/>
  <c r="AN32" i="7"/>
  <c r="AO32" i="7"/>
  <c r="AL32" i="7"/>
  <c r="AM31" i="7"/>
  <c r="AN31" i="7"/>
  <c r="AO31" i="7"/>
  <c r="AL31" i="7"/>
  <c r="AM30" i="7"/>
  <c r="AN30" i="7"/>
  <c r="AO30" i="7"/>
  <c r="AL30" i="7"/>
  <c r="AM29" i="7"/>
  <c r="AN29" i="7"/>
  <c r="AO29" i="7"/>
  <c r="AL29" i="7"/>
  <c r="AM28" i="7"/>
  <c r="AN28" i="7"/>
  <c r="AO28" i="7"/>
  <c r="AL28" i="7"/>
  <c r="AM27" i="7"/>
  <c r="AN27" i="7"/>
  <c r="AO27" i="7"/>
  <c r="AL27" i="7"/>
  <c r="AM26" i="7"/>
  <c r="AN26" i="7"/>
  <c r="AO26" i="7"/>
  <c r="AL26" i="7"/>
  <c r="AM25" i="7"/>
  <c r="AN25" i="7"/>
  <c r="AO25" i="7"/>
  <c r="AL25" i="7"/>
  <c r="AM24" i="7"/>
  <c r="AN24" i="7"/>
  <c r="AO24" i="7"/>
  <c r="AL24" i="7"/>
  <c r="AM23" i="7"/>
  <c r="AN23" i="7"/>
  <c r="AO23" i="7"/>
  <c r="AL23" i="7"/>
  <c r="AM22" i="7"/>
  <c r="AN22" i="7"/>
  <c r="AO22" i="7"/>
  <c r="AL22" i="7"/>
  <c r="AM21" i="7"/>
  <c r="AN21" i="7"/>
  <c r="AO21" i="7"/>
  <c r="AL21" i="7"/>
  <c r="AM20" i="7"/>
  <c r="AN20" i="7"/>
  <c r="AO20" i="7"/>
  <c r="AL20" i="7"/>
  <c r="AM19" i="7"/>
  <c r="AN19" i="7"/>
  <c r="AO19" i="7"/>
  <c r="AL19" i="7"/>
  <c r="AM18" i="7"/>
  <c r="AN18" i="7"/>
  <c r="AO18" i="7"/>
  <c r="AL18" i="7"/>
  <c r="AM17" i="7"/>
  <c r="AN17" i="7"/>
  <c r="AO17" i="7"/>
  <c r="AL17" i="7"/>
  <c r="AM16" i="7"/>
  <c r="AN16" i="7"/>
  <c r="AO16" i="7"/>
  <c r="AL16" i="7"/>
  <c r="AM15" i="7"/>
  <c r="AN15" i="7"/>
  <c r="AO15" i="7"/>
  <c r="AL15" i="7"/>
  <c r="AM14" i="7"/>
  <c r="AN14" i="7"/>
  <c r="AO14" i="7"/>
  <c r="AL14" i="7"/>
  <c r="AM13" i="7"/>
  <c r="AN13" i="7"/>
  <c r="AO13" i="7"/>
  <c r="AL13" i="7"/>
  <c r="AM12" i="7"/>
  <c r="AN12" i="7"/>
  <c r="AO12" i="7"/>
  <c r="AL12" i="7"/>
  <c r="AM11" i="7"/>
  <c r="AN11" i="7"/>
  <c r="AO11" i="7"/>
  <c r="AL11" i="7"/>
  <c r="AM10" i="7"/>
  <c r="AN10" i="7"/>
  <c r="AO10" i="7"/>
  <c r="AL10" i="7"/>
  <c r="AM9" i="7"/>
  <c r="AN9" i="7"/>
  <c r="AO9" i="7"/>
  <c r="AL9" i="7"/>
  <c r="AM8" i="7"/>
  <c r="AN8" i="7"/>
  <c r="AO8" i="7"/>
  <c r="AL8" i="7"/>
  <c r="AM56" i="4"/>
  <c r="AN56" i="4"/>
  <c r="AO56" i="4"/>
  <c r="AL56" i="4"/>
  <c r="AM55" i="4"/>
  <c r="AN55" i="4"/>
  <c r="AO55" i="4"/>
  <c r="AL55" i="4"/>
  <c r="AM54" i="4"/>
  <c r="AN54" i="4"/>
  <c r="AO54" i="4"/>
  <c r="AL54" i="4"/>
  <c r="AM53" i="4"/>
  <c r="AN53" i="4"/>
  <c r="AO53" i="4"/>
  <c r="AL53" i="4"/>
  <c r="AM52" i="4"/>
  <c r="AN52" i="4"/>
  <c r="AO52" i="4"/>
  <c r="AL52" i="4"/>
  <c r="AM51" i="4"/>
  <c r="AN51" i="4"/>
  <c r="AO51" i="4"/>
  <c r="AL51" i="4"/>
  <c r="AM50" i="4"/>
  <c r="AN50" i="4"/>
  <c r="AO50" i="4"/>
  <c r="AL50" i="4"/>
  <c r="AM49" i="4"/>
  <c r="AN49" i="4"/>
  <c r="AO49" i="4"/>
  <c r="AL49" i="4"/>
  <c r="AM48" i="4"/>
  <c r="AN48" i="4"/>
  <c r="AO48" i="4"/>
  <c r="AL48" i="4"/>
  <c r="AM47" i="4"/>
  <c r="AN47" i="4"/>
  <c r="AO47" i="4"/>
  <c r="AL47" i="4"/>
  <c r="AM46" i="4"/>
  <c r="AN46" i="4"/>
  <c r="AO46" i="4"/>
  <c r="AL46" i="4"/>
  <c r="AM45" i="4"/>
  <c r="AN45" i="4"/>
  <c r="AO45" i="4"/>
  <c r="AL45" i="4"/>
  <c r="AM44" i="4"/>
  <c r="AN44" i="4"/>
  <c r="AO44" i="4"/>
  <c r="AL44" i="4"/>
  <c r="AM43" i="4"/>
  <c r="AN43" i="4"/>
  <c r="AO43" i="4"/>
  <c r="AL43" i="4"/>
  <c r="AM42" i="4"/>
  <c r="AN42" i="4"/>
  <c r="AO42" i="4"/>
  <c r="AL42" i="4"/>
  <c r="AM41" i="4"/>
  <c r="AN41" i="4"/>
  <c r="AO41" i="4"/>
  <c r="AL41" i="4"/>
  <c r="AM40" i="4"/>
  <c r="AN40" i="4"/>
  <c r="AO40" i="4"/>
  <c r="AL40" i="4"/>
  <c r="AM39" i="4"/>
  <c r="AN39" i="4"/>
  <c r="AO39" i="4"/>
  <c r="AL39" i="4"/>
  <c r="AM38" i="4"/>
  <c r="AN38" i="4"/>
  <c r="AO38" i="4"/>
  <c r="AL38" i="4"/>
  <c r="AM37" i="4"/>
  <c r="AN37" i="4"/>
  <c r="AO37" i="4"/>
  <c r="AL37" i="4"/>
  <c r="AM36" i="4"/>
  <c r="AN36" i="4"/>
  <c r="AO36" i="4"/>
  <c r="AL36" i="4"/>
  <c r="AM35" i="4"/>
  <c r="AN35" i="4"/>
  <c r="AO35" i="4"/>
  <c r="AL35" i="4"/>
  <c r="AM34" i="4"/>
  <c r="AN34" i="4"/>
  <c r="AO34" i="4"/>
  <c r="AL34" i="4"/>
  <c r="AM33" i="4"/>
  <c r="AN33" i="4"/>
  <c r="AO33" i="4"/>
  <c r="AL33" i="4"/>
  <c r="AM32" i="4"/>
  <c r="AN32" i="4"/>
  <c r="AO32" i="4"/>
  <c r="AL32" i="4"/>
  <c r="AM31" i="4"/>
  <c r="AN31" i="4"/>
  <c r="AO31" i="4"/>
  <c r="AL31" i="4"/>
  <c r="AM30" i="4"/>
  <c r="AN30" i="4"/>
  <c r="AO30" i="4"/>
  <c r="AL30" i="4"/>
  <c r="AM29" i="4"/>
  <c r="AN29" i="4"/>
  <c r="AO29" i="4"/>
  <c r="AL29" i="4"/>
  <c r="AM28" i="4"/>
  <c r="AN28" i="4"/>
  <c r="AO28" i="4"/>
  <c r="AL28" i="4"/>
  <c r="AM27" i="4"/>
  <c r="AN27" i="4"/>
  <c r="AO27" i="4"/>
  <c r="AL27" i="4"/>
  <c r="AM26" i="4"/>
  <c r="AN26" i="4"/>
  <c r="AO26" i="4"/>
  <c r="AL26" i="4"/>
  <c r="AM25" i="4"/>
  <c r="AN25" i="4"/>
  <c r="AO25" i="4"/>
  <c r="AL25" i="4"/>
  <c r="AM24" i="4"/>
  <c r="AN24" i="4"/>
  <c r="AO24" i="4"/>
  <c r="AL24" i="4"/>
  <c r="AM23" i="4"/>
  <c r="AN23" i="4"/>
  <c r="AO23" i="4"/>
  <c r="AL23" i="4"/>
  <c r="AM22" i="4"/>
  <c r="AN22" i="4"/>
  <c r="AO22" i="4"/>
  <c r="AL22" i="4"/>
  <c r="AM21" i="4"/>
  <c r="AN21" i="4"/>
  <c r="AO21" i="4"/>
  <c r="AL21" i="4"/>
  <c r="AM20" i="4"/>
  <c r="AN20" i="4"/>
  <c r="AO20" i="4"/>
  <c r="AL20" i="4"/>
  <c r="AM19" i="4"/>
  <c r="AN19" i="4"/>
  <c r="AO19" i="4"/>
  <c r="AL19" i="4"/>
  <c r="AM18" i="4"/>
  <c r="AN18" i="4"/>
  <c r="AO18" i="4"/>
  <c r="AL18" i="4"/>
  <c r="AM17" i="4"/>
  <c r="AN17" i="4"/>
  <c r="AO17" i="4"/>
  <c r="AL17" i="4"/>
  <c r="AM16" i="4"/>
  <c r="AN16" i="4"/>
  <c r="AO16" i="4"/>
  <c r="AL16" i="4"/>
  <c r="AM15" i="4"/>
  <c r="AN15" i="4"/>
  <c r="AO15" i="4"/>
  <c r="AL15" i="4"/>
  <c r="AM14" i="4"/>
  <c r="AN14" i="4"/>
  <c r="AO14" i="4"/>
  <c r="AL14" i="4"/>
  <c r="AM13" i="4"/>
  <c r="AN13" i="4"/>
  <c r="AO13" i="4"/>
  <c r="AL13" i="4"/>
  <c r="AM12" i="4"/>
  <c r="AN12" i="4"/>
  <c r="AO12" i="4"/>
  <c r="AL12" i="4"/>
  <c r="AM11" i="4"/>
  <c r="AN11" i="4"/>
  <c r="AO11" i="4"/>
  <c r="AL11" i="4"/>
  <c r="AM10" i="4"/>
  <c r="AN10" i="4"/>
  <c r="AO10" i="4"/>
  <c r="AL10" i="4"/>
  <c r="AM9" i="4"/>
  <c r="AN9" i="4"/>
  <c r="AO9" i="4"/>
  <c r="AL9" i="4"/>
  <c r="AN8" i="4"/>
  <c r="AM8" i="4"/>
  <c r="AL8" i="4"/>
  <c r="AM56" i="6"/>
  <c r="AN56" i="6"/>
  <c r="AO56" i="6"/>
  <c r="AL56" i="6"/>
  <c r="AM55" i="6"/>
  <c r="AN55" i="6"/>
  <c r="AO55" i="6"/>
  <c r="AL55" i="6"/>
  <c r="AM54" i="6"/>
  <c r="AN54" i="6"/>
  <c r="AO54" i="6"/>
  <c r="AL54" i="6"/>
  <c r="AM53" i="6"/>
  <c r="AN53" i="6"/>
  <c r="AO53" i="6"/>
  <c r="AL53" i="6"/>
  <c r="AM52" i="6"/>
  <c r="AN52" i="6"/>
  <c r="AO52" i="6"/>
  <c r="AL52" i="6"/>
  <c r="AM51" i="6"/>
  <c r="AN51" i="6"/>
  <c r="AO51" i="6"/>
  <c r="AL51" i="6"/>
  <c r="AM50" i="6"/>
  <c r="AN50" i="6"/>
  <c r="AO50" i="6"/>
  <c r="AL50" i="6"/>
  <c r="AM49" i="6"/>
  <c r="AN49" i="6"/>
  <c r="AO49" i="6"/>
  <c r="AL49" i="6"/>
  <c r="AM48" i="6"/>
  <c r="AN48" i="6"/>
  <c r="AO48" i="6"/>
  <c r="AL48" i="6"/>
  <c r="AM47" i="6"/>
  <c r="AN47" i="6"/>
  <c r="AO47" i="6"/>
  <c r="AL47" i="6"/>
  <c r="AM46" i="6"/>
  <c r="AN46" i="6"/>
  <c r="AO46" i="6"/>
  <c r="AL46" i="6"/>
  <c r="AM45" i="6"/>
  <c r="AN45" i="6"/>
  <c r="AO45" i="6"/>
  <c r="AL45" i="6"/>
  <c r="AM44" i="6"/>
  <c r="AN44" i="6"/>
  <c r="AO44" i="6"/>
  <c r="AL44" i="6"/>
  <c r="AM43" i="6"/>
  <c r="AN43" i="6"/>
  <c r="AO43" i="6"/>
  <c r="AL43" i="6"/>
  <c r="AM42" i="6"/>
  <c r="AN42" i="6"/>
  <c r="AO42" i="6"/>
  <c r="AL42" i="6"/>
  <c r="AM41" i="6"/>
  <c r="AN41" i="6"/>
  <c r="AO41" i="6"/>
  <c r="AL41" i="6"/>
  <c r="AM40" i="6"/>
  <c r="AN40" i="6"/>
  <c r="AO40" i="6"/>
  <c r="AL40" i="6"/>
  <c r="AM39" i="6"/>
  <c r="AN39" i="6"/>
  <c r="AO39" i="6"/>
  <c r="AL39" i="6"/>
  <c r="AM38" i="6"/>
  <c r="AN38" i="6"/>
  <c r="AO38" i="6"/>
  <c r="AL38" i="6"/>
  <c r="AM37" i="6"/>
  <c r="AN37" i="6"/>
  <c r="AO37" i="6"/>
  <c r="AL37" i="6"/>
  <c r="AM36" i="6"/>
  <c r="AN36" i="6"/>
  <c r="AO36" i="6"/>
  <c r="AL36" i="6"/>
  <c r="AM35" i="6"/>
  <c r="AN35" i="6"/>
  <c r="AO35" i="6"/>
  <c r="AL35" i="6"/>
  <c r="AM34" i="6"/>
  <c r="AN34" i="6"/>
  <c r="AO34" i="6"/>
  <c r="AL34" i="6"/>
  <c r="AM33" i="6"/>
  <c r="AN33" i="6"/>
  <c r="AO33" i="6"/>
  <c r="AL33" i="6"/>
  <c r="AM32" i="6"/>
  <c r="AN32" i="6"/>
  <c r="AO32" i="6"/>
  <c r="AL32" i="6"/>
  <c r="AM31" i="6"/>
  <c r="AN31" i="6"/>
  <c r="AO31" i="6"/>
  <c r="AL31" i="6"/>
  <c r="AM30" i="6"/>
  <c r="AN30" i="6"/>
  <c r="AO30" i="6"/>
  <c r="AL30" i="6"/>
  <c r="AM29" i="6"/>
  <c r="AN29" i="6"/>
  <c r="AO29" i="6"/>
  <c r="AL29" i="6"/>
  <c r="AM28" i="6"/>
  <c r="AN28" i="6"/>
  <c r="AO28" i="6"/>
  <c r="AL28" i="6"/>
  <c r="AM27" i="6"/>
  <c r="AN27" i="6"/>
  <c r="AO27" i="6"/>
  <c r="AL27" i="6"/>
  <c r="AM26" i="6"/>
  <c r="AN26" i="6"/>
  <c r="AO26" i="6"/>
  <c r="AL26" i="6"/>
  <c r="AM25" i="6"/>
  <c r="AN25" i="6"/>
  <c r="AO25" i="6"/>
  <c r="AL25" i="6"/>
  <c r="AM24" i="6"/>
  <c r="AN24" i="6"/>
  <c r="AO24" i="6"/>
  <c r="AL24" i="6"/>
  <c r="AM23" i="6"/>
  <c r="AN23" i="6"/>
  <c r="AO23" i="6"/>
  <c r="AL23" i="6"/>
  <c r="AM22" i="6"/>
  <c r="AN22" i="6"/>
  <c r="AO22" i="6"/>
  <c r="AL22" i="6"/>
  <c r="AM21" i="6"/>
  <c r="AN21" i="6"/>
  <c r="AO21" i="6"/>
  <c r="AL21" i="6"/>
  <c r="AM20" i="6"/>
  <c r="AN20" i="6"/>
  <c r="AO20" i="6"/>
  <c r="AL20" i="6"/>
  <c r="AM19" i="6"/>
  <c r="AN19" i="6"/>
  <c r="AO19" i="6"/>
  <c r="AL19" i="6"/>
  <c r="AM18" i="6"/>
  <c r="AN18" i="6"/>
  <c r="AO18" i="6"/>
  <c r="AL18" i="6"/>
  <c r="AM17" i="6"/>
  <c r="AN17" i="6"/>
  <c r="AO17" i="6"/>
  <c r="AL17" i="6"/>
  <c r="AM16" i="6"/>
  <c r="AN16" i="6"/>
  <c r="AO16" i="6"/>
  <c r="AL16" i="6"/>
  <c r="AM15" i="6"/>
  <c r="AN15" i="6"/>
  <c r="AO15" i="6"/>
  <c r="AL15" i="6"/>
  <c r="AM14" i="6"/>
  <c r="AN14" i="6"/>
  <c r="AO14" i="6"/>
  <c r="AL14" i="6"/>
  <c r="AM13" i="6"/>
  <c r="AN13" i="6"/>
  <c r="AO13" i="6"/>
  <c r="AL13" i="6"/>
  <c r="AM12" i="6"/>
  <c r="AN12" i="6"/>
  <c r="AO12" i="6"/>
  <c r="AL12" i="6"/>
  <c r="AM11" i="6"/>
  <c r="AN11" i="6"/>
  <c r="AO11" i="6"/>
  <c r="AL11" i="6"/>
  <c r="AM10" i="6"/>
  <c r="AN10" i="6"/>
  <c r="AO10" i="6"/>
  <c r="AL10" i="6"/>
  <c r="AM9" i="6"/>
  <c r="AN9" i="6"/>
  <c r="AO9" i="6"/>
  <c r="AL9" i="6"/>
  <c r="AN8" i="6"/>
  <c r="AM8" i="6"/>
  <c r="AL8" i="6"/>
  <c r="AO8" i="6"/>
  <c r="AM56" i="5"/>
  <c r="AN56" i="5"/>
  <c r="AO56" i="5"/>
  <c r="AL56" i="5"/>
  <c r="AM55" i="5"/>
  <c r="AN55" i="5"/>
  <c r="AO55" i="5"/>
  <c r="AL55" i="5"/>
  <c r="AM54" i="5"/>
  <c r="AN54" i="5"/>
  <c r="AO54" i="5"/>
  <c r="AL54" i="5"/>
  <c r="AM53" i="5"/>
  <c r="AN53" i="5"/>
  <c r="AO53" i="5"/>
  <c r="AL53" i="5"/>
  <c r="AM52" i="5"/>
  <c r="AN52" i="5"/>
  <c r="AO52" i="5"/>
  <c r="AL52" i="5"/>
  <c r="AM51" i="5"/>
  <c r="AN51" i="5"/>
  <c r="AO51" i="5"/>
  <c r="AL51" i="5"/>
  <c r="AM50" i="5"/>
  <c r="AN50" i="5"/>
  <c r="AO50" i="5"/>
  <c r="AL50" i="5"/>
  <c r="AM49" i="5"/>
  <c r="AN49" i="5"/>
  <c r="AO49" i="5"/>
  <c r="AL49" i="5"/>
  <c r="AM48" i="5"/>
  <c r="AN48" i="5"/>
  <c r="AO48" i="5"/>
  <c r="AL48" i="5"/>
  <c r="AM47" i="5"/>
  <c r="AN47" i="5"/>
  <c r="AO47" i="5"/>
  <c r="AL47" i="5"/>
  <c r="AM46" i="5"/>
  <c r="AN46" i="5"/>
  <c r="AO46" i="5"/>
  <c r="AL46" i="5"/>
  <c r="AM45" i="5"/>
  <c r="AN45" i="5"/>
  <c r="AO45" i="5"/>
  <c r="AL45" i="5"/>
  <c r="AM44" i="5"/>
  <c r="AN44" i="5"/>
  <c r="AO44" i="5"/>
  <c r="AL44" i="5"/>
  <c r="AM43" i="5"/>
  <c r="AN43" i="5"/>
  <c r="AO43" i="5"/>
  <c r="AL43" i="5"/>
  <c r="AM42" i="5"/>
  <c r="AN42" i="5"/>
  <c r="AO42" i="5"/>
  <c r="AL42" i="5"/>
  <c r="AM41" i="5"/>
  <c r="AN41" i="5"/>
  <c r="AO41" i="5"/>
  <c r="AL41" i="5"/>
  <c r="AM40" i="5"/>
  <c r="AN40" i="5"/>
  <c r="AO40" i="5"/>
  <c r="AL40" i="5"/>
  <c r="AM39" i="5"/>
  <c r="AN39" i="5"/>
  <c r="AO39" i="5"/>
  <c r="AL39" i="5"/>
  <c r="AM38" i="5"/>
  <c r="AN38" i="5"/>
  <c r="AO38" i="5"/>
  <c r="AL38" i="5"/>
  <c r="AM37" i="5"/>
  <c r="AN37" i="5"/>
  <c r="AO37" i="5"/>
  <c r="AL37" i="5"/>
  <c r="AM36" i="5"/>
  <c r="AN36" i="5"/>
  <c r="AO36" i="5"/>
  <c r="AL36" i="5"/>
  <c r="AM35" i="5"/>
  <c r="AN35" i="5"/>
  <c r="AO35" i="5"/>
  <c r="AL35" i="5"/>
  <c r="AM34" i="5"/>
  <c r="AN34" i="5"/>
  <c r="AO34" i="5"/>
  <c r="AL34" i="5"/>
  <c r="AM33" i="5"/>
  <c r="AN33" i="5"/>
  <c r="AO33" i="5"/>
  <c r="AL33" i="5"/>
  <c r="AM32" i="5"/>
  <c r="AN32" i="5"/>
  <c r="AO32" i="5"/>
  <c r="AL32" i="5"/>
  <c r="AM31" i="5"/>
  <c r="AN31" i="5"/>
  <c r="AO31" i="5"/>
  <c r="AL31" i="5"/>
  <c r="AM30" i="5"/>
  <c r="AN30" i="5"/>
  <c r="AO30" i="5"/>
  <c r="AL30" i="5"/>
  <c r="AM29" i="5"/>
  <c r="AN29" i="5"/>
  <c r="AO29" i="5"/>
  <c r="AL29" i="5"/>
  <c r="AM28" i="5"/>
  <c r="AN28" i="5"/>
  <c r="AO28" i="5"/>
  <c r="AL28" i="5"/>
  <c r="AM27" i="5"/>
  <c r="AN27" i="5"/>
  <c r="AO27" i="5"/>
  <c r="AL27" i="5"/>
  <c r="AM26" i="5"/>
  <c r="AN26" i="5"/>
  <c r="AO26" i="5"/>
  <c r="AL26" i="5"/>
  <c r="AM25" i="5"/>
  <c r="AN25" i="5"/>
  <c r="AO25" i="5"/>
  <c r="AL25" i="5"/>
  <c r="AM24" i="5"/>
  <c r="AN24" i="5"/>
  <c r="AO24" i="5"/>
  <c r="AL24" i="5"/>
  <c r="AM23" i="5"/>
  <c r="AN23" i="5"/>
  <c r="AO23" i="5"/>
  <c r="AL23" i="5"/>
  <c r="AM22" i="5"/>
  <c r="AN22" i="5"/>
  <c r="AO22" i="5"/>
  <c r="AL22" i="5"/>
  <c r="AM21" i="5"/>
  <c r="AN21" i="5"/>
  <c r="AO21" i="5"/>
  <c r="AL21" i="5"/>
  <c r="AM20" i="5"/>
  <c r="AN20" i="5"/>
  <c r="AO20" i="5"/>
  <c r="AL20" i="5"/>
  <c r="AM19" i="5"/>
  <c r="AN19" i="5"/>
  <c r="AO19" i="5"/>
  <c r="AL19" i="5"/>
  <c r="AM18" i="5"/>
  <c r="AN18" i="5"/>
  <c r="AO18" i="5"/>
  <c r="AL18" i="5"/>
  <c r="AM17" i="5"/>
  <c r="AN17" i="5"/>
  <c r="AO17" i="5"/>
  <c r="AL17" i="5"/>
  <c r="AM16" i="5"/>
  <c r="AN16" i="5"/>
  <c r="AO16" i="5"/>
  <c r="AL16" i="5"/>
  <c r="AM15" i="5"/>
  <c r="AN15" i="5"/>
  <c r="AO15" i="5"/>
  <c r="AL15" i="5"/>
  <c r="AM14" i="5"/>
  <c r="AN14" i="5"/>
  <c r="AO14" i="5"/>
  <c r="AL14" i="5"/>
  <c r="AM13" i="5"/>
  <c r="AN13" i="5"/>
  <c r="AO13" i="5"/>
  <c r="AL13" i="5"/>
  <c r="AM12" i="5"/>
  <c r="AN12" i="5"/>
  <c r="AO12" i="5"/>
  <c r="AL12" i="5"/>
  <c r="AM11" i="5"/>
  <c r="AN11" i="5"/>
  <c r="AO11" i="5"/>
  <c r="AL11" i="5"/>
  <c r="AM10" i="5"/>
  <c r="AN10" i="5"/>
  <c r="AO10" i="5"/>
  <c r="AL10" i="5"/>
  <c r="AM9" i="5"/>
  <c r="AN9" i="5"/>
  <c r="AO9" i="5"/>
  <c r="AL9" i="5"/>
  <c r="AM8" i="5"/>
  <c r="AN8" i="5"/>
  <c r="AO8" i="5"/>
  <c r="AL8" i="5"/>
  <c r="AO8" i="4"/>
  <c r="AM56" i="3"/>
  <c r="AN56" i="3"/>
  <c r="AM55" i="3"/>
  <c r="AN55" i="3"/>
  <c r="AM54" i="3"/>
  <c r="AN54" i="3"/>
  <c r="AM53" i="3"/>
  <c r="AN53" i="3"/>
  <c r="AM52" i="3"/>
  <c r="AN52" i="3"/>
  <c r="AM51" i="3"/>
  <c r="AN51" i="3"/>
  <c r="AM50" i="3"/>
  <c r="AN50" i="3"/>
  <c r="AM49" i="3"/>
  <c r="AN49" i="3"/>
  <c r="AM48" i="3"/>
  <c r="AN48" i="3"/>
  <c r="AM47" i="3"/>
  <c r="AN47" i="3"/>
  <c r="AM46" i="3"/>
  <c r="AN46" i="3"/>
  <c r="AM45" i="3"/>
  <c r="AN45" i="3"/>
  <c r="AM44" i="3"/>
  <c r="AN44" i="3"/>
  <c r="AM43" i="3"/>
  <c r="AN43" i="3"/>
  <c r="AM42" i="3"/>
  <c r="AN42" i="3"/>
  <c r="AM41" i="3"/>
  <c r="AN41" i="3"/>
  <c r="AM40" i="3"/>
  <c r="AN40" i="3"/>
  <c r="AM39" i="3"/>
  <c r="AN39" i="3"/>
  <c r="AM38" i="3"/>
  <c r="AN38" i="3"/>
  <c r="AM37" i="3"/>
  <c r="AN37" i="3"/>
  <c r="AM36" i="3"/>
  <c r="AN36" i="3"/>
  <c r="AM35" i="3"/>
  <c r="AN35" i="3"/>
  <c r="AM34" i="3"/>
  <c r="AN34" i="3"/>
  <c r="AM33" i="3"/>
  <c r="AN33" i="3"/>
  <c r="AM32" i="3"/>
  <c r="AN32" i="3"/>
  <c r="AM31" i="3"/>
  <c r="AN31" i="3"/>
  <c r="AM30" i="3"/>
  <c r="AN30" i="3"/>
  <c r="AM29" i="3"/>
  <c r="AN29" i="3"/>
  <c r="AM28" i="3"/>
  <c r="AN28" i="3"/>
  <c r="AM27" i="3"/>
  <c r="AN27" i="3"/>
  <c r="AM26" i="3"/>
  <c r="AN26" i="3"/>
  <c r="AM25" i="3"/>
  <c r="AN25" i="3"/>
  <c r="AM24" i="3"/>
  <c r="AN24" i="3"/>
  <c r="AM23" i="3"/>
  <c r="AN23" i="3"/>
  <c r="AM22" i="3"/>
  <c r="AN22" i="3"/>
  <c r="AM21" i="3"/>
  <c r="AN21" i="3"/>
  <c r="AM20" i="3"/>
  <c r="AN20" i="3"/>
  <c r="AM19" i="3"/>
  <c r="AN19" i="3"/>
  <c r="AM18" i="3"/>
  <c r="AN18" i="3"/>
  <c r="AM17" i="3"/>
  <c r="AN17" i="3"/>
  <c r="AM16" i="3"/>
  <c r="AN16" i="3"/>
  <c r="AM15" i="3"/>
  <c r="AN15" i="3"/>
  <c r="AM14" i="3"/>
  <c r="AN14" i="3"/>
  <c r="AM13" i="3"/>
  <c r="AN13" i="3"/>
  <c r="AM12" i="3"/>
  <c r="AN12" i="3"/>
  <c r="AM11" i="3"/>
  <c r="AN11" i="3"/>
  <c r="AM10" i="3"/>
  <c r="AN10" i="3"/>
  <c r="AM9" i="3"/>
  <c r="AN9" i="3"/>
  <c r="AM8" i="3"/>
  <c r="AN8" i="3"/>
  <c r="A4" i="12"/>
  <c r="A4" i="11"/>
  <c r="A4" i="10"/>
  <c r="A4" i="9"/>
  <c r="A4" i="8"/>
  <c r="A4" i="7"/>
  <c r="A4" i="6"/>
  <c r="A4" i="5"/>
  <c r="AJ1" i="12"/>
  <c r="AI1" i="12"/>
  <c r="AH1" i="12"/>
  <c r="AG1" i="12"/>
  <c r="AF1" i="12"/>
  <c r="AE1" i="12"/>
  <c r="AD1" i="12"/>
  <c r="AC1" i="12"/>
  <c r="AB1" i="12"/>
  <c r="AA1" i="12"/>
  <c r="Z1" i="12"/>
  <c r="Y1" i="12"/>
  <c r="X1" i="12"/>
  <c r="W1" i="12"/>
  <c r="V1" i="12"/>
  <c r="U1" i="12"/>
  <c r="T1" i="12"/>
  <c r="S1" i="12"/>
  <c r="R1" i="12"/>
  <c r="Q1" i="12"/>
  <c r="P1" i="12"/>
  <c r="O1" i="12"/>
  <c r="N1" i="12"/>
  <c r="M1" i="12"/>
  <c r="L1" i="12"/>
  <c r="K1" i="12"/>
  <c r="J1" i="12"/>
  <c r="I1" i="12"/>
  <c r="H1" i="12"/>
  <c r="G1" i="12"/>
  <c r="F1" i="12"/>
  <c r="AI1" i="11"/>
  <c r="AH1" i="11"/>
  <c r="AG1" i="11"/>
  <c r="AF1" i="11"/>
  <c r="AE1" i="11"/>
  <c r="AD1" i="11"/>
  <c r="AC1" i="11"/>
  <c r="AB1" i="11"/>
  <c r="AA1" i="11"/>
  <c r="Z1" i="11"/>
  <c r="Y1" i="11"/>
  <c r="X1" i="11"/>
  <c r="W1" i="11"/>
  <c r="V1" i="11"/>
  <c r="U1" i="11"/>
  <c r="T1" i="11"/>
  <c r="S1" i="11"/>
  <c r="R1" i="11"/>
  <c r="Q1" i="11"/>
  <c r="P1" i="11"/>
  <c r="O1" i="11"/>
  <c r="N1" i="11"/>
  <c r="M1" i="11"/>
  <c r="L1" i="11"/>
  <c r="K1" i="11"/>
  <c r="J1" i="11"/>
  <c r="I1" i="11"/>
  <c r="H1" i="11"/>
  <c r="G1" i="11"/>
  <c r="F1" i="11"/>
  <c r="AJ1" i="10"/>
  <c r="AI1" i="10"/>
  <c r="AH1" i="10"/>
  <c r="AG1" i="10"/>
  <c r="AF1" i="10"/>
  <c r="AE1" i="10"/>
  <c r="AD1" i="10"/>
  <c r="AC1" i="10"/>
  <c r="AB1" i="10"/>
  <c r="AA1" i="10"/>
  <c r="Z1" i="10"/>
  <c r="Y1" i="10"/>
  <c r="X1" i="10"/>
  <c r="W1" i="10"/>
  <c r="V1" i="10"/>
  <c r="U1" i="10"/>
  <c r="T1" i="10"/>
  <c r="S1" i="10"/>
  <c r="R1" i="10"/>
  <c r="Q1" i="10"/>
  <c r="P1" i="10"/>
  <c r="O1" i="10"/>
  <c r="N1" i="10"/>
  <c r="M1" i="10"/>
  <c r="L1" i="10"/>
  <c r="K1" i="10"/>
  <c r="J1" i="10"/>
  <c r="I1" i="10"/>
  <c r="H1" i="10"/>
  <c r="G1" i="10"/>
  <c r="F1" i="10"/>
  <c r="AI1" i="9"/>
  <c r="AH1" i="9"/>
  <c r="AG1" i="9"/>
  <c r="AF1" i="9"/>
  <c r="AE1" i="9"/>
  <c r="AD1" i="9"/>
  <c r="AC1" i="9"/>
  <c r="AB1" i="9"/>
  <c r="AA1" i="9"/>
  <c r="Z1" i="9"/>
  <c r="Y1" i="9"/>
  <c r="X1" i="9"/>
  <c r="W1" i="9"/>
  <c r="V1" i="9"/>
  <c r="U1" i="9"/>
  <c r="T1" i="9"/>
  <c r="S1" i="9"/>
  <c r="R1" i="9"/>
  <c r="Q1" i="9"/>
  <c r="P1" i="9"/>
  <c r="O1" i="9"/>
  <c r="N1" i="9"/>
  <c r="M1" i="9"/>
  <c r="L1" i="9"/>
  <c r="K1" i="9"/>
  <c r="J1" i="9"/>
  <c r="I1" i="9"/>
  <c r="H1" i="9"/>
  <c r="G1" i="9"/>
  <c r="F1" i="9"/>
  <c r="AJ1" i="8"/>
  <c r="AI1" i="8"/>
  <c r="AH1" i="8"/>
  <c r="AG1" i="8"/>
  <c r="AF1" i="8"/>
  <c r="AE1" i="8"/>
  <c r="AD1" i="8"/>
  <c r="AC1" i="8"/>
  <c r="AB1" i="8"/>
  <c r="AA1" i="8"/>
  <c r="Z1" i="8"/>
  <c r="Y1" i="8"/>
  <c r="X1" i="8"/>
  <c r="W1" i="8"/>
  <c r="V1" i="8"/>
  <c r="U1" i="8"/>
  <c r="T1" i="8"/>
  <c r="S1" i="8"/>
  <c r="R1" i="8"/>
  <c r="Q1" i="8"/>
  <c r="P1" i="8"/>
  <c r="O1" i="8"/>
  <c r="N1" i="8"/>
  <c r="M1" i="8"/>
  <c r="L1" i="8"/>
  <c r="K1" i="8"/>
  <c r="J1" i="8"/>
  <c r="I1" i="8"/>
  <c r="H1" i="8"/>
  <c r="G1" i="8"/>
  <c r="F1" i="8"/>
  <c r="AJ1" i="7"/>
  <c r="AI1" i="7"/>
  <c r="AH1" i="7"/>
  <c r="AG1" i="7"/>
  <c r="AF1" i="7"/>
  <c r="AE1" i="7"/>
  <c r="AD1" i="7"/>
  <c r="AC1" i="7"/>
  <c r="AB1" i="7"/>
  <c r="AA1" i="7"/>
  <c r="Z1" i="7"/>
  <c r="Y1" i="7"/>
  <c r="X1" i="7"/>
  <c r="W1" i="7"/>
  <c r="V1" i="7"/>
  <c r="U1" i="7"/>
  <c r="T1" i="7"/>
  <c r="S1" i="7"/>
  <c r="R1" i="7"/>
  <c r="Q1" i="7"/>
  <c r="P1" i="7"/>
  <c r="O1" i="7"/>
  <c r="N1" i="7"/>
  <c r="M1" i="7"/>
  <c r="L1" i="7"/>
  <c r="K1" i="7"/>
  <c r="J1" i="7"/>
  <c r="I1" i="7"/>
  <c r="H1" i="7"/>
  <c r="G1" i="7"/>
  <c r="F1" i="7"/>
  <c r="AI1" i="6"/>
  <c r="AH1" i="6"/>
  <c r="AG1" i="6"/>
  <c r="AF1" i="6"/>
  <c r="AE1" i="6"/>
  <c r="AD1" i="6"/>
  <c r="AC1" i="6"/>
  <c r="AB1" i="6"/>
  <c r="AA1" i="6"/>
  <c r="Z1" i="6"/>
  <c r="Y1" i="6"/>
  <c r="X1" i="6"/>
  <c r="W1" i="6"/>
  <c r="V1" i="6"/>
  <c r="U1" i="6"/>
  <c r="T1" i="6"/>
  <c r="S1" i="6"/>
  <c r="R1" i="6"/>
  <c r="Q1" i="6"/>
  <c r="P1" i="6"/>
  <c r="O1" i="6"/>
  <c r="N1" i="6"/>
  <c r="M1" i="6"/>
  <c r="L1" i="6"/>
  <c r="K1" i="6"/>
  <c r="J1" i="6"/>
  <c r="I1" i="6"/>
  <c r="H1" i="6"/>
  <c r="G1" i="6"/>
  <c r="F1" i="6"/>
  <c r="AJ1" i="5"/>
  <c r="AI1" i="5"/>
  <c r="AH1" i="5"/>
  <c r="AG1" i="5"/>
  <c r="AF1" i="5"/>
  <c r="AE1" i="5"/>
  <c r="AD1" i="5"/>
  <c r="AC1" i="5"/>
  <c r="AB1" i="5"/>
  <c r="AA1" i="5"/>
  <c r="Z1" i="5"/>
  <c r="Y1" i="5"/>
  <c r="X1" i="5"/>
  <c r="W1" i="5"/>
  <c r="V1" i="5"/>
  <c r="U1" i="5"/>
  <c r="T1" i="5"/>
  <c r="S1" i="5"/>
  <c r="R1" i="5"/>
  <c r="Q1" i="5"/>
  <c r="P1" i="5"/>
  <c r="O1" i="5"/>
  <c r="N1" i="5"/>
  <c r="M1" i="5"/>
  <c r="L1" i="5"/>
  <c r="K1" i="5"/>
  <c r="J1" i="5"/>
  <c r="I1" i="5"/>
  <c r="H1" i="5"/>
  <c r="G1" i="5"/>
  <c r="F1" i="5"/>
  <c r="AI1" i="4"/>
  <c r="AH1" i="4"/>
  <c r="AG1" i="4"/>
  <c r="AF1" i="4"/>
  <c r="AE1" i="4"/>
  <c r="AD1" i="4"/>
  <c r="AC1" i="4"/>
  <c r="AB1" i="4"/>
  <c r="AA1" i="4"/>
  <c r="Z1" i="4"/>
  <c r="Y1" i="4"/>
  <c r="X1" i="4"/>
  <c r="W1" i="4"/>
  <c r="V1" i="4"/>
  <c r="U1" i="4"/>
  <c r="T1" i="4"/>
  <c r="S1" i="4"/>
  <c r="R1" i="4"/>
  <c r="Q1" i="4"/>
  <c r="P1" i="4"/>
  <c r="O1" i="4"/>
  <c r="N1" i="4"/>
  <c r="M1" i="4"/>
  <c r="L1" i="4"/>
  <c r="K1" i="4"/>
  <c r="J1" i="4"/>
  <c r="I1" i="4"/>
  <c r="H1" i="4"/>
  <c r="G1" i="4"/>
  <c r="F1" i="4"/>
  <c r="AA3" i="12"/>
  <c r="AA3" i="11"/>
  <c r="AA3" i="10"/>
  <c r="AA3" i="9"/>
  <c r="AA3" i="8"/>
  <c r="AA3" i="7"/>
  <c r="AA3" i="6"/>
  <c r="AA3" i="5"/>
  <c r="AA3" i="4"/>
  <c r="A4" i="4"/>
  <c r="AO56" i="3"/>
  <c r="AL56" i="3"/>
  <c r="AO55" i="3"/>
  <c r="AL55" i="3"/>
  <c r="AO54" i="3"/>
  <c r="AL54" i="3"/>
  <c r="AO53" i="3"/>
  <c r="AL53" i="3"/>
  <c r="AO52" i="3"/>
  <c r="AL52" i="3"/>
  <c r="AO51" i="3"/>
  <c r="AL51" i="3"/>
  <c r="AO50" i="3"/>
  <c r="AL50" i="3"/>
  <c r="AO49" i="3"/>
  <c r="AL49" i="3"/>
  <c r="AO48" i="3"/>
  <c r="AL48" i="3"/>
  <c r="AO47" i="3"/>
  <c r="AL47" i="3"/>
  <c r="AO46" i="3"/>
  <c r="AL46" i="3"/>
  <c r="AO45" i="3"/>
  <c r="AL45" i="3"/>
  <c r="AO44" i="3"/>
  <c r="AL44" i="3"/>
  <c r="AO43" i="3"/>
  <c r="AL43" i="3"/>
  <c r="AO42" i="3"/>
  <c r="AL42" i="3"/>
  <c r="AO41" i="3"/>
  <c r="AL41" i="3"/>
  <c r="AO40" i="3"/>
  <c r="AL40" i="3"/>
  <c r="AO39" i="3"/>
  <c r="AL39" i="3"/>
  <c r="AO38" i="3"/>
  <c r="AL38" i="3"/>
  <c r="AO37" i="3"/>
  <c r="AL37" i="3"/>
  <c r="AO36" i="3"/>
  <c r="AL36" i="3"/>
  <c r="AO35" i="3"/>
  <c r="AL35" i="3"/>
  <c r="AO34" i="3"/>
  <c r="AL34" i="3"/>
  <c r="AO33" i="3"/>
  <c r="AL33" i="3"/>
  <c r="AO32" i="3"/>
  <c r="AL32" i="3"/>
  <c r="AO31" i="3"/>
  <c r="AL31" i="3"/>
  <c r="AO30" i="3"/>
  <c r="AL30" i="3"/>
  <c r="AO29" i="3"/>
  <c r="AL29" i="3"/>
  <c r="AO28" i="3"/>
  <c r="AL28" i="3"/>
  <c r="AO27" i="3"/>
  <c r="AL27" i="3"/>
  <c r="AO26" i="3"/>
  <c r="AL26" i="3"/>
  <c r="AO25" i="3"/>
  <c r="AL25" i="3"/>
  <c r="AO24" i="3"/>
  <c r="AL24" i="3"/>
  <c r="AO23" i="3"/>
  <c r="AL23" i="3"/>
  <c r="AO22" i="3"/>
  <c r="AL22" i="3"/>
  <c r="AO21" i="3"/>
  <c r="AL21" i="3"/>
  <c r="AO20" i="3"/>
  <c r="AL20" i="3"/>
  <c r="AO19" i="3"/>
  <c r="AL19" i="3"/>
  <c r="AO18" i="3"/>
  <c r="AL18" i="3"/>
  <c r="AO17" i="3"/>
  <c r="AL17" i="3"/>
  <c r="AO16" i="3"/>
  <c r="AL16" i="3"/>
  <c r="AO15" i="3"/>
  <c r="AL15" i="3"/>
  <c r="AO14" i="3"/>
  <c r="AL14" i="3"/>
  <c r="AO13" i="3"/>
  <c r="AL13" i="3"/>
  <c r="AO12" i="3"/>
  <c r="AL12" i="3"/>
  <c r="AO11" i="3"/>
  <c r="AL11" i="3"/>
  <c r="AO10" i="3"/>
  <c r="AL10" i="3"/>
  <c r="AO9" i="3"/>
  <c r="AL9" i="3"/>
  <c r="AO8" i="3"/>
  <c r="AL8" i="3"/>
  <c r="AA3" i="3"/>
  <c r="AJ1" i="3"/>
  <c r="AI1" i="3"/>
  <c r="AH1" i="3"/>
  <c r="AG1" i="3"/>
  <c r="AF1" i="3"/>
  <c r="AE1" i="3"/>
  <c r="AD1" i="3"/>
  <c r="AC1" i="3"/>
  <c r="AB1" i="3"/>
  <c r="AA1" i="3"/>
  <c r="Z1" i="3"/>
  <c r="Y1" i="3"/>
  <c r="X1" i="3"/>
  <c r="W1" i="3"/>
  <c r="V1" i="3"/>
  <c r="U1" i="3"/>
  <c r="T1" i="3"/>
  <c r="S1" i="3"/>
  <c r="R1" i="3"/>
  <c r="Q1" i="3"/>
  <c r="P1" i="3"/>
  <c r="O1" i="3"/>
  <c r="N1" i="3"/>
  <c r="M1" i="3"/>
  <c r="L1" i="3"/>
  <c r="K1" i="3"/>
  <c r="J1" i="3"/>
  <c r="I1" i="3"/>
  <c r="H1" i="3"/>
  <c r="G1" i="3"/>
  <c r="F1" i="3"/>
  <c r="A4" i="3"/>
  <c r="AK56" i="2"/>
  <c r="AK55" i="2"/>
  <c r="AK54" i="2"/>
  <c r="AK53" i="2"/>
  <c r="AK52" i="2"/>
  <c r="AK51" i="2"/>
  <c r="AK50" i="2"/>
  <c r="AK49" i="2"/>
  <c r="AK48" i="2"/>
  <c r="AK47" i="2"/>
  <c r="AK46" i="2"/>
  <c r="AK45" i="2"/>
  <c r="AK44" i="2"/>
  <c r="AK43" i="2"/>
  <c r="AK42" i="2"/>
  <c r="AK41" i="2"/>
  <c r="AK40" i="2"/>
  <c r="AK39" i="2"/>
  <c r="AK38" i="2"/>
  <c r="AK37" i="2"/>
  <c r="AK36" i="2"/>
  <c r="AK35" i="2"/>
  <c r="AK34" i="2"/>
  <c r="AK33" i="2"/>
  <c r="AK32" i="2"/>
  <c r="AK31" i="2"/>
  <c r="AK30" i="2"/>
  <c r="AK29" i="2"/>
  <c r="AK28" i="2"/>
  <c r="AK27" i="2"/>
  <c r="AK26" i="2"/>
  <c r="AK25" i="2"/>
  <c r="AK24" i="2"/>
  <c r="AK23" i="2"/>
  <c r="AK22" i="2"/>
  <c r="AK21" i="2"/>
  <c r="AK20" i="2"/>
  <c r="AK19" i="2"/>
  <c r="AK18" i="2"/>
  <c r="AK17" i="2"/>
  <c r="AK16" i="2"/>
  <c r="AK15" i="2"/>
  <c r="AK14" i="2"/>
  <c r="AK13" i="2"/>
  <c r="AK12" i="2"/>
  <c r="AK11" i="2"/>
  <c r="AK10" i="2"/>
  <c r="AK9" i="2"/>
  <c r="AK8" i="2"/>
  <c r="A4" i="2"/>
  <c r="A4" i="1"/>
  <c r="AL56" i="2"/>
  <c r="AM56" i="2"/>
  <c r="AN56" i="2"/>
  <c r="AL55" i="2"/>
  <c r="AM55" i="2"/>
  <c r="AN55" i="2"/>
  <c r="AL54" i="2"/>
  <c r="AM54" i="2"/>
  <c r="AN54" i="2"/>
  <c r="AL53" i="2"/>
  <c r="AM53" i="2"/>
  <c r="AN53" i="2"/>
  <c r="AL52" i="2"/>
  <c r="AM52" i="2"/>
  <c r="AN52" i="2"/>
  <c r="AL51" i="2"/>
  <c r="AM51" i="2"/>
  <c r="AN51" i="2"/>
  <c r="AL50" i="2"/>
  <c r="AM50" i="2"/>
  <c r="AN50" i="2"/>
  <c r="AL49" i="2"/>
  <c r="AM49" i="2"/>
  <c r="AN49" i="2"/>
  <c r="AL48" i="2"/>
  <c r="AM48" i="2"/>
  <c r="AN48" i="2"/>
  <c r="AL47" i="2"/>
  <c r="AM47" i="2"/>
  <c r="AN47" i="2"/>
  <c r="AL46" i="2"/>
  <c r="AM46" i="2"/>
  <c r="AN46" i="2"/>
  <c r="AL45" i="2"/>
  <c r="AM45" i="2"/>
  <c r="AN45" i="2"/>
  <c r="AL44" i="2"/>
  <c r="AM44" i="2"/>
  <c r="AN44" i="2"/>
  <c r="AL43" i="2"/>
  <c r="AM43" i="2"/>
  <c r="AN43" i="2"/>
  <c r="AL42" i="2"/>
  <c r="AM42" i="2"/>
  <c r="AN42" i="2"/>
  <c r="AL41" i="2"/>
  <c r="AM41" i="2"/>
  <c r="AN41" i="2"/>
  <c r="AL40" i="2"/>
  <c r="AM40" i="2"/>
  <c r="AN40" i="2"/>
  <c r="AL39" i="2"/>
  <c r="AM39" i="2"/>
  <c r="AN39" i="2"/>
  <c r="AL38" i="2"/>
  <c r="AM38" i="2"/>
  <c r="AN38" i="2"/>
  <c r="AL37" i="2"/>
  <c r="AM37" i="2"/>
  <c r="AN37" i="2"/>
  <c r="AL36" i="2"/>
  <c r="AM36" i="2"/>
  <c r="AN36" i="2"/>
  <c r="AL35" i="2"/>
  <c r="AM35" i="2"/>
  <c r="AN35" i="2"/>
  <c r="AL34" i="2"/>
  <c r="AM34" i="2"/>
  <c r="AN34" i="2"/>
  <c r="AL33" i="2"/>
  <c r="AM33" i="2"/>
  <c r="AN33" i="2"/>
  <c r="AL32" i="2"/>
  <c r="AM32" i="2"/>
  <c r="AN32" i="2"/>
  <c r="AL31" i="2"/>
  <c r="AM31" i="2"/>
  <c r="AN31" i="2"/>
  <c r="AL30" i="2"/>
  <c r="AM30" i="2"/>
  <c r="AN30" i="2"/>
  <c r="AL29" i="2"/>
  <c r="AM29" i="2"/>
  <c r="AN29" i="2"/>
  <c r="AL28" i="2"/>
  <c r="AM28" i="2"/>
  <c r="AN28" i="2"/>
  <c r="AL27" i="2"/>
  <c r="AM27" i="2"/>
  <c r="AN27" i="2"/>
  <c r="AL26" i="2"/>
  <c r="AM26" i="2"/>
  <c r="AN26" i="2"/>
  <c r="AL25" i="2"/>
  <c r="AM25" i="2"/>
  <c r="AN25" i="2"/>
  <c r="AL24" i="2"/>
  <c r="AM24" i="2"/>
  <c r="AN24" i="2"/>
  <c r="AL23" i="2"/>
  <c r="AM23" i="2"/>
  <c r="AN23" i="2"/>
  <c r="AL22" i="2"/>
  <c r="AM22" i="2"/>
  <c r="AN22" i="2"/>
  <c r="AL21" i="2"/>
  <c r="AM21" i="2"/>
  <c r="AN21" i="2"/>
  <c r="AL20" i="2"/>
  <c r="AM20" i="2"/>
  <c r="AN20" i="2"/>
  <c r="AL19" i="2"/>
  <c r="AM19" i="2"/>
  <c r="AN19" i="2"/>
  <c r="AL18" i="2"/>
  <c r="AM18" i="2"/>
  <c r="AN18" i="2"/>
  <c r="AL17" i="2"/>
  <c r="AM17" i="2"/>
  <c r="AN17" i="2"/>
  <c r="AL16" i="2"/>
  <c r="AM16" i="2"/>
  <c r="AN16" i="2"/>
  <c r="AL15" i="2"/>
  <c r="AM15" i="2"/>
  <c r="AN15" i="2"/>
  <c r="AL14" i="2"/>
  <c r="AM14" i="2"/>
  <c r="AN14" i="2"/>
  <c r="AL13" i="2"/>
  <c r="AM13" i="2"/>
  <c r="AN13" i="2"/>
  <c r="AL12" i="2"/>
  <c r="AM12" i="2"/>
  <c r="AN12" i="2"/>
  <c r="AL11" i="2"/>
  <c r="AM11" i="2"/>
  <c r="AN11" i="2"/>
  <c r="AL10" i="2"/>
  <c r="AM10" i="2"/>
  <c r="AN10" i="2"/>
  <c r="AL9" i="2"/>
  <c r="AM9" i="2"/>
  <c r="AN9" i="2"/>
  <c r="AL8" i="2"/>
  <c r="AM8" i="2"/>
  <c r="AN8" i="2"/>
  <c r="AO56" i="1"/>
  <c r="AO55" i="1"/>
  <c r="AO54" i="1"/>
  <c r="AO53" i="1"/>
  <c r="AO52" i="1"/>
  <c r="AO51" i="1"/>
  <c r="AO50" i="1"/>
  <c r="AO49" i="1"/>
  <c r="AO48" i="1"/>
  <c r="AO47" i="1"/>
  <c r="AO46" i="1"/>
  <c r="AO45" i="1"/>
  <c r="AO44" i="1"/>
  <c r="AO43" i="1"/>
  <c r="AO42" i="1"/>
  <c r="AO41" i="1"/>
  <c r="AO40" i="1"/>
  <c r="AO39" i="1"/>
  <c r="AO38" i="1"/>
  <c r="AO37" i="1"/>
  <c r="AO36" i="1"/>
  <c r="AO35" i="1"/>
  <c r="AO34" i="1"/>
  <c r="AO33" i="1"/>
  <c r="AO32" i="1"/>
  <c r="AO31" i="1"/>
  <c r="AO30" i="1"/>
  <c r="AO29" i="1"/>
  <c r="AO28" i="1"/>
  <c r="AO27" i="1"/>
  <c r="AO26" i="1"/>
  <c r="AO25" i="1"/>
  <c r="AO24" i="1"/>
  <c r="AO23" i="1"/>
  <c r="AO22" i="1"/>
  <c r="AO21" i="1"/>
  <c r="AO20" i="1"/>
  <c r="AO19" i="1"/>
  <c r="AO18" i="1"/>
  <c r="AO17" i="1"/>
  <c r="AO16" i="1"/>
  <c r="AO15" i="1"/>
  <c r="AO14" i="1"/>
  <c r="AO13" i="1"/>
  <c r="AO12" i="1"/>
  <c r="AO11" i="1"/>
  <c r="AO10" i="1"/>
  <c r="AO9" i="1"/>
  <c r="AO8" i="1"/>
  <c r="G1" i="18"/>
  <c r="G1" i="1"/>
  <c r="H1" i="18"/>
  <c r="H1" i="1"/>
  <c r="I1" i="18"/>
  <c r="I1" i="1"/>
  <c r="J1" i="18"/>
  <c r="J1" i="1"/>
  <c r="K1" i="18"/>
  <c r="K1" i="1"/>
  <c r="L1" i="18"/>
  <c r="L1" i="1"/>
  <c r="M1" i="18"/>
  <c r="M1" i="1"/>
  <c r="N1" i="18"/>
  <c r="N1" i="1"/>
  <c r="O1" i="18"/>
  <c r="O1" i="1"/>
  <c r="P1" i="18"/>
  <c r="P1" i="1"/>
  <c r="Q1" i="18"/>
  <c r="Q1" i="1"/>
  <c r="R1" i="18"/>
  <c r="R1" i="1"/>
  <c r="S1" i="18"/>
  <c r="S1" i="1"/>
  <c r="T1" i="18"/>
  <c r="T1" i="1"/>
  <c r="U1" i="18"/>
  <c r="U1" i="1"/>
  <c r="V1" i="18"/>
  <c r="V1" i="1"/>
  <c r="W1" i="18"/>
  <c r="W1" i="1"/>
  <c r="X1" i="18"/>
  <c r="X1" i="1"/>
  <c r="Y1" i="18"/>
  <c r="Y1" i="1"/>
  <c r="Z1" i="18"/>
  <c r="Z1" i="1"/>
  <c r="AA1" i="18"/>
  <c r="AA1" i="1"/>
  <c r="AB1" i="18"/>
  <c r="AB1" i="1"/>
  <c r="AC1" i="18"/>
  <c r="AC1" i="1"/>
  <c r="AD1" i="18"/>
  <c r="AD1" i="1"/>
  <c r="AE1" i="18"/>
  <c r="AE1" i="1"/>
  <c r="AF1" i="18"/>
  <c r="AF1" i="1"/>
  <c r="AG1" i="18"/>
  <c r="AG1" i="1"/>
  <c r="AH1" i="18"/>
  <c r="AH1" i="1"/>
  <c r="AI1" i="18"/>
  <c r="AI1" i="1"/>
  <c r="AJ1" i="18"/>
  <c r="AL1" i="18"/>
  <c r="G1" i="2"/>
  <c r="AM1" i="18"/>
  <c r="H1" i="2"/>
  <c r="AN1" i="18"/>
  <c r="I1" i="2"/>
  <c r="AO1" i="18"/>
  <c r="J1" i="2"/>
  <c r="AP1" i="18"/>
  <c r="K1" i="2"/>
  <c r="AQ1" i="18"/>
  <c r="L1" i="2"/>
  <c r="AR1" i="18"/>
  <c r="M1" i="2"/>
  <c r="AS1" i="18"/>
  <c r="N1" i="2"/>
  <c r="AT1" i="18"/>
  <c r="O1" i="2"/>
  <c r="AU1" i="18"/>
  <c r="P1" i="2"/>
  <c r="AV1" i="18"/>
  <c r="Q1" i="2"/>
  <c r="AW1" i="18"/>
  <c r="R1" i="2"/>
  <c r="AX1" i="18"/>
  <c r="S1" i="2"/>
  <c r="AY1" i="18"/>
  <c r="T1" i="2"/>
  <c r="AZ1" i="18"/>
  <c r="U1" i="2"/>
  <c r="BA1" i="18"/>
  <c r="V1" i="2"/>
  <c r="BB1" i="18"/>
  <c r="W1" i="2"/>
  <c r="BC1" i="18"/>
  <c r="X1" i="2"/>
  <c r="BD1" i="18"/>
  <c r="Y1" i="2"/>
  <c r="BE1" i="18"/>
  <c r="Z1" i="2"/>
  <c r="BF1" i="18"/>
  <c r="AA1" i="2"/>
  <c r="BG1" i="18"/>
  <c r="AB1" i="2"/>
  <c r="BH1" i="18"/>
  <c r="AC1" i="2"/>
  <c r="BI1" i="18"/>
  <c r="AD1" i="2"/>
  <c r="BJ1" i="18"/>
  <c r="AE1" i="2"/>
  <c r="BK1" i="18"/>
  <c r="AF1" i="2"/>
  <c r="BL1" i="18"/>
  <c r="AG1" i="2"/>
  <c r="BM1" i="18"/>
  <c r="AH1" i="2"/>
  <c r="AK1" i="18"/>
  <c r="F1" i="2"/>
  <c r="AA3" i="2"/>
  <c r="AA3" i="1"/>
  <c r="NP14" i="18"/>
  <c r="NP15" i="18"/>
  <c r="NP16" i="18"/>
  <c r="NK56" i="18"/>
  <c r="NK55" i="18"/>
  <c r="NK54" i="18"/>
  <c r="NK53" i="18"/>
  <c r="NK52" i="18"/>
  <c r="NK51" i="18"/>
  <c r="NK50" i="18"/>
  <c r="NK49" i="18"/>
  <c r="NK48" i="18"/>
  <c r="NK47" i="18"/>
  <c r="NK46" i="18"/>
  <c r="NK45" i="18"/>
  <c r="NK44" i="18"/>
  <c r="NK43" i="18"/>
  <c r="NK42" i="18"/>
  <c r="NK41" i="18"/>
  <c r="NK40" i="18"/>
  <c r="NK39" i="18"/>
  <c r="NK38" i="18"/>
  <c r="NK37" i="18"/>
  <c r="NK36" i="18"/>
  <c r="NK35" i="18"/>
  <c r="NK34" i="18"/>
  <c r="NK33" i="18"/>
  <c r="NK32" i="18"/>
  <c r="NK31" i="18"/>
  <c r="NK30" i="18"/>
  <c r="NK29" i="18"/>
  <c r="NK28" i="18"/>
  <c r="NK27" i="18"/>
  <c r="NK26" i="18"/>
  <c r="NK25" i="18"/>
  <c r="NK24" i="18"/>
  <c r="NK23" i="18"/>
  <c r="NK22" i="18"/>
  <c r="NK21" i="18"/>
  <c r="NK20" i="18"/>
  <c r="NK19" i="18"/>
  <c r="NK18" i="18"/>
  <c r="NK17" i="18"/>
  <c r="NK16" i="18"/>
  <c r="NK15" i="18"/>
  <c r="NK14" i="18"/>
  <c r="NK13" i="18"/>
  <c r="NK12" i="18"/>
  <c r="NK11" i="18"/>
  <c r="NK10" i="18"/>
  <c r="NK9" i="18"/>
  <c r="NK8" i="18"/>
  <c r="NL56" i="18"/>
  <c r="NH56" i="18"/>
  <c r="NL55" i="18"/>
  <c r="NH55" i="18"/>
  <c r="NL54" i="18"/>
  <c r="NH54" i="18"/>
  <c r="NL53" i="18"/>
  <c r="NH53" i="18"/>
  <c r="NL52" i="18"/>
  <c r="NH52" i="18"/>
  <c r="NL51" i="18"/>
  <c r="NH51" i="18"/>
  <c r="NL50" i="18"/>
  <c r="NH50" i="18"/>
  <c r="NL49" i="18"/>
  <c r="NH49" i="18"/>
  <c r="NL48" i="18"/>
  <c r="NH48" i="18"/>
  <c r="NL47" i="18"/>
  <c r="NH47" i="18"/>
  <c r="NL46" i="18"/>
  <c r="NH46" i="18"/>
  <c r="NL45" i="18"/>
  <c r="NH45" i="18"/>
  <c r="NL44" i="18"/>
  <c r="NH44" i="18"/>
  <c r="NL43" i="18"/>
  <c r="NH43" i="18"/>
  <c r="NL42" i="18"/>
  <c r="NH42" i="18"/>
  <c r="NL41" i="18"/>
  <c r="NH41" i="18"/>
  <c r="NL40" i="18"/>
  <c r="NH40" i="18"/>
  <c r="NL39" i="18"/>
  <c r="NH39" i="18"/>
  <c r="NL38" i="18"/>
  <c r="NH38" i="18"/>
  <c r="NL37" i="18"/>
  <c r="NH37" i="18"/>
  <c r="NL36" i="18"/>
  <c r="NH36" i="18"/>
  <c r="NL35" i="18"/>
  <c r="NH35" i="18"/>
  <c r="NL34" i="18"/>
  <c r="NH34" i="18"/>
  <c r="NL33" i="18"/>
  <c r="NH33" i="18"/>
  <c r="NL32" i="18"/>
  <c r="NH32" i="18"/>
  <c r="NL31" i="18"/>
  <c r="NH31" i="18"/>
  <c r="NL30" i="18"/>
  <c r="NH30" i="18"/>
  <c r="NL29" i="18"/>
  <c r="NH29" i="18"/>
  <c r="NL28" i="18"/>
  <c r="NH28" i="18"/>
  <c r="NL27" i="18"/>
  <c r="NH27" i="18"/>
  <c r="NL26" i="18"/>
  <c r="NH26" i="18"/>
  <c r="NL25" i="18"/>
  <c r="NH25" i="18"/>
  <c r="NL24" i="18"/>
  <c r="NH24" i="18"/>
  <c r="NL23" i="18"/>
  <c r="NH23" i="18"/>
  <c r="NL22" i="18"/>
  <c r="NH22" i="18"/>
  <c r="NL21" i="18"/>
  <c r="NH21" i="18"/>
  <c r="NL20" i="18"/>
  <c r="NH20" i="18"/>
  <c r="NL19" i="18"/>
  <c r="NH19" i="18"/>
  <c r="NL18" i="18"/>
  <c r="NH18" i="18"/>
  <c r="NL17" i="18"/>
  <c r="NH17" i="18"/>
  <c r="NL16" i="18"/>
  <c r="NH16" i="18"/>
  <c r="NL15" i="18"/>
  <c r="NH15" i="18"/>
  <c r="NL14" i="18"/>
  <c r="NH14" i="18"/>
  <c r="NL13" i="18"/>
  <c r="NH13" i="18"/>
  <c r="NL12" i="18"/>
  <c r="NH12" i="18"/>
  <c r="NL11" i="18"/>
  <c r="NH11" i="18"/>
  <c r="NL10" i="18"/>
  <c r="NH10" i="18"/>
  <c r="NL9" i="18"/>
  <c r="NH9" i="18"/>
  <c r="NL8" i="18"/>
  <c r="NH8" i="18"/>
  <c r="NP8" i="18"/>
  <c r="F6" i="18"/>
  <c r="G6" i="18"/>
  <c r="H6" i="18"/>
  <c r="I6" i="18"/>
  <c r="J6" i="18"/>
  <c r="K6" i="18"/>
  <c r="L6" i="18"/>
  <c r="M6" i="18"/>
  <c r="N6" i="18"/>
  <c r="O6" i="18"/>
  <c r="P6" i="18"/>
  <c r="Q6" i="18"/>
  <c r="R6" i="18"/>
  <c r="S6" i="18"/>
  <c r="T6" i="18"/>
  <c r="U6" i="18"/>
  <c r="V6" i="18"/>
  <c r="W6" i="18"/>
  <c r="X6" i="18"/>
  <c r="Y6" i="18"/>
  <c r="Z6" i="18"/>
  <c r="AA6" i="18"/>
  <c r="AB6" i="18"/>
  <c r="AC6" i="18"/>
  <c r="AD6" i="18"/>
  <c r="AE6" i="18"/>
  <c r="AF6" i="18"/>
  <c r="AG6" i="18"/>
  <c r="AH6" i="18"/>
  <c r="AI6" i="18"/>
  <c r="AJ6" i="18"/>
  <c r="AK6" i="18"/>
  <c r="AL6" i="18"/>
  <c r="AM6" i="18"/>
  <c r="AN6" i="18"/>
  <c r="AO6" i="18"/>
  <c r="AP6" i="18"/>
  <c r="AQ6" i="18"/>
  <c r="AR6" i="18"/>
  <c r="AS6" i="18"/>
  <c r="AT6" i="18"/>
  <c r="AU6" i="18"/>
  <c r="AV6" i="18"/>
  <c r="AW6" i="18"/>
  <c r="AX6" i="18"/>
  <c r="AY6" i="18"/>
  <c r="AZ6" i="18"/>
  <c r="BA6" i="18"/>
  <c r="BB6" i="18"/>
  <c r="BC6" i="18"/>
  <c r="BD6" i="18"/>
  <c r="BE6" i="18"/>
  <c r="BF6" i="18"/>
  <c r="BG6" i="18"/>
  <c r="BH6" i="18"/>
  <c r="BI6" i="18"/>
  <c r="BJ6" i="18"/>
  <c r="BK6" i="18"/>
  <c r="BL6" i="18"/>
  <c r="BM6" i="18"/>
  <c r="BN6" i="18"/>
  <c r="BO6" i="18"/>
  <c r="BP6" i="18"/>
  <c r="BQ6" i="18"/>
  <c r="BR6" i="18"/>
  <c r="BS6" i="18"/>
  <c r="BT6" i="18"/>
  <c r="BU6" i="18"/>
  <c r="BV6" i="18"/>
  <c r="BW6" i="18"/>
  <c r="BX6" i="18"/>
  <c r="BY6" i="18"/>
  <c r="BZ6" i="18"/>
  <c r="CA6" i="18"/>
  <c r="CB6" i="18"/>
  <c r="CC6" i="18"/>
  <c r="CD6" i="18"/>
  <c r="CE6" i="18"/>
  <c r="CF6" i="18"/>
  <c r="CG6" i="18"/>
  <c r="CH6" i="18"/>
  <c r="CI6" i="18"/>
  <c r="CJ6" i="18"/>
  <c r="CK6" i="18"/>
  <c r="CL6" i="18"/>
  <c r="CM6" i="18"/>
  <c r="CN6" i="18"/>
  <c r="CO6" i="18"/>
  <c r="CP6" i="18"/>
  <c r="CQ6" i="18"/>
  <c r="CR6" i="18"/>
  <c r="CS6" i="18"/>
  <c r="CT6" i="18"/>
  <c r="CU6" i="18"/>
  <c r="CV6" i="18"/>
  <c r="CW6" i="18"/>
  <c r="CX6" i="18"/>
  <c r="CY6" i="18"/>
  <c r="CZ6" i="18"/>
  <c r="DA6" i="18"/>
  <c r="DB6" i="18"/>
  <c r="DC6" i="18"/>
  <c r="DD6" i="18"/>
  <c r="DE6" i="18"/>
  <c r="DF6" i="18"/>
  <c r="DG6" i="18"/>
  <c r="DH6" i="18"/>
  <c r="DI6" i="18"/>
  <c r="DJ6" i="18"/>
  <c r="DK6" i="18"/>
  <c r="DL6" i="18"/>
  <c r="DM6" i="18"/>
  <c r="DN6" i="18"/>
  <c r="DO6" i="18"/>
  <c r="DP6" i="18"/>
  <c r="DQ6" i="18"/>
  <c r="DR6" i="18"/>
  <c r="DS6" i="18"/>
  <c r="DT6" i="18"/>
  <c r="DU6" i="18"/>
  <c r="DV6" i="18"/>
  <c r="DW6" i="18"/>
  <c r="DX6" i="18"/>
  <c r="DY6" i="18"/>
  <c r="DZ6" i="18"/>
  <c r="EA6" i="18"/>
  <c r="EB6" i="18"/>
  <c r="EC6" i="18"/>
  <c r="ED6" i="18"/>
  <c r="EE6" i="18"/>
  <c r="EF6" i="18"/>
  <c r="EG6" i="18"/>
  <c r="EH6" i="18"/>
  <c r="EI6" i="18"/>
  <c r="EJ6" i="18"/>
  <c r="EK6" i="18"/>
  <c r="EL6" i="18"/>
  <c r="EM6" i="18"/>
  <c r="EN6" i="18"/>
  <c r="EO6" i="18"/>
  <c r="EP6" i="18"/>
  <c r="EQ6" i="18"/>
  <c r="ER6" i="18"/>
  <c r="ES6" i="18"/>
  <c r="ET6" i="18"/>
  <c r="EU6" i="18"/>
  <c r="EV6" i="18"/>
  <c r="EW6" i="18"/>
  <c r="EX6" i="18"/>
  <c r="EY6" i="18"/>
  <c r="EZ6" i="18"/>
  <c r="FA6" i="18"/>
  <c r="FB6" i="18"/>
  <c r="FC6" i="18"/>
  <c r="FD6" i="18"/>
  <c r="FE6" i="18"/>
  <c r="FF6" i="18"/>
  <c r="FG6" i="18"/>
  <c r="FH6" i="18"/>
  <c r="FI6" i="18"/>
  <c r="FJ6" i="18"/>
  <c r="FK6" i="18"/>
  <c r="FL6" i="18"/>
  <c r="FM6" i="18"/>
  <c r="FN6" i="18"/>
  <c r="FO6" i="18"/>
  <c r="FP6" i="18"/>
  <c r="FQ6" i="18"/>
  <c r="FR6" i="18"/>
  <c r="FS6" i="18"/>
  <c r="FT6" i="18"/>
  <c r="FU6" i="18"/>
  <c r="FV6" i="18"/>
  <c r="FW6" i="18"/>
  <c r="FX6" i="18"/>
  <c r="FY6" i="18"/>
  <c r="FZ6" i="18"/>
  <c r="GA6" i="18"/>
  <c r="GB6" i="18"/>
  <c r="GC6" i="18"/>
  <c r="GD6" i="18"/>
  <c r="GE6" i="18"/>
  <c r="GF6" i="18"/>
  <c r="GG6" i="18"/>
  <c r="GH6" i="18"/>
  <c r="GI6" i="18"/>
  <c r="GJ6" i="18"/>
  <c r="GK6" i="18"/>
  <c r="GL6" i="18"/>
  <c r="GM6" i="18"/>
  <c r="GN6" i="18"/>
  <c r="GO6" i="18"/>
  <c r="GP6" i="18"/>
  <c r="GQ6" i="18"/>
  <c r="GR6" i="18"/>
  <c r="GS6" i="18"/>
  <c r="GT6" i="18"/>
  <c r="GU6" i="18"/>
  <c r="GV6" i="18"/>
  <c r="GW6" i="18"/>
  <c r="GX6" i="18"/>
  <c r="GY6" i="18"/>
  <c r="GZ6" i="18"/>
  <c r="HA6" i="18"/>
  <c r="HB6" i="18"/>
  <c r="HC6" i="18"/>
  <c r="HD6" i="18"/>
  <c r="HE6" i="18"/>
  <c r="HF6" i="18"/>
  <c r="HG6" i="18"/>
  <c r="HH6" i="18"/>
  <c r="HI6" i="18"/>
  <c r="HJ6" i="18"/>
  <c r="HK6" i="18"/>
  <c r="HL6" i="18"/>
  <c r="HM6" i="18"/>
  <c r="HN6" i="18"/>
  <c r="HO6" i="18"/>
  <c r="HP6" i="18"/>
  <c r="HQ6" i="18"/>
  <c r="HR6" i="18"/>
  <c r="HS6" i="18"/>
  <c r="HT6" i="18"/>
  <c r="HU6" i="18"/>
  <c r="HV6" i="18"/>
  <c r="HW6" i="18"/>
  <c r="HX6" i="18"/>
  <c r="HY6" i="18"/>
  <c r="HZ6" i="18"/>
  <c r="IA6" i="18"/>
  <c r="IB6" i="18"/>
  <c r="IC6" i="18"/>
  <c r="ID6" i="18"/>
  <c r="IE6" i="18"/>
  <c r="IF6" i="18"/>
  <c r="IG6" i="18"/>
  <c r="IH6" i="18"/>
  <c r="II6" i="18"/>
  <c r="IJ6" i="18"/>
  <c r="IK6" i="18"/>
  <c r="IL6" i="18"/>
  <c r="IM6" i="18"/>
  <c r="IN6" i="18"/>
  <c r="IO6" i="18"/>
  <c r="IP6" i="18"/>
  <c r="IQ6" i="18"/>
  <c r="IR6" i="18"/>
  <c r="IS6" i="18"/>
  <c r="IT6" i="18"/>
  <c r="IU6" i="18"/>
  <c r="IV6" i="18"/>
  <c r="IW6" i="18"/>
  <c r="IX6" i="18"/>
  <c r="IY6" i="18"/>
  <c r="IZ6" i="18"/>
  <c r="JA6" i="18"/>
  <c r="JB6" i="18"/>
  <c r="JC6" i="18"/>
  <c r="JD6" i="18"/>
  <c r="JE6" i="18"/>
  <c r="JF6" i="18"/>
  <c r="JG6" i="18"/>
  <c r="JH6" i="18"/>
  <c r="JI6" i="18"/>
  <c r="JJ6" i="18"/>
  <c r="JK6" i="18"/>
  <c r="JL6" i="18"/>
  <c r="JM6" i="18"/>
  <c r="JN6" i="18"/>
  <c r="JO6" i="18"/>
  <c r="JP6" i="18"/>
  <c r="JQ6" i="18"/>
  <c r="JR6" i="18"/>
  <c r="JS6" i="18"/>
  <c r="JT6" i="18"/>
  <c r="JU6" i="18"/>
  <c r="JV6" i="18"/>
  <c r="JW6" i="18"/>
  <c r="JX6" i="18"/>
  <c r="JY6" i="18"/>
  <c r="JZ6" i="18"/>
  <c r="KA6" i="18"/>
  <c r="KB6" i="18"/>
  <c r="KC6" i="18"/>
  <c r="KD6" i="18"/>
  <c r="KE6" i="18"/>
  <c r="KF6" i="18"/>
  <c r="KG6" i="18"/>
  <c r="KH6" i="18"/>
  <c r="KI6" i="18"/>
  <c r="KJ6" i="18"/>
  <c r="KK6" i="18"/>
  <c r="KL6" i="18"/>
  <c r="KM6" i="18"/>
  <c r="KN6" i="18"/>
  <c r="KO6" i="18"/>
  <c r="KP6" i="18"/>
  <c r="KQ6" i="18"/>
  <c r="KR6" i="18"/>
  <c r="KS6" i="18"/>
  <c r="KT6" i="18"/>
  <c r="KU6" i="18"/>
  <c r="KV6" i="18"/>
  <c r="KW6" i="18"/>
  <c r="KX6" i="18"/>
  <c r="KY6" i="18"/>
  <c r="KZ6" i="18"/>
  <c r="LA6" i="18"/>
  <c r="LB6" i="18"/>
  <c r="LC6" i="18"/>
  <c r="LD6" i="18"/>
  <c r="LE6" i="18"/>
  <c r="LF6" i="18"/>
  <c r="LG6" i="18"/>
  <c r="LH6" i="18"/>
  <c r="LI6" i="18"/>
  <c r="LJ6" i="18"/>
  <c r="LK6" i="18"/>
  <c r="LL6" i="18"/>
  <c r="LM6" i="18"/>
  <c r="LN6" i="18"/>
  <c r="LO6" i="18"/>
  <c r="LP6" i="18"/>
  <c r="LQ6" i="18"/>
  <c r="LR6" i="18"/>
  <c r="LS6" i="18"/>
  <c r="LT6" i="18"/>
  <c r="LU6" i="18"/>
  <c r="LV6" i="18"/>
  <c r="LW6" i="18"/>
  <c r="LX6" i="18"/>
  <c r="LY6" i="18"/>
  <c r="LZ6" i="18"/>
  <c r="MA6" i="18"/>
  <c r="MB6" i="18"/>
  <c r="MC6" i="18"/>
  <c r="MD6" i="18"/>
  <c r="ME6" i="18"/>
  <c r="MF6" i="18"/>
  <c r="MG6" i="18"/>
  <c r="MH6" i="18"/>
  <c r="MI6" i="18"/>
  <c r="MJ6" i="18"/>
  <c r="MK6" i="18"/>
  <c r="ML6" i="18"/>
  <c r="MM6" i="18"/>
  <c r="MN6" i="18"/>
  <c r="MO6" i="18"/>
  <c r="MP6" i="18"/>
  <c r="MQ6" i="18"/>
  <c r="MR6" i="18"/>
  <c r="MS6" i="18"/>
  <c r="MT6" i="18"/>
  <c r="MU6" i="18"/>
  <c r="MV6" i="18"/>
  <c r="MW6" i="18"/>
  <c r="MX6" i="18"/>
  <c r="MY6" i="18"/>
  <c r="MZ6" i="18"/>
  <c r="NA6" i="18"/>
  <c r="NB6" i="18"/>
  <c r="NC6" i="18"/>
  <c r="ND6" i="18"/>
  <c r="NE6" i="18"/>
  <c r="NF6" i="18"/>
  <c r="NO8" i="18"/>
  <c r="NX8" i="18"/>
  <c r="OC8" i="18"/>
  <c r="MA1" i="18"/>
  <c r="LZ1" i="18"/>
  <c r="LY1" i="18"/>
  <c r="LX1" i="18"/>
  <c r="LW1" i="18"/>
  <c r="LV1" i="18"/>
  <c r="LU1" i="18"/>
  <c r="LT1" i="18"/>
  <c r="LS1" i="18"/>
  <c r="LR1" i="18"/>
  <c r="LQ1" i="18"/>
  <c r="LP1" i="18"/>
  <c r="LO1" i="18"/>
  <c r="LN1" i="18"/>
  <c r="LM1" i="18"/>
  <c r="LL1" i="18"/>
  <c r="LK1" i="18"/>
  <c r="LJ1" i="18"/>
  <c r="LI1" i="18"/>
  <c r="LH1" i="18"/>
  <c r="LG1" i="18"/>
  <c r="LF1" i="18"/>
  <c r="LE1" i="18"/>
  <c r="LD1" i="18"/>
  <c r="LC1" i="18"/>
  <c r="LB1" i="18"/>
  <c r="LA1" i="18"/>
  <c r="KZ1" i="18"/>
  <c r="KY1" i="18"/>
  <c r="KX1" i="18"/>
  <c r="KW1" i="18"/>
  <c r="KV1" i="18"/>
  <c r="KU1" i="18"/>
  <c r="KT1" i="18"/>
  <c r="KS1" i="18"/>
  <c r="KR1" i="18"/>
  <c r="KQ1" i="18"/>
  <c r="KP1" i="18"/>
  <c r="KO1" i="18"/>
  <c r="KN1" i="18"/>
  <c r="KM1" i="18"/>
  <c r="KL1" i="18"/>
  <c r="KK1" i="18"/>
  <c r="KJ1" i="18"/>
  <c r="KI1" i="18"/>
  <c r="KH1" i="18"/>
  <c r="KG1" i="18"/>
  <c r="KF1" i="18"/>
  <c r="KE1" i="18"/>
  <c r="KD1" i="18"/>
  <c r="KC1" i="18"/>
  <c r="KB1" i="18"/>
  <c r="KA1" i="18"/>
  <c r="JZ1" i="18"/>
  <c r="JY1" i="18"/>
  <c r="JX1" i="18"/>
  <c r="JW1" i="18"/>
  <c r="JV1" i="18"/>
  <c r="JU1" i="18"/>
  <c r="JT1" i="18"/>
  <c r="JS1" i="18"/>
  <c r="NF1" i="18"/>
  <c r="NE1" i="18"/>
  <c r="ND1" i="18"/>
  <c r="NC1" i="18"/>
  <c r="NB1" i="18"/>
  <c r="NA1" i="18"/>
  <c r="MZ1" i="18"/>
  <c r="MY1" i="18"/>
  <c r="MX1" i="18"/>
  <c r="MW1" i="18"/>
  <c r="MV1" i="18"/>
  <c r="MU1" i="18"/>
  <c r="MT1" i="18"/>
  <c r="MS1" i="18"/>
  <c r="MR1" i="18"/>
  <c r="MQ1" i="18"/>
  <c r="MP1" i="18"/>
  <c r="MO1" i="18"/>
  <c r="MN1" i="18"/>
  <c r="MM1" i="18"/>
  <c r="ML1" i="18"/>
  <c r="MK1" i="18"/>
  <c r="MJ1" i="18"/>
  <c r="MI1" i="18"/>
  <c r="MH1" i="18"/>
  <c r="MG1" i="18"/>
  <c r="MF1" i="18"/>
  <c r="ME1" i="18"/>
  <c r="MD1" i="18"/>
  <c r="MC1" i="18"/>
  <c r="MB1" i="18"/>
  <c r="JR1" i="18"/>
  <c r="JQ1" i="18"/>
  <c r="JP1" i="18"/>
  <c r="JO1" i="18"/>
  <c r="JN1" i="18"/>
  <c r="JM1" i="18"/>
  <c r="JL1" i="18"/>
  <c r="JK1" i="18"/>
  <c r="JJ1" i="18"/>
  <c r="JI1" i="18"/>
  <c r="JH1" i="18"/>
  <c r="JG1" i="18"/>
  <c r="JF1" i="18"/>
  <c r="JE1" i="18"/>
  <c r="JD1" i="18"/>
  <c r="JC1" i="18"/>
  <c r="JB1" i="18"/>
  <c r="JA1" i="18"/>
  <c r="IZ1" i="18"/>
  <c r="IY1" i="18"/>
  <c r="IX1" i="18"/>
  <c r="IW1" i="18"/>
  <c r="IV1" i="18"/>
  <c r="IU1" i="18"/>
  <c r="IT1" i="18"/>
  <c r="IS1" i="18"/>
  <c r="IR1" i="18"/>
  <c r="IQ1" i="18"/>
  <c r="IP1" i="18"/>
  <c r="IO1" i="18"/>
  <c r="IN1" i="18"/>
  <c r="IM1" i="18"/>
  <c r="IL1" i="18"/>
  <c r="IK1" i="18"/>
  <c r="IJ1" i="18"/>
  <c r="II1" i="18"/>
  <c r="IH1" i="18"/>
  <c r="IG1" i="18"/>
  <c r="IF1" i="18"/>
  <c r="IE1" i="18"/>
  <c r="ID1" i="18"/>
  <c r="IC1" i="18"/>
  <c r="IB1" i="18"/>
  <c r="IA1" i="18"/>
  <c r="HZ1" i="18"/>
  <c r="HY1" i="18"/>
  <c r="HX1" i="18"/>
  <c r="HW1" i="18"/>
  <c r="HV1" i="18"/>
  <c r="HU1" i="18"/>
  <c r="HT1" i="18"/>
  <c r="HS1" i="18"/>
  <c r="HR1" i="18"/>
  <c r="HQ1" i="18"/>
  <c r="HP1" i="18"/>
  <c r="HO1" i="18"/>
  <c r="HN1" i="18"/>
  <c r="HM1" i="18"/>
  <c r="HL1" i="18"/>
  <c r="HK1" i="18"/>
  <c r="HJ1" i="18"/>
  <c r="HI1" i="18"/>
  <c r="HH1" i="18"/>
  <c r="HG1" i="18"/>
  <c r="HF1" i="18"/>
  <c r="HE1" i="18"/>
  <c r="HD1" i="18"/>
  <c r="HC1" i="18"/>
  <c r="HB1" i="18"/>
  <c r="HA1" i="18"/>
  <c r="GZ1" i="18"/>
  <c r="GY1" i="18"/>
  <c r="GX1" i="18"/>
  <c r="GW1" i="18"/>
  <c r="GV1" i="18"/>
  <c r="GU1" i="18"/>
  <c r="GT1" i="18"/>
  <c r="GS1" i="18"/>
  <c r="GR1" i="18"/>
  <c r="GQ1" i="18"/>
  <c r="GP1" i="18"/>
  <c r="GO1" i="18"/>
  <c r="GN1" i="18"/>
  <c r="GM1" i="18"/>
  <c r="GL1" i="18"/>
  <c r="GK1" i="18"/>
  <c r="GJ1" i="18"/>
  <c r="GI1" i="18"/>
  <c r="GH1" i="18"/>
  <c r="GG1" i="18"/>
  <c r="GF1" i="18"/>
  <c r="GE1" i="18"/>
  <c r="GD1" i="18"/>
  <c r="GC1" i="18"/>
  <c r="GB1" i="18"/>
  <c r="GA1" i="18"/>
  <c r="FZ1" i="18"/>
  <c r="FY1" i="18"/>
  <c r="FX1" i="18"/>
  <c r="FW1" i="18"/>
  <c r="FV1" i="18"/>
  <c r="FU1" i="18"/>
  <c r="FT1" i="18"/>
  <c r="FS1" i="18"/>
  <c r="FR1" i="18"/>
  <c r="FQ1" i="18"/>
  <c r="FP1" i="18"/>
  <c r="FO1" i="18"/>
  <c r="FN1" i="18"/>
  <c r="FM1" i="18"/>
  <c r="FL1" i="18"/>
  <c r="FK1" i="18"/>
  <c r="FJ1" i="18"/>
  <c r="FI1" i="18"/>
  <c r="FH1" i="18"/>
  <c r="FG1" i="18"/>
  <c r="FF1" i="18"/>
  <c r="FE1" i="18"/>
  <c r="FD1" i="18"/>
  <c r="FC1" i="18"/>
  <c r="FB1" i="18"/>
  <c r="FA1" i="18"/>
  <c r="EZ1" i="18"/>
  <c r="EY1" i="18"/>
  <c r="EX1" i="18"/>
  <c r="EW1" i="18"/>
  <c r="EV1" i="18"/>
  <c r="EU1" i="18"/>
  <c r="ET1" i="18"/>
  <c r="ES1" i="18"/>
  <c r="ER1" i="18"/>
  <c r="EQ1" i="18"/>
  <c r="EP1" i="18"/>
  <c r="EO1" i="18"/>
  <c r="EN1" i="18"/>
  <c r="EM1" i="18"/>
  <c r="EL1" i="18"/>
  <c r="EK1" i="18"/>
  <c r="EJ1" i="18"/>
  <c r="EI1" i="18"/>
  <c r="EH1" i="18"/>
  <c r="EG1" i="18"/>
  <c r="EF1" i="18"/>
  <c r="EE1" i="18"/>
  <c r="ED1" i="18"/>
  <c r="EC1" i="18"/>
  <c r="EB1" i="18"/>
  <c r="EA1" i="18"/>
  <c r="DZ1" i="18"/>
  <c r="DY1" i="18"/>
  <c r="DX1" i="18"/>
  <c r="DW1" i="18"/>
  <c r="DV1" i="18"/>
  <c r="DU1" i="18"/>
  <c r="DT1" i="18"/>
  <c r="DS1" i="18"/>
  <c r="DR1" i="18"/>
  <c r="DQ1" i="18"/>
  <c r="DP1" i="18"/>
  <c r="DO1" i="18"/>
  <c r="DN1" i="18"/>
  <c r="DM1" i="18"/>
  <c r="DL1" i="18"/>
  <c r="DK1" i="18"/>
  <c r="DJ1" i="18"/>
  <c r="DI1" i="18"/>
  <c r="DH1" i="18"/>
  <c r="DG1" i="18"/>
  <c r="DF1" i="18"/>
  <c r="DE1" i="18"/>
  <c r="DD1" i="18"/>
  <c r="DC1" i="18"/>
  <c r="DB1" i="18"/>
  <c r="DA1" i="18"/>
  <c r="CZ1" i="18"/>
  <c r="CY1" i="18"/>
  <c r="CX1" i="18"/>
  <c r="CW1" i="18"/>
  <c r="CV1" i="18"/>
  <c r="CU1" i="18"/>
  <c r="CT1" i="18"/>
  <c r="CS1" i="18"/>
  <c r="CR1" i="18"/>
  <c r="CQ1" i="18"/>
  <c r="CP1" i="18"/>
  <c r="CO1" i="18"/>
  <c r="CN1" i="18"/>
  <c r="CM1" i="18"/>
  <c r="CL1" i="18"/>
  <c r="CK1" i="18"/>
  <c r="CJ1" i="18"/>
  <c r="CI1" i="18"/>
  <c r="CH1" i="18"/>
  <c r="CG1" i="18"/>
  <c r="CF1" i="18"/>
  <c r="CE1" i="18"/>
  <c r="CD1" i="18"/>
  <c r="CC1" i="18"/>
  <c r="CB1" i="18"/>
  <c r="CA1" i="18"/>
  <c r="BZ1" i="18"/>
  <c r="BY1" i="18"/>
  <c r="BX1" i="18"/>
  <c r="BW1" i="18"/>
  <c r="BV1" i="18"/>
  <c r="BU1" i="18"/>
  <c r="BT1" i="18"/>
  <c r="BS1" i="18"/>
  <c r="BR1" i="18"/>
  <c r="BQ1" i="18"/>
  <c r="BP1" i="18"/>
  <c r="BO1" i="18"/>
  <c r="BN1" i="18"/>
  <c r="OB12" i="18"/>
  <c r="OB13" i="18"/>
  <c r="OB14" i="18"/>
  <c r="OB15" i="18"/>
  <c r="OB16" i="18"/>
  <c r="OB17" i="18"/>
  <c r="OB18" i="18"/>
  <c r="OB19" i="18"/>
  <c r="OB20" i="18"/>
  <c r="OB21" i="18"/>
  <c r="OB22" i="18"/>
  <c r="OB23" i="18"/>
  <c r="OB24" i="18"/>
  <c r="OB25" i="18"/>
  <c r="OB26" i="18"/>
  <c r="OB27" i="18"/>
  <c r="OB28" i="18"/>
  <c r="OB29" i="18"/>
  <c r="OB30" i="18"/>
  <c r="OB31" i="18"/>
  <c r="OB32" i="18"/>
  <c r="OB33" i="18"/>
  <c r="OB34" i="18"/>
  <c r="OB35" i="18"/>
  <c r="OB36" i="18"/>
  <c r="OB37" i="18"/>
  <c r="OB38" i="18"/>
  <c r="OB39" i="18"/>
  <c r="OB40" i="18"/>
  <c r="OB41" i="18"/>
  <c r="OB42" i="18"/>
  <c r="OB43" i="18"/>
  <c r="OB44" i="18"/>
  <c r="OB45" i="18"/>
  <c r="OB46" i="18"/>
  <c r="OB47" i="18"/>
  <c r="OB48" i="18"/>
  <c r="OB49" i="18"/>
  <c r="OB50" i="18"/>
  <c r="OB51" i="18"/>
  <c r="OB52" i="18"/>
  <c r="OB53" i="18"/>
  <c r="OB54" i="18"/>
  <c r="OB55" i="18"/>
  <c r="OB56" i="18"/>
  <c r="OB8" i="18"/>
  <c r="K4" i="13"/>
  <c r="Q4" i="13"/>
  <c r="AA3" i="18"/>
  <c r="K17" i="13"/>
  <c r="Q17" i="13"/>
  <c r="L18" i="13"/>
  <c r="M19" i="13"/>
  <c r="K20" i="13"/>
  <c r="Q20" i="13"/>
  <c r="K21" i="13"/>
  <c r="Q21" i="13"/>
  <c r="L22" i="13"/>
  <c r="M23" i="13"/>
  <c r="K25" i="13"/>
  <c r="Q25" i="13"/>
  <c r="L26" i="13"/>
  <c r="L27" i="13"/>
  <c r="K29" i="13"/>
  <c r="Q29" i="13"/>
  <c r="L30" i="13"/>
  <c r="N31" i="13"/>
  <c r="K33" i="13"/>
  <c r="Q33" i="13"/>
  <c r="K37" i="13"/>
  <c r="Q37" i="13"/>
  <c r="K41" i="13"/>
  <c r="Q41" i="13"/>
  <c r="M12" i="13"/>
  <c r="K13" i="13"/>
  <c r="Q13" i="13"/>
  <c r="L14" i="13"/>
  <c r="K15" i="13"/>
  <c r="Q15" i="13"/>
  <c r="K16" i="13"/>
  <c r="Q16" i="13"/>
  <c r="Y2" i="1"/>
  <c r="K12" i="13"/>
  <c r="Q12" i="13"/>
  <c r="L12" i="13"/>
  <c r="N12" i="13"/>
  <c r="O12" i="13"/>
  <c r="M15" i="13"/>
  <c r="L16" i="13"/>
  <c r="M16" i="13"/>
  <c r="N16" i="13"/>
  <c r="M18" i="13"/>
  <c r="N18" i="13"/>
  <c r="K19" i="13"/>
  <c r="Q19" i="13"/>
  <c r="N19" i="13"/>
  <c r="O19" i="13"/>
  <c r="L20" i="13"/>
  <c r="M20" i="13"/>
  <c r="N20" i="13"/>
  <c r="M21" i="13"/>
  <c r="N22" i="13"/>
  <c r="K23" i="13"/>
  <c r="Q23" i="13"/>
  <c r="L23" i="13"/>
  <c r="N23" i="13"/>
  <c r="O23" i="13"/>
  <c r="K24" i="13"/>
  <c r="Q24" i="13"/>
  <c r="L24" i="13"/>
  <c r="M24" i="13"/>
  <c r="N24" i="13"/>
  <c r="O24" i="13"/>
  <c r="L25" i="13"/>
  <c r="M25" i="13"/>
  <c r="N26" i="13"/>
  <c r="K27" i="13"/>
  <c r="Q27" i="13"/>
  <c r="M27" i="13"/>
  <c r="N27" i="13"/>
  <c r="O27" i="13"/>
  <c r="K28" i="13"/>
  <c r="Q28" i="13"/>
  <c r="L28" i="13"/>
  <c r="M28" i="13"/>
  <c r="N28" i="13"/>
  <c r="O28" i="13"/>
  <c r="L29" i="13"/>
  <c r="M29" i="13"/>
  <c r="M30" i="13"/>
  <c r="N30" i="13"/>
  <c r="K31" i="13"/>
  <c r="Q31" i="13"/>
  <c r="L31" i="13"/>
  <c r="M31" i="13"/>
  <c r="O31" i="13"/>
  <c r="K32" i="13"/>
  <c r="Q32" i="13"/>
  <c r="L32" i="13"/>
  <c r="M32" i="13"/>
  <c r="N32" i="13"/>
  <c r="O32" i="13"/>
  <c r="L33" i="13"/>
  <c r="M33" i="13"/>
  <c r="K34" i="13"/>
  <c r="Q34" i="13"/>
  <c r="L34" i="13"/>
  <c r="M34" i="13"/>
  <c r="N34" i="13"/>
  <c r="O34" i="13"/>
  <c r="K35" i="13"/>
  <c r="Q35" i="13"/>
  <c r="L35" i="13"/>
  <c r="M35" i="13"/>
  <c r="N35" i="13"/>
  <c r="O35" i="13"/>
  <c r="K36" i="13"/>
  <c r="Q36" i="13"/>
  <c r="L36" i="13"/>
  <c r="M36" i="13"/>
  <c r="N36" i="13"/>
  <c r="O36" i="13"/>
  <c r="L37" i="13"/>
  <c r="M37" i="13"/>
  <c r="K38" i="13"/>
  <c r="Q38" i="13"/>
  <c r="L38" i="13"/>
  <c r="M38" i="13"/>
  <c r="N38" i="13"/>
  <c r="O38" i="13"/>
  <c r="K39" i="13"/>
  <c r="Q39" i="13"/>
  <c r="L39" i="13"/>
  <c r="M39" i="13"/>
  <c r="N39" i="13"/>
  <c r="O39" i="13"/>
  <c r="K40" i="13"/>
  <c r="Q40" i="13"/>
  <c r="L40" i="13"/>
  <c r="M40" i="13"/>
  <c r="N40" i="13"/>
  <c r="O40" i="13"/>
  <c r="L41" i="13"/>
  <c r="M41" i="13"/>
  <c r="N41" i="13"/>
  <c r="K42" i="13"/>
  <c r="Q42" i="13"/>
  <c r="L42" i="13"/>
  <c r="M42" i="13"/>
  <c r="N42" i="13"/>
  <c r="O42" i="13"/>
  <c r="K43" i="13"/>
  <c r="Q43" i="13"/>
  <c r="L43" i="13"/>
  <c r="M43" i="13"/>
  <c r="N43" i="13"/>
  <c r="O43" i="13"/>
  <c r="K44" i="13"/>
  <c r="Q44" i="13"/>
  <c r="L44" i="13"/>
  <c r="M44" i="13"/>
  <c r="N44" i="13"/>
  <c r="O44" i="13"/>
  <c r="K45" i="13"/>
  <c r="Q45" i="13"/>
  <c r="L45" i="13"/>
  <c r="M45" i="13"/>
  <c r="N45" i="13"/>
  <c r="O45" i="13"/>
  <c r="K46" i="13"/>
  <c r="Q46" i="13"/>
  <c r="L46" i="13"/>
  <c r="M46" i="13"/>
  <c r="N46" i="13"/>
  <c r="O46" i="13"/>
  <c r="K47" i="13"/>
  <c r="Q47" i="13"/>
  <c r="L47" i="13"/>
  <c r="M47" i="13"/>
  <c r="N47" i="13"/>
  <c r="O47" i="13"/>
  <c r="K48" i="13"/>
  <c r="Q48" i="13"/>
  <c r="L48" i="13"/>
  <c r="M48" i="13"/>
  <c r="N48" i="13"/>
  <c r="O48" i="13"/>
  <c r="K49" i="13"/>
  <c r="Q49" i="13"/>
  <c r="L49" i="13"/>
  <c r="M49" i="13"/>
  <c r="N49" i="13"/>
  <c r="O49" i="13"/>
  <c r="K50" i="13"/>
  <c r="Q50" i="13"/>
  <c r="L50" i="13"/>
  <c r="M50" i="13"/>
  <c r="N50" i="13"/>
  <c r="O50" i="13"/>
  <c r="K51" i="13"/>
  <c r="Q51" i="13"/>
  <c r="L51" i="13"/>
  <c r="M51" i="13"/>
  <c r="N51" i="13"/>
  <c r="O51" i="13"/>
  <c r="K52" i="13"/>
  <c r="Q52" i="13"/>
  <c r="L52" i="13"/>
  <c r="M52" i="13"/>
  <c r="N52" i="13"/>
  <c r="O52" i="13"/>
  <c r="L10" i="13"/>
  <c r="M10" i="13"/>
  <c r="K10" i="13"/>
  <c r="Q10" i="13"/>
  <c r="O10" i="13"/>
  <c r="N10" i="13"/>
  <c r="L9" i="13"/>
  <c r="M9" i="13"/>
  <c r="K9" i="13"/>
  <c r="Q9" i="13"/>
  <c r="O9" i="13"/>
  <c r="N9" i="13"/>
  <c r="AJ6" i="12"/>
  <c r="AI6" i="12"/>
  <c r="AH6" i="12"/>
  <c r="AG6" i="12"/>
  <c r="AF6" i="12"/>
  <c r="AE6" i="12"/>
  <c r="AD6" i="12"/>
  <c r="AC6" i="12"/>
  <c r="AB6" i="12"/>
  <c r="AA6" i="12"/>
  <c r="Z6" i="12"/>
  <c r="Y6" i="12"/>
  <c r="X6" i="12"/>
  <c r="W6" i="12"/>
  <c r="V6" i="12"/>
  <c r="U6" i="12"/>
  <c r="T6" i="12"/>
  <c r="S6" i="12"/>
  <c r="R6" i="12"/>
  <c r="Q6" i="12"/>
  <c r="P6" i="12"/>
  <c r="O6" i="12"/>
  <c r="N6" i="12"/>
  <c r="M6" i="12"/>
  <c r="L6" i="12"/>
  <c r="K6" i="12"/>
  <c r="J6" i="12"/>
  <c r="I6" i="12"/>
  <c r="H6" i="12"/>
  <c r="G6" i="12"/>
  <c r="F6" i="12"/>
  <c r="AI6" i="11"/>
  <c r="AH6" i="11"/>
  <c r="AG6" i="11"/>
  <c r="AF6" i="11"/>
  <c r="AE6" i="11"/>
  <c r="AD6" i="11"/>
  <c r="AC6" i="11"/>
  <c r="AB6" i="11"/>
  <c r="AA6" i="11"/>
  <c r="Z6" i="11"/>
  <c r="Y6" i="11"/>
  <c r="X6" i="11"/>
  <c r="W6" i="11"/>
  <c r="V6" i="11"/>
  <c r="U6" i="11"/>
  <c r="T6" i="11"/>
  <c r="S6" i="11"/>
  <c r="R6" i="11"/>
  <c r="Q6" i="11"/>
  <c r="P6" i="11"/>
  <c r="O6" i="11"/>
  <c r="N6" i="11"/>
  <c r="M6" i="11"/>
  <c r="L6" i="11"/>
  <c r="K6" i="11"/>
  <c r="J6" i="11"/>
  <c r="I6" i="11"/>
  <c r="H6" i="11"/>
  <c r="G6" i="11"/>
  <c r="F6" i="11"/>
  <c r="AJ6" i="10"/>
  <c r="AI6" i="10"/>
  <c r="AH6" i="10"/>
  <c r="AG6" i="10"/>
  <c r="AF6" i="10"/>
  <c r="AE6" i="10"/>
  <c r="AD6" i="10"/>
  <c r="AC6" i="10"/>
  <c r="AB6" i="10"/>
  <c r="AA6" i="10"/>
  <c r="Z6" i="10"/>
  <c r="Y6" i="10"/>
  <c r="X6" i="10"/>
  <c r="W6" i="10"/>
  <c r="V6" i="10"/>
  <c r="U6" i="10"/>
  <c r="T6" i="10"/>
  <c r="S6" i="10"/>
  <c r="R6" i="10"/>
  <c r="Q6" i="10"/>
  <c r="P6" i="10"/>
  <c r="O6" i="10"/>
  <c r="N6" i="10"/>
  <c r="M6" i="10"/>
  <c r="L6" i="10"/>
  <c r="K6" i="10"/>
  <c r="J6" i="10"/>
  <c r="I6" i="10"/>
  <c r="H6" i="10"/>
  <c r="G6" i="10"/>
  <c r="F6" i="10"/>
  <c r="AI6" i="9"/>
  <c r="AH6" i="9"/>
  <c r="AG6" i="9"/>
  <c r="AF6" i="9"/>
  <c r="AE6" i="9"/>
  <c r="AD6" i="9"/>
  <c r="AC6" i="9"/>
  <c r="AB6" i="9"/>
  <c r="AA6" i="9"/>
  <c r="Z6" i="9"/>
  <c r="Y6" i="9"/>
  <c r="X6" i="9"/>
  <c r="W6" i="9"/>
  <c r="V6" i="9"/>
  <c r="U6" i="9"/>
  <c r="T6" i="9"/>
  <c r="S6" i="9"/>
  <c r="R6" i="9"/>
  <c r="Q6" i="9"/>
  <c r="P6" i="9"/>
  <c r="O6" i="9"/>
  <c r="N6" i="9"/>
  <c r="M6" i="9"/>
  <c r="L6" i="9"/>
  <c r="K6" i="9"/>
  <c r="J6" i="9"/>
  <c r="I6" i="9"/>
  <c r="H6" i="9"/>
  <c r="G6" i="9"/>
  <c r="F6" i="9"/>
  <c r="AJ6" i="8"/>
  <c r="AI6" i="8"/>
  <c r="AH6" i="8"/>
  <c r="AG6" i="8"/>
  <c r="AF6" i="8"/>
  <c r="AE6" i="8"/>
  <c r="AD6" i="8"/>
  <c r="AC6" i="8"/>
  <c r="AB6" i="8"/>
  <c r="AA6" i="8"/>
  <c r="Z6" i="8"/>
  <c r="Y6" i="8"/>
  <c r="X6" i="8"/>
  <c r="W6" i="8"/>
  <c r="V6" i="8"/>
  <c r="U6" i="8"/>
  <c r="T6" i="8"/>
  <c r="S6" i="8"/>
  <c r="R6" i="8"/>
  <c r="Q6" i="8"/>
  <c r="P6" i="8"/>
  <c r="O6" i="8"/>
  <c r="N6" i="8"/>
  <c r="M6" i="8"/>
  <c r="L6" i="8"/>
  <c r="K6" i="8"/>
  <c r="J6" i="8"/>
  <c r="I6" i="8"/>
  <c r="H6" i="8"/>
  <c r="G6" i="8"/>
  <c r="F6" i="8"/>
  <c r="AJ6" i="7"/>
  <c r="AI6" i="7"/>
  <c r="AH6" i="7"/>
  <c r="AG6" i="7"/>
  <c r="AF6" i="7"/>
  <c r="AE6" i="7"/>
  <c r="AD6" i="7"/>
  <c r="AC6" i="7"/>
  <c r="AB6" i="7"/>
  <c r="AA6" i="7"/>
  <c r="Z6" i="7"/>
  <c r="Y6" i="7"/>
  <c r="X6" i="7"/>
  <c r="W6" i="7"/>
  <c r="V6" i="7"/>
  <c r="U6" i="7"/>
  <c r="T6" i="7"/>
  <c r="S6" i="7"/>
  <c r="R6" i="7"/>
  <c r="Q6" i="7"/>
  <c r="P6" i="7"/>
  <c r="O6" i="7"/>
  <c r="N6" i="7"/>
  <c r="M6" i="7"/>
  <c r="L6" i="7"/>
  <c r="K6" i="7"/>
  <c r="J6" i="7"/>
  <c r="I6" i="7"/>
  <c r="H6" i="7"/>
  <c r="G6" i="7"/>
  <c r="F6" i="7"/>
  <c r="AI6" i="6"/>
  <c r="AH6" i="6"/>
  <c r="AG6" i="6"/>
  <c r="AF6" i="6"/>
  <c r="AE6" i="6"/>
  <c r="AD6" i="6"/>
  <c r="AC6" i="6"/>
  <c r="AB6" i="6"/>
  <c r="AA6" i="6"/>
  <c r="Z6" i="6"/>
  <c r="Y6" i="6"/>
  <c r="X6" i="6"/>
  <c r="W6" i="6"/>
  <c r="V6" i="6"/>
  <c r="U6" i="6"/>
  <c r="T6" i="6"/>
  <c r="S6" i="6"/>
  <c r="R6" i="6"/>
  <c r="Q6" i="6"/>
  <c r="P6" i="6"/>
  <c r="O6" i="6"/>
  <c r="N6" i="6"/>
  <c r="M6" i="6"/>
  <c r="L6" i="6"/>
  <c r="K6" i="6"/>
  <c r="J6" i="6"/>
  <c r="I6" i="6"/>
  <c r="H6" i="6"/>
  <c r="G6" i="6"/>
  <c r="F6" i="6"/>
  <c r="AJ6" i="5"/>
  <c r="AI6" i="5"/>
  <c r="AH6" i="5"/>
  <c r="AG6" i="5"/>
  <c r="AF6" i="5"/>
  <c r="AE6" i="5"/>
  <c r="AD6" i="5"/>
  <c r="AC6" i="5"/>
  <c r="AB6" i="5"/>
  <c r="AA6" i="5"/>
  <c r="Z6" i="5"/>
  <c r="Y6" i="5"/>
  <c r="X6" i="5"/>
  <c r="W6" i="5"/>
  <c r="V6" i="5"/>
  <c r="U6" i="5"/>
  <c r="T6" i="5"/>
  <c r="S6" i="5"/>
  <c r="R6" i="5"/>
  <c r="Q6" i="5"/>
  <c r="P6" i="5"/>
  <c r="O6" i="5"/>
  <c r="N6" i="5"/>
  <c r="M6" i="5"/>
  <c r="L6" i="5"/>
  <c r="K6" i="5"/>
  <c r="J6" i="5"/>
  <c r="I6" i="5"/>
  <c r="H6" i="5"/>
  <c r="G6" i="5"/>
  <c r="F6" i="5"/>
  <c r="AI6" i="4"/>
  <c r="AH6" i="4"/>
  <c r="AG6" i="4"/>
  <c r="AF6" i="4"/>
  <c r="AE6" i="4"/>
  <c r="AD6" i="4"/>
  <c r="AC6" i="4"/>
  <c r="AB6" i="4"/>
  <c r="AA6" i="4"/>
  <c r="Z6" i="4"/>
  <c r="Y6" i="4"/>
  <c r="X6" i="4"/>
  <c r="W6" i="4"/>
  <c r="V6" i="4"/>
  <c r="U6" i="4"/>
  <c r="T6" i="4"/>
  <c r="S6" i="4"/>
  <c r="R6" i="4"/>
  <c r="Q6" i="4"/>
  <c r="P6" i="4"/>
  <c r="O6" i="4"/>
  <c r="N6" i="4"/>
  <c r="M6" i="4"/>
  <c r="L6" i="4"/>
  <c r="K6" i="4"/>
  <c r="J6" i="4"/>
  <c r="I6" i="4"/>
  <c r="H6" i="4"/>
  <c r="G6" i="4"/>
  <c r="F6" i="4"/>
  <c r="AJ6" i="3"/>
  <c r="AI6" i="3"/>
  <c r="AH6" i="3"/>
  <c r="AG6" i="3"/>
  <c r="AF6" i="3"/>
  <c r="AE6" i="3"/>
  <c r="AD6" i="3"/>
  <c r="AC6" i="3"/>
  <c r="AB6" i="3"/>
  <c r="AA6" i="3"/>
  <c r="Z6" i="3"/>
  <c r="Y6" i="3"/>
  <c r="X6" i="3"/>
  <c r="W6" i="3"/>
  <c r="V6" i="3"/>
  <c r="U6" i="3"/>
  <c r="T6" i="3"/>
  <c r="S6" i="3"/>
  <c r="R6" i="3"/>
  <c r="Q6" i="3"/>
  <c r="P6" i="3"/>
  <c r="O6" i="3"/>
  <c r="N6" i="3"/>
  <c r="M6" i="3"/>
  <c r="L6" i="3"/>
  <c r="K6" i="3"/>
  <c r="J6" i="3"/>
  <c r="I6" i="3"/>
  <c r="H6" i="3"/>
  <c r="G6" i="3"/>
  <c r="F6" i="3"/>
  <c r="AH6" i="2"/>
  <c r="AG6" i="2"/>
  <c r="AF6" i="2"/>
  <c r="AE6" i="2"/>
  <c r="AD6" i="2"/>
  <c r="AC6" i="2"/>
  <c r="AB6" i="2"/>
  <c r="AA6" i="2"/>
  <c r="Z6" i="2"/>
  <c r="Y6" i="2"/>
  <c r="X6" i="2"/>
  <c r="W6" i="2"/>
  <c r="V6" i="2"/>
  <c r="U6" i="2"/>
  <c r="T6" i="2"/>
  <c r="S6" i="2"/>
  <c r="R6" i="2"/>
  <c r="Q6" i="2"/>
  <c r="P6" i="2"/>
  <c r="O6" i="2"/>
  <c r="N6" i="2"/>
  <c r="M6" i="2"/>
  <c r="L6" i="2"/>
  <c r="K6" i="2"/>
  <c r="J6" i="2"/>
  <c r="I6" i="2"/>
  <c r="H6" i="2"/>
  <c r="G6" i="2"/>
  <c r="F6" i="2"/>
  <c r="AJ6" i="1"/>
  <c r="AI6" i="1"/>
  <c r="AH6" i="1"/>
  <c r="AG6" i="1"/>
  <c r="AF6" i="1"/>
  <c r="AE6" i="1"/>
  <c r="AD6" i="1"/>
  <c r="AC6" i="1"/>
  <c r="AB6" i="1"/>
  <c r="AA6" i="1"/>
  <c r="Z6" i="1"/>
  <c r="Y6" i="1"/>
  <c r="X6" i="1"/>
  <c r="W6" i="1"/>
  <c r="V6" i="1"/>
  <c r="U6" i="1"/>
  <c r="T6" i="1"/>
  <c r="S6" i="1"/>
  <c r="R6" i="1"/>
  <c r="Q6" i="1"/>
  <c r="P6" i="1"/>
  <c r="O6" i="1"/>
  <c r="N6" i="1"/>
  <c r="M6" i="1"/>
  <c r="L6" i="1"/>
  <c r="K6" i="1"/>
  <c r="J6" i="1"/>
  <c r="I6" i="1"/>
  <c r="H6" i="1"/>
  <c r="G6" i="1"/>
  <c r="F6" i="1"/>
  <c r="L11" i="13"/>
  <c r="M11" i="13"/>
  <c r="K11" i="13"/>
  <c r="Q11" i="13"/>
  <c r="O11" i="13"/>
  <c r="N11" i="13"/>
  <c r="M8" i="13"/>
  <c r="L8" i="13"/>
  <c r="K8" i="13"/>
  <c r="Q8" i="13"/>
  <c r="O8" i="13"/>
  <c r="N8" i="13"/>
  <c r="M7" i="13"/>
  <c r="L7" i="13"/>
  <c r="K7" i="13"/>
  <c r="Q7" i="13"/>
  <c r="O7" i="13"/>
  <c r="N7" i="13"/>
  <c r="M6" i="13"/>
  <c r="L6" i="13"/>
  <c r="K6" i="13"/>
  <c r="Q6" i="13"/>
  <c r="O6" i="13"/>
  <c r="N6" i="13"/>
  <c r="M5" i="13"/>
  <c r="L5" i="13"/>
  <c r="K5" i="13"/>
  <c r="Q5" i="13"/>
  <c r="O5" i="13"/>
  <c r="N5" i="13"/>
  <c r="N4" i="13"/>
  <c r="O4" i="13"/>
  <c r="L4" i="13"/>
  <c r="M4" i="13"/>
  <c r="OB11" i="18"/>
  <c r="NX55" i="18"/>
  <c r="OC55" i="18"/>
  <c r="R7" i="13"/>
  <c r="R27" i="13"/>
  <c r="R4" i="13"/>
  <c r="R5" i="13"/>
  <c r="R52" i="13"/>
  <c r="R44" i="13"/>
  <c r="R35" i="13"/>
  <c r="M22" i="13"/>
  <c r="L19" i="13"/>
  <c r="N15" i="13"/>
  <c r="R41" i="13"/>
  <c r="R40" i="13"/>
  <c r="R31" i="13"/>
  <c r="L15" i="13"/>
  <c r="R15" i="13"/>
  <c r="O15" i="13"/>
  <c r="R23" i="13"/>
  <c r="R16" i="13"/>
  <c r="NX29" i="18"/>
  <c r="OC29" i="18"/>
  <c r="R9" i="13"/>
  <c r="R10" i="13"/>
  <c r="R49" i="13"/>
  <c r="M26" i="13"/>
  <c r="R26" i="13"/>
  <c r="O20" i="13"/>
  <c r="O16" i="13"/>
  <c r="NX21" i="18"/>
  <c r="OC21" i="18"/>
  <c r="R12" i="13"/>
  <c r="NX13" i="18"/>
  <c r="OC13" i="18"/>
  <c r="NX47" i="18"/>
  <c r="OC47" i="18"/>
  <c r="R6" i="13"/>
  <c r="R51" i="13"/>
  <c r="R47" i="13"/>
  <c r="R43" i="13"/>
  <c r="R33" i="13"/>
  <c r="R32" i="13"/>
  <c r="R25" i="13"/>
  <c r="R24" i="13"/>
  <c r="NX39" i="18"/>
  <c r="OC39" i="18"/>
  <c r="R8" i="13"/>
  <c r="R46" i="13"/>
  <c r="L17" i="13"/>
  <c r="M14" i="13"/>
  <c r="NX17" i="18"/>
  <c r="OC17" i="18"/>
  <c r="NX19" i="18"/>
  <c r="OC19" i="18"/>
  <c r="NX31" i="18"/>
  <c r="OC31" i="18"/>
  <c r="NX37" i="18"/>
  <c r="OC37" i="18"/>
  <c r="NX49" i="18"/>
  <c r="OC49" i="18"/>
  <c r="R50" i="13"/>
  <c r="R42" i="13"/>
  <c r="R34" i="13"/>
  <c r="L13" i="13"/>
  <c r="R30" i="13"/>
  <c r="R22" i="13"/>
  <c r="NX25" i="18"/>
  <c r="OC25" i="18"/>
  <c r="NX27" i="18"/>
  <c r="OC27" i="18"/>
  <c r="NX45" i="18"/>
  <c r="OC45" i="18"/>
  <c r="NX56" i="18"/>
  <c r="OC56" i="18"/>
  <c r="NX15" i="18"/>
  <c r="OC15" i="18"/>
  <c r="NX33" i="18"/>
  <c r="OC33" i="18"/>
  <c r="NX35" i="18"/>
  <c r="OC35" i="18"/>
  <c r="NX43" i="18"/>
  <c r="OC43" i="18"/>
  <c r="NX53" i="18"/>
  <c r="OC53" i="18"/>
  <c r="R11" i="13"/>
  <c r="R48" i="13"/>
  <c r="R45" i="13"/>
  <c r="R39" i="13"/>
  <c r="R38" i="13"/>
  <c r="R37" i="13"/>
  <c r="R36" i="13"/>
  <c r="R29" i="13"/>
  <c r="R28" i="13"/>
  <c r="L21" i="13"/>
  <c r="R21" i="13"/>
  <c r="R20" i="13"/>
  <c r="N14" i="13"/>
  <c r="NX9" i="18"/>
  <c r="OC9" i="18"/>
  <c r="NX11" i="18"/>
  <c r="OC11" i="18"/>
  <c r="NX23" i="18"/>
  <c r="OC23" i="18"/>
  <c r="NX41" i="18"/>
  <c r="OC41" i="18"/>
  <c r="NX51" i="18"/>
  <c r="OC51" i="18"/>
  <c r="R14" i="13"/>
  <c r="R18" i="13"/>
  <c r="R19" i="13"/>
  <c r="N37" i="13"/>
  <c r="N33" i="13"/>
  <c r="O30" i="13"/>
  <c r="K30" i="13"/>
  <c r="Q30" i="13"/>
  <c r="N29" i="13"/>
  <c r="O26" i="13"/>
  <c r="K26" i="13"/>
  <c r="Q26" i="13"/>
  <c r="N25" i="13"/>
  <c r="O22" i="13"/>
  <c r="K22" i="13"/>
  <c r="Q22" i="13"/>
  <c r="N21" i="13"/>
  <c r="O18" i="13"/>
  <c r="K18" i="13"/>
  <c r="Q18" i="13"/>
  <c r="N17" i="13"/>
  <c r="O14" i="13"/>
  <c r="K14" i="13"/>
  <c r="Q14" i="13"/>
  <c r="N13" i="13"/>
  <c r="NX10" i="18"/>
  <c r="OC10" i="18"/>
  <c r="NX18" i="18"/>
  <c r="OC18" i="18"/>
  <c r="NX24" i="18"/>
  <c r="OC24" i="18"/>
  <c r="NX32" i="18"/>
  <c r="OC32" i="18"/>
  <c r="NX40" i="18"/>
  <c r="OC40" i="18"/>
  <c r="NX48" i="18"/>
  <c r="OC48" i="18"/>
  <c r="M17" i="13"/>
  <c r="R17" i="13"/>
  <c r="M13" i="13"/>
  <c r="NX16" i="18"/>
  <c r="OC16" i="18"/>
  <c r="NX30" i="18"/>
  <c r="OC30" i="18"/>
  <c r="NX38" i="18"/>
  <c r="OC38" i="18"/>
  <c r="NX46" i="18"/>
  <c r="OC46" i="18"/>
  <c r="NX54" i="18"/>
  <c r="OC54" i="18"/>
  <c r="NX14" i="18"/>
  <c r="OC14" i="18"/>
  <c r="NX22" i="18"/>
  <c r="OC22" i="18"/>
  <c r="NX28" i="18"/>
  <c r="OC28" i="18"/>
  <c r="NX36" i="18"/>
  <c r="OC36" i="18"/>
  <c r="NX44" i="18"/>
  <c r="OC44" i="18"/>
  <c r="NX52" i="18"/>
  <c r="OC52" i="18"/>
  <c r="O41" i="13"/>
  <c r="O37" i="13"/>
  <c r="O33" i="13"/>
  <c r="O29" i="13"/>
  <c r="O25" i="13"/>
  <c r="O21" i="13"/>
  <c r="O17" i="13"/>
  <c r="O13" i="13"/>
  <c r="NX12" i="18"/>
  <c r="OC12" i="18"/>
  <c r="NX20" i="18"/>
  <c r="OC20" i="18"/>
  <c r="NX26" i="18"/>
  <c r="OC26" i="18"/>
  <c r="NX34" i="18"/>
  <c r="OC34" i="18"/>
  <c r="NX42" i="18"/>
  <c r="OC42" i="18"/>
  <c r="NX50" i="18"/>
  <c r="OC50" i="18"/>
  <c r="OB10" i="18"/>
  <c r="OB9" i="18"/>
  <c r="R13" i="13"/>
</calcChain>
</file>

<file path=xl/sharedStrings.xml><?xml version="1.0" encoding="utf-8"?>
<sst xmlns="http://schemas.openxmlformats.org/spreadsheetml/2006/main" count="3625" uniqueCount="309">
  <si>
    <t>Calendrier des absences des employés</t>
  </si>
  <si>
    <t>Clé de motif d’absence</t>
  </si>
  <si>
    <t>C</t>
  </si>
  <si>
    <t>Congés payés</t>
  </si>
  <si>
    <t>RTT</t>
  </si>
  <si>
    <t>dRTT</t>
  </si>
  <si>
    <t>demi RTT</t>
  </si>
  <si>
    <t>R</t>
  </si>
  <si>
    <t>M</t>
  </si>
  <si>
    <t>Maladie</t>
  </si>
  <si>
    <t>Entrez l’année :</t>
  </si>
  <si>
    <t>Janvier</t>
  </si>
  <si>
    <t>Dates d’absence</t>
  </si>
  <si>
    <t>Nom de l’employé</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</si>
  <si>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</si>
  <si>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</si>
  <si>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</si>
  <si>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</si>
  <si>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</si>
  <si>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</si>
  <si>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</si>
  <si>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</si>
  <si>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</si>
  <si>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</si>
  <si>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</si>
  <si>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</si>
  <si>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</si>
  <si>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</si>
  <si>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</si>
  <si>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</si>
  <si>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</si>
  <si>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</si>
  <si>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</si>
  <si>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</si>
  <si>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</si>
  <si>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</si>
  <si>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</si>
  <si>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</si>
  <si>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</si>
  <si>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</si>
  <si>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</si>
  <si>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</si>
  <si>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</si>
  <si>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</si>
  <si>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</si>
  <si>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Février</t>
  </si>
  <si>
    <t xml:space="preserve"> </t>
  </si>
  <si>
    <t>Mars</t>
  </si>
  <si>
    <t>Avril</t>
  </si>
  <si>
    <t>Mai</t>
  </si>
  <si>
    <t>Juin</t>
  </si>
  <si>
    <t>Juillet</t>
  </si>
  <si>
    <t>Août</t>
  </si>
  <si>
    <t>Septembre</t>
  </si>
  <si>
    <t>Octobre</t>
  </si>
  <si>
    <t>Novembre</t>
  </si>
  <si>
    <t>Décembre</t>
  </si>
  <si>
    <t>Noms des employés</t>
  </si>
  <si>
    <t>Reste année -1</t>
  </si>
  <si>
    <t>Attribués</t>
  </si>
  <si>
    <t>Pris</t>
  </si>
  <si>
    <t>Reliquats</t>
  </si>
  <si>
    <t>Reliquat RTT</t>
  </si>
  <si>
    <t>Matricules</t>
  </si>
  <si>
    <t>N0133037</t>
  </si>
  <si>
    <t>N0140432</t>
  </si>
  <si>
    <t>N0133886</t>
  </si>
  <si>
    <t>N0134784</t>
  </si>
  <si>
    <t>N0122024</t>
  </si>
  <si>
    <t>N0123074</t>
  </si>
  <si>
    <t>N0122892</t>
  </si>
  <si>
    <t>N0137063</t>
  </si>
  <si>
    <t>N0122246</t>
  </si>
  <si>
    <t>N0140957</t>
  </si>
  <si>
    <t>N0134733</t>
  </si>
  <si>
    <t>N0136834</t>
  </si>
  <si>
    <t>N0137095</t>
  </si>
  <si>
    <t>N0123075</t>
  </si>
  <si>
    <t>N0132761</t>
  </si>
  <si>
    <t>N0131051</t>
  </si>
  <si>
    <t>N0123610</t>
  </si>
  <si>
    <t>N0123758</t>
  </si>
  <si>
    <t>N0122577</t>
  </si>
  <si>
    <t>N0122349</t>
  </si>
  <si>
    <t>N0124279</t>
  </si>
  <si>
    <t>N0122389</t>
  </si>
  <si>
    <t>N0125446</t>
  </si>
  <si>
    <t>N0122896</t>
  </si>
  <si>
    <t>N0123069</t>
  </si>
  <si>
    <t>N0128551</t>
  </si>
  <si>
    <t>N0123263</t>
  </si>
  <si>
    <t>N0123459</t>
  </si>
  <si>
    <t>N0128554</t>
  </si>
  <si>
    <t>N0128555</t>
  </si>
  <si>
    <t>N0133403</t>
  </si>
  <si>
    <t>N0132724</t>
  </si>
  <si>
    <t>N0108913</t>
  </si>
  <si>
    <t>N0134783</t>
  </si>
  <si>
    <t>N0140951</t>
  </si>
  <si>
    <t>N0122603</t>
  </si>
  <si>
    <t>N0137014</t>
  </si>
  <si>
    <t>N0131234</t>
  </si>
  <si>
    <t>N0123300</t>
  </si>
  <si>
    <t>N0122107</t>
  </si>
  <si>
    <t>N0122279</t>
  </si>
  <si>
    <t>N0140595</t>
  </si>
  <si>
    <t>N0122309</t>
  </si>
  <si>
    <t>N0123368</t>
  </si>
  <si>
    <t>N0122749</t>
  </si>
  <si>
    <t>N0122657</t>
  </si>
  <si>
    <t>N0122934</t>
  </si>
  <si>
    <t>N0122634</t>
  </si>
  <si>
    <t>N0136550</t>
  </si>
  <si>
    <t>inactif</t>
  </si>
  <si>
    <t>Congés</t>
  </si>
  <si>
    <t>DC</t>
  </si>
  <si>
    <t>demi Congés</t>
  </si>
  <si>
    <t>Jours fériés</t>
  </si>
  <si>
    <t>Jour de l'an</t>
  </si>
  <si>
    <t>Lundi de Pâques</t>
  </si>
  <si>
    <t>Fête du Travail</t>
  </si>
  <si>
    <t>8 mai 1945</t>
  </si>
  <si>
    <t>Jeudi de l'Ascension</t>
  </si>
  <si>
    <t>Fête Nationale</t>
  </si>
  <si>
    <t>Assomption</t>
  </si>
  <si>
    <t>La Toussaint</t>
  </si>
  <si>
    <t>Armistice</t>
  </si>
  <si>
    <t>Noël</t>
  </si>
  <si>
    <t>Noms</t>
  </si>
  <si>
    <t>Prénoms</t>
  </si>
  <si>
    <t>Addario</t>
  </si>
  <si>
    <t>Grégory</t>
  </si>
  <si>
    <t>Addario Grégory</t>
  </si>
  <si>
    <t>Jean-Baptiste</t>
  </si>
  <si>
    <t>Addario Jean-Baptiste</t>
  </si>
  <si>
    <t>Alliouane</t>
  </si>
  <si>
    <t>Saïd</t>
  </si>
  <si>
    <t>Alliouane Saïd</t>
  </si>
  <si>
    <t>Arnaud</t>
  </si>
  <si>
    <t>Fabrice</t>
  </si>
  <si>
    <t>Arnaud Fabrice</t>
  </si>
  <si>
    <t>Audibert</t>
  </si>
  <si>
    <t>Michel</t>
  </si>
  <si>
    <t>Audibert Michel</t>
  </si>
  <si>
    <t>Ben Bouzid</t>
  </si>
  <si>
    <t>Bourhane</t>
  </si>
  <si>
    <t>Ben Bouzid Bourhane</t>
  </si>
  <si>
    <t>Burle</t>
  </si>
  <si>
    <t>Yann</t>
  </si>
  <si>
    <t>Burle Yann</t>
  </si>
  <si>
    <t>Cantelli</t>
  </si>
  <si>
    <t>Thomas</t>
  </si>
  <si>
    <t>Cantelli Thomas</t>
  </si>
  <si>
    <t>Cardinale</t>
  </si>
  <si>
    <t>Jean-Claude</t>
  </si>
  <si>
    <t>Cardinale Jean-Claude</t>
  </si>
  <si>
    <t>Chauvin</t>
  </si>
  <si>
    <t>Nicolas</t>
  </si>
  <si>
    <t>Chauvin Nicolas</t>
  </si>
  <si>
    <t>Courtois</t>
  </si>
  <si>
    <t>Alexis</t>
  </si>
  <si>
    <t>Courtois Alexis</t>
  </si>
  <si>
    <t>Oui</t>
  </si>
  <si>
    <t>Dhouimer</t>
  </si>
  <si>
    <t>Yassine</t>
  </si>
  <si>
    <t>Dhouimer Yassine</t>
  </si>
  <si>
    <t>Ellena</t>
  </si>
  <si>
    <t>Ellena Thomas</t>
  </si>
  <si>
    <t>Frendo</t>
  </si>
  <si>
    <t>Mathieu</t>
  </si>
  <si>
    <t>Frendo Mathieu</t>
  </si>
  <si>
    <t>Gandolin</t>
  </si>
  <si>
    <t>Adrien</t>
  </si>
  <si>
    <t>Gandolin Adrien</t>
  </si>
  <si>
    <t>Glaskoff</t>
  </si>
  <si>
    <t>Hervé</t>
  </si>
  <si>
    <t>Glaskoff Hervé</t>
  </si>
  <si>
    <t>Guizani</t>
  </si>
  <si>
    <t>Samy</t>
  </si>
  <si>
    <t>Guizani Samy</t>
  </si>
  <si>
    <t>Isoard</t>
  </si>
  <si>
    <t>Isoard Nicolas</t>
  </si>
  <si>
    <t>Mallo</t>
  </si>
  <si>
    <t>Alfred</t>
  </si>
  <si>
    <t>Mallo Alfred</t>
  </si>
  <si>
    <t>Mandrea</t>
  </si>
  <si>
    <t>Thierry</t>
  </si>
  <si>
    <t>Mandrea Thierry</t>
  </si>
  <si>
    <t>Mangiarotti</t>
  </si>
  <si>
    <t>Tony</t>
  </si>
  <si>
    <t>Mangiarotti Tony</t>
  </si>
  <si>
    <t>Marcelli</t>
  </si>
  <si>
    <t>Alain</t>
  </si>
  <si>
    <t>Marcelli Alain</t>
  </si>
  <si>
    <t>Marino</t>
  </si>
  <si>
    <t>Marino Alain</t>
  </si>
  <si>
    <t>Martinelli</t>
  </si>
  <si>
    <t>Julien</t>
  </si>
  <si>
    <t>Martinelli Julien</t>
  </si>
  <si>
    <t>Marzarro</t>
  </si>
  <si>
    <t>Christopher</t>
  </si>
  <si>
    <t>Marzarro Christopher</t>
  </si>
  <si>
    <t>Moraldo</t>
  </si>
  <si>
    <t>Moraldo Adrien</t>
  </si>
  <si>
    <t>Napolitano</t>
  </si>
  <si>
    <t>Walter</t>
  </si>
  <si>
    <t>Napolitano Walter</t>
  </si>
  <si>
    <t>Orofino</t>
  </si>
  <si>
    <t>Carmelo</t>
  </si>
  <si>
    <t>Orofino Carmelo</t>
  </si>
  <si>
    <t>Outili</t>
  </si>
  <si>
    <t>Yassin</t>
  </si>
  <si>
    <t>Outili Yassin</t>
  </si>
  <si>
    <t>Perez</t>
  </si>
  <si>
    <t>Perez Yann</t>
  </si>
  <si>
    <t>Perrone</t>
  </si>
  <si>
    <t>Lucas</t>
  </si>
  <si>
    <t>Perrone Lucas</t>
  </si>
  <si>
    <t>Rini</t>
  </si>
  <si>
    <t>Romain</t>
  </si>
  <si>
    <t>Rini Romain</t>
  </si>
  <si>
    <t>Rodriguez</t>
  </si>
  <si>
    <t>Franck</t>
  </si>
  <si>
    <t>Rodriguez Franck</t>
  </si>
  <si>
    <t>Spadaccini</t>
  </si>
  <si>
    <t>Steve</t>
  </si>
  <si>
    <t>Spadaccini Steve</t>
  </si>
  <si>
    <t>Terranova</t>
  </si>
  <si>
    <t>Pierre</t>
  </si>
  <si>
    <t>Terranova Pierre</t>
  </si>
  <si>
    <t>Torre</t>
  </si>
  <si>
    <t>Jean-Marie</t>
  </si>
  <si>
    <t>Torre Jean-Marie</t>
  </si>
  <si>
    <t>Vanini</t>
  </si>
  <si>
    <t>Kévin</t>
  </si>
  <si>
    <t>Vanini Kévin</t>
  </si>
  <si>
    <t>Viale</t>
  </si>
  <si>
    <t>Jonathan</t>
  </si>
  <si>
    <t>Viale Jonathan</t>
  </si>
  <si>
    <t>Atarsia</t>
  </si>
  <si>
    <t>Kamel</t>
  </si>
  <si>
    <t>Atarsia Kamel</t>
  </si>
  <si>
    <t>Bour</t>
  </si>
  <si>
    <t>Yvon</t>
  </si>
  <si>
    <t>Bour Yvon</t>
  </si>
  <si>
    <t>Dalmasso</t>
  </si>
  <si>
    <t>Yves</t>
  </si>
  <si>
    <t>Dalmasso Yves</t>
  </si>
  <si>
    <t>Garros</t>
  </si>
  <si>
    <t>Carolane</t>
  </si>
  <si>
    <t>Garros Carolane</t>
  </si>
  <si>
    <t>Féralis</t>
  </si>
  <si>
    <t>Cécile</t>
  </si>
  <si>
    <t>Féralis Cécile</t>
  </si>
  <si>
    <t>Landrieux</t>
  </si>
  <si>
    <t>Nathalie</t>
  </si>
  <si>
    <t>Landrieux Nathalie</t>
  </si>
  <si>
    <t>Moliner</t>
  </si>
  <si>
    <t>David</t>
  </si>
  <si>
    <t>Moliner David</t>
  </si>
  <si>
    <t>Piombino</t>
  </si>
  <si>
    <t>Jean-Marc</t>
  </si>
  <si>
    <t>Piombino Jean-Marc</t>
  </si>
  <si>
    <t>Rateau</t>
  </si>
  <si>
    <t>Laurent</t>
  </si>
  <si>
    <t>Rateau Laurent</t>
  </si>
  <si>
    <t>Rosso</t>
  </si>
  <si>
    <t>Dominique</t>
  </si>
  <si>
    <t>Rosso Dominique</t>
  </si>
  <si>
    <t>Selsis</t>
  </si>
  <si>
    <t>Bruno</t>
  </si>
  <si>
    <t>Selsis Bruno</t>
  </si>
  <si>
    <t>CP Pris</t>
  </si>
  <si>
    <t>RTT Pris</t>
  </si>
  <si>
    <t>RECUP DEBIT</t>
  </si>
  <si>
    <t>RECUP CREDIT</t>
  </si>
  <si>
    <t>RC</t>
  </si>
  <si>
    <t>FORMATION 1/2 AM - RECUP CREDIT | 13:30-17:00</t>
  </si>
  <si>
    <t>FORMATION 1/2 MATIN - RECUP CREDIT | 08:30-12:00</t>
  </si>
  <si>
    <t>RD</t>
  </si>
  <si>
    <t>dRC</t>
  </si>
  <si>
    <t>Jours récupérés Débités</t>
  </si>
  <si>
    <t>demi Jour récupéré Crédités</t>
  </si>
  <si>
    <t>Jours récupérés Crédités</t>
  </si>
  <si>
    <t>Jours Récupérés
A Crédités</t>
  </si>
  <si>
    <t>Jours Récupérés
Débités</t>
  </si>
  <si>
    <t>Date du jour :</t>
  </si>
  <si>
    <t>Nbr de Jours Ouvrés :</t>
  </si>
  <si>
    <t>RTT Acquises</t>
  </si>
  <si>
    <t>Congés AM</t>
  </si>
  <si>
    <t>Congés Matin</t>
  </si>
  <si>
    <t>RTT AM</t>
  </si>
  <si>
    <t>Matin</t>
  </si>
  <si>
    <t>AT</t>
  </si>
  <si>
    <t>Sujestions Spéciales</t>
  </si>
  <si>
    <t>Colonne1</t>
  </si>
  <si>
    <t>Colonne2</t>
  </si>
  <si>
    <t>C2</t>
  </si>
  <si>
    <t>RTT3</t>
  </si>
  <si>
    <t>C4</t>
  </si>
  <si>
    <t>RTT5</t>
  </si>
  <si>
    <t>C6</t>
  </si>
  <si>
    <t>RTT7</t>
  </si>
  <si>
    <t>Nbr de Jours ouvrés</t>
  </si>
  <si>
    <t>Titres Restaurant</t>
  </si>
  <si>
    <t>Colonne3</t>
  </si>
  <si>
    <t>Colonne4</t>
  </si>
  <si>
    <t>Colonne5</t>
  </si>
  <si>
    <t>Colonne6</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</si>
</sst>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
    <numFmt numFmtId="165" formatCode="ddd\ dd\-mm"/>
    <numFmt numFmtId="166" formatCode="[$-40C]General"/>
    <numFmt numFmtId="167" formatCode="0.0"/>
    <numFmt numFmtId="168" formatCode="0.000000000"/>
  </numFmts>
  <fonts count="19" x14ac:knownFonts="1">
    <font>
      <sz val="11"/>
      <color rgb="FF000000"/>
      <name val="Calibri"/>
      <family val="2"/>
      <charset val="1"/>
    </font>
    <font>
      <sz val="12"/>
      <color theme="1"/>
      <name val="Calibri"/>
      <family val="2"/>
      <scheme val="minor"/>
    </font>
    <font>
      <b/>
      <sz val="26"/>
      <color rgb="FF4B180E"/>
      <name val="Calibri"/>
      <family val="2"/>
      <charset val="1"/>
    </font>
    <font>
      <b/>
      <sz val="11"/>
      <color rgb="FF000000"/>
      <name val="Calibri"/>
      <family val="2"/>
      <charset val="1"/>
    </font>
    <font>
      <sz val="11"/>
      <color rgb="FF531A12"/>
      <name val="Calibri"/>
      <family val="2"/>
      <charset val="1"/>
    </font>
    <font>
      <b/>
      <sz val="18"/>
      <color rgb="FF7C271A"/>
      <name val="Calibri"/>
      <family val="2"/>
      <charset val="1"/>
    </font>
    <font>
      <b/>
      <sz val="11"/>
      <color rgb="FF6E2315"/>
      <name val="Calibri"/>
      <family val="2"/>
      <charset val="1"/>
    </font>
    <font>
      <b/>
      <sz val="14"/>
      <color rgb="FF000000"/>
      <name val="Calibri"/>
      <family val="2"/>
      <charset val="1"/>
    </font>
    <font>
      <sz val="11"/>
      <color rgb="FF000000"/>
      <name val="Calibri"/>
      <family val="2"/>
      <charset val="1"/>
    </font>
    <font>
      <sz val="10"/>
      <color indexed="12"/>
      <name val="MS Sans Serif"/>
      <family val="2"/>
    </font>
    <font>
      <sz val="10"/>
      <name val="Courier New"/>
      <family val="3"/>
    </font>
    <font>
      <b/>
      <sz val="11"/>
      <color theme="1"/>
      <name val="Calibri"/>
      <family val="2"/>
      <scheme val="minor"/>
    </font>
    <font>
      <sz val="11"/>
      <color theme="1"/>
      <name val="Calibri"/>
      <family val="2"/>
      <scheme val="minor"/>
    </font>
    <font>
      <sz val="10"/>
      <color rgb="FF000000"/>
      <name val="Arial"/>
      <family val="2"/>
    </font>
    <font>
      <sz val="11"/>
      <color indexed="8"/>
      <name val="Calibri"/>
      <family val="2"/>
    </font>
    <font>
      <sz val="10"/>
      <name val="Arial"/>
      <family val="2"/>
      <charset val="204"/>
    </font>
    <font>
      <b/>
      <sz val="15"/>
      <color rgb="FF555555"/>
      <name val="Helvetica Neue"/>
    </font>
    <font>
      <u/>
      <sz val="12"/>
      <color theme="10"/>
      <name val="Calibri"/>
      <family val="2"/>
      <scheme val="minor"/>
    </font>
    <font>
      <sz val="12"/>
      <color rgb="FF444444"/>
      <name val="Arial"/>
    </font>
  </fonts>
  <fills count="11">
    <fill>
      <patternFill patternType="none"/>
    </fill>
    <fill>
      <patternFill patternType="gray125"/>
    </fill>
    <fill>
      <patternFill patternType="solid">
        <fgColor rgb="FFF1F2E8"/>
        <bgColor rgb="FFFFFFFF"/>
      </patternFill>
    </fill>
    <fill>
      <patternFill patternType="solid">
        <fgColor rgb="FFFFFFFF"/>
        <bgColor rgb="FFF1F2E8"/>
      </patternFill>
    </fill>
    <fill>
      <patternFill patternType="solid">
        <fgColor rgb="FFAD7FA8"/>
        <bgColor rgb="FF95A3CF"/>
      </patternFill>
    </fill>
    <fill>
      <patternFill patternType="solid">
        <fgColor rgb="FFD3D7CF"/>
        <bgColor rgb="FFDFE1CA"/>
      </patternFill>
    </fill>
    <fill>
      <patternFill patternType="solid">
        <fgColor rgb="FF8AE234"/>
        <bgColor rgb="FFC3D09E"/>
      </patternFill>
    </fill>
    <fill>
      <patternFill patternType="solid">
        <fgColor rgb="FFE9B96E"/>
        <bgColor rgb="FFF5CDAC"/>
      </patternFill>
    </fill>
    <fill>
      <patternFill patternType="solid">
        <fgColor theme="0"/>
        <bgColor indexed="64"/>
      </patternFill>
    </fill>
    <fill>
      <patternFill patternType="solid">
        <fgColor rgb="FFFFC000"/>
        <bgColor indexed="64"/>
      </patternFill>
    </fill>
    <fill>
      <patternFill patternType="solid">
        <fgColor theme="7" tint="0.39997558519241921"/>
        <bgColor indexed="64"/>
      </patternFill>
    </fill>
  </fills>
  <borders count="30">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style="thin">
        <color auto="1"/>
      </right>
      <top/>
      <bottom style="thin">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thin">
        <color auto="1"/>
      </right>
      <top style="thin">
        <color auto="1"/>
      </top>
      <bottom/>
      <diagonal/>
    </border>
    <border>
      <left/>
      <right/>
      <top style="thin">
        <color auto="1"/>
      </top>
      <bottom style="thin">
        <color auto="1"/>
      </bottom>
      <diagonal/>
    </border>
    <border>
      <left style="medium">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style="medium">
        <color auto="1"/>
      </right>
      <top/>
      <bottom style="medium">
        <color auto="1"/>
      </bottom>
      <diagonal/>
    </border>
    <border>
      <left style="thin">
        <color auto="1"/>
      </left>
      <right style="medium">
        <color auto="1"/>
      </right>
      <top/>
      <bottom style="medium">
        <color auto="1"/>
      </bottom>
      <diagonal/>
    </border>
    <border>
      <left/>
      <right/>
      <top/>
      <bottom style="thin">
        <color auto="1"/>
      </bottom>
      <diagonal/>
    </border>
    <border>
      <left style="thin">
        <color auto="1"/>
      </left>
      <right style="thin">
        <color auto="1"/>
      </right>
      <top/>
      <bottom/>
      <diagonal/>
    </border>
  </borders>
  <cellStyleXfs count="12">
    <xf numFmtId="0" fontId="0" fillId="0" borderId="0">
      <alignment horizontal="left" vertical="center"/>
    </xf>
    <xf numFmtId="1" fontId="8" fillId="0" borderId="0" applyBorder="0" applyProtection="0">
      <alignment horizontal="center" vertical="center"/>
    </xf>
    <xf numFmtId="0" fontId="10" fillId="0" borderId="0"/>
    <xf numFmtId="0" fontId="12" fillId="0" borderId="0"/>
    <xf numFmtId="166" fontId="8" fillId="0" borderId="0"/>
    <xf numFmtId="166" fontId="13" fillId="0" borderId="0"/>
    <xf numFmtId="166" fontId="13" fillId="0" borderId="0"/>
    <xf numFmtId="0" fontId="14" fillId="0" borderId="0"/>
    <xf numFmtId="0" fontId="15" fillId="0" borderId="0"/>
    <xf numFmtId="0" fontId="1" fillId="0" borderId="0"/>
    <xf numFmtId="0" fontId="8" fillId="0" borderId="0">
      <alignment horizontal="left" vertical="center"/>
    </xf>
    <xf numFmtId="0" fontId="17" fillId="0" borderId="0" applyNumberFormat="0" applyFill="0" applyBorder="0" applyAlignment="0" applyProtection="0"/>
  </cellStyleXfs>
  <cellXfs count="153">
    <xf numFmtId="0" fontId="0" fillId="0" borderId="0" xfId="0">
      <alignment horizontal="left" vertical="center"/>
    </xf>
    <xf numFmtId="0" fontId="0" fillId="0" borderId="0" xfId="0" applyProtection="1">
      <alignment horizontal="left" vertical="center"/>
    </xf>
    <xf numFmtId="0" fontId="0" fillId="0" borderId="0" xfId="0" applyAlignment="1" applyProtection="1">
      <alignment horizontal="left" vertical="center" wrapText="1"/>
    </xf>
    <xf numFmtId="0" fontId="2" fillId="0" borderId="0" xfId="0" applyFont="1" applyBorder="1" applyAlignment="1" applyProtection="1">
      <alignment vertical="top"/>
    </xf>
    <xf numFmtId="0" fontId="3" fillId="0" borderId="0" xfId="0" applyFont="1" applyProtection="1">
      <alignment horizontal="left" vertical="center"/>
    </xf>
    <xf numFmtId="0" fontId="3" fillId="0" borderId="0" xfId="0" applyFont="1" applyBorder="1" applyAlignment="1" applyProtection="1">
      <alignment horizontal="center" vertical="center"/>
    </xf>
    <xf numFmtId="0" fontId="0" fillId="0" borderId="0" xfId="0" applyBorder="1" applyAlignment="1" applyProtection="1">
      <alignment horizontal="left" vertical="center"/>
    </xf>
    <xf numFmtId="164" fontId="3" fillId="0" borderId="0" xfId="0" applyNumberFormat="1" applyFont="1" applyBorder="1" applyAlignment="1" applyProtection="1">
      <alignment horizontal="center" vertical="center"/>
    </xf>
    <xf numFmtId="0" fontId="4" fillId="0" borderId="0" xfId="0" applyFont="1" applyProtection="1">
      <alignment horizontal="left" vertical="center"/>
    </xf>
    <xf numFmtId="0" fontId="5" fillId="0" borderId="0" xfId="0" applyFont="1" applyBorder="1" applyProtection="1">
      <alignment horizontal="left" vertical="center"/>
    </xf>
    <xf numFmtId="0" fontId="0" fillId="0" borderId="0" xfId="0" applyBorder="1" applyProtection="1">
      <alignment horizontal="left" vertical="center"/>
    </xf>
    <xf numFmtId="0" fontId="0" fillId="0" borderId="0" xfId="0" applyBorder="1" applyAlignment="1" applyProtection="1">
      <alignment vertical="top"/>
    </xf>
    <xf numFmtId="0" fontId="2" fillId="0" borderId="0" xfId="0" applyFont="1" applyBorder="1" applyProtection="1">
      <alignment horizontal="left" vertical="center"/>
    </xf>
    <xf numFmtId="49" fontId="9" fillId="8" borderId="1" xfId="0" applyNumberFormat="1" applyFont="1" applyFill="1" applyBorder="1" applyAlignment="1">
      <alignment horizontal="center" vertical="center"/>
    </xf>
    <xf numFmtId="49" fontId="9" fillId="0" borderId="1" xfId="0" applyNumberFormat="1" applyFont="1" applyBorder="1" applyAlignment="1">
      <alignment horizontal="center" vertical="center" wrapText="1"/>
    </xf>
    <xf numFmtId="49" fontId="9" fillId="0" borderId="1" xfId="0" applyNumberFormat="1" applyFont="1" applyBorder="1" applyAlignment="1">
      <alignment horizontal="center" vertical="center"/>
    </xf>
    <xf numFmtId="49" fontId="9" fillId="8" borderId="1" xfId="0" applyNumberFormat="1" applyFont="1" applyFill="1" applyBorder="1" applyAlignment="1">
      <alignment horizontal="center" vertical="center" wrapText="1"/>
    </xf>
    <xf numFmtId="49" fontId="9" fillId="9" borderId="1" xfId="0" applyNumberFormat="1" applyFont="1" applyFill="1" applyBorder="1" applyAlignment="1">
      <alignment horizontal="center" vertical="center"/>
    </xf>
    <xf numFmtId="49" fontId="9" fillId="9" borderId="1" xfId="0" applyNumberFormat="1" applyFont="1" applyFill="1" applyBorder="1" applyAlignment="1">
      <alignment horizontal="center" vertical="center" wrapText="1"/>
    </xf>
    <xf numFmtId="0" fontId="0" fillId="0" borderId="1" xfId="0" applyBorder="1" applyProtection="1">
      <alignment horizontal="left" vertical="center"/>
    </xf>
    <xf numFmtId="0" fontId="0" fillId="0" borderId="1" xfId="0" applyFont="1" applyBorder="1" applyAlignment="1" applyProtection="1">
      <alignment horizontal="center" vertical="center"/>
    </xf>
    <xf numFmtId="164" fontId="0" fillId="0" borderId="1" xfId="0" applyNumberFormat="1" applyFont="1" applyBorder="1" applyAlignment="1" applyProtection="1">
      <alignment horizontal="center" vertical="center"/>
    </xf>
    <xf numFmtId="0" fontId="0" fillId="0" borderId="1" xfId="0" applyBorder="1" applyAlignment="1" applyProtection="1">
      <alignment horizontal="center" vertical="center"/>
    </xf>
    <xf numFmtId="49" fontId="9" fillId="9" borderId="3" xfId="0" applyNumberFormat="1" applyFont="1" applyFill="1" applyBorder="1" applyAlignment="1">
      <alignment horizontal="center" vertical="center"/>
    </xf>
    <xf numFmtId="49" fontId="9" fillId="9" borderId="3" xfId="0" applyNumberFormat="1" applyFont="1" applyFill="1" applyBorder="1" applyAlignment="1">
      <alignment horizontal="center" vertical="center" wrapText="1"/>
    </xf>
    <xf numFmtId="0" fontId="0" fillId="0" borderId="1" xfId="0" applyFont="1" applyBorder="1" applyAlignment="1">
      <alignment horizontal="center" vertical="center"/>
    </xf>
    <xf numFmtId="0" fontId="0" fillId="0" borderId="1" xfId="0" applyBorder="1" applyAlignment="1">
      <alignment horizontal="center" vertical="center"/>
    </xf>
    <xf numFmtId="0" fontId="0" fillId="4" borderId="1" xfId="0" applyFill="1" applyBorder="1" applyAlignment="1">
      <alignment horizontal="center" vertical="center"/>
    </xf>
    <xf numFmtId="0" fontId="0" fillId="5" borderId="1" xfId="0" applyFont="1" applyFill="1" applyBorder="1" applyAlignment="1">
      <alignment horizontal="center" vertical="center"/>
    </xf>
    <xf numFmtId="0" fontId="0" fillId="6" borderId="1" xfId="0" applyFont="1" applyFill="1" applyBorder="1" applyAlignment="1">
      <alignment horizontal="center" vertical="center"/>
    </xf>
    <xf numFmtId="0" fontId="0" fillId="7" borderId="1" xfId="0" applyFont="1" applyFill="1" applyBorder="1" applyAlignment="1">
      <alignment horizontal="center" vertical="center"/>
    </xf>
    <xf numFmtId="0" fontId="0" fillId="0" borderId="1" xfId="0" applyFont="1" applyFill="1" applyBorder="1" applyAlignment="1" applyProtection="1">
      <alignment horizontal="center" vertical="center"/>
    </xf>
    <xf numFmtId="1" fontId="8" fillId="0" borderId="1" xfId="1" applyBorder="1" applyProtection="1">
      <alignment horizontal="center" vertical="center"/>
    </xf>
    <xf numFmtId="0" fontId="0" fillId="4" borderId="1" xfId="0" applyFont="1" applyFill="1" applyBorder="1" applyAlignment="1">
      <alignment horizontal="center" vertical="center"/>
    </xf>
    <xf numFmtId="0" fontId="0" fillId="0" borderId="5" xfId="0" applyFont="1" applyBorder="1" applyAlignment="1" applyProtection="1">
      <alignment horizontal="center" vertical="center"/>
    </xf>
    <xf numFmtId="0" fontId="0" fillId="0" borderId="5" xfId="0" applyBorder="1" applyAlignment="1" applyProtection="1">
      <alignment horizontal="center" vertical="center"/>
    </xf>
    <xf numFmtId="0" fontId="6" fillId="2" borderId="1" xfId="0" applyFont="1" applyFill="1" applyBorder="1" applyAlignment="1" applyProtection="1">
      <alignment horizontal="center" vertical="center"/>
    </xf>
    <xf numFmtId="0" fontId="5" fillId="0" borderId="0" xfId="0" applyFont="1" applyBorder="1" applyProtection="1">
      <alignment horizontal="left" vertical="center"/>
    </xf>
    <xf numFmtId="0" fontId="0" fillId="0" borderId="0" xfId="0" applyFont="1" applyBorder="1" applyAlignment="1" applyProtection="1">
      <alignment horizontal="left" vertical="center"/>
    </xf>
    <xf numFmtId="0" fontId="0" fillId="0" borderId="0" xfId="0" applyBorder="1" applyAlignment="1" applyProtection="1">
      <alignment horizontal="center" vertical="center"/>
    </xf>
    <xf numFmtId="0" fontId="0" fillId="0" borderId="0" xfId="0" applyProtection="1">
      <alignment horizontal="left" vertical="center"/>
      <protection locked="0"/>
    </xf>
    <xf numFmtId="49" fontId="9" fillId="8" borderId="1" xfId="0" applyNumberFormat="1" applyFont="1" applyFill="1" applyBorder="1" applyAlignment="1" applyProtection="1">
      <alignment horizontal="center" vertical="center"/>
      <protection locked="0"/>
    </xf>
    <xf numFmtId="0" fontId="6" fillId="2" borderId="1" xfId="0" applyFont="1" applyFill="1" applyBorder="1" applyAlignment="1" applyProtection="1">
      <alignment horizontal="center" vertical="center"/>
      <protection locked="0"/>
    </xf>
    <xf numFmtId="0" fontId="6" fillId="2" borderId="3" xfId="0" applyFont="1" applyFill="1" applyBorder="1" applyAlignment="1" applyProtection="1">
      <alignment horizontal="center" vertical="center"/>
    </xf>
    <xf numFmtId="0" fontId="0" fillId="0" borderId="3" xfId="0" applyBorder="1" applyAlignment="1" applyProtection="1">
      <alignment horizontal="center" vertical="center"/>
    </xf>
    <xf numFmtId="0" fontId="0" fillId="0" borderId="10" xfId="0" applyBorder="1" applyAlignment="1" applyProtection="1">
      <alignment horizontal="center" vertical="center"/>
    </xf>
    <xf numFmtId="0" fontId="0" fillId="0" borderId="11" xfId="0" applyBorder="1" applyAlignment="1" applyProtection="1">
      <alignment horizontal="center" vertical="center"/>
    </xf>
    <xf numFmtId="0" fontId="0" fillId="0" borderId="12" xfId="0" applyFont="1" applyFill="1" applyBorder="1" applyAlignment="1" applyProtection="1">
      <alignment horizontal="center" vertical="center"/>
    </xf>
    <xf numFmtId="0" fontId="0" fillId="0" borderId="13" xfId="0" applyFont="1" applyFill="1" applyBorder="1" applyAlignment="1" applyProtection="1">
      <alignment horizontal="center" vertical="center"/>
    </xf>
    <xf numFmtId="0" fontId="0" fillId="0" borderId="14" xfId="0" applyFont="1" applyFill="1" applyBorder="1" applyAlignment="1" applyProtection="1">
      <alignment horizontal="center" vertical="center"/>
    </xf>
    <xf numFmtId="0" fontId="0" fillId="0" borderId="15" xfId="0" applyFont="1" applyFill="1" applyBorder="1" applyAlignment="1" applyProtection="1">
      <alignment horizontal="center" vertical="center"/>
    </xf>
    <xf numFmtId="0" fontId="0" fillId="0" borderId="16" xfId="0" applyFont="1" applyFill="1" applyBorder="1" applyAlignment="1" applyProtection="1">
      <alignment horizontal="center" vertical="center"/>
    </xf>
    <xf numFmtId="0" fontId="6" fillId="2" borderId="2" xfId="0" applyFont="1" applyFill="1" applyBorder="1" applyAlignment="1" applyProtection="1">
      <alignment horizontal="center" vertical="center"/>
      <protection locked="0"/>
    </xf>
    <xf numFmtId="0" fontId="0" fillId="0" borderId="0" xfId="0" applyFont="1" applyFill="1" applyBorder="1" applyAlignment="1" applyProtection="1">
      <alignment horizontal="left" vertical="center"/>
    </xf>
    <xf numFmtId="0" fontId="11" fillId="0" borderId="0" xfId="2" applyFont="1"/>
    <xf numFmtId="0" fontId="12" fillId="0" borderId="0" xfId="3"/>
    <xf numFmtId="0" fontId="10" fillId="0" borderId="0" xfId="2"/>
    <xf numFmtId="165" fontId="10" fillId="0" borderId="0" xfId="2" applyNumberFormat="1"/>
    <xf numFmtId="15" fontId="10" fillId="0" borderId="0" xfId="2" quotePrefix="1" applyNumberFormat="1"/>
    <xf numFmtId="14" fontId="0" fillId="0" borderId="0" xfId="0" applyNumberFormat="1" applyProtection="1">
      <alignment horizontal="left" vertical="center"/>
    </xf>
    <xf numFmtId="0" fontId="5" fillId="0" borderId="0" xfId="0" applyFont="1" applyBorder="1" applyProtection="1">
      <alignment horizontal="left" vertical="center"/>
    </xf>
    <xf numFmtId="14" fontId="0" fillId="0" borderId="0" xfId="0" applyNumberFormat="1" applyAlignment="1" applyProtection="1">
      <alignment horizontal="left" vertical="center" textRotation="46"/>
    </xf>
    <xf numFmtId="14" fontId="0" fillId="0" borderId="0" xfId="0" applyNumberFormat="1" applyAlignment="1" applyProtection="1">
      <alignment horizontal="left" vertical="center" textRotation="45"/>
    </xf>
    <xf numFmtId="0" fontId="16" fillId="0" borderId="0" xfId="10" applyFont="1">
      <alignment horizontal="left" vertical="center"/>
    </xf>
    <xf numFmtId="0" fontId="17" fillId="0" borderId="0" xfId="11"/>
    <xf numFmtId="0" fontId="0" fillId="0" borderId="0" xfId="0" applyFont="1" applyBorder="1" applyAlignment="1" applyProtection="1">
      <alignment horizontal="left" vertical="center"/>
    </xf>
    <xf numFmtId="0" fontId="3" fillId="0" borderId="0" xfId="0" applyFont="1" applyBorder="1" applyAlignment="1" applyProtection="1">
      <alignment horizontal="center" vertical="center"/>
    </xf>
    <xf numFmtId="14" fontId="0" fillId="0" borderId="0" xfId="0" applyNumberFormat="1">
      <alignment horizontal="left" vertical="center"/>
    </xf>
    <xf numFmtId="2" fontId="6" fillId="2" borderId="1" xfId="0" applyNumberFormat="1" applyFont="1" applyFill="1" applyBorder="1" applyAlignment="1" applyProtection="1">
      <alignment horizontal="center" vertical="center"/>
      <protection locked="0"/>
    </xf>
    <xf numFmtId="0" fontId="5" fillId="10" borderId="6" xfId="0" applyFont="1" applyFill="1" applyBorder="1" applyAlignment="1" applyProtection="1">
      <alignment horizontal="center" vertical="center"/>
    </xf>
    <xf numFmtId="0" fontId="0" fillId="0" borderId="0" xfId="0" applyFont="1" applyBorder="1" applyAlignment="1" applyProtection="1">
      <alignment horizontal="left" vertical="center"/>
    </xf>
    <xf numFmtId="0" fontId="3" fillId="0" borderId="0" xfId="0" applyFont="1" applyBorder="1" applyAlignment="1" applyProtection="1">
      <alignment horizontal="center" vertical="center"/>
    </xf>
    <xf numFmtId="0" fontId="5" fillId="0" borderId="0" xfId="0" applyFont="1" applyBorder="1" applyProtection="1">
      <alignment horizontal="left" vertical="center"/>
    </xf>
    <xf numFmtId="0" fontId="6" fillId="2" borderId="1" xfId="0" applyFont="1" applyFill="1" applyBorder="1" applyAlignment="1" applyProtection="1">
      <alignment vertical="center"/>
      <protection locked="0"/>
    </xf>
    <xf numFmtId="2" fontId="0" fillId="0" borderId="0" xfId="0" applyNumberFormat="1">
      <alignment horizontal="left" vertical="center"/>
    </xf>
    <xf numFmtId="0" fontId="0" fillId="0" borderId="4" xfId="0" applyBorder="1" applyAlignment="1" applyProtection="1">
      <alignment horizontal="center" vertical="center"/>
    </xf>
    <xf numFmtId="0" fontId="0" fillId="0" borderId="19" xfId="0" applyBorder="1" applyAlignment="1" applyProtection="1">
      <alignment horizontal="center" vertical="center"/>
    </xf>
    <xf numFmtId="0" fontId="0" fillId="0" borderId="20" xfId="0" applyBorder="1" applyAlignment="1" applyProtection="1">
      <alignment horizontal="center" vertical="center"/>
    </xf>
    <xf numFmtId="0" fontId="0" fillId="0" borderId="21" xfId="0" applyFont="1" applyFill="1" applyBorder="1" applyAlignment="1" applyProtection="1">
      <alignment horizontal="center" vertical="center"/>
    </xf>
    <xf numFmtId="0" fontId="0" fillId="0" borderId="22" xfId="0" applyFont="1" applyFill="1" applyBorder="1" applyAlignment="1" applyProtection="1">
      <alignment horizontal="center" vertical="center"/>
    </xf>
    <xf numFmtId="0" fontId="0" fillId="0" borderId="23" xfId="0" applyFont="1" applyFill="1" applyBorder="1" applyAlignment="1" applyProtection="1">
      <alignment horizontal="center" vertical="center"/>
    </xf>
    <xf numFmtId="0" fontId="0" fillId="0" borderId="24" xfId="0" applyFont="1" applyFill="1" applyBorder="1" applyAlignment="1" applyProtection="1">
      <alignment horizontal="center" vertical="center"/>
    </xf>
    <xf numFmtId="0" fontId="0" fillId="0" borderId="3" xfId="0" applyFont="1" applyFill="1" applyBorder="1" applyAlignment="1" applyProtection="1">
      <alignment horizontal="center" vertical="center"/>
    </xf>
    <xf numFmtId="0" fontId="0" fillId="0" borderId="25" xfId="0" applyFont="1" applyFill="1" applyBorder="1" applyAlignment="1" applyProtection="1">
      <alignment horizontal="center" vertical="center"/>
    </xf>
    <xf numFmtId="2" fontId="0" fillId="0" borderId="1" xfId="0" applyNumberFormat="1" applyBorder="1" applyAlignment="1">
      <alignment horizontal="center" vertical="center"/>
    </xf>
    <xf numFmtId="2" fontId="0" fillId="0" borderId="0" xfId="0" applyNumberFormat="1" applyBorder="1" applyAlignment="1">
      <alignment horizontal="center" vertical="center"/>
    </xf>
    <xf numFmtId="0" fontId="0" fillId="0" borderId="10" xfId="0" applyFont="1" applyFill="1" applyBorder="1" applyAlignment="1" applyProtection="1">
      <alignment horizontal="center" vertical="center"/>
    </xf>
    <xf numFmtId="0" fontId="0" fillId="0" borderId="5" xfId="0" applyFont="1" applyFill="1" applyBorder="1" applyAlignment="1" applyProtection="1">
      <alignment horizontal="center" vertical="center"/>
    </xf>
    <xf numFmtId="0" fontId="0" fillId="0" borderId="21" xfId="0" applyBorder="1" applyAlignment="1" applyProtection="1">
      <alignment horizontal="center" vertical="center"/>
    </xf>
    <xf numFmtId="0" fontId="0" fillId="0" borderId="22" xfId="0" applyBorder="1" applyAlignment="1" applyProtection="1">
      <alignment horizontal="center" vertical="center"/>
    </xf>
    <xf numFmtId="0" fontId="0" fillId="0" borderId="23" xfId="0" applyBorder="1" applyAlignment="1" applyProtection="1">
      <alignment horizontal="center" vertical="center"/>
    </xf>
    <xf numFmtId="0" fontId="0" fillId="0" borderId="14" xfId="0" applyBorder="1" applyAlignment="1" applyProtection="1">
      <alignment horizontal="center" vertical="center"/>
    </xf>
    <xf numFmtId="0" fontId="0" fillId="0" borderId="15" xfId="0" applyBorder="1" applyAlignment="1" applyProtection="1">
      <alignment horizontal="center" vertical="center"/>
    </xf>
    <xf numFmtId="0" fontId="0" fillId="0" borderId="15" xfId="0" applyFont="1" applyBorder="1" applyAlignment="1" applyProtection="1">
      <alignment horizontal="center" vertical="center"/>
    </xf>
    <xf numFmtId="0" fontId="0" fillId="0" borderId="16" xfId="0" applyFont="1" applyBorder="1" applyAlignment="1" applyProtection="1">
      <alignment horizontal="center" vertical="center"/>
    </xf>
    <xf numFmtId="0" fontId="3" fillId="0" borderId="0" xfId="0" applyFont="1" applyBorder="1" applyProtection="1">
      <alignment horizontal="left" vertical="center"/>
    </xf>
    <xf numFmtId="0" fontId="3" fillId="0" borderId="0" xfId="0" applyFont="1" applyAlignment="1" applyProtection="1">
      <alignment horizontal="center" vertical="center"/>
    </xf>
    <xf numFmtId="2" fontId="6" fillId="2" borderId="1" xfId="0" applyNumberFormat="1" applyFont="1" applyFill="1" applyBorder="1" applyAlignment="1" applyProtection="1">
      <alignment horizontal="center" vertical="center"/>
    </xf>
    <xf numFmtId="167" fontId="0" fillId="0" borderId="0" xfId="0" applyNumberFormat="1" applyProtection="1">
      <alignment horizontal="left" vertical="center"/>
    </xf>
    <xf numFmtId="167" fontId="3" fillId="0" borderId="0" xfId="0" applyNumberFormat="1" applyFont="1" applyProtection="1">
      <alignment horizontal="left" vertical="center"/>
    </xf>
    <xf numFmtId="167" fontId="0" fillId="0" borderId="0" xfId="0" applyNumberFormat="1" applyBorder="1" applyProtection="1">
      <alignment horizontal="left" vertical="center"/>
    </xf>
    <xf numFmtId="167" fontId="6" fillId="2" borderId="1" xfId="0" applyNumberFormat="1" applyFont="1" applyFill="1" applyBorder="1" applyAlignment="1" applyProtection="1">
      <alignment horizontal="center" vertical="center"/>
      <protection locked="0"/>
    </xf>
    <xf numFmtId="167" fontId="8" fillId="0" borderId="2" xfId="1" applyNumberFormat="1" applyBorder="1" applyAlignment="1" applyProtection="1">
      <alignment horizontal="center" vertical="center"/>
    </xf>
    <xf numFmtId="167" fontId="0" fillId="0" borderId="2" xfId="0" applyNumberFormat="1" applyBorder="1" applyAlignment="1">
      <alignment horizontal="center" vertical="center"/>
    </xf>
    <xf numFmtId="167" fontId="0" fillId="0" borderId="0" xfId="0" applyNumberFormat="1">
      <alignment horizontal="left" vertical="center"/>
    </xf>
    <xf numFmtId="167" fontId="8" fillId="3" borderId="1" xfId="1" applyNumberFormat="1" applyFill="1" applyBorder="1" applyAlignment="1" applyProtection="1">
      <alignment horizontal="center" vertical="center"/>
    </xf>
    <xf numFmtId="167" fontId="0" fillId="0" borderId="0" xfId="0" applyNumberFormat="1" applyAlignment="1" applyProtection="1">
      <alignment horizontal="left" vertical="center" textRotation="46"/>
    </xf>
    <xf numFmtId="167" fontId="4" fillId="0" borderId="0" xfId="0" applyNumberFormat="1" applyFont="1" applyProtection="1">
      <alignment horizontal="left" vertical="center"/>
    </xf>
    <xf numFmtId="167" fontId="8" fillId="3" borderId="2" xfId="1" applyNumberFormat="1" applyFill="1" applyBorder="1" applyProtection="1">
      <alignment horizontal="center" vertical="center"/>
    </xf>
    <xf numFmtId="167" fontId="8" fillId="3" borderId="1" xfId="1" applyNumberFormat="1" applyFill="1" applyBorder="1" applyProtection="1">
      <alignment horizontal="center" vertical="center"/>
    </xf>
    <xf numFmtId="168" fontId="0" fillId="0" borderId="0" xfId="0" applyNumberFormat="1">
      <alignment horizontal="left" vertical="center"/>
    </xf>
    <xf numFmtId="0" fontId="0" fillId="0" borderId="26" xfId="0" applyBorder="1" applyAlignment="1">
      <alignment horizontal="center" vertical="center"/>
    </xf>
    <xf numFmtId="0" fontId="0" fillId="0" borderId="23" xfId="0" applyFont="1" applyBorder="1" applyAlignment="1" applyProtection="1">
      <alignment horizontal="center" vertical="center"/>
    </xf>
    <xf numFmtId="0" fontId="0" fillId="0" borderId="11" xfId="0" applyFont="1" applyBorder="1" applyAlignment="1" applyProtection="1">
      <alignment horizontal="center" vertical="center"/>
    </xf>
    <xf numFmtId="0" fontId="0" fillId="0" borderId="27" xfId="0" applyFont="1" applyBorder="1" applyAlignment="1" applyProtection="1">
      <alignment horizontal="center" vertical="center"/>
    </xf>
    <xf numFmtId="0" fontId="0" fillId="0" borderId="13" xfId="0" applyFont="1" applyBorder="1" applyAlignment="1" applyProtection="1">
      <alignment horizontal="center" vertical="center"/>
    </xf>
    <xf numFmtId="1" fontId="8" fillId="0" borderId="13" xfId="1" applyBorder="1" applyProtection="1">
      <alignment horizontal="center" vertical="center"/>
    </xf>
    <xf numFmtId="164" fontId="0" fillId="0" borderId="13" xfId="0" applyNumberFormat="1" applyFont="1" applyBorder="1" applyAlignment="1" applyProtection="1">
      <alignment horizontal="center" vertical="center"/>
    </xf>
    <xf numFmtId="0" fontId="0" fillId="0" borderId="13" xfId="0" applyBorder="1" applyProtection="1">
      <alignment horizontal="left" vertical="center"/>
    </xf>
    <xf numFmtId="0" fontId="0" fillId="0" borderId="16" xfId="0" applyBorder="1" applyProtection="1">
      <alignment horizontal="left" vertical="center"/>
    </xf>
    <xf numFmtId="0" fontId="0" fillId="0" borderId="29" xfId="0" applyBorder="1" applyAlignment="1">
      <alignment horizontal="center" vertical="center"/>
    </xf>
    <xf numFmtId="0" fontId="0" fillId="4" borderId="29" xfId="0" applyFont="1" applyFill="1" applyBorder="1" applyAlignment="1">
      <alignment horizontal="center" vertical="center"/>
    </xf>
    <xf numFmtId="0" fontId="0" fillId="5" borderId="29" xfId="0" applyFont="1" applyFill="1" applyBorder="1" applyAlignment="1">
      <alignment horizontal="center" vertical="center"/>
    </xf>
    <xf numFmtId="0" fontId="0" fillId="6" borderId="29" xfId="0" applyFont="1" applyFill="1" applyBorder="1" applyAlignment="1">
      <alignment horizontal="center" vertical="center"/>
    </xf>
    <xf numFmtId="0" fontId="0" fillId="7" borderId="29" xfId="0" applyFont="1" applyFill="1" applyBorder="1" applyAlignment="1">
      <alignment horizontal="center" vertical="center"/>
    </xf>
    <xf numFmtId="0" fontId="6" fillId="2" borderId="4" xfId="0" applyFont="1" applyFill="1" applyBorder="1" applyAlignment="1" applyProtection="1">
      <alignment horizontal="center" vertical="center"/>
      <protection locked="0"/>
    </xf>
    <xf numFmtId="0" fontId="6" fillId="2" borderId="5" xfId="0" applyFont="1" applyFill="1" applyBorder="1" applyAlignment="1" applyProtection="1">
      <alignment horizontal="center" vertical="center"/>
      <protection locked="0"/>
    </xf>
    <xf numFmtId="0" fontId="0" fillId="4" borderId="3" xfId="0" applyFont="1" applyFill="1" applyBorder="1" applyAlignment="1">
      <alignment horizontal="center" vertical="center"/>
    </xf>
    <xf numFmtId="0" fontId="0" fillId="4" borderId="2" xfId="0" applyFont="1" applyFill="1" applyBorder="1" applyAlignment="1">
      <alignment horizontal="center" vertical="center"/>
    </xf>
    <xf numFmtId="0" fontId="0" fillId="5" borderId="3" xfId="0" applyFont="1" applyFill="1" applyBorder="1" applyAlignment="1">
      <alignment horizontal="center" vertical="center"/>
    </xf>
    <xf numFmtId="0" fontId="0" fillId="5" borderId="2" xfId="0" applyFont="1" applyFill="1" applyBorder="1" applyAlignment="1">
      <alignment horizontal="center" vertical="center"/>
    </xf>
    <xf numFmtId="0" fontId="0" fillId="6" borderId="3" xfId="0" applyFont="1" applyFill="1" applyBorder="1" applyAlignment="1">
      <alignment horizontal="center" vertical="center"/>
    </xf>
    <xf numFmtId="0" fontId="0" fillId="6" borderId="18" xfId="0" applyFont="1" applyFill="1" applyBorder="1" applyAlignment="1">
      <alignment horizontal="center" vertical="center"/>
    </xf>
    <xf numFmtId="0" fontId="0" fillId="6" borderId="2" xfId="0" applyFont="1" applyFill="1" applyBorder="1" applyAlignment="1">
      <alignment horizontal="center" vertical="center"/>
    </xf>
    <xf numFmtId="0" fontId="0" fillId="7" borderId="3" xfId="0" applyFont="1" applyFill="1" applyBorder="1" applyAlignment="1">
      <alignment horizontal="center" vertical="center"/>
    </xf>
    <xf numFmtId="0" fontId="0" fillId="7" borderId="2" xfId="0" applyFont="1" applyFill="1" applyBorder="1" applyAlignment="1">
      <alignment horizontal="center" vertical="center"/>
    </xf>
    <xf numFmtId="0" fontId="6" fillId="2" borderId="4" xfId="0" applyFont="1" applyFill="1" applyBorder="1" applyAlignment="1" applyProtection="1">
      <alignment horizontal="center" vertical="center" wrapText="1"/>
      <protection locked="0"/>
    </xf>
    <xf numFmtId="0" fontId="6" fillId="2" borderId="17" xfId="0" applyFont="1" applyFill="1" applyBorder="1" applyAlignment="1" applyProtection="1">
      <alignment horizontal="center" vertical="center"/>
      <protection locked="0"/>
    </xf>
    <xf numFmtId="0" fontId="6" fillId="2" borderId="9" xfId="0" applyFont="1" applyFill="1" applyBorder="1" applyAlignment="1" applyProtection="1">
      <alignment horizontal="center" vertical="center"/>
      <protection locked="0"/>
    </xf>
    <xf numFmtId="0" fontId="5" fillId="10" borderId="6" xfId="0" applyFont="1" applyFill="1" applyBorder="1" applyAlignment="1" applyProtection="1">
      <alignment horizontal="center" vertical="center"/>
    </xf>
    <xf numFmtId="0" fontId="5" fillId="10" borderId="7" xfId="0" applyFont="1" applyFill="1" applyBorder="1" applyAlignment="1" applyProtection="1">
      <alignment horizontal="center" vertical="center"/>
    </xf>
    <xf numFmtId="0" fontId="5" fillId="10" borderId="8" xfId="0" applyFont="1" applyFill="1" applyBorder="1" applyAlignment="1" applyProtection="1">
      <alignment horizontal="center" vertical="center"/>
    </xf>
    <xf numFmtId="0" fontId="0" fillId="0" borderId="0" xfId="0" applyFont="1" applyBorder="1" applyAlignment="1" applyProtection="1">
      <alignment horizontal="left" vertical="center"/>
    </xf>
    <xf numFmtId="0" fontId="3" fillId="0" borderId="0" xfId="0" applyFont="1" applyBorder="1" applyAlignment="1" applyProtection="1">
      <alignment horizontal="center" vertical="center"/>
    </xf>
    <xf numFmtId="0" fontId="0" fillId="0" borderId="0" xfId="0" applyAlignment="1" applyProtection="1">
      <alignment horizontal="left" vertical="center"/>
    </xf>
    <xf numFmtId="0" fontId="7" fillId="4" borderId="0" xfId="0" applyFont="1" applyFill="1" applyAlignment="1">
      <alignment horizontal="center" vertical="center"/>
    </xf>
    <xf numFmtId="0" fontId="7" fillId="5" borderId="0" xfId="0" applyFont="1" applyFill="1" applyBorder="1" applyAlignment="1">
      <alignment horizontal="center" vertical="center"/>
    </xf>
    <xf numFmtId="0" fontId="7" fillId="7" borderId="0" xfId="0" applyFont="1" applyFill="1" applyBorder="1" applyAlignment="1">
      <alignment horizontal="center" vertical="center"/>
    </xf>
    <xf numFmtId="0" fontId="7" fillId="6" borderId="28" xfId="0" applyFont="1" applyFill="1" applyBorder="1" applyAlignment="1">
      <alignment horizontal="center" vertical="center"/>
    </xf>
    <xf numFmtId="167" fontId="6" fillId="2" borderId="2" xfId="0" applyNumberFormat="1" applyFont="1" applyFill="1" applyBorder="1" applyAlignment="1" applyProtection="1">
      <alignment horizontal="center" vertical="center"/>
      <protection locked="0"/>
    </xf>
    <xf numFmtId="0" fontId="0" fillId="0" borderId="16" xfId="0" applyBorder="1" applyAlignment="1" applyProtection="1">
      <alignment horizontal="center" vertical="center"/>
    </xf>
    <xf numFmtId="0" fontId="18" fillId="0" borderId="0" xfId="0" applyFont="1">
      <alignment horizontal="left" vertical="center"/>
    </xf>
    <xf numFmtId="0" fontId="0" fillId="0" borderId="0" xfId="0" applyNumberFormat="1">
      <alignment horizontal="left" vertical="center"/>
    </xf>
  </cellXfs>
  <cellStyles count="12">
    <cellStyle name="Excel Built-in Normal" xfId="4"/>
    <cellStyle name="Lien hypertexte" xfId="11" builtinId="8"/>
    <cellStyle name="Normal" xfId="0" builtinId="0"/>
    <cellStyle name="Normal 2" xfId="5"/>
    <cellStyle name="Normal 2 2" xfId="6"/>
    <cellStyle name="Normal 2 3" xfId="2"/>
    <cellStyle name="Normal 3" xfId="7"/>
    <cellStyle name="Normal 4" xfId="8"/>
    <cellStyle name="Normal 5" xfId="9"/>
    <cellStyle name="Normal 6" xfId="3"/>
    <cellStyle name="Normal 7" xfId="10"/>
    <cellStyle name="Texte explicatif" xfId="1" builtinId="53" customBuiltin="1"/>
  </cellStyles>
  <dxfs count="710">
    <dxf>
      <numFmt numFmtId="0" formatCode="General"/>
    </dxf>
    <dxf>
      <numFmt numFmtId="0" formatCode="General"/>
    </dxf>
    <dxf>
      <numFmt numFmtId="0" formatCode="General"/>
    </dxf>
    <dxf>
      <numFmt numFmtId="0" formatCode="General"/>
    </dxf>
    <dxf>
      <numFmt numFmtId="0" formatCode="General"/>
    </dxf>
    <dxf>
      <numFmt numFmtId="0" formatCode="Genera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color rgb="FF000000"/>
        <name val="Calibri"/>
      </font>
    </dxf>
    <dxf>
      <font>
        <color rgb="FF000000"/>
        <name val="Calibri"/>
      </font>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color rgb="FF000000"/>
        <name val="Calibri"/>
      </font>
    </dxf>
    <dxf>
      <font>
        <color rgb="FF000000"/>
        <name val="Calibri"/>
      </font>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color rgb="FF000000"/>
        <name val="Calibri"/>
      </font>
    </dxf>
    <dxf>
      <font>
        <color rgb="FF000000"/>
        <name val="Calibri"/>
      </font>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color rgb="FF000000"/>
        <name val="Calibri"/>
      </font>
    </dxf>
    <dxf>
      <font>
        <color rgb="FF000000"/>
        <name val="Calibri"/>
      </font>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theme="5" tint="0.59996337778862885"/>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rgb="FFFFFD78"/>
        </patternFill>
      </fill>
    </dxf>
    <dxf>
      <font>
        <color theme="1"/>
      </font>
      <fill>
        <patternFill>
          <bgColor rgb="FF76D6FF"/>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color rgb="FF000000"/>
        <name val="Calibri"/>
      </font>
    </dxf>
    <dxf>
      <font>
        <color rgb="FF000000"/>
        <name val="Calibri"/>
      </font>
    </dxf>
    <dxf>
      <font>
        <color theme="1"/>
      </font>
      <fill>
        <patternFill>
          <bgColor theme="5" tint="0.59996337778862885"/>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font>
        <color theme="1"/>
      </font>
      <fill>
        <patternFill>
          <bgColor rgb="FFFFFD78"/>
        </patternFill>
      </fill>
    </dxf>
    <dxf>
      <font>
        <color theme="1"/>
      </font>
      <fill>
        <patternFill>
          <bgColor rgb="FF76D6FF"/>
        </patternFill>
      </fill>
    </dxf>
    <dxf>
      <font>
        <color theme="1"/>
      </font>
      <fill>
        <patternFill>
          <bgColor theme="5" tint="0.59996337778862885"/>
        </patternFill>
      </fill>
    </dxf>
    <dxf>
      <font>
        <color theme="1"/>
      </font>
      <fill>
        <patternFill>
          <bgColor rgb="FFFFFD78"/>
        </patternFill>
      </fill>
    </dxf>
    <dxf>
      <font>
        <color theme="1"/>
      </font>
      <fill>
        <patternFill>
          <bgColor rgb="FF76D6FF"/>
        </patternFill>
      </fill>
    </dxf>
    <dxf>
      <font>
        <color rgb="FF000000"/>
        <name val="Calibri"/>
      </font>
    </dxf>
    <dxf>
      <font>
        <color theme="1"/>
      </font>
      <fill>
        <patternFill>
          <bgColor rgb="FFFF7E79"/>
        </patternFill>
      </fill>
    </dxf>
    <dxf>
      <font>
        <color rgb="FF000000"/>
      </font>
      <fill>
        <patternFill>
          <bgColor rgb="FFDE7566"/>
        </patternFill>
      </fill>
    </dxf>
    <dxf>
      <font>
        <color rgb="FF000000"/>
      </font>
      <fill>
        <patternFill>
          <bgColor rgb="FFF5CDAC"/>
        </patternFill>
      </fill>
    </dxf>
    <dxf>
      <font>
        <color rgb="FF000000"/>
      </font>
      <fill>
        <patternFill>
          <bgColor rgb="FFC3D09E"/>
        </patternFill>
      </fill>
    </dxf>
    <dxf>
      <font>
        <color rgb="FF000000"/>
      </font>
      <fill>
        <patternFill>
          <bgColor rgb="FFFFE085"/>
        </patternFill>
      </fill>
    </dxf>
    <dxf>
      <font>
        <color rgb="FF000000"/>
      </font>
      <fill>
        <patternFill>
          <bgColor rgb="FFB8C2DF"/>
        </patternFill>
      </fill>
    </dxf>
    <dxf>
      <font>
        <b/>
        <i val="0"/>
        <color theme="0"/>
      </font>
      <fill>
        <patternFill>
          <bgColor rgb="FF76D6FF"/>
        </patternFill>
      </fill>
    </dxf>
    <dxf>
      <font>
        <color rgb="FF9C0006"/>
      </font>
      <fill>
        <patternFill>
          <bgColor rgb="FFD883FF"/>
        </patternFill>
      </fill>
    </dxf>
    <dxf>
      <font>
        <b/>
        <i val="0"/>
        <color theme="0"/>
      </font>
      <fill>
        <patternFill>
          <bgColor rgb="FF76D6FF"/>
        </patternFill>
      </fill>
    </dxf>
    <dxf>
      <numFmt numFmtId="2" formatCode="0.00"/>
      <alignment horizontal="center" vertical="center" textRotation="0" wrapText="0" indent="0" justifyLastLine="0" shrinkToFit="0" readingOrder="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alignment horizontal="center" vertical="center" textRotation="0" indent="0" justifyLastLine="0" shrinkToFit="0"/>
    </dxf>
    <dxf>
      <font>
        <b val="0"/>
        <i val="0"/>
        <strike val="0"/>
        <condense val="0"/>
        <extend val="0"/>
        <outline val="0"/>
        <shadow val="0"/>
        <u val="none"/>
        <vertAlign val="baseline"/>
        <sz val="11"/>
        <color rgb="FF000000"/>
        <name val="Calibri"/>
        <scheme val="none"/>
      </font>
      <numFmt numFmtId="0" formatCode="General"/>
      <alignment horizontal="center" vertical="center" textRotation="0" indent="0" justifyLastLine="0" shrinkToFit="0"/>
      <border diagonalUp="0" diagonalDown="0">
        <left style="thin">
          <color indexed="64"/>
        </left>
        <right/>
        <top style="thin">
          <color indexed="64"/>
        </top>
        <bottom style="thin">
          <color indexed="64"/>
        </bottom>
        <vertical style="thin">
          <color indexed="64"/>
        </vertical>
        <horizontal style="thin">
          <color indexed="64"/>
        </horizontal>
      </border>
    </dxf>
    <dxf>
      <alignment horizontal="center" vertical="center" textRotation="0" indent="0" justifyLastLine="0" shrinkToFit="0"/>
      <border diagonalUp="0" diagonalDown="0">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indent="0" justifyLastLine="0" shrinkToFit="0"/>
    </dxf>
    <dxf>
      <alignment horizontal="center" vertical="center" textRotation="0" indent="0" justifyLastLine="0" shrinkToFit="0"/>
      <border diagonalUp="0" diagonalDown="0">
        <left style="thin">
          <color indexed="64"/>
        </left>
        <right style="thin">
          <color indexed="64"/>
        </right>
        <top/>
        <bottom/>
        <vertical style="thin">
          <color indexed="64"/>
        </vertical>
        <horizontal style="thin">
          <color indexed="64"/>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font>
        <b val="0"/>
        <i val="0"/>
        <strike val="0"/>
        <condense val="0"/>
        <extend val="0"/>
        <outline val="0"/>
        <shadow val="0"/>
        <u val="none"/>
        <vertAlign val="baseline"/>
        <sz val="11"/>
        <color rgb="FF000000"/>
        <name val="Calibri"/>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border diagonalUp="0" diagonalDown="0">
        <left style="thin">
          <color auto="1"/>
        </left>
        <right style="medium">
          <color indexed="64"/>
        </right>
        <top style="thin">
          <color auto="1"/>
        </top>
        <bottom style="thin">
          <color auto="1"/>
        </bottom>
        <vertical style="thin">
          <color auto="1"/>
        </vertical>
        <horizontal style="thin">
          <color auto="1"/>
        </horizontal>
      </border>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indexed="64"/>
        </left>
        <right style="thin">
          <color auto="1"/>
        </right>
        <top style="thin">
          <color auto="1"/>
        </top>
        <bottom style="thin">
          <color auto="1"/>
        </bottom>
        <vertical style="thin">
          <color auto="1"/>
        </vertical>
        <horizontal style="thin">
          <color auto="1"/>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font>
        <b val="0"/>
        <i val="0"/>
        <strike val="0"/>
        <condense val="0"/>
        <extend val="0"/>
        <outline val="0"/>
        <shadow val="0"/>
        <u val="none"/>
        <vertAlign val="baseline"/>
        <sz val="11"/>
        <color rgb="FF000000"/>
        <name val="Calibri"/>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font>
        <b val="0"/>
        <i val="0"/>
        <strike val="0"/>
        <condense val="0"/>
        <extend val="0"/>
        <outline val="0"/>
        <shadow val="0"/>
        <u val="none"/>
        <vertAlign val="baseline"/>
        <sz val="11"/>
        <color rgb="FF000000"/>
        <name val="Calibri"/>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font>
        <b val="0"/>
        <i val="0"/>
        <strike val="0"/>
        <condense val="0"/>
        <extend val="0"/>
        <outline val="0"/>
        <shadow val="0"/>
        <u val="none"/>
        <vertAlign val="baseline"/>
        <sz val="11"/>
        <color rgb="FF000000"/>
        <name val="Calibri"/>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alignment horizontal="center" vertical="center" textRotation="0" wrapText="0" indent="0" justifyLastLine="0" shrinkToFit="0"/>
      <border diagonalUp="0" diagonalDown="0">
        <left style="thin">
          <color auto="1"/>
        </left>
        <right style="thin">
          <color auto="1"/>
        </right>
        <top style="thin">
          <color auto="1"/>
        </top>
        <bottom style="thin">
          <color auto="1"/>
        </bottom>
        <vertical/>
        <horizontal/>
      </border>
      <protection locked="1" hidden="0"/>
    </dxf>
    <dxf>
      <numFmt numFmtId="167" formatCode="0.0"/>
      <fill>
        <patternFill patternType="solid">
          <fgColor rgb="FFF1F2E8"/>
          <bgColor rgb="FFFFFFFF"/>
        </patternFill>
      </fill>
      <border diagonalUp="0" diagonalDown="0">
        <left/>
        <right style="thin">
          <color auto="1"/>
        </right>
        <top style="thin">
          <color auto="1"/>
        </top>
        <bottom style="thin">
          <color auto="1"/>
        </bottom>
        <vertical/>
        <horizontal/>
      </border>
      <protection locked="1" hidden="0"/>
    </dxf>
    <dxf>
      <border diagonalUp="0" diagonalDown="0">
        <left style="thin">
          <color auto="1"/>
        </left>
        <right style="medium">
          <color indexed="64"/>
        </right>
        <top style="thin">
          <color auto="1"/>
        </top>
        <bottom style="thin">
          <color auto="1"/>
        </bottom>
        <vertical style="thin">
          <color auto="1"/>
        </vertical>
        <horizontal style="thin">
          <color auto="1"/>
        </horizontal>
      </border>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indexed="64"/>
        </left>
        <right style="thin">
          <color auto="1"/>
        </right>
        <top style="thin">
          <color auto="1"/>
        </top>
        <bottom style="thin">
          <color auto="1"/>
        </bottom>
        <vertical style="thin">
          <color auto="1"/>
        </vertical>
        <horizontal style="thin">
          <color auto="1"/>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2" formatCode="0.00"/>
    </dxf>
    <dxf>
      <numFmt numFmtId="0" formatCode="General"/>
    </dxf>
    <dxf>
      <numFmt numFmtId="0" formatCode="General"/>
    </dxf>
    <dxf>
      <numFmt numFmtId="167" formatCode="0.0"/>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7" formatCode="0.0"/>
    </dxf>
    <dxf>
      <border diagonalUp="0" diagonalDown="0">
        <left style="thin">
          <color auto="1"/>
        </left>
        <right style="medium">
          <color indexed="64"/>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alignment horizontal="center" vertical="center" textRotation="0" wrapText="0" indent="0" justifyLastLine="0" shrinkToFit="0"/>
      <border diagonalUp="0" diagonalDown="0">
        <left style="thin">
          <color auto="1"/>
        </left>
        <right style="thin">
          <color auto="1"/>
        </right>
        <top style="thin">
          <color auto="1"/>
        </top>
        <bottom style="thin">
          <color auto="1"/>
        </bottom>
        <vertical style="thin">
          <color auto="1"/>
        </vertical>
        <horizontal style="thin">
          <color auto="1"/>
        </horizontal>
      </border>
    </dxf>
    <dxf>
      <numFmt numFmtId="0" formatCode="General"/>
      <alignment horizontal="center" vertical="center" textRotation="0" wrapText="0" indent="0" justifyLastLine="0" shrinkToFit="0"/>
      <border diagonalUp="0" diagonalDown="0">
        <left style="medium">
          <color indexed="64"/>
        </left>
        <right style="thin">
          <color auto="1"/>
        </right>
        <top style="thin">
          <color auto="1"/>
        </top>
        <bottom style="thin">
          <color auto="1"/>
        </bottom>
        <vertical style="thin">
          <color auto="1"/>
        </vertical>
        <horizontal style="thin">
          <color auto="1"/>
        </horizontal>
      </border>
    </dxf>
    <dxf>
      <numFmt numFmtId="0" formatCode="General"/>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2" formatCode="0.00"/>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7" formatCode="0.0"/>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7" formatCode="0.0"/>
      <alignment horizontal="center" vertical="center" textRotation="0" wrapText="0" indent="0" justifyLastLine="0" shrinkToFit="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indexed="64"/>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indexed="64"/>
        </left>
        <right style="thin">
          <color auto="1"/>
        </right>
        <top style="thin">
          <color auto="1"/>
        </top>
        <bottom style="thin">
          <color auto="1"/>
        </bottom>
        <vertical style="thin">
          <color auto="1"/>
        </vertical>
        <horizontal style="thin">
          <color auto="1"/>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2" formatCode="0.00"/>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numFmt numFmtId="0" formatCode="Genera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numFmt numFmtId="167" formatCode="0.0"/>
    </dxf>
    <dxf>
      <numFmt numFmtId="167" formatCode="0.0"/>
      <border>
        <left style="thin">
          <color auto="1"/>
        </left>
      </border>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medium">
          <color indexed="64"/>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ont>
        <strike val="0"/>
        <outline val="0"/>
        <shadow val="0"/>
        <u val="none"/>
        <vertAlign val="baseline"/>
        <sz val="11"/>
        <color auto="1"/>
        <name val="Calibri"/>
        <scheme val="none"/>
      </font>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style="thin">
          <color auto="1"/>
        </vertical>
        <horizontal style="thin">
          <color auto="1"/>
        </horizontal>
      </border>
      <protection locked="1" hidden="0"/>
    </dxf>
    <dxf>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medium">
          <color indexed="64"/>
        </left>
        <right style="thin">
          <color auto="1"/>
        </right>
        <top style="thin">
          <color auto="1"/>
        </top>
        <bottom style="thin">
          <color auto="1"/>
        </bottom>
        <vertical style="thin">
          <color auto="1"/>
        </vertical>
        <horizontal style="thin">
          <color auto="1"/>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protection locked="1" hidden="0"/>
    </dxf>
    <dxf>
      <font>
        <sz val="10"/>
        <color indexed="12"/>
        <name val="MS Sans Serif"/>
      </font>
      <numFmt numFmtId="30" formatCode="@"/>
      <fill>
        <patternFill patternType="solid">
          <fgColor indexed="64"/>
          <bgColor rgb="FFFFC000"/>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s>
  <tableStyles count="0" defaultTableStyle="TableStyleMedium9" defaultPivotStyle="PivotStyleMedium7"/>
  <colors>
    <indexedColors>
      <rgbColor rgb="FF000000"/>
      <rgbColor rgb="FFFFFFFF"/>
      <rgbColor rgb="FFFF0000"/>
      <rgbColor rgb="FF00FF00"/>
      <rgbColor rgb="FF0000FF"/>
      <rgbColor rgb="FFFFFF00"/>
      <rgbColor rgb="FFFF00FF"/>
      <rgbColor rgb="FF00FFFF"/>
      <rgbColor rgb="FF6E2315"/>
      <rgbColor rgb="FF008000"/>
      <rgbColor rgb="FF000080"/>
      <rgbColor rgb="FF808000"/>
      <rgbColor rgb="FF800080"/>
      <rgbColor rgb="FF008080"/>
      <rgbColor rgb="FFB8C2DF"/>
      <rgbColor rgb="FFAD7FA8"/>
      <rgbColor rgb="FF95A3CF"/>
      <rgbColor rgb="FF993366"/>
      <rgbColor rgb="FFFFF0C2"/>
      <rgbColor rgb="FFF1F2E8"/>
      <rgbColor rgb="FF4B180E"/>
      <rgbColor rgb="FFDE7566"/>
      <rgbColor rgb="FF0066CC"/>
      <rgbColor rgb="FFD3D7CF"/>
      <rgbColor rgb="FF000080"/>
      <rgbColor rgb="FFFF00FF"/>
      <rgbColor rgb="FFFFFF00"/>
      <rgbColor rgb="FF00FFFF"/>
      <rgbColor rgb="FF800080"/>
      <rgbColor rgb="FF531A12"/>
      <rgbColor rgb="FF008080"/>
      <rgbColor rgb="FF0000FF"/>
      <rgbColor rgb="FF00CCFF"/>
      <rgbColor rgb="FFCCFFFF"/>
      <rgbColor rgb="FFDFE1CA"/>
      <rgbColor rgb="FFFFE085"/>
      <rgbColor rgb="FFC3D09E"/>
      <rgbColor rgb="FFFF99CC"/>
      <rgbColor rgb="FFC3C79C"/>
      <rgbColor rgb="FFF5CDAC"/>
      <rgbColor rgb="FF3366FF"/>
      <rgbColor rgb="FF33CCCC"/>
      <rgbColor rgb="FF8AE234"/>
      <rgbColor rgb="FFE9B96E"/>
      <rgbColor rgb="FFFF9900"/>
      <rgbColor rgb="FFFF6600"/>
      <rgbColor rgb="FF666699"/>
      <rgbColor rgb="FF919756"/>
      <rgbColor rgb="FF003366"/>
      <rgbColor rgb="FF339966"/>
      <rgbColor rgb="FF003300"/>
      <rgbColor rgb="FF1D1E11"/>
      <rgbColor rgb="FF7C271A"/>
      <rgbColor rgb="FF993366"/>
      <rgbColor rgb="FF333399"/>
      <rgbColor rgb="FF484C2B"/>
      <rgbColor rgb="00003366"/>
      <rgbColor rgb="00339966"/>
      <rgbColor rgb="00003300"/>
      <rgbColor rgb="00333300"/>
      <rgbColor rgb="00993300"/>
      <rgbColor rgb="00993366"/>
      <rgbColor rgb="00333399"/>
      <rgbColor rgb="00333333"/>
    </indexedColors>
    <mruColors>
      <color rgb="FFD883FF"/>
      <color rgb="FF76D6FF"/>
      <color rgb="FF521B93"/>
      <color rgb="FFFFFD78"/>
      <color rgb="FFFF7E79"/>
      <color rgb="FFFF85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theme" Target="theme/theme1.xml"/><Relationship Id="rId21" Type="http://schemas.openxmlformats.org/officeDocument/2006/relationships/styles" Target="styles.xml"/><Relationship Id="rId22" Type="http://schemas.openxmlformats.org/officeDocument/2006/relationships/sharedStrings" Target="sharedStrings.xml"/><Relationship Id="rId23" Type="http://schemas.openxmlformats.org/officeDocument/2006/relationships/calcChain" Target="calcChain.xml"/><Relationship Id="rId24" Type="http://schemas.microsoft.com/office/2006/relationships/vbaProject" Target="vbaProject.bin"/><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externalLink" Target="externalLinks/externalLink1.xml"/><Relationship Id="rId18" Type="http://schemas.openxmlformats.org/officeDocument/2006/relationships/externalLink" Target="externalLinks/externalLink2.xml"/><Relationship Id="rId19" Type="http://schemas.openxmlformats.org/officeDocument/2006/relationships/externalLink" Target="externalLinks/externalLink3.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rvisierchristophe/Library/Containers/com.microsoft.Excel/Data/Library/Preferences/AutoRecovery/Calendrier%20des%20Conge&#769;s%20et%20Absences%202018-V1%20(version%201).xlsb"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llecte%20Se&#769;lective%20V1.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rvisierchristophe/Desktop/Pointage%20Index-Equiv/Planning-Mensuel-et-Individuel-Agents-CS-V8.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lobal"/>
      <sheetName val="JFérié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Feuil1"/>
      <sheetName val="Calendrier des Congés et Absen"/>
    </sheetNames>
    <sheetDataSet>
      <sheetData sheetId="0">
        <row r="2">
          <cell r="H2" t="str">
            <v>DC</v>
          </cell>
        </row>
        <row r="3">
          <cell r="C3">
            <v>2018</v>
          </cell>
        </row>
      </sheetData>
      <sheetData sheetId="1"/>
      <sheetData sheetId="2">
        <row r="1">
          <cell r="C1" t="str">
            <v>Calendrier des absences des employés</v>
          </cell>
        </row>
        <row r="2">
          <cell r="E2" t="str">
            <v>C</v>
          </cell>
          <cell r="H2" t="str">
            <v>RTT</v>
          </cell>
          <cell r="L2" t="str">
            <v>dRTT</v>
          </cell>
          <cell r="P2" t="str">
            <v>R</v>
          </cell>
          <cell r="S2" t="str">
            <v>M</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de Travail Mensuelle"/>
      <sheetName val="CPL"/>
      <sheetName val="RIPPEURS"/>
      <sheetName val="Pointage"/>
      <sheetName val="JFériés"/>
    </sheetNames>
    <sheetDataSet>
      <sheetData sheetId="0" refreshError="1"/>
      <sheetData sheetId="1">
        <row r="3">
          <cell r="A3" t="str">
            <v>ABSENT</v>
          </cell>
        </row>
        <row r="4">
          <cell r="A4" t="str">
            <v>AT</v>
          </cell>
        </row>
        <row r="5">
          <cell r="A5" t="str">
            <v>AUTRE COP</v>
          </cell>
        </row>
        <row r="6">
          <cell r="A6" t="str">
            <v>B. CARTON</v>
          </cell>
        </row>
        <row r="7">
          <cell r="A7" t="str">
            <v>Congés</v>
          </cell>
        </row>
        <row r="8">
          <cell r="A8" t="str">
            <v>Congés AM</v>
          </cell>
        </row>
        <row r="9">
          <cell r="A9" t="str">
            <v>Congés Matin</v>
          </cell>
        </row>
        <row r="10">
          <cell r="A10" t="str">
            <v>ENC MATIN 5H-12H</v>
          </cell>
        </row>
        <row r="11">
          <cell r="A11" t="str">
            <v>FORMATION</v>
          </cell>
        </row>
        <row r="12">
          <cell r="A12" t="str">
            <v>HS CP 4H-7H</v>
          </cell>
        </row>
        <row r="13">
          <cell r="A13" t="str">
            <v>HS POLY 7H-12H / 14H-18H</v>
          </cell>
        </row>
        <row r="14">
          <cell r="A14" t="str">
            <v>HS presta. Except</v>
          </cell>
        </row>
        <row r="15">
          <cell r="A15" t="str">
            <v>Maladie</v>
          </cell>
        </row>
        <row r="16">
          <cell r="A16" t="str">
            <v>MOUVEMENT</v>
          </cell>
        </row>
        <row r="17">
          <cell r="A17" t="str">
            <v>POLY 12H-18H</v>
          </cell>
        </row>
        <row r="18">
          <cell r="A18" t="str">
            <v>POLY 12H-19H</v>
          </cell>
        </row>
        <row r="19">
          <cell r="A19" t="str">
            <v>POLY 4H-12H + CP</v>
          </cell>
        </row>
        <row r="20">
          <cell r="A20" t="str">
            <v>POLY 5H-12H</v>
          </cell>
        </row>
        <row r="21">
          <cell r="A21" t="str">
            <v>POLY 7H-12H</v>
          </cell>
        </row>
        <row r="22">
          <cell r="A22" t="str">
            <v>POLY 7H-12H / 14H-18H</v>
          </cell>
        </row>
        <row r="23">
          <cell r="A23" t="str">
            <v>POLY 7H-12H + CP</v>
          </cell>
        </row>
        <row r="24">
          <cell r="A24" t="str">
            <v>POLY 7H-14H</v>
          </cell>
        </row>
        <row r="25">
          <cell r="A25" t="str">
            <v>POLY 9H-16H</v>
          </cell>
        </row>
        <row r="26">
          <cell r="A26" t="str">
            <v>RECUP CREDIT</v>
          </cell>
        </row>
        <row r="27">
          <cell r="A27" t="str">
            <v>RECUP DEBIT</v>
          </cell>
        </row>
        <row r="28">
          <cell r="A28" t="str">
            <v>REPOS</v>
          </cell>
        </row>
        <row r="29">
          <cell r="A29" t="str">
            <v>RTT</v>
          </cell>
        </row>
        <row r="30">
          <cell r="A30" t="str">
            <v>RTT AM</v>
          </cell>
        </row>
        <row r="31">
          <cell r="A31" t="str">
            <v>RTT Matin</v>
          </cell>
        </row>
      </sheetData>
      <sheetData sheetId="2">
        <row r="4">
          <cell r="A4" t="str">
            <v>AT</v>
          </cell>
        </row>
        <row r="5">
          <cell r="A5" t="str">
            <v>AUTRE COP</v>
          </cell>
        </row>
        <row r="6">
          <cell r="A6" t="str">
            <v>B. CARTON</v>
          </cell>
        </row>
        <row r="7">
          <cell r="A7" t="str">
            <v>CARTON 8H30-12H / 13H-16H30</v>
          </cell>
        </row>
        <row r="8">
          <cell r="A8" t="str">
            <v>CARTON AP</v>
          </cell>
        </row>
        <row r="9">
          <cell r="A9" t="str">
            <v>CARTON MATIN</v>
          </cell>
        </row>
        <row r="10">
          <cell r="A10" t="str">
            <v>Congés</v>
          </cell>
        </row>
        <row r="11">
          <cell r="A11" t="str">
            <v>Congés AM</v>
          </cell>
        </row>
        <row r="12">
          <cell r="A12" t="str">
            <v>Congés Matin</v>
          </cell>
        </row>
        <row r="13">
          <cell r="A13" t="str">
            <v>ENC AM 12H30-19H30</v>
          </cell>
        </row>
        <row r="14">
          <cell r="A14" t="str">
            <v>ENC AM DIM</v>
          </cell>
        </row>
        <row r="15">
          <cell r="A15" t="str">
            <v>ENC MATIN 5H-12H</v>
          </cell>
        </row>
        <row r="16">
          <cell r="A16" t="str">
            <v>ENC MATIN DIM</v>
          </cell>
        </row>
        <row r="17">
          <cell r="A17" t="str">
            <v>ENC NUIT 20H30-03H30</v>
          </cell>
        </row>
        <row r="18">
          <cell r="A18" t="str">
            <v>FORMATION</v>
          </cell>
        </row>
        <row r="19">
          <cell r="A19" t="str">
            <v>FORMATION AM</v>
          </cell>
        </row>
        <row r="20">
          <cell r="A20" t="str">
            <v>FORMATION MATIN</v>
          </cell>
        </row>
        <row r="21">
          <cell r="A21" t="str">
            <v>HS CARTON 8H30-12H / 13H-16H30</v>
          </cell>
        </row>
        <row r="22">
          <cell r="A22" t="str">
            <v>HS ENC AM</v>
          </cell>
        </row>
        <row r="23">
          <cell r="A23" t="str">
            <v>HS ENC AM DIM</v>
          </cell>
        </row>
        <row r="24">
          <cell r="A24" t="str">
            <v>HS ENC MATIN</v>
          </cell>
        </row>
        <row r="25">
          <cell r="A25" t="str">
            <v>HS ENC Matin DIM</v>
          </cell>
        </row>
        <row r="26">
          <cell r="A26" t="str">
            <v>HS NICE EST</v>
          </cell>
        </row>
        <row r="27">
          <cell r="A27" t="str">
            <v>HS NICE NORD</v>
          </cell>
        </row>
        <row r="28">
          <cell r="A28" t="str">
            <v>HS NICE OUEST</v>
          </cell>
        </row>
        <row r="29">
          <cell r="A29" t="str">
            <v>HS presta. Except</v>
          </cell>
        </row>
        <row r="30">
          <cell r="A30" t="str">
            <v>Maladie</v>
          </cell>
        </row>
        <row r="31">
          <cell r="A31" t="str">
            <v>MI-TEMPS NICE EST</v>
          </cell>
        </row>
        <row r="32">
          <cell r="A32" t="str">
            <v>MI-TEMPS REPOS</v>
          </cell>
        </row>
        <row r="33">
          <cell r="A33" t="str">
            <v>NICE EST</v>
          </cell>
        </row>
        <row r="34">
          <cell r="A34" t="str">
            <v>NICE EST &amp; VIEUX NICE</v>
          </cell>
        </row>
        <row r="35">
          <cell r="A35" t="str">
            <v>NICE EST DIM</v>
          </cell>
        </row>
        <row r="36">
          <cell r="A36" t="str">
            <v>NICE NORD</v>
          </cell>
        </row>
        <row r="37">
          <cell r="A37" t="str">
            <v>NICE NORD &amp; VIEUX NICE</v>
          </cell>
        </row>
        <row r="38">
          <cell r="A38" t="str">
            <v>NICE NORD DIM</v>
          </cell>
        </row>
        <row r="39">
          <cell r="A39" t="str">
            <v>NICE OUEST</v>
          </cell>
        </row>
        <row r="40">
          <cell r="A40" t="str">
            <v>NICE OUEST &amp; VIEUX NICE</v>
          </cell>
        </row>
        <row r="41">
          <cell r="A41" t="str">
            <v>NICE OUEST DIM</v>
          </cell>
        </row>
        <row r="42">
          <cell r="A42" t="str">
            <v>RECUP CREDIT</v>
          </cell>
        </row>
        <row r="43">
          <cell r="A43" t="str">
            <v>RECUP DEBIT</v>
          </cell>
        </row>
        <row r="44">
          <cell r="A44" t="str">
            <v>REPOS</v>
          </cell>
        </row>
        <row r="45">
          <cell r="A45" t="str">
            <v>RTT</v>
          </cell>
        </row>
        <row r="46">
          <cell r="A46" t="str">
            <v>RTT AM</v>
          </cell>
        </row>
        <row r="47">
          <cell r="A47" t="str">
            <v>RTT Matin</v>
          </cell>
        </row>
        <row r="48">
          <cell r="A48" t="str">
            <v>V.N AM DIM</v>
          </cell>
        </row>
        <row r="49">
          <cell r="A49" t="str">
            <v>V.N Matin DIM</v>
          </cell>
        </row>
      </sheetData>
      <sheetData sheetId="3">
        <row r="2">
          <cell r="J2" t="str">
            <v>REPOS</v>
          </cell>
          <cell r="K2" t="str">
            <v>ENC MATIN 5H-12H</v>
          </cell>
          <cell r="L2" t="str">
            <v>ENC MATIN 5H-12H</v>
          </cell>
          <cell r="M2" t="str">
            <v>ENC MATIN 5H-12H</v>
          </cell>
          <cell r="N2" t="str">
            <v>ENC MATIN 5H-12H</v>
          </cell>
          <cell r="O2" t="str">
            <v>REPOS</v>
          </cell>
          <cell r="P2" t="str">
            <v>HS presta. Except | 7:00-12:00</v>
          </cell>
          <cell r="Q2" t="str">
            <v>NICE OUEST</v>
          </cell>
          <cell r="R2" t="str">
            <v>NICE OUEST</v>
          </cell>
          <cell r="S2" t="str">
            <v>REPOS</v>
          </cell>
          <cell r="T2" t="str">
            <v>CARTON MATIN</v>
          </cell>
          <cell r="U2" t="str">
            <v>ENC MATIN 5H-12H</v>
          </cell>
          <cell r="V2" t="str">
            <v>NICE OUEST</v>
          </cell>
          <cell r="W2" t="str">
            <v>REPOS</v>
          </cell>
          <cell r="X2" t="str">
            <v>ENC NUIT 20H30-02H30</v>
          </cell>
          <cell r="Y2" t="str">
            <v>ENC NUIT 20H30-02H30</v>
          </cell>
          <cell r="Z2" t="str">
            <v>ENC NUIT 20H30-02H30</v>
          </cell>
          <cell r="AA2" t="str">
            <v>ENC NUIT 20H30-02H30</v>
          </cell>
          <cell r="AB2" t="str">
            <v>ENC NUIT 20H30-02H30</v>
          </cell>
          <cell r="AC2" t="str">
            <v>REPOS</v>
          </cell>
          <cell r="AD2" t="str">
            <v>V.N Matin DIM</v>
          </cell>
          <cell r="AE2" t="str">
            <v>ENC NUIT 20H30-03H30</v>
          </cell>
          <cell r="AF2" t="str">
            <v>ENC NUIT 20H30-03H30</v>
          </cell>
          <cell r="AG2" t="str">
            <v>ENC NUIT 20H30-03H30</v>
          </cell>
          <cell r="AH2" t="str">
            <v>ENC NUIT 20H30-03H30</v>
          </cell>
          <cell r="AI2" t="str">
            <v>ENC NUIT 20H30-03H30</v>
          </cell>
          <cell r="AJ2" t="str">
            <v>REPOS</v>
          </cell>
          <cell r="AK2" t="str">
            <v>NICE EST DIM</v>
          </cell>
          <cell r="AL2" t="str">
            <v>ENC NUIT 20H30-03H30</v>
          </cell>
          <cell r="AM2" t="str">
            <v>ENC NUIT 20H30-03H30</v>
          </cell>
          <cell r="AN2" t="str">
            <v>ENC NUIT 20H30-03H30</v>
          </cell>
          <cell r="AO2" t="str">
            <v>ENC NUIT 20H30-03H30</v>
          </cell>
          <cell r="AP2" t="str">
            <v>ENC NUIT 20H30-03H30</v>
          </cell>
          <cell r="AQ2" t="str">
            <v>REPOS</v>
          </cell>
          <cell r="AR2" t="str">
            <v>REPOS</v>
          </cell>
          <cell r="AS2" t="str">
            <v>ENC AM 12H30-19H30</v>
          </cell>
          <cell r="AT2" t="str">
            <v>CARTON AP</v>
          </cell>
          <cell r="AU2" t="str">
            <v>REPOS</v>
          </cell>
          <cell r="AV2" t="str">
            <v>ENC MATIN 5H-12H</v>
          </cell>
          <cell r="AW2" t="str">
            <v>ENC MATIN 5H-12H</v>
          </cell>
          <cell r="AX2" t="str">
            <v>NICE OUEST</v>
          </cell>
          <cell r="AY2" t="str">
            <v>REPOS</v>
          </cell>
          <cell r="AZ2" t="str">
            <v>ENC NUIT 20H30-03H30</v>
          </cell>
          <cell r="BA2" t="str">
            <v>ENC NUIT 20H30-03H30</v>
          </cell>
          <cell r="BB2" t="str">
            <v>ENC NUIT 20H30-03H30</v>
          </cell>
          <cell r="BC2" t="str">
            <v>ENC NUIT 20H30-03H30</v>
          </cell>
          <cell r="BD2" t="str">
            <v>ENC NUIT 20H30-03H30</v>
          </cell>
          <cell r="BE2" t="str">
            <v>REPOS</v>
          </cell>
          <cell r="BF2" t="str">
            <v>NICE OUEST DIM</v>
          </cell>
          <cell r="BG2" t="str">
            <v>ENC NUIT 20H30-02H30</v>
          </cell>
          <cell r="BH2" t="str">
            <v>FORMATION | 17:00-00:00</v>
          </cell>
          <cell r="BI2" t="str">
            <v>ENC NUIT 20H30-02H30</v>
          </cell>
          <cell r="BJ2" t="str">
            <v>ENC NUIT 20H30-02H30</v>
          </cell>
          <cell r="BK2" t="str">
            <v>ENC NUIT 20H30-02H30</v>
          </cell>
          <cell r="BL2" t="str">
            <v>REPOS</v>
          </cell>
          <cell r="BM2" t="str">
            <v>NICE OUEST DIM</v>
          </cell>
          <cell r="BN2" t="str">
            <v>ENC MATIN 5H-12H</v>
          </cell>
          <cell r="BO2" t="str">
            <v>NICE EST</v>
          </cell>
          <cell r="BP2" t="str">
            <v>REPOS</v>
          </cell>
          <cell r="BQ2" t="str">
            <v>NICE EST</v>
          </cell>
          <cell r="BR2" t="str">
            <v>ENC MATIN 5H-12H</v>
          </cell>
          <cell r="BS2" t="str">
            <v>NICE OUEST</v>
          </cell>
          <cell r="BT2" t="str">
            <v>REPOS</v>
          </cell>
          <cell r="BU2" t="str">
            <v>ENC MATIN 5H-12H</v>
          </cell>
          <cell r="BV2" t="str">
            <v>CARTON MATIN</v>
          </cell>
          <cell r="BW2" t="str">
            <v>CARTON MATIN</v>
          </cell>
          <cell r="BX2" t="str">
            <v>CARTON MATIN</v>
          </cell>
          <cell r="BY2" t="str">
            <v>CARTON MATIN</v>
          </cell>
          <cell r="BZ2" t="str">
            <v>HS NICE OUEST</v>
          </cell>
          <cell r="CA2" t="str">
            <v>REPOS</v>
          </cell>
          <cell r="CB2" t="str">
            <v>ENC MATIN 5H-12H</v>
          </cell>
          <cell r="CC2" t="str">
            <v>CARTON AP</v>
          </cell>
          <cell r="CD2" t="str">
            <v>CARTON AP</v>
          </cell>
          <cell r="CE2" t="str">
            <v>CARTON AP</v>
          </cell>
          <cell r="CF2" t="str">
            <v>Congés</v>
          </cell>
          <cell r="CG2" t="str">
            <v>REPOS</v>
          </cell>
          <cell r="CH2" t="str">
            <v>REPOS</v>
          </cell>
          <cell r="CI2" t="str">
            <v>CARTON MATIN</v>
          </cell>
          <cell r="CJ2" t="str">
            <v>CARTON MATIN</v>
          </cell>
          <cell r="CK2" t="str">
            <v>CARTON MATIN</v>
          </cell>
          <cell r="CL2" t="str">
            <v>ENC MATIN 5H-12H</v>
          </cell>
          <cell r="CM2" t="str">
            <v>ENC MATIN 5H-12H</v>
          </cell>
          <cell r="CN2" t="str">
            <v>HS NICE OUEST</v>
          </cell>
          <cell r="CO2" t="str">
            <v>REPOS</v>
          </cell>
          <cell r="CP2" t="str">
            <v>ENC MATIN 5H-12H</v>
          </cell>
          <cell r="CQ2" t="str">
            <v>B. CARTON</v>
          </cell>
          <cell r="CR2" t="str">
            <v>CARTON MATIN</v>
          </cell>
          <cell r="CS2" t="str">
            <v>ENC MATIN 5H-12H</v>
          </cell>
          <cell r="CT2" t="str">
            <v>CARTON MATIN</v>
          </cell>
          <cell r="CU2" t="str">
            <v>REPOS</v>
          </cell>
          <cell r="CV2" t="str">
            <v>NICE EST DIM</v>
          </cell>
          <cell r="CW2" t="str">
            <v>REPOS</v>
          </cell>
          <cell r="CX2" t="str">
            <v>CARTON MATIN</v>
          </cell>
          <cell r="CY2" t="str">
            <v>NICE OUEST</v>
          </cell>
          <cell r="CZ2" t="str">
            <v>NICE OUEST</v>
          </cell>
          <cell r="DA2" t="str">
            <v>REPOS</v>
          </cell>
          <cell r="DB2" t="str">
            <v>NICE EST</v>
          </cell>
          <cell r="DC2" t="str">
            <v>REPOS</v>
          </cell>
          <cell r="DD2" t="str">
            <v>CARTON MATIN</v>
          </cell>
          <cell r="DE2" t="str">
            <v>CARTON MATIN</v>
          </cell>
          <cell r="DF2" t="str">
            <v>CARTON MATIN</v>
          </cell>
          <cell r="DG2" t="str">
            <v>CARTON MATIN</v>
          </cell>
          <cell r="DH2" t="str">
            <v>CARTON MATIN</v>
          </cell>
          <cell r="DI2" t="str">
            <v>REPOS</v>
          </cell>
          <cell r="DJ2" t="str">
            <v>NICE EST DIM</v>
          </cell>
          <cell r="DK2" t="str">
            <v>ENC NUIT 20H30-03H30</v>
          </cell>
          <cell r="DL2" t="str">
            <v>ENC NUIT 20H30-03H30</v>
          </cell>
          <cell r="DM2" t="str">
            <v>ENC NUIT 20H30-03H30</v>
          </cell>
          <cell r="DN2" t="str">
            <v>ENC NUIT 20H30-03H30</v>
          </cell>
          <cell r="DO2" t="str">
            <v>Congés</v>
          </cell>
          <cell r="DP2" t="str">
            <v>REPOS</v>
          </cell>
          <cell r="DQ2" t="str">
            <v>REPOS</v>
          </cell>
          <cell r="DR2" t="str">
            <v>Congés</v>
          </cell>
          <cell r="DS2" t="str">
            <v>Congés</v>
          </cell>
          <cell r="DT2" t="str">
            <v>ENC MATIN 5H-12H</v>
          </cell>
          <cell r="DU2" t="str">
            <v>ENC MATIN 5H-12H</v>
          </cell>
          <cell r="DV2" t="str">
            <v>ENC MATIN 5H-12H</v>
          </cell>
          <cell r="DW2" t="str">
            <v>HS NICE EST</v>
          </cell>
          <cell r="DX2" t="str">
            <v>REPOS</v>
          </cell>
          <cell r="DY2" t="str">
            <v>CARTON MATIN</v>
          </cell>
          <cell r="DZ2" t="str">
            <v>REPOS</v>
          </cell>
          <cell r="EA2" t="str">
            <v>CARTON MATIN</v>
          </cell>
          <cell r="EB2" t="str">
            <v>CARTON MATIN</v>
          </cell>
          <cell r="EC2" t="str">
            <v>CARTON MATIN</v>
          </cell>
          <cell r="ED2" t="str">
            <v>HS NICE NORD</v>
          </cell>
          <cell r="EE2" t="str">
            <v>REPOS</v>
          </cell>
          <cell r="EF2" t="str">
            <v>CARTON MATIN</v>
          </cell>
          <cell r="EG2" t="str">
            <v>NICE EST DIM</v>
          </cell>
          <cell r="EH2" t="str">
            <v>CARTON MATIN</v>
          </cell>
          <cell r="EI2" t="str">
            <v>REPOS</v>
          </cell>
          <cell r="EJ2" t="str">
            <v>CARTON MATIN</v>
          </cell>
          <cell r="EK2" t="str">
            <v>HS NICE EST</v>
          </cell>
          <cell r="EL2" t="str">
            <v>REPOS</v>
          </cell>
          <cell r="EM2" t="str">
            <v>NICE EST</v>
          </cell>
          <cell r="EN2" t="str">
            <v>NICE OUEST</v>
          </cell>
          <cell r="EO2" t="str">
            <v>NICE OUEST</v>
          </cell>
          <cell r="EP2" t="str">
            <v>REPOS</v>
          </cell>
          <cell r="EQ2" t="str">
            <v>ENC MATIN 5H-12H</v>
          </cell>
          <cell r="ER2" t="str">
            <v>NICE OUEST</v>
          </cell>
          <cell r="ES2" t="str">
            <v>REPOS</v>
          </cell>
          <cell r="ET2" t="str">
            <v>NICE OUEST</v>
          </cell>
          <cell r="EU2" t="str">
            <v>NICE OUEST</v>
          </cell>
          <cell r="EV2" t="str">
            <v>NICE OUEST</v>
          </cell>
          <cell r="EW2" t="str">
            <v>NICE OUEST</v>
          </cell>
          <cell r="EX2" t="str">
            <v>CARTON MATIN</v>
          </cell>
          <cell r="EY2" t="str">
            <v>REPOS</v>
          </cell>
          <cell r="EZ2" t="str">
            <v>NICE NORD DIM</v>
          </cell>
          <cell r="FA2" t="str">
            <v>CARTON MATIN</v>
          </cell>
          <cell r="FB2" t="str">
            <v>CARTON MATIN</v>
          </cell>
          <cell r="FC2" t="str">
            <v>CARTON MATIN</v>
          </cell>
          <cell r="FD2" t="str">
            <v>CARTON MATIN</v>
          </cell>
          <cell r="FE2" t="str">
            <v>CARTON MATIN</v>
          </cell>
          <cell r="FF2" t="str">
            <v>REPOS</v>
          </cell>
          <cell r="FG2" t="str">
            <v>REPOS</v>
          </cell>
          <cell r="FH2" t="str">
            <v>CARTON MATIN</v>
          </cell>
          <cell r="FI2" t="str">
            <v>CARTON MATIN</v>
          </cell>
          <cell r="FJ2" t="str">
            <v>CARTON MATIN</v>
          </cell>
          <cell r="FK2" t="str">
            <v>CARTON MATIN</v>
          </cell>
          <cell r="FL2" t="str">
            <v>CARTON MATIN</v>
          </cell>
          <cell r="FM2" t="str">
            <v>HS NICE EST</v>
          </cell>
          <cell r="FN2" t="str">
            <v>REPOS</v>
          </cell>
          <cell r="FO2" t="str">
            <v>NICE EST</v>
          </cell>
          <cell r="FP2" t="str">
            <v>REPOS</v>
          </cell>
          <cell r="FQ2" t="str">
            <v>ENC MATIN 5H-12H</v>
          </cell>
          <cell r="FR2" t="str">
            <v>ENC MATIN 5H-12H</v>
          </cell>
          <cell r="FS2" t="str">
            <v>ENC MATIN 5H-12H</v>
          </cell>
          <cell r="FT2" t="str">
            <v>NICE OUEST</v>
          </cell>
          <cell r="FU2" t="str">
            <v>REPOS</v>
          </cell>
          <cell r="FV2" t="str">
            <v>CARTON MATIN</v>
          </cell>
          <cell r="FW2" t="str">
            <v>CARTON MATIN</v>
          </cell>
          <cell r="FX2" t="str">
            <v>CARTON MATIN</v>
          </cell>
          <cell r="FY2" t="str">
            <v>CARTON MATIN</v>
          </cell>
          <cell r="FZ2" t="str">
            <v>CARTON MATIN</v>
          </cell>
          <cell r="GA2" t="str">
            <v>REPOS</v>
          </cell>
          <cell r="GB2" t="str">
            <v>REPOS</v>
          </cell>
          <cell r="GC2" t="str">
            <v>Congés</v>
          </cell>
          <cell r="GD2" t="str">
            <v>Congés</v>
          </cell>
          <cell r="GE2" t="str">
            <v>Congés</v>
          </cell>
          <cell r="GF2" t="str">
            <v>Congés</v>
          </cell>
          <cell r="GG2" t="str">
            <v>Congés</v>
          </cell>
          <cell r="GH2" t="str">
            <v>REPOS</v>
          </cell>
          <cell r="GI2" t="str">
            <v>REPOS</v>
          </cell>
          <cell r="GJ2" t="str">
            <v>Congés</v>
          </cell>
          <cell r="GK2" t="str">
            <v>Congés</v>
          </cell>
          <cell r="GL2" t="str">
            <v>Congés</v>
          </cell>
          <cell r="GM2" t="str">
            <v>Congés</v>
          </cell>
          <cell r="GN2" t="str">
            <v>Congés</v>
          </cell>
          <cell r="GO2" t="str">
            <v>REPOS</v>
          </cell>
          <cell r="GP2" t="str">
            <v>REPOS</v>
          </cell>
          <cell r="GQ2" t="str">
            <v>Congés</v>
          </cell>
          <cell r="GR2" t="str">
            <v>Congés</v>
          </cell>
          <cell r="GS2" t="str">
            <v>Congés</v>
          </cell>
          <cell r="GT2" t="str">
            <v>Congés</v>
          </cell>
          <cell r="GU2" t="str">
            <v>Congés</v>
          </cell>
          <cell r="GV2" t="str">
            <v>REPOS</v>
          </cell>
          <cell r="GW2" t="str">
            <v>REPOS</v>
          </cell>
        </row>
        <row r="3">
          <cell r="BQ3" t="str">
            <v>ENC NUIT 20H30-02H30</v>
          </cell>
          <cell r="BR3" t="str">
            <v>ENC NUIT 20H30-02H30</v>
          </cell>
          <cell r="BS3" t="str">
            <v>REPOS</v>
          </cell>
          <cell r="BT3" t="str">
            <v>ENC NUIT 20H30-02H30</v>
          </cell>
          <cell r="BU3" t="str">
            <v>ENC NUIT 20H30-02H30</v>
          </cell>
          <cell r="BV3" t="str">
            <v>ENC NUIT 20H30-02H30</v>
          </cell>
          <cell r="BW3" t="str">
            <v>ENC NUIT 20H30-02H30</v>
          </cell>
          <cell r="BX3" t="str">
            <v>ENC NUIT 20H30-02H30</v>
          </cell>
          <cell r="BY3" t="str">
            <v>REPOS</v>
          </cell>
          <cell r="BZ3" t="str">
            <v>REPOS</v>
          </cell>
          <cell r="CA3" t="str">
            <v>REPOS</v>
          </cell>
          <cell r="CB3" t="str">
            <v>NICE EST</v>
          </cell>
          <cell r="CC3" t="str">
            <v>NICE EST</v>
          </cell>
          <cell r="CD3" t="str">
            <v>NICE EST</v>
          </cell>
          <cell r="CE3" t="str">
            <v>NICE EST</v>
          </cell>
          <cell r="CF3" t="str">
            <v>REPOS</v>
          </cell>
          <cell r="CG3" t="str">
            <v>NICE EST</v>
          </cell>
          <cell r="CH3" t="str">
            <v>REPOS</v>
          </cell>
          <cell r="CI3" t="str">
            <v>ENC MATIN 5H-12H</v>
          </cell>
          <cell r="CJ3" t="str">
            <v>ENC MATIN 5H-12H</v>
          </cell>
          <cell r="CK3" t="str">
            <v>B. CARTON</v>
          </cell>
          <cell r="CL3" t="str">
            <v>ENC MATIN 5H-12H</v>
          </cell>
          <cell r="CM3" t="str">
            <v>NICE EST</v>
          </cell>
          <cell r="CN3" t="str">
            <v>REPOS</v>
          </cell>
          <cell r="CO3" t="str">
            <v>ENC NUIT 20H30-03H30</v>
          </cell>
          <cell r="CP3" t="str">
            <v>ENC NUIT 20H30-03H30</v>
          </cell>
          <cell r="CQ3" t="str">
            <v>ENC NUIT 20H30-03H30</v>
          </cell>
          <cell r="CR3" t="str">
            <v>ENC NUIT 20H30-03H30</v>
          </cell>
          <cell r="CS3" t="str">
            <v>ENC NUIT 20H30-03H30</v>
          </cell>
          <cell r="CT3" t="str">
            <v>REPOS</v>
          </cell>
          <cell r="CU3" t="str">
            <v>REPOS</v>
          </cell>
          <cell r="CV3" t="str">
            <v>ENC NUIT 20H30-03H30</v>
          </cell>
          <cell r="CW3" t="str">
            <v>REPOS</v>
          </cell>
          <cell r="CX3" t="str">
            <v>ENC NUIT 20H30-03H30</v>
          </cell>
          <cell r="CY3" t="str">
            <v>ENC NUIT 20H30-03H30</v>
          </cell>
          <cell r="CZ3" t="str">
            <v>ENC NUIT 20H30-03H30</v>
          </cell>
          <cell r="DA3" t="str">
            <v>REPOS</v>
          </cell>
          <cell r="DB3" t="str">
            <v>REPOS</v>
          </cell>
          <cell r="DC3" t="str">
            <v>ENC NUIT 20H30-03H30</v>
          </cell>
          <cell r="DD3" t="str">
            <v>REPOS</v>
          </cell>
          <cell r="DE3" t="str">
            <v>ENC MATIN 5H-12H</v>
          </cell>
          <cell r="DF3" t="str">
            <v>ENC MATIN 5H-12H</v>
          </cell>
          <cell r="DG3" t="str">
            <v>ENC MATIN 5H-12H</v>
          </cell>
          <cell r="DH3" t="str">
            <v>B. CARTON</v>
          </cell>
          <cell r="DI3" t="str">
            <v>NICE EST</v>
          </cell>
          <cell r="DJ3" t="str">
            <v>REPOS</v>
          </cell>
          <cell r="DK3" t="str">
            <v>ENC MATIN 5H-12H</v>
          </cell>
          <cell r="DL3" t="str">
            <v>ENC MATIN 5H-12H</v>
          </cell>
          <cell r="DM3" t="str">
            <v>ENC MATIN 5H-12H</v>
          </cell>
          <cell r="DN3" t="str">
            <v>ENC MATIN 5H-12H</v>
          </cell>
          <cell r="DO3" t="str">
            <v>ENC MATIN 5H-12H</v>
          </cell>
          <cell r="DP3" t="str">
            <v>HS NICE EST</v>
          </cell>
          <cell r="DQ3" t="str">
            <v>REPOS</v>
          </cell>
          <cell r="DR3" t="str">
            <v>NICE EST</v>
          </cell>
          <cell r="DS3" t="str">
            <v>REPOS</v>
          </cell>
          <cell r="DT3" t="str">
            <v>B. CARTON</v>
          </cell>
          <cell r="DU3" t="str">
            <v>ENC MATIN 5H-12H</v>
          </cell>
          <cell r="DV3" t="str">
            <v>ENC MATIN 5H-12H</v>
          </cell>
          <cell r="DW3" t="str">
            <v>NICE OUEST</v>
          </cell>
          <cell r="DX3" t="str">
            <v>REPOS</v>
          </cell>
          <cell r="DY3" t="str">
            <v>ENC MATIN 5H-12H</v>
          </cell>
          <cell r="DZ3" t="str">
            <v>REPOS</v>
          </cell>
          <cell r="EA3" t="str">
            <v>ENC MATIN 5H-12H</v>
          </cell>
          <cell r="EB3" t="str">
            <v>ENC MATIN 5H-12H</v>
          </cell>
          <cell r="EC3" t="str">
            <v>ENC MATIN 5H-12H</v>
          </cell>
          <cell r="ED3" t="str">
            <v>REPOS</v>
          </cell>
          <cell r="EE3" t="str">
            <v>ENC NUIT 20H30-03H30</v>
          </cell>
          <cell r="EF3" t="str">
            <v>REPOS</v>
          </cell>
          <cell r="EG3" t="str">
            <v>REPOS</v>
          </cell>
          <cell r="EH3" t="str">
            <v>ENC NUIT 20H30-03H30</v>
          </cell>
          <cell r="EI3" t="str">
            <v>REPOS</v>
          </cell>
          <cell r="EJ3" t="str">
            <v>ENC NUIT 20H30-03H30</v>
          </cell>
          <cell r="EK3" t="str">
            <v>REPOS</v>
          </cell>
          <cell r="EL3" t="str">
            <v>REPOS</v>
          </cell>
          <cell r="EM3" t="str">
            <v>ENC NUIT 20H30-03H30</v>
          </cell>
          <cell r="EN3" t="str">
            <v>ENC NUIT 20H30-03H30</v>
          </cell>
          <cell r="EO3" t="str">
            <v>ENC NUIT 20H30-03H30</v>
          </cell>
          <cell r="EP3" t="str">
            <v>ENC NUIT 20H30-03H30</v>
          </cell>
          <cell r="EQ3" t="str">
            <v>ENC NUIT 20H30-03H30</v>
          </cell>
          <cell r="ER3" t="str">
            <v>REPOS</v>
          </cell>
          <cell r="ES3" t="str">
            <v>REPOS</v>
          </cell>
          <cell r="ET3" t="str">
            <v>ENC MATIN 5H-12H</v>
          </cell>
          <cell r="EU3" t="str">
            <v>ENC MATIN 5H-12H</v>
          </cell>
          <cell r="EV3" t="str">
            <v>REPOS</v>
          </cell>
          <cell r="EW3" t="str">
            <v>ENC MATIN 5H-12H</v>
          </cell>
          <cell r="EX3" t="str">
            <v>ENC MATIN 5H-12H</v>
          </cell>
          <cell r="EY3" t="str">
            <v>NICE EST</v>
          </cell>
          <cell r="EZ3" t="str">
            <v>REPOS</v>
          </cell>
          <cell r="FA3" t="str">
            <v>ENC MATIN 5H-12H</v>
          </cell>
          <cell r="FB3" t="str">
            <v>ENC MATIN 5H-12H</v>
          </cell>
          <cell r="FC3" t="str">
            <v>NICE EST</v>
          </cell>
          <cell r="FD3" t="str">
            <v>ENC MATIN 5H-12H</v>
          </cell>
          <cell r="FE3" t="str">
            <v>ENC MATIN 5H-12H</v>
          </cell>
          <cell r="FF3" t="str">
            <v>REPOS</v>
          </cell>
          <cell r="FG3" t="str">
            <v>ENC NUIT 20H30-03H30</v>
          </cell>
          <cell r="FH3" t="str">
            <v>ENC NUIT 20H30-03H30</v>
          </cell>
          <cell r="FI3" t="str">
            <v>ENC NUIT 20H30-03H30</v>
          </cell>
          <cell r="FJ3" t="str">
            <v>ENC NUIT 20H30-03H30</v>
          </cell>
          <cell r="FK3" t="str">
            <v>ENC NUIT 20H30-03H30</v>
          </cell>
          <cell r="FL3" t="str">
            <v>REPOS</v>
          </cell>
          <cell r="FM3" t="str">
            <v>REPOS</v>
          </cell>
          <cell r="FN3" t="str">
            <v>REPOS</v>
          </cell>
          <cell r="FO3" t="str">
            <v>Congés</v>
          </cell>
          <cell r="FP3" t="str">
            <v>Congés</v>
          </cell>
          <cell r="FQ3" t="str">
            <v>Congés</v>
          </cell>
          <cell r="FR3" t="str">
            <v>Congés</v>
          </cell>
          <cell r="FS3" t="str">
            <v>Congés</v>
          </cell>
          <cell r="FT3" t="str">
            <v>REPOS</v>
          </cell>
          <cell r="FU3" t="str">
            <v>REPOS</v>
          </cell>
          <cell r="FV3" t="str">
            <v>Congés</v>
          </cell>
          <cell r="FW3" t="str">
            <v>Congés</v>
          </cell>
          <cell r="FX3" t="str">
            <v>Congés</v>
          </cell>
          <cell r="FY3" t="str">
            <v>Congés</v>
          </cell>
          <cell r="FZ3" t="str">
            <v>Congés</v>
          </cell>
          <cell r="GA3" t="str">
            <v>REPOS</v>
          </cell>
          <cell r="GB3" t="str">
            <v>REPOS</v>
          </cell>
          <cell r="GH3" t="str">
            <v>REPOS</v>
          </cell>
          <cell r="GI3" t="str">
            <v>REPOS</v>
          </cell>
        </row>
        <row r="4">
          <cell r="J4" t="str">
            <v>REPOS</v>
          </cell>
          <cell r="K4" t="str">
            <v>NICE OUEST</v>
          </cell>
          <cell r="L4" t="str">
            <v>NICE OUEST</v>
          </cell>
          <cell r="M4" t="str">
            <v>NICE OUEST</v>
          </cell>
          <cell r="N4" t="str">
            <v>NICE OUEST</v>
          </cell>
          <cell r="O4" t="str">
            <v>REPOS</v>
          </cell>
          <cell r="P4" t="str">
            <v>NICE OUEST DIM</v>
          </cell>
          <cell r="Q4" t="str">
            <v>NICE OUEST</v>
          </cell>
          <cell r="R4" t="str">
            <v>NICE OUEST</v>
          </cell>
          <cell r="S4" t="str">
            <v>NICE OUEST</v>
          </cell>
          <cell r="T4" t="str">
            <v>NICE OUEST</v>
          </cell>
          <cell r="U4" t="str">
            <v>NICE OUEST</v>
          </cell>
          <cell r="V4" t="str">
            <v>REPOS</v>
          </cell>
          <cell r="W4" t="str">
            <v>REPOS</v>
          </cell>
          <cell r="X4" t="str">
            <v>ENC MATIN 5H-12H</v>
          </cell>
          <cell r="Y4" t="str">
            <v>ENC MATIN 5H-12H</v>
          </cell>
          <cell r="Z4" t="str">
            <v>REPOS</v>
          </cell>
          <cell r="AA4" t="str">
            <v>ENC MATIN 5H-12H</v>
          </cell>
          <cell r="AB4" t="str">
            <v>ENC MATIN 5H-12H</v>
          </cell>
          <cell r="AC4" t="str">
            <v>NICE OUEST</v>
          </cell>
          <cell r="AD4" t="str">
            <v>REPOS</v>
          </cell>
          <cell r="AE4" t="str">
            <v>NICE OUEST</v>
          </cell>
          <cell r="AF4" t="str">
            <v>NICE OUEST</v>
          </cell>
          <cell r="AG4" t="str">
            <v>NICE OUEST</v>
          </cell>
          <cell r="AH4" t="str">
            <v>NICE OUEST</v>
          </cell>
          <cell r="AI4" t="str">
            <v>NICE OUEST</v>
          </cell>
          <cell r="AJ4" t="str">
            <v>HS NICE OUEST</v>
          </cell>
          <cell r="AK4" t="str">
            <v>REPOS</v>
          </cell>
          <cell r="AL4" t="str">
            <v>ENC MATIN 5H-12H</v>
          </cell>
          <cell r="AM4" t="str">
            <v>ENC MATIN 5H-12H</v>
          </cell>
          <cell r="AN4" t="str">
            <v>ENC MATIN 5H-12H</v>
          </cell>
          <cell r="AO4" t="str">
            <v>ENC MATIN 5H-12H</v>
          </cell>
          <cell r="AP4" t="str">
            <v>ENC MATIN 5H-12H</v>
          </cell>
          <cell r="AQ4" t="str">
            <v>HS NICE OUEST</v>
          </cell>
          <cell r="AR4" t="str">
            <v>REPOS</v>
          </cell>
          <cell r="AS4" t="str">
            <v>ENC NUIT 20H30-03H30</v>
          </cell>
          <cell r="AT4" t="str">
            <v>ENC NUIT 20H30-03H30</v>
          </cell>
          <cell r="AU4" t="str">
            <v>ENC NUIT 20H30-03H30</v>
          </cell>
          <cell r="AV4" t="str">
            <v>ENC NUIT 20H30-03H30</v>
          </cell>
          <cell r="AW4" t="str">
            <v>ENC NUIT 20H30-03H30</v>
          </cell>
          <cell r="AX4" t="str">
            <v>REPOS</v>
          </cell>
          <cell r="AY4" t="str">
            <v>REPOS</v>
          </cell>
          <cell r="AZ4" t="str">
            <v>Congés</v>
          </cell>
          <cell r="BA4" t="str">
            <v>Congés</v>
          </cell>
          <cell r="BB4" t="str">
            <v>Congés</v>
          </cell>
          <cell r="BC4" t="str">
            <v>Congés</v>
          </cell>
          <cell r="BD4" t="str">
            <v>Congés</v>
          </cell>
          <cell r="BE4" t="str">
            <v>REPOS</v>
          </cell>
          <cell r="BF4" t="str">
            <v>REPOS</v>
          </cell>
          <cell r="BG4" t="str">
            <v>ENC MATIN 5H-12H</v>
          </cell>
          <cell r="BH4" t="str">
            <v>ENC MATIN 5H-12H</v>
          </cell>
          <cell r="BI4" t="str">
            <v>FORMATION | 11:00-19:00</v>
          </cell>
          <cell r="BJ4" t="str">
            <v>NICE OUEST</v>
          </cell>
          <cell r="BK4" t="str">
            <v>NICE OUEST</v>
          </cell>
          <cell r="BL4" t="str">
            <v>HS NICE OUEST</v>
          </cell>
          <cell r="BM4" t="str">
            <v>REPOS</v>
          </cell>
          <cell r="BN4" t="str">
            <v>ENC MATIN 5H-12H</v>
          </cell>
          <cell r="BO4" t="str">
            <v>ENC MATIN 5H-12H</v>
          </cell>
          <cell r="BP4" t="str">
            <v>FORMATION | 11:00-19:00</v>
          </cell>
          <cell r="BQ4" t="str">
            <v>REPOS</v>
          </cell>
          <cell r="BR4" t="str">
            <v>NICE OUEST</v>
          </cell>
          <cell r="BS4" t="str">
            <v>NICE OUEST</v>
          </cell>
          <cell r="BT4" t="str">
            <v>REPOS</v>
          </cell>
          <cell r="BU4" t="str">
            <v>ENC MATIN 5H-12H</v>
          </cell>
          <cell r="BV4" t="str">
            <v>ENC MATIN 5H-12H</v>
          </cell>
          <cell r="BW4" t="str">
            <v>ENC MATIN 5H-12H</v>
          </cell>
          <cell r="BX4" t="str">
            <v>ENC MATIN 5H-12H</v>
          </cell>
          <cell r="BY4" t="str">
            <v>ENC MATIN 5H-12H</v>
          </cell>
          <cell r="BZ4" t="str">
            <v>REPOS</v>
          </cell>
          <cell r="CA4" t="str">
            <v>NICE OUEST DIM</v>
          </cell>
          <cell r="CB4" t="str">
            <v>ENC NUIT 20H30-03H30</v>
          </cell>
          <cell r="CC4" t="str">
            <v>ENC NUIT 20H30-03H30</v>
          </cell>
          <cell r="CD4" t="str">
            <v>ENC NUIT 20H30-03H30</v>
          </cell>
          <cell r="CE4" t="str">
            <v>ENC NUIT 20H30-03H30</v>
          </cell>
          <cell r="CF4" t="str">
            <v>ENC NUIT 20H30-03H30</v>
          </cell>
          <cell r="CG4" t="str">
            <v>REPOS</v>
          </cell>
          <cell r="CH4" t="str">
            <v>REPOS</v>
          </cell>
          <cell r="CI4" t="str">
            <v>ENC MATIN 5H-12H</v>
          </cell>
          <cell r="CJ4" t="str">
            <v>ENC MATIN 5H-12H</v>
          </cell>
          <cell r="CK4" t="str">
            <v>ENC MATIN 5H-12H</v>
          </cell>
          <cell r="CL4" t="str">
            <v>REPOS</v>
          </cell>
          <cell r="CM4" t="str">
            <v>ENC MATIN 5H-12H</v>
          </cell>
          <cell r="CN4" t="str">
            <v>NICE OUEST</v>
          </cell>
          <cell r="CO4" t="str">
            <v>REPOS</v>
          </cell>
          <cell r="CP4" t="str">
            <v>ENC NUIT 20H30-03H30</v>
          </cell>
          <cell r="CQ4" t="str">
            <v>ENC NUIT 20H30-03H30</v>
          </cell>
          <cell r="CR4" t="str">
            <v>ENC NUIT 20H30-03H30</v>
          </cell>
          <cell r="CS4" t="str">
            <v>ENC NUIT 20H30-03H30</v>
          </cell>
          <cell r="CT4" t="str">
            <v>ENC NUIT 20H30-03H30</v>
          </cell>
          <cell r="CU4" t="str">
            <v>REPOS</v>
          </cell>
          <cell r="CV4" t="str">
            <v>REPOS</v>
          </cell>
          <cell r="CW4" t="str">
            <v>REPOS</v>
          </cell>
          <cell r="CX4" t="str">
            <v>RTT</v>
          </cell>
          <cell r="CY4" t="str">
            <v>Congés</v>
          </cell>
          <cell r="CZ4" t="str">
            <v>Congés</v>
          </cell>
          <cell r="DA4" t="str">
            <v>Congés</v>
          </cell>
          <cell r="DB4" t="str">
            <v>REPOS</v>
          </cell>
          <cell r="DC4" t="str">
            <v>REPOS</v>
          </cell>
          <cell r="DD4" t="str">
            <v>Congés</v>
          </cell>
          <cell r="DE4" t="str">
            <v>Congés</v>
          </cell>
          <cell r="DF4" t="str">
            <v>Congés</v>
          </cell>
          <cell r="DG4" t="str">
            <v>Congés</v>
          </cell>
          <cell r="DH4" t="str">
            <v>Congés</v>
          </cell>
          <cell r="DI4" t="str">
            <v>REPOS</v>
          </cell>
          <cell r="DJ4" t="str">
            <v>REPOS</v>
          </cell>
          <cell r="DK4" t="str">
            <v>ENC NUIT 20H30-03H30</v>
          </cell>
          <cell r="DL4" t="str">
            <v>ENC NUIT 20H30-03H30</v>
          </cell>
          <cell r="DM4" t="str">
            <v>ENC NUIT 20H30-03H30</v>
          </cell>
          <cell r="DN4" t="str">
            <v>ENC NUIT 20H30-03H30</v>
          </cell>
          <cell r="DO4" t="str">
            <v>ENC NUIT 20H30-03H30</v>
          </cell>
          <cell r="DP4" t="str">
            <v>REPOS</v>
          </cell>
          <cell r="DQ4" t="str">
            <v>V.N Matin DIM</v>
          </cell>
          <cell r="DR4" t="str">
            <v>NICE OUEST</v>
          </cell>
          <cell r="DS4" t="str">
            <v>NICE OUEST</v>
          </cell>
          <cell r="DT4" t="str">
            <v>NICE OUEST</v>
          </cell>
          <cell r="DU4" t="str">
            <v>NICE OUEST</v>
          </cell>
          <cell r="DV4" t="str">
            <v>NICE OUEST</v>
          </cell>
          <cell r="DW4" t="str">
            <v>REPOS</v>
          </cell>
          <cell r="DX4" t="str">
            <v>REPOS</v>
          </cell>
          <cell r="DY4" t="str">
            <v>NICE OUEST</v>
          </cell>
          <cell r="DZ4" t="str">
            <v>REPOS</v>
          </cell>
          <cell r="EA4" t="str">
            <v>REPOS</v>
          </cell>
          <cell r="EB4" t="str">
            <v>NICE OUEST</v>
          </cell>
          <cell r="EC4" t="str">
            <v>NICE OUEST</v>
          </cell>
          <cell r="ED4" t="str">
            <v>NICE OUEST</v>
          </cell>
          <cell r="EE4" t="str">
            <v>REPOS</v>
          </cell>
          <cell r="EF4" t="str">
            <v>B. CARTON</v>
          </cell>
          <cell r="EG4" t="str">
            <v>REPOS</v>
          </cell>
          <cell r="EH4" t="str">
            <v>B. CARTON</v>
          </cell>
          <cell r="EI4" t="str">
            <v>REPOS</v>
          </cell>
          <cell r="EJ4" t="str">
            <v>NICE EST</v>
          </cell>
          <cell r="EK4" t="str">
            <v>HS NICE OUEST</v>
          </cell>
          <cell r="EL4" t="str">
            <v>REPOS</v>
          </cell>
          <cell r="EM4" t="str">
            <v>ENC NUIT 20H30-03H30</v>
          </cell>
          <cell r="EN4" t="str">
            <v>ENC NUIT 20H30-03H30</v>
          </cell>
          <cell r="EO4" t="str">
            <v>ENC NUIT 20H30-03H30</v>
          </cell>
          <cell r="EP4" t="str">
            <v>ENC NUIT 20H30-03H30</v>
          </cell>
          <cell r="EQ4" t="str">
            <v>ENC NUIT 20H30-03H30</v>
          </cell>
          <cell r="ER4" t="str">
            <v>REPOS</v>
          </cell>
          <cell r="ES4" t="str">
            <v>REPOS</v>
          </cell>
          <cell r="ET4" t="str">
            <v>ENC NUIT 20H30-03H30</v>
          </cell>
          <cell r="EU4" t="str">
            <v>ENC NUIT 20H30-03H30</v>
          </cell>
          <cell r="EV4" t="str">
            <v>ENC NUIT 20H30-03H30</v>
          </cell>
          <cell r="EW4" t="str">
            <v>ENC NUIT 20H30-03H30</v>
          </cell>
          <cell r="EX4" t="str">
            <v>ENC NUIT 20H30-03H30</v>
          </cell>
          <cell r="EY4" t="str">
            <v>REPOS</v>
          </cell>
          <cell r="EZ4" t="str">
            <v>V.N Matin DIM</v>
          </cell>
          <cell r="FA4" t="str">
            <v>ENC NUIT 20H30-03H30</v>
          </cell>
          <cell r="FB4" t="str">
            <v>ENC NUIT 20H30-03H30</v>
          </cell>
          <cell r="FC4" t="str">
            <v>ENC NUIT 20H30-03H30</v>
          </cell>
          <cell r="FD4" t="str">
            <v>ENC NUIT 20H30-03H30</v>
          </cell>
          <cell r="FE4" t="str">
            <v>ENC NUIT 20H30-03H30</v>
          </cell>
          <cell r="FF4" t="str">
            <v>REPOS</v>
          </cell>
          <cell r="FG4" t="str">
            <v>REPOS</v>
          </cell>
          <cell r="FH4" t="str">
            <v>ENC MATIN 5H-12H</v>
          </cell>
          <cell r="FI4" t="str">
            <v>ENC MATIN 5H-12H</v>
          </cell>
          <cell r="FJ4" t="str">
            <v>ENC MATIN 5H-12H</v>
          </cell>
          <cell r="FK4" t="str">
            <v>REPOS</v>
          </cell>
          <cell r="FL4" t="str">
            <v>ENC MATIN 5H-12H</v>
          </cell>
          <cell r="FM4" t="str">
            <v>NICE OUEST</v>
          </cell>
          <cell r="FN4" t="str">
            <v>REPOS</v>
          </cell>
          <cell r="FO4" t="str">
            <v>ENC MATIN 5H-12H</v>
          </cell>
          <cell r="FP4" t="str">
            <v>ENC MATIN 5H-12H</v>
          </cell>
          <cell r="FQ4" t="str">
            <v>NICE OUEST</v>
          </cell>
          <cell r="FR4" t="str">
            <v>ENC MATIN 5H-12H</v>
          </cell>
          <cell r="FS4" t="str">
            <v>ENC MATIN 5H-12H</v>
          </cell>
          <cell r="FT4" t="str">
            <v>REPOS</v>
          </cell>
          <cell r="FU4" t="str">
            <v>REPOS</v>
          </cell>
          <cell r="FV4" t="str">
            <v>ENC MATIN 5H-12H</v>
          </cell>
          <cell r="FW4" t="str">
            <v>ENC MATIN 5H-12H</v>
          </cell>
          <cell r="FX4" t="str">
            <v>ENC MATIN 5H-12H</v>
          </cell>
          <cell r="FY4" t="str">
            <v>ENC MATIN 5H-12H</v>
          </cell>
          <cell r="FZ4" t="str">
            <v>ENC MATIN 5H-12H</v>
          </cell>
          <cell r="GA4" t="str">
            <v>REPOS</v>
          </cell>
          <cell r="GB4" t="str">
            <v>REPOS</v>
          </cell>
          <cell r="GH4" t="str">
            <v>REPOS</v>
          </cell>
          <cell r="GI4" t="str">
            <v>REPOS</v>
          </cell>
          <cell r="GX4" t="str">
            <v>Congés</v>
          </cell>
          <cell r="GY4" t="str">
            <v>Congés</v>
          </cell>
          <cell r="GZ4" t="str">
            <v>Congés</v>
          </cell>
          <cell r="HA4" t="str">
            <v>Congés</v>
          </cell>
          <cell r="HB4" t="str">
            <v>Congés</v>
          </cell>
          <cell r="HC4" t="str">
            <v>REPOS</v>
          </cell>
          <cell r="HD4" t="str">
            <v>REPOS</v>
          </cell>
          <cell r="HE4" t="str">
            <v>Congés</v>
          </cell>
          <cell r="HF4" t="str">
            <v>Congés</v>
          </cell>
          <cell r="HG4" t="str">
            <v>Congés</v>
          </cell>
          <cell r="HH4" t="str">
            <v>Congés</v>
          </cell>
          <cell r="HI4" t="str">
            <v>Congés</v>
          </cell>
          <cell r="HJ4" t="str">
            <v>REPOS</v>
          </cell>
          <cell r="HK4" t="str">
            <v>REPOS</v>
          </cell>
        </row>
        <row r="5">
          <cell r="J5" t="str">
            <v>REPOS</v>
          </cell>
          <cell r="K5" t="str">
            <v>CARTON AP</v>
          </cell>
          <cell r="L5" t="str">
            <v>CARTON AP</v>
          </cell>
          <cell r="M5" t="str">
            <v>CARTON AP</v>
          </cell>
          <cell r="N5" t="str">
            <v>CARTON AP</v>
          </cell>
          <cell r="O5" t="str">
            <v>REPOS</v>
          </cell>
          <cell r="P5" t="str">
            <v>HS presta. Except | 5:00-13:00</v>
          </cell>
          <cell r="Q5" t="str">
            <v>CARTON AP</v>
          </cell>
          <cell r="R5" t="str">
            <v>CARTON AP</v>
          </cell>
          <cell r="S5" t="str">
            <v>CARTON AP</v>
          </cell>
          <cell r="T5" t="str">
            <v>CARTON AP</v>
          </cell>
          <cell r="U5" t="str">
            <v>CARTON AP</v>
          </cell>
          <cell r="V5" t="str">
            <v>REPOS</v>
          </cell>
          <cell r="W5" t="str">
            <v>NICE OUEST DIM</v>
          </cell>
          <cell r="X5" t="str">
            <v>CARTON AP</v>
          </cell>
          <cell r="Y5" t="str">
            <v>CARTON AP</v>
          </cell>
          <cell r="Z5" t="str">
            <v>CARTON AP</v>
          </cell>
          <cell r="AA5" t="str">
            <v>FORMATION</v>
          </cell>
          <cell r="AB5" t="str">
            <v>CARTON AP</v>
          </cell>
          <cell r="AC5" t="str">
            <v>REPOS</v>
          </cell>
          <cell r="AD5" t="str">
            <v>REPOS</v>
          </cell>
          <cell r="AE5" t="str">
            <v>CARTON AP</v>
          </cell>
          <cell r="AF5" t="str">
            <v>CARTON AP</v>
          </cell>
          <cell r="AG5" t="str">
            <v>CARTON AP</v>
          </cell>
          <cell r="AH5" t="str">
            <v>CARTON AP</v>
          </cell>
          <cell r="AI5" t="str">
            <v>CARTON AP</v>
          </cell>
          <cell r="AJ5" t="str">
            <v>REPOS</v>
          </cell>
          <cell r="AK5" t="str">
            <v>REPOS</v>
          </cell>
          <cell r="AL5" t="str">
            <v>RTT</v>
          </cell>
          <cell r="AM5" t="str">
            <v>RTT</v>
          </cell>
          <cell r="AN5" t="str">
            <v>RTT</v>
          </cell>
          <cell r="AO5" t="str">
            <v>RTT</v>
          </cell>
          <cell r="AP5" t="str">
            <v>Congés</v>
          </cell>
          <cell r="AQ5" t="str">
            <v>REPOS</v>
          </cell>
          <cell r="AR5" t="str">
            <v>REPOS</v>
          </cell>
          <cell r="AS5" t="str">
            <v>REPOS</v>
          </cell>
          <cell r="AT5" t="str">
            <v>Congés</v>
          </cell>
          <cell r="AU5" t="str">
            <v>CARTON AP</v>
          </cell>
          <cell r="AV5" t="str">
            <v>CARTON AP</v>
          </cell>
          <cell r="AW5" t="str">
            <v>CARTON AP</v>
          </cell>
          <cell r="AX5" t="str">
            <v>CARTON 8H30-12H / 13H-16H30</v>
          </cell>
          <cell r="AY5" t="str">
            <v>REPOS</v>
          </cell>
          <cell r="AZ5" t="str">
            <v>CARTON AP</v>
          </cell>
          <cell r="BA5" t="str">
            <v>CARTON AP</v>
          </cell>
          <cell r="BB5" t="str">
            <v>CARTON AP</v>
          </cell>
          <cell r="BC5" t="str">
            <v>CARTON AP</v>
          </cell>
          <cell r="BD5" t="str">
            <v>CARTON AP</v>
          </cell>
          <cell r="BE5" t="str">
            <v>REPOS</v>
          </cell>
          <cell r="BF5" t="str">
            <v>NICE OUEST &amp; VIEUX NICE</v>
          </cell>
          <cell r="BG5" t="str">
            <v>CARTON AP</v>
          </cell>
          <cell r="BH5" t="str">
            <v>CARTON AP</v>
          </cell>
          <cell r="BI5" t="str">
            <v>FORMATION | 11:00-19:00</v>
          </cell>
          <cell r="BJ5" t="str">
            <v>CARTON AP</v>
          </cell>
          <cell r="BK5" t="str">
            <v>CARTON AP</v>
          </cell>
          <cell r="BL5" t="str">
            <v>REPOS</v>
          </cell>
          <cell r="BM5" t="str">
            <v>NICE OUEST &amp; VIEUX NICE</v>
          </cell>
          <cell r="BN5" t="str">
            <v>CARTON AP</v>
          </cell>
          <cell r="BO5" t="str">
            <v>CARTON AP</v>
          </cell>
          <cell r="BP5" t="str">
            <v>FORMATION | 11:00-19:00</v>
          </cell>
          <cell r="BQ5" t="str">
            <v>CARTON AP</v>
          </cell>
          <cell r="BR5" t="str">
            <v>CARTON AP</v>
          </cell>
          <cell r="BS5" t="str">
            <v>REPOS</v>
          </cell>
          <cell r="BT5" t="str">
            <v>REPOS</v>
          </cell>
          <cell r="BU5" t="str">
            <v>REPOS</v>
          </cell>
          <cell r="BV5" t="str">
            <v>CARTON AP</v>
          </cell>
          <cell r="BW5" t="str">
            <v>CARTON AP</v>
          </cell>
          <cell r="BX5" t="str">
            <v>CARTON AP</v>
          </cell>
          <cell r="BY5" t="str">
            <v>CARTON AP</v>
          </cell>
          <cell r="BZ5" t="str">
            <v>CARTON 8H30-12H / 13H-16H30</v>
          </cell>
          <cell r="CA5" t="str">
            <v>REPOS</v>
          </cell>
          <cell r="CB5" t="str">
            <v>RTT</v>
          </cell>
          <cell r="CC5" t="str">
            <v>CARTON AP</v>
          </cell>
          <cell r="CD5" t="str">
            <v>CARTON AP</v>
          </cell>
          <cell r="CE5" t="str">
            <v>CARTON AP</v>
          </cell>
          <cell r="CF5" t="str">
            <v>CARTON AP</v>
          </cell>
          <cell r="CG5" t="str">
            <v>REPOS</v>
          </cell>
          <cell r="CH5" t="str">
            <v>NICE EST &amp; VIEUX NICE</v>
          </cell>
          <cell r="CI5" t="str">
            <v>CARTON AP</v>
          </cell>
          <cell r="CJ5" t="str">
            <v>CARTON AP</v>
          </cell>
          <cell r="CK5" t="str">
            <v>CARTON AP</v>
          </cell>
          <cell r="CL5" t="str">
            <v>CARTON AP</v>
          </cell>
          <cell r="CM5" t="str">
            <v>CARTON AP</v>
          </cell>
          <cell r="CN5" t="str">
            <v>REPOS</v>
          </cell>
          <cell r="CO5" t="str">
            <v>REPOS</v>
          </cell>
          <cell r="CP5" t="str">
            <v>CARTON AP</v>
          </cell>
          <cell r="CQ5" t="str">
            <v>CARTON AP</v>
          </cell>
          <cell r="CR5" t="str">
            <v>CARTON AP</v>
          </cell>
          <cell r="CS5" t="str">
            <v>CARTON AP</v>
          </cell>
          <cell r="CT5" t="str">
            <v>CARTON AP</v>
          </cell>
          <cell r="CU5" t="str">
            <v>REPOS</v>
          </cell>
          <cell r="CV5" t="str">
            <v>NICE EST DIM</v>
          </cell>
          <cell r="CW5" t="str">
            <v>NICE EST DIM</v>
          </cell>
          <cell r="CX5" t="str">
            <v>CARTON AP</v>
          </cell>
          <cell r="CY5" t="str">
            <v>CARTON AP</v>
          </cell>
          <cell r="CZ5" t="str">
            <v>CARTON AP</v>
          </cell>
          <cell r="DA5" t="str">
            <v>CARTON AP</v>
          </cell>
          <cell r="DB5" t="str">
            <v>REPOS</v>
          </cell>
          <cell r="DC5" t="str">
            <v>NICE EST &amp; VIEUX NICE</v>
          </cell>
          <cell r="DD5" t="str">
            <v>Congés</v>
          </cell>
          <cell r="DE5" t="str">
            <v>Congés</v>
          </cell>
          <cell r="DF5" t="str">
            <v>Congés</v>
          </cell>
          <cell r="DG5" t="str">
            <v>Congés</v>
          </cell>
          <cell r="DH5" t="str">
            <v>REPOS</v>
          </cell>
          <cell r="DI5" t="str">
            <v>CARTON 8H30-12H / 13H-16H30</v>
          </cell>
          <cell r="DJ5" t="str">
            <v>REPOS</v>
          </cell>
          <cell r="DK5" t="str">
            <v>CARTON AP</v>
          </cell>
          <cell r="DL5" t="str">
            <v>CARTON AP</v>
          </cell>
          <cell r="DM5" t="str">
            <v>CARTON AP</v>
          </cell>
          <cell r="DN5" t="str">
            <v>CARTON AP</v>
          </cell>
          <cell r="DO5" t="str">
            <v>CARTON AP</v>
          </cell>
          <cell r="DP5" t="str">
            <v>HS NICE OUEST</v>
          </cell>
          <cell r="DQ5" t="str">
            <v>REPOS</v>
          </cell>
          <cell r="DR5" t="str">
            <v>CARTON AP</v>
          </cell>
          <cell r="DS5" t="str">
            <v>CARTON AP</v>
          </cell>
          <cell r="DT5" t="str">
            <v>CARTON AP</v>
          </cell>
          <cell r="DU5" t="str">
            <v>CARTON AP</v>
          </cell>
          <cell r="DV5" t="str">
            <v>CARTON AP</v>
          </cell>
          <cell r="DW5" t="str">
            <v>REPOS</v>
          </cell>
          <cell r="DX5" t="str">
            <v>HS ENC AM DIM</v>
          </cell>
          <cell r="DY5" t="str">
            <v>CARTON AP</v>
          </cell>
          <cell r="DZ5" t="str">
            <v>REPOS</v>
          </cell>
          <cell r="EA5" t="str">
            <v>CARTON AP</v>
          </cell>
          <cell r="EB5" t="str">
            <v>CARTON AP</v>
          </cell>
          <cell r="EC5" t="str">
            <v>CARTON AP</v>
          </cell>
          <cell r="ED5" t="str">
            <v>REPOS</v>
          </cell>
          <cell r="EE5" t="str">
            <v>NICE NORD &amp; VIEUX NICE</v>
          </cell>
          <cell r="EF5" t="str">
            <v>CARTON AP</v>
          </cell>
          <cell r="EG5" t="str">
            <v>REPOS</v>
          </cell>
          <cell r="EH5" t="str">
            <v>CARTON AP</v>
          </cell>
          <cell r="EI5" t="str">
            <v>REPOS</v>
          </cell>
          <cell r="EJ5" t="str">
            <v>RTT</v>
          </cell>
          <cell r="EK5" t="str">
            <v>REPOS</v>
          </cell>
          <cell r="EL5" t="str">
            <v>REPOS</v>
          </cell>
          <cell r="EM5" t="str">
            <v>CARTON AP</v>
          </cell>
          <cell r="EN5" t="str">
            <v>CARTON AP</v>
          </cell>
          <cell r="EO5" t="str">
            <v>CARTON AP</v>
          </cell>
          <cell r="EP5" t="str">
            <v>CARTON AP</v>
          </cell>
          <cell r="EQ5" t="str">
            <v>CARTON AP</v>
          </cell>
          <cell r="ER5" t="str">
            <v>NICE EST</v>
          </cell>
          <cell r="ES5" t="str">
            <v>REPOS</v>
          </cell>
          <cell r="ET5" t="str">
            <v>CARTON AP</v>
          </cell>
          <cell r="EU5" t="str">
            <v>CARTON AP</v>
          </cell>
          <cell r="EV5" t="str">
            <v>CARTON AP</v>
          </cell>
          <cell r="EW5" t="str">
            <v>FORMATION MATIN - RECUP CREDIT | 08:00-12:00</v>
          </cell>
          <cell r="EX5" t="str">
            <v>CARTON AP</v>
          </cell>
          <cell r="EY5" t="str">
            <v>REPOS</v>
          </cell>
          <cell r="EZ5" t="str">
            <v>REPOS</v>
          </cell>
          <cell r="FA5" t="str">
            <v>CARTON AP</v>
          </cell>
          <cell r="FB5" t="str">
            <v>CARTON AP</v>
          </cell>
          <cell r="FC5" t="str">
            <v>CARTON AP</v>
          </cell>
          <cell r="FD5" t="str">
            <v>CARTON AP</v>
          </cell>
          <cell r="FE5" t="str">
            <v>CARTON AP</v>
          </cell>
          <cell r="FF5" t="str">
            <v>HS NICE EST</v>
          </cell>
          <cell r="FG5" t="str">
            <v>REPOS</v>
          </cell>
          <cell r="FH5" t="str">
            <v>CARTON AP</v>
          </cell>
          <cell r="FI5" t="str">
            <v>CARTON AP</v>
          </cell>
          <cell r="FJ5" t="str">
            <v>CARTON AP</v>
          </cell>
          <cell r="FK5" t="str">
            <v>CARTON AP</v>
          </cell>
          <cell r="FL5" t="str">
            <v>CARTON AP</v>
          </cell>
          <cell r="FM5" t="str">
            <v>REPOS</v>
          </cell>
          <cell r="FN5" t="str">
            <v>NICE NORD &amp; VIEUX NICE</v>
          </cell>
          <cell r="FO5" t="str">
            <v>REPOS</v>
          </cell>
          <cell r="FP5" t="str">
            <v>CARTON AP</v>
          </cell>
          <cell r="FQ5" t="str">
            <v>CARTON AP</v>
          </cell>
          <cell r="FR5" t="str">
            <v>CARTON AP</v>
          </cell>
          <cell r="FS5" t="str">
            <v>CARTON AP</v>
          </cell>
          <cell r="FT5" t="str">
            <v>CARTON 8H30-12H / 13H-16H30</v>
          </cell>
          <cell r="FU5" t="str">
            <v>REPOS</v>
          </cell>
          <cell r="FV5" t="str">
            <v>REPOS</v>
          </cell>
          <cell r="FW5" t="str">
            <v>CARTON AP</v>
          </cell>
          <cell r="FX5" t="str">
            <v>CARTON AP</v>
          </cell>
          <cell r="FY5" t="str">
            <v>CARTON AP</v>
          </cell>
          <cell r="FZ5" t="str">
            <v>CARTON AP</v>
          </cell>
          <cell r="GA5" t="str">
            <v>CARTON 8H30-12H / 13H-16H30</v>
          </cell>
          <cell r="GB5" t="str">
            <v>HS presta. Except | 14:00-00:00</v>
          </cell>
          <cell r="GC5" t="str">
            <v>Congés</v>
          </cell>
          <cell r="GD5" t="str">
            <v>CARTON AP</v>
          </cell>
          <cell r="GE5" t="str">
            <v>CARTON AP</v>
          </cell>
          <cell r="GF5" t="str">
            <v>CARTON AP</v>
          </cell>
          <cell r="GG5" t="str">
            <v>CARTON AP</v>
          </cell>
          <cell r="GH5" t="str">
            <v>REPOS</v>
          </cell>
          <cell r="GI5" t="str">
            <v>REPOS</v>
          </cell>
          <cell r="HJ5" t="str">
            <v>REPOS</v>
          </cell>
          <cell r="HK5" t="str">
            <v>REPOS</v>
          </cell>
          <cell r="HL5" t="str">
            <v>Congés</v>
          </cell>
          <cell r="HM5" t="str">
            <v>Congés</v>
          </cell>
          <cell r="HN5" t="str">
            <v>Congés</v>
          </cell>
          <cell r="HO5" t="str">
            <v>Congés</v>
          </cell>
          <cell r="HP5" t="str">
            <v>Congés</v>
          </cell>
          <cell r="HQ5" t="str">
            <v>REPOS</v>
          </cell>
          <cell r="HR5" t="str">
            <v>REPOS</v>
          </cell>
          <cell r="HS5" t="str">
            <v>Congés</v>
          </cell>
          <cell r="HT5" t="str">
            <v>Congés</v>
          </cell>
          <cell r="HU5" t="str">
            <v>Congés</v>
          </cell>
          <cell r="HV5" t="str">
            <v>Congés</v>
          </cell>
          <cell r="HW5" t="str">
            <v>Congés</v>
          </cell>
          <cell r="HX5" t="str">
            <v>REPOS</v>
          </cell>
          <cell r="HY5" t="str">
            <v>REPOS</v>
          </cell>
        </row>
        <row r="6">
          <cell r="J6" t="str">
            <v>REPOS</v>
          </cell>
          <cell r="K6" t="str">
            <v>Congés</v>
          </cell>
          <cell r="L6" t="str">
            <v>Congés</v>
          </cell>
          <cell r="M6" t="str">
            <v>Congés</v>
          </cell>
          <cell r="N6" t="str">
            <v>Congés</v>
          </cell>
          <cell r="O6" t="str">
            <v>REPOS</v>
          </cell>
          <cell r="P6" t="str">
            <v>REPOS</v>
          </cell>
          <cell r="Q6" t="str">
            <v>Congés</v>
          </cell>
          <cell r="R6" t="str">
            <v>NICE OUEST</v>
          </cell>
          <cell r="S6" t="str">
            <v>NICE OUEST</v>
          </cell>
          <cell r="T6" t="str">
            <v>NICE OUEST</v>
          </cell>
          <cell r="U6" t="str">
            <v>NICE OUEST</v>
          </cell>
          <cell r="V6" t="str">
            <v>REPOS</v>
          </cell>
          <cell r="W6" t="str">
            <v>NICE OUEST DIM</v>
          </cell>
          <cell r="X6" t="str">
            <v>Congés</v>
          </cell>
          <cell r="Y6" t="str">
            <v>NICE OUEST</v>
          </cell>
          <cell r="Z6" t="str">
            <v>NICE OUEST</v>
          </cell>
          <cell r="AA6" t="str">
            <v>NICE OUEST</v>
          </cell>
          <cell r="AB6" t="str">
            <v>NICE OUEST</v>
          </cell>
          <cell r="AC6" t="str">
            <v>REPOS</v>
          </cell>
          <cell r="AD6" t="str">
            <v>REPOS</v>
          </cell>
          <cell r="AE6" t="str">
            <v>NICE OUEST</v>
          </cell>
          <cell r="AF6" t="str">
            <v>NICE OUEST</v>
          </cell>
          <cell r="AG6" t="str">
            <v>NICE OUEST</v>
          </cell>
          <cell r="AH6" t="str">
            <v>NICE OUEST</v>
          </cell>
          <cell r="AI6" t="str">
            <v>NICE OUEST</v>
          </cell>
          <cell r="AJ6" t="str">
            <v>REPOS</v>
          </cell>
          <cell r="AK6" t="str">
            <v>REPOS</v>
          </cell>
          <cell r="AL6" t="str">
            <v>NICE OUEST</v>
          </cell>
          <cell r="AM6" t="str">
            <v>REPOS</v>
          </cell>
          <cell r="AN6" t="str">
            <v>NICE OUEST</v>
          </cell>
          <cell r="AO6" t="str">
            <v>NICE OUEST</v>
          </cell>
          <cell r="AP6" t="str">
            <v>NICE OUEST</v>
          </cell>
          <cell r="AQ6" t="str">
            <v>NICE OUEST</v>
          </cell>
          <cell r="AR6" t="str">
            <v>REPOS</v>
          </cell>
          <cell r="AS6" t="str">
            <v>NICE OUEST</v>
          </cell>
          <cell r="AT6" t="str">
            <v>NICE OUEST</v>
          </cell>
          <cell r="AU6" t="str">
            <v>NICE OUEST</v>
          </cell>
          <cell r="AV6" t="str">
            <v>NICE OUEST</v>
          </cell>
          <cell r="AW6" t="str">
            <v>Congés</v>
          </cell>
          <cell r="AX6" t="str">
            <v>REPOS</v>
          </cell>
          <cell r="AY6" t="str">
            <v>REPOS</v>
          </cell>
          <cell r="AZ6" t="str">
            <v>NICE OUEST</v>
          </cell>
          <cell r="BA6" t="str">
            <v>NICE OUEST</v>
          </cell>
          <cell r="BB6" t="str">
            <v>NICE OUEST</v>
          </cell>
          <cell r="BC6" t="str">
            <v>NICE OUEST</v>
          </cell>
          <cell r="BD6" t="str">
            <v>NICE OUEST</v>
          </cell>
          <cell r="BE6" t="str">
            <v>REPOS</v>
          </cell>
          <cell r="BF6" t="str">
            <v>REPOS</v>
          </cell>
          <cell r="BG6" t="str">
            <v>NICE OUEST</v>
          </cell>
          <cell r="BH6" t="str">
            <v>NICE OUEST</v>
          </cell>
          <cell r="BI6" t="str">
            <v>NICE OUEST</v>
          </cell>
          <cell r="BJ6" t="str">
            <v>NICE OUEST</v>
          </cell>
          <cell r="BK6" t="str">
            <v>REPOS</v>
          </cell>
          <cell r="BL6" t="str">
            <v>NICE OUEST</v>
          </cell>
          <cell r="BM6" t="str">
            <v>REPOS</v>
          </cell>
          <cell r="BN6" t="str">
            <v>NICE OUEST</v>
          </cell>
          <cell r="BO6" t="str">
            <v>NICE OUEST</v>
          </cell>
          <cell r="BP6" t="str">
            <v>NICE OUEST</v>
          </cell>
          <cell r="BQ6" t="str">
            <v>Congés</v>
          </cell>
          <cell r="BR6" t="str">
            <v>NICE OUEST</v>
          </cell>
          <cell r="BS6" t="str">
            <v>REPOS</v>
          </cell>
          <cell r="BT6" t="str">
            <v>REPOS</v>
          </cell>
          <cell r="BU6" t="str">
            <v>NICE OUEST</v>
          </cell>
          <cell r="BV6" t="str">
            <v>NICE OUEST</v>
          </cell>
          <cell r="BW6" t="str">
            <v>NICE OUEST</v>
          </cell>
          <cell r="BX6" t="str">
            <v>NICE OUEST</v>
          </cell>
          <cell r="BY6" t="str">
            <v>NICE OUEST</v>
          </cell>
          <cell r="BZ6" t="str">
            <v>REPOS</v>
          </cell>
          <cell r="CA6" t="str">
            <v>NICE OUEST DIM</v>
          </cell>
          <cell r="CB6" t="str">
            <v>NICE OUEST</v>
          </cell>
          <cell r="CC6" t="str">
            <v>NICE OUEST</v>
          </cell>
          <cell r="CD6" t="str">
            <v>NICE OUEST</v>
          </cell>
          <cell r="CE6" t="str">
            <v>NICE OUEST</v>
          </cell>
          <cell r="CF6" t="str">
            <v>NICE OUEST</v>
          </cell>
          <cell r="CG6" t="str">
            <v>REPOS</v>
          </cell>
          <cell r="CH6" t="str">
            <v>REPOS</v>
          </cell>
          <cell r="CI6" t="str">
            <v>NICE OUEST</v>
          </cell>
          <cell r="CJ6" t="str">
            <v>NICE OUEST</v>
          </cell>
          <cell r="CK6" t="str">
            <v>NICE OUEST</v>
          </cell>
          <cell r="CL6" t="str">
            <v>NICE OUEST</v>
          </cell>
          <cell r="CM6" t="str">
            <v>Congés</v>
          </cell>
          <cell r="CN6" t="str">
            <v>REPOS</v>
          </cell>
          <cell r="CO6" t="str">
            <v>REPOS</v>
          </cell>
          <cell r="CP6" t="str">
            <v>Congés</v>
          </cell>
          <cell r="CQ6" t="str">
            <v>Congés</v>
          </cell>
          <cell r="CR6" t="str">
            <v>Congés</v>
          </cell>
          <cell r="CS6" t="str">
            <v>Congés</v>
          </cell>
          <cell r="CT6" t="str">
            <v>Congés</v>
          </cell>
          <cell r="CU6" t="str">
            <v>REPOS</v>
          </cell>
          <cell r="CV6" t="str">
            <v>REPOS</v>
          </cell>
          <cell r="CW6" t="str">
            <v>REPOS</v>
          </cell>
          <cell r="CX6" t="str">
            <v>RTT</v>
          </cell>
          <cell r="CY6" t="str">
            <v>RTT</v>
          </cell>
          <cell r="CZ6" t="str">
            <v>RTT</v>
          </cell>
          <cell r="DA6" t="str">
            <v>RTT</v>
          </cell>
          <cell r="DB6" t="str">
            <v>REPOS</v>
          </cell>
          <cell r="DC6" t="str">
            <v>REPOS</v>
          </cell>
          <cell r="DD6" t="str">
            <v>NICE OUEST</v>
          </cell>
          <cell r="DE6" t="str">
            <v>NICE OUEST</v>
          </cell>
          <cell r="DF6" t="str">
            <v>NICE OUEST</v>
          </cell>
          <cell r="DG6" t="str">
            <v>NICE OUEST</v>
          </cell>
          <cell r="DH6" t="str">
            <v>REPOS</v>
          </cell>
          <cell r="DI6" t="str">
            <v>NICE OUEST</v>
          </cell>
          <cell r="DJ6" t="str">
            <v>REPOS</v>
          </cell>
          <cell r="DK6" t="str">
            <v>NICE OUEST</v>
          </cell>
          <cell r="DL6" t="str">
            <v>NICE OUEST</v>
          </cell>
          <cell r="DM6" t="str">
            <v>NICE OUEST</v>
          </cell>
          <cell r="DN6" t="str">
            <v>NICE OUEST</v>
          </cell>
          <cell r="DO6" t="str">
            <v>NICE OUEST</v>
          </cell>
          <cell r="DP6" t="str">
            <v>REPOS</v>
          </cell>
          <cell r="DQ6" t="str">
            <v>REPOS</v>
          </cell>
          <cell r="DR6" t="str">
            <v>NICE OUEST</v>
          </cell>
          <cell r="DS6" t="str">
            <v>NICE OUEST</v>
          </cell>
          <cell r="DT6" t="str">
            <v>NICE OUEST</v>
          </cell>
          <cell r="DU6" t="str">
            <v>NICE OUEST</v>
          </cell>
          <cell r="DV6" t="str">
            <v>Congés</v>
          </cell>
          <cell r="DW6" t="str">
            <v>REPOS</v>
          </cell>
          <cell r="DX6" t="str">
            <v>REPOS</v>
          </cell>
          <cell r="DY6" t="str">
            <v>Congés</v>
          </cell>
          <cell r="DZ6" t="str">
            <v>REPOS</v>
          </cell>
          <cell r="EA6" t="str">
            <v>Congés</v>
          </cell>
          <cell r="EB6" t="str">
            <v>Congés</v>
          </cell>
          <cell r="EC6" t="str">
            <v>Congés</v>
          </cell>
          <cell r="ED6" t="str">
            <v>REPOS</v>
          </cell>
          <cell r="EE6" t="str">
            <v>REPOS</v>
          </cell>
          <cell r="EF6" t="str">
            <v>REPOS</v>
          </cell>
          <cell r="EG6" t="str">
            <v>REPOS</v>
          </cell>
          <cell r="EH6" t="str">
            <v>NICE OUEST</v>
          </cell>
          <cell r="EI6" t="str">
            <v>REPOS</v>
          </cell>
          <cell r="EJ6" t="str">
            <v>NICE OUEST</v>
          </cell>
          <cell r="EK6" t="str">
            <v>NICE OUEST</v>
          </cell>
          <cell r="EL6" t="str">
            <v>REPOS</v>
          </cell>
          <cell r="EM6" t="str">
            <v>NICE OUEST</v>
          </cell>
          <cell r="EN6" t="str">
            <v>NICE OUEST</v>
          </cell>
          <cell r="EO6" t="str">
            <v>NICE OUEST</v>
          </cell>
          <cell r="EP6" t="str">
            <v>NICE OUEST</v>
          </cell>
          <cell r="EQ6" t="str">
            <v>NICE OUEST</v>
          </cell>
          <cell r="ER6" t="str">
            <v>REPOS</v>
          </cell>
          <cell r="ES6" t="str">
            <v>REPOS</v>
          </cell>
          <cell r="ET6" t="str">
            <v>NICE OUEST</v>
          </cell>
          <cell r="EU6" t="str">
            <v>NICE OUEST</v>
          </cell>
          <cell r="EV6" t="str">
            <v>NICE OUEST</v>
          </cell>
          <cell r="EW6" t="str">
            <v>NICE OUEST</v>
          </cell>
          <cell r="EX6" t="str">
            <v>NICE OUEST</v>
          </cell>
          <cell r="EY6" t="str">
            <v>HS NICE OUEST</v>
          </cell>
          <cell r="EZ6" t="str">
            <v>REPOS</v>
          </cell>
          <cell r="FA6" t="str">
            <v>NICE OUEST</v>
          </cell>
          <cell r="FB6" t="str">
            <v>NICE OUEST</v>
          </cell>
          <cell r="FC6" t="str">
            <v>NICE OUEST</v>
          </cell>
          <cell r="FD6" t="str">
            <v>NICE OUEST</v>
          </cell>
          <cell r="FE6" t="str">
            <v>NICE OUEST</v>
          </cell>
          <cell r="FF6" t="str">
            <v>REPOS</v>
          </cell>
          <cell r="FG6" t="str">
            <v>REPOS</v>
          </cell>
          <cell r="FH6" t="str">
            <v>NICE OUEST</v>
          </cell>
          <cell r="FI6" t="str">
            <v>REPOS</v>
          </cell>
          <cell r="FJ6" t="str">
            <v>NICE OUEST</v>
          </cell>
          <cell r="FK6" t="str">
            <v>NICE OUEST</v>
          </cell>
          <cell r="FL6" t="str">
            <v>NICE OUEST</v>
          </cell>
          <cell r="FM6" t="str">
            <v>NICE OUEST</v>
          </cell>
          <cell r="FN6" t="str">
            <v>REPOS</v>
          </cell>
          <cell r="FO6" t="str">
            <v>NICE OUEST</v>
          </cell>
          <cell r="FP6" t="str">
            <v>NICE OUEST</v>
          </cell>
          <cell r="FQ6" t="str">
            <v>NICE OUEST</v>
          </cell>
          <cell r="FR6" t="str">
            <v>NICE OUEST</v>
          </cell>
          <cell r="FS6" t="str">
            <v>NICE OUEST</v>
          </cell>
          <cell r="FT6" t="str">
            <v>REPOS</v>
          </cell>
          <cell r="FU6" t="str">
            <v>REPOS</v>
          </cell>
          <cell r="FV6" t="str">
            <v>NICE OUEST</v>
          </cell>
          <cell r="FW6" t="str">
            <v>NICE OUEST</v>
          </cell>
          <cell r="FX6" t="str">
            <v>NICE OUEST</v>
          </cell>
          <cell r="FY6" t="str">
            <v>NICE OUEST</v>
          </cell>
          <cell r="FZ6" t="str">
            <v>NICE OUEST</v>
          </cell>
          <cell r="GA6" t="str">
            <v>REPOS</v>
          </cell>
          <cell r="GB6" t="str">
            <v>REPOS</v>
          </cell>
          <cell r="GC6" t="str">
            <v>NICE OUEST</v>
          </cell>
          <cell r="GD6" t="str">
            <v>NICE OUEST</v>
          </cell>
          <cell r="GE6" t="str">
            <v>NICE OUEST</v>
          </cell>
          <cell r="GF6" t="str">
            <v>NICE OUEST</v>
          </cell>
          <cell r="GG6" t="str">
            <v>NICE OUEST</v>
          </cell>
          <cell r="GH6" t="str">
            <v>REPOS</v>
          </cell>
          <cell r="GI6" t="str">
            <v>REPOS</v>
          </cell>
          <cell r="GJ6" t="str">
            <v>NICE OUEST</v>
          </cell>
          <cell r="GK6" t="str">
            <v>NICE OUEST</v>
          </cell>
          <cell r="GL6" t="str">
            <v>NICE OUEST</v>
          </cell>
          <cell r="GM6" t="str">
            <v>NICE OUEST</v>
          </cell>
          <cell r="GN6" t="str">
            <v>NICE OUEST</v>
          </cell>
          <cell r="IK6" t="str">
            <v>Congés</v>
          </cell>
          <cell r="IL6" t="str">
            <v>REPOS</v>
          </cell>
          <cell r="IM6" t="str">
            <v>REPOS</v>
          </cell>
          <cell r="IN6" t="str">
            <v>Congés</v>
          </cell>
          <cell r="IO6" t="str">
            <v>Congés</v>
          </cell>
          <cell r="IP6" t="str">
            <v>Congés</v>
          </cell>
          <cell r="IQ6" t="str">
            <v>Congés</v>
          </cell>
          <cell r="IR6" t="str">
            <v>Congés</v>
          </cell>
          <cell r="IS6" t="str">
            <v>REPOS</v>
          </cell>
          <cell r="IT6" t="str">
            <v>REPOS</v>
          </cell>
          <cell r="IU6" t="str">
            <v>Congés</v>
          </cell>
          <cell r="IV6" t="str">
            <v>Congés</v>
          </cell>
          <cell r="IW6" t="str">
            <v>Congés</v>
          </cell>
          <cell r="IX6" t="str">
            <v>Congés</v>
          </cell>
          <cell r="IY6" t="str">
            <v>Congés</v>
          </cell>
          <cell r="IZ6" t="str">
            <v>REPOS</v>
          </cell>
          <cell r="JA6" t="str">
            <v>REPOS</v>
          </cell>
        </row>
        <row r="7">
          <cell r="J7" t="str">
            <v>REPOS</v>
          </cell>
          <cell r="K7" t="str">
            <v>NICE OUEST</v>
          </cell>
          <cell r="L7" t="str">
            <v>NICE OUEST</v>
          </cell>
          <cell r="M7" t="str">
            <v>NICE OUEST</v>
          </cell>
          <cell r="N7" t="str">
            <v>NICE OUEST</v>
          </cell>
          <cell r="O7" t="str">
            <v>REPOS</v>
          </cell>
          <cell r="P7" t="str">
            <v>REPOS</v>
          </cell>
          <cell r="Q7" t="str">
            <v>NICE OUEST</v>
          </cell>
          <cell r="R7" t="str">
            <v>REPOS</v>
          </cell>
          <cell r="S7" t="str">
            <v>NICE OUEST</v>
          </cell>
          <cell r="T7" t="str">
            <v>Congés AM</v>
          </cell>
          <cell r="U7" t="str">
            <v>NICE OUEST</v>
          </cell>
          <cell r="V7" t="str">
            <v>NICE OUEST</v>
          </cell>
          <cell r="W7" t="str">
            <v>REPOS</v>
          </cell>
          <cell r="X7" t="str">
            <v>NICE OUEST</v>
          </cell>
          <cell r="Y7" t="str">
            <v>NICE OUEST</v>
          </cell>
          <cell r="Z7" t="str">
            <v>NICE OUEST</v>
          </cell>
          <cell r="AA7" t="str">
            <v>AT</v>
          </cell>
          <cell r="AB7" t="str">
            <v>AT</v>
          </cell>
          <cell r="AC7" t="str">
            <v>AT</v>
          </cell>
          <cell r="AD7" t="str">
            <v>AT</v>
          </cell>
          <cell r="AE7" t="str">
            <v>AT</v>
          </cell>
          <cell r="AF7" t="str">
            <v>AT</v>
          </cell>
          <cell r="AG7" t="str">
            <v>AT</v>
          </cell>
          <cell r="AH7" t="str">
            <v>AT</v>
          </cell>
          <cell r="AI7" t="str">
            <v>AT</v>
          </cell>
          <cell r="AJ7" t="str">
            <v>AT</v>
          </cell>
          <cell r="AK7" t="str">
            <v>AT</v>
          </cell>
          <cell r="AL7" t="str">
            <v>AT</v>
          </cell>
          <cell r="AM7" t="str">
            <v>AT</v>
          </cell>
          <cell r="AN7" t="str">
            <v>AT</v>
          </cell>
          <cell r="AO7" t="str">
            <v>AT</v>
          </cell>
          <cell r="AP7" t="str">
            <v>AT</v>
          </cell>
          <cell r="AQ7" t="str">
            <v>AT</v>
          </cell>
          <cell r="AR7" t="str">
            <v>AT</v>
          </cell>
          <cell r="AS7" t="str">
            <v>AT</v>
          </cell>
          <cell r="AT7" t="str">
            <v>AT</v>
          </cell>
          <cell r="AU7" t="str">
            <v>AT</v>
          </cell>
          <cell r="AV7" t="str">
            <v>AT</v>
          </cell>
          <cell r="AW7" t="str">
            <v>AT</v>
          </cell>
          <cell r="AX7" t="str">
            <v>AT</v>
          </cell>
          <cell r="AY7" t="str">
            <v>AT</v>
          </cell>
          <cell r="AZ7" t="str">
            <v>AT</v>
          </cell>
          <cell r="BA7" t="str">
            <v>AT</v>
          </cell>
          <cell r="BB7" t="str">
            <v>AT</v>
          </cell>
          <cell r="BC7" t="str">
            <v>AT</v>
          </cell>
          <cell r="BD7" t="str">
            <v>AT</v>
          </cell>
          <cell r="BE7" t="str">
            <v>AT</v>
          </cell>
          <cell r="BF7" t="str">
            <v>AT</v>
          </cell>
          <cell r="BG7" t="str">
            <v>AT</v>
          </cell>
          <cell r="BH7" t="str">
            <v>AT</v>
          </cell>
          <cell r="BI7" t="str">
            <v>AT</v>
          </cell>
          <cell r="BJ7" t="str">
            <v>AT</v>
          </cell>
          <cell r="BK7" t="str">
            <v>AT</v>
          </cell>
          <cell r="BL7" t="str">
            <v>AT</v>
          </cell>
          <cell r="BM7" t="str">
            <v>AT</v>
          </cell>
          <cell r="BN7" t="str">
            <v>NICE OUEST</v>
          </cell>
          <cell r="BO7" t="str">
            <v>NICE OUEST</v>
          </cell>
          <cell r="BP7" t="str">
            <v>NICE OUEST</v>
          </cell>
          <cell r="BQ7" t="str">
            <v>NICE OUEST</v>
          </cell>
          <cell r="BR7" t="str">
            <v>NICE OUEST</v>
          </cell>
          <cell r="BS7" t="str">
            <v>REPOS</v>
          </cell>
          <cell r="BT7" t="str">
            <v>REPOS</v>
          </cell>
          <cell r="BU7" t="str">
            <v>NICE OUEST</v>
          </cell>
          <cell r="BV7" t="str">
            <v>NICE OUEST</v>
          </cell>
          <cell r="BW7" t="str">
            <v>NICE OUEST</v>
          </cell>
          <cell r="BX7" t="str">
            <v>NICE OUEST</v>
          </cell>
          <cell r="BY7" t="str">
            <v>NICE OUEST</v>
          </cell>
          <cell r="BZ7" t="str">
            <v>REPOS</v>
          </cell>
          <cell r="CA7" t="str">
            <v>REPOS</v>
          </cell>
          <cell r="CB7" t="str">
            <v>NICE OUEST</v>
          </cell>
          <cell r="CC7" t="str">
            <v>NICE OUEST</v>
          </cell>
          <cell r="CD7" t="str">
            <v>REPOS</v>
          </cell>
          <cell r="CE7" t="str">
            <v>NICE OUEST</v>
          </cell>
          <cell r="CF7" t="str">
            <v>NICE OUEST</v>
          </cell>
          <cell r="CG7" t="str">
            <v>NICE OUEST</v>
          </cell>
          <cell r="CH7" t="str">
            <v>REPOS</v>
          </cell>
          <cell r="CI7" t="str">
            <v>NICE OUEST</v>
          </cell>
          <cell r="CJ7" t="str">
            <v>NICE OUEST</v>
          </cell>
          <cell r="CK7" t="str">
            <v>NICE OUEST</v>
          </cell>
          <cell r="CL7" t="str">
            <v>NICE OUEST</v>
          </cell>
          <cell r="CM7" t="str">
            <v>NICE OUEST</v>
          </cell>
          <cell r="CN7" t="str">
            <v>REPOS</v>
          </cell>
          <cell r="CO7" t="str">
            <v>NICE OUEST DIM</v>
          </cell>
          <cell r="CP7" t="str">
            <v>NICE OUEST</v>
          </cell>
          <cell r="CQ7" t="str">
            <v>NICE OUEST</v>
          </cell>
          <cell r="CR7" t="str">
            <v>NICE OUEST</v>
          </cell>
          <cell r="CS7" t="str">
            <v>NICE OUEST</v>
          </cell>
          <cell r="CT7" t="str">
            <v>NICE OUEST</v>
          </cell>
          <cell r="CU7" t="str">
            <v>REPOS</v>
          </cell>
          <cell r="CV7" t="str">
            <v>REPOS</v>
          </cell>
          <cell r="CW7" t="str">
            <v>NICE EST DIM</v>
          </cell>
          <cell r="CX7" t="str">
            <v>NICE OUEST</v>
          </cell>
          <cell r="CY7" t="str">
            <v>NICE OUEST</v>
          </cell>
          <cell r="CZ7" t="str">
            <v>NICE OUEST</v>
          </cell>
          <cell r="DA7" t="str">
            <v>REPOS</v>
          </cell>
          <cell r="DB7" t="str">
            <v>NICE OUEST</v>
          </cell>
          <cell r="DC7" t="str">
            <v>REPOS</v>
          </cell>
          <cell r="DD7" t="str">
            <v>NICE OUEST</v>
          </cell>
          <cell r="DE7" t="str">
            <v>Congés</v>
          </cell>
          <cell r="DF7" t="str">
            <v>NICE OUEST</v>
          </cell>
          <cell r="DG7" t="str">
            <v>NICE OUEST</v>
          </cell>
          <cell r="DH7" t="str">
            <v>NICE OUEST</v>
          </cell>
          <cell r="DI7" t="str">
            <v>REPOS</v>
          </cell>
          <cell r="DJ7" t="str">
            <v>HS presta. Except | 07:00-14:00</v>
          </cell>
          <cell r="DK7" t="str">
            <v>NICE OUEST</v>
          </cell>
          <cell r="DL7" t="str">
            <v>NICE OUEST</v>
          </cell>
          <cell r="DM7" t="str">
            <v>NICE OUEST</v>
          </cell>
          <cell r="DN7" t="str">
            <v>NICE OUEST</v>
          </cell>
          <cell r="DO7" t="str">
            <v>NICE OUEST</v>
          </cell>
          <cell r="DP7" t="str">
            <v>REPOS</v>
          </cell>
          <cell r="DQ7" t="str">
            <v>REPOS</v>
          </cell>
          <cell r="DR7" t="str">
            <v>Congés</v>
          </cell>
          <cell r="DS7" t="str">
            <v>Congés</v>
          </cell>
          <cell r="DT7" t="str">
            <v>Congés</v>
          </cell>
          <cell r="DU7" t="str">
            <v>Congés</v>
          </cell>
          <cell r="DV7" t="str">
            <v>Congés</v>
          </cell>
          <cell r="DW7" t="str">
            <v>REPOS</v>
          </cell>
          <cell r="DX7" t="str">
            <v>REPOS</v>
          </cell>
          <cell r="DY7" t="str">
            <v>Congés</v>
          </cell>
          <cell r="DZ7" t="str">
            <v>REPOS</v>
          </cell>
          <cell r="EA7" t="str">
            <v>NICE OUEST</v>
          </cell>
          <cell r="EB7" t="str">
            <v>NICE OUEST</v>
          </cell>
          <cell r="EC7" t="str">
            <v>REPOS</v>
          </cell>
          <cell r="ED7" t="str">
            <v>NICE OUEST | ABSENT</v>
          </cell>
          <cell r="EE7" t="str">
            <v>REPOS</v>
          </cell>
          <cell r="EF7" t="str">
            <v>AT</v>
          </cell>
          <cell r="EG7" t="str">
            <v>AT</v>
          </cell>
          <cell r="EH7" t="str">
            <v>AT</v>
          </cell>
          <cell r="EI7" t="str">
            <v>AT</v>
          </cell>
          <cell r="EJ7" t="str">
            <v>AT</v>
          </cell>
          <cell r="EK7" t="str">
            <v>AT</v>
          </cell>
          <cell r="EL7" t="str">
            <v>AT</v>
          </cell>
          <cell r="EM7" t="str">
            <v>AT</v>
          </cell>
          <cell r="EN7" t="str">
            <v>AT</v>
          </cell>
          <cell r="EO7" t="str">
            <v>AT</v>
          </cell>
          <cell r="EP7" t="str">
            <v>AT</v>
          </cell>
          <cell r="EQ7" t="str">
            <v>AT</v>
          </cell>
          <cell r="ER7" t="str">
            <v>AT</v>
          </cell>
          <cell r="ES7" t="str">
            <v>AT</v>
          </cell>
          <cell r="ET7" t="str">
            <v>AT</v>
          </cell>
          <cell r="EU7" t="str">
            <v>AT</v>
          </cell>
          <cell r="EV7" t="str">
            <v>AT</v>
          </cell>
          <cell r="EW7" t="str">
            <v>AT</v>
          </cell>
          <cell r="EX7" t="str">
            <v>AT</v>
          </cell>
          <cell r="EY7" t="str">
            <v>AT</v>
          </cell>
          <cell r="EZ7" t="str">
            <v>AT</v>
          </cell>
          <cell r="FA7" t="str">
            <v>AT</v>
          </cell>
          <cell r="FB7" t="str">
            <v>NICE OUEST</v>
          </cell>
          <cell r="FC7" t="str">
            <v>NICE OUEST</v>
          </cell>
          <cell r="FD7" t="str">
            <v>NICE OUEST</v>
          </cell>
          <cell r="FE7" t="str">
            <v>NICE OUEST</v>
          </cell>
          <cell r="FF7" t="str">
            <v>REPOS</v>
          </cell>
          <cell r="FG7" t="str">
            <v>REPOS</v>
          </cell>
          <cell r="FH7" t="str">
            <v>NICE OUEST</v>
          </cell>
          <cell r="FI7" t="str">
            <v>NICE OUEST</v>
          </cell>
          <cell r="FJ7" t="str">
            <v>NICE OUEST</v>
          </cell>
          <cell r="FK7" t="str">
            <v>NICE OUEST</v>
          </cell>
          <cell r="FL7" t="str">
            <v>NICE OUEST</v>
          </cell>
          <cell r="FM7" t="str">
            <v>REPOS</v>
          </cell>
          <cell r="FN7" t="str">
            <v>REPOS</v>
          </cell>
          <cell r="FO7" t="str">
            <v>NICE OUEST</v>
          </cell>
          <cell r="FP7" t="str">
            <v>NICE OUEST</v>
          </cell>
          <cell r="FQ7" t="str">
            <v>NICE OUEST</v>
          </cell>
          <cell r="FR7" t="str">
            <v>NICE OUEST</v>
          </cell>
          <cell r="FS7" t="str">
            <v>NICE OUEST</v>
          </cell>
          <cell r="FT7" t="str">
            <v>REPOS</v>
          </cell>
          <cell r="FU7" t="str">
            <v>REPOS</v>
          </cell>
          <cell r="FV7" t="str">
            <v>NICE OUEST</v>
          </cell>
          <cell r="FW7" t="str">
            <v>NICE OUEST</v>
          </cell>
          <cell r="FX7" t="str">
            <v>NICE OUEST</v>
          </cell>
          <cell r="FY7" t="str">
            <v>NICE OUEST</v>
          </cell>
          <cell r="FZ7" t="str">
            <v>REPOS</v>
          </cell>
          <cell r="GA7" t="str">
            <v>NICE OUEST</v>
          </cell>
          <cell r="GB7" t="str">
            <v>REPOS</v>
          </cell>
          <cell r="GC7" t="str">
            <v>NICE OUEST</v>
          </cell>
          <cell r="GD7" t="str">
            <v>NICE OUEST</v>
          </cell>
          <cell r="GE7" t="str">
            <v>NICE OUEST</v>
          </cell>
          <cell r="GF7" t="str">
            <v>NICE OUEST</v>
          </cell>
          <cell r="GG7" t="str">
            <v>NICE OUEST</v>
          </cell>
          <cell r="GH7" t="str">
            <v>REPOS</v>
          </cell>
          <cell r="GI7" t="str">
            <v>REPOS</v>
          </cell>
          <cell r="GJ7" t="str">
            <v>NICE OUEST</v>
          </cell>
          <cell r="GK7" t="str">
            <v>NICE OUEST</v>
          </cell>
          <cell r="GL7" t="str">
            <v>NICE OUEST</v>
          </cell>
          <cell r="GM7" t="str">
            <v>NICE OUEST</v>
          </cell>
          <cell r="GN7" t="str">
            <v>NICE OUEST</v>
          </cell>
          <cell r="IE7" t="str">
            <v>REPOS</v>
          </cell>
          <cell r="IF7" t="str">
            <v>REPOS</v>
          </cell>
          <cell r="IG7" t="str">
            <v>Congés</v>
          </cell>
          <cell r="IH7" t="str">
            <v>Congés</v>
          </cell>
          <cell r="II7" t="str">
            <v>Congés</v>
          </cell>
          <cell r="IJ7" t="str">
            <v>Congés</v>
          </cell>
          <cell r="IK7" t="str">
            <v>Congés</v>
          </cell>
          <cell r="IL7" t="str">
            <v>REPOS</v>
          </cell>
          <cell r="IM7" t="str">
            <v>REPOS</v>
          </cell>
        </row>
        <row r="8">
          <cell r="J8" t="str">
            <v>REPOS</v>
          </cell>
          <cell r="K8" t="str">
            <v>NICE EST</v>
          </cell>
          <cell r="L8" t="str">
            <v>NICE EST</v>
          </cell>
          <cell r="M8" t="str">
            <v>NICE EST</v>
          </cell>
          <cell r="N8" t="str">
            <v>REPOS</v>
          </cell>
          <cell r="O8" t="str">
            <v>NICE EST</v>
          </cell>
          <cell r="P8" t="str">
            <v>REPOS</v>
          </cell>
          <cell r="Q8" t="str">
            <v>NICE EST</v>
          </cell>
          <cell r="R8" t="str">
            <v>NICE EST</v>
          </cell>
          <cell r="S8" t="str">
            <v>NICE EST</v>
          </cell>
          <cell r="T8" t="str">
            <v>NICE EST</v>
          </cell>
          <cell r="U8" t="str">
            <v>NICE EST</v>
          </cell>
          <cell r="V8" t="str">
            <v>REPOS</v>
          </cell>
          <cell r="W8" t="str">
            <v>REPOS</v>
          </cell>
          <cell r="X8" t="str">
            <v>NICE EST</v>
          </cell>
          <cell r="Y8" t="str">
            <v>NICE EST</v>
          </cell>
          <cell r="Z8" t="str">
            <v>NICE EST</v>
          </cell>
          <cell r="AA8" t="str">
            <v>NICE EST</v>
          </cell>
          <cell r="AB8" t="str">
            <v>NICE EST</v>
          </cell>
          <cell r="AC8" t="str">
            <v>REPOS</v>
          </cell>
          <cell r="AD8" t="str">
            <v>REPOS</v>
          </cell>
          <cell r="AE8" t="str">
            <v>NICE EST</v>
          </cell>
          <cell r="AF8" t="str">
            <v>NICE EST</v>
          </cell>
          <cell r="AG8" t="str">
            <v>NICE EST</v>
          </cell>
          <cell r="AH8" t="str">
            <v>NICE EST</v>
          </cell>
          <cell r="AI8" t="str">
            <v>NICE EST</v>
          </cell>
          <cell r="AJ8" t="str">
            <v>REPOS</v>
          </cell>
          <cell r="AK8" t="str">
            <v>REPOS</v>
          </cell>
          <cell r="AL8" t="str">
            <v>NICE EST</v>
          </cell>
          <cell r="AM8" t="str">
            <v>REPOS</v>
          </cell>
          <cell r="AN8" t="str">
            <v>NICE EST</v>
          </cell>
          <cell r="AO8" t="str">
            <v>NICE EST</v>
          </cell>
          <cell r="AP8" t="str">
            <v>Congés</v>
          </cell>
          <cell r="AQ8" t="str">
            <v>NICE EST</v>
          </cell>
          <cell r="AR8" t="str">
            <v>REPOS</v>
          </cell>
          <cell r="AS8" t="str">
            <v>NICE EST</v>
          </cell>
          <cell r="AT8" t="str">
            <v>NICE EST</v>
          </cell>
          <cell r="AU8" t="str">
            <v>NICE EST</v>
          </cell>
          <cell r="AV8" t="str">
            <v>NICE EST</v>
          </cell>
          <cell r="AW8" t="str">
            <v>NICE EST</v>
          </cell>
          <cell r="AX8" t="str">
            <v>REPOS</v>
          </cell>
          <cell r="AY8" t="str">
            <v>REPOS</v>
          </cell>
          <cell r="AZ8" t="str">
            <v>NICE EST</v>
          </cell>
          <cell r="BA8" t="str">
            <v>NICE EST</v>
          </cell>
          <cell r="BB8" t="str">
            <v>NICE EST</v>
          </cell>
          <cell r="BC8" t="str">
            <v>Congés</v>
          </cell>
          <cell r="BD8" t="str">
            <v>Congés</v>
          </cell>
          <cell r="BE8" t="str">
            <v>REPOS</v>
          </cell>
          <cell r="BF8" t="str">
            <v>REPOS</v>
          </cell>
          <cell r="BG8" t="str">
            <v>NICE EST</v>
          </cell>
          <cell r="BH8" t="str">
            <v>Maladie</v>
          </cell>
          <cell r="BI8" t="str">
            <v>Maladie</v>
          </cell>
          <cell r="BJ8" t="str">
            <v>Maladie</v>
          </cell>
          <cell r="BK8" t="str">
            <v>Maladie</v>
          </cell>
          <cell r="BL8" t="str">
            <v>Maladie</v>
          </cell>
          <cell r="BM8" t="str">
            <v>Maladie</v>
          </cell>
          <cell r="BN8" t="str">
            <v>Maladie</v>
          </cell>
          <cell r="BO8" t="str">
            <v>Maladie</v>
          </cell>
          <cell r="BP8" t="str">
            <v>Maladie</v>
          </cell>
          <cell r="BQ8" t="str">
            <v>Maladie</v>
          </cell>
          <cell r="BR8" t="str">
            <v>Maladie</v>
          </cell>
          <cell r="BS8" t="str">
            <v>Maladie</v>
          </cell>
          <cell r="BT8" t="str">
            <v>Maladie</v>
          </cell>
          <cell r="BU8" t="str">
            <v>Maladie</v>
          </cell>
          <cell r="BV8" t="str">
            <v>Maladie</v>
          </cell>
          <cell r="BW8" t="str">
            <v>Maladie</v>
          </cell>
          <cell r="BX8" t="str">
            <v>Maladie</v>
          </cell>
          <cell r="BY8" t="str">
            <v>Maladie</v>
          </cell>
          <cell r="BZ8" t="str">
            <v>Maladie</v>
          </cell>
          <cell r="CA8" t="str">
            <v>Maladie</v>
          </cell>
          <cell r="CB8" t="str">
            <v>Maladie</v>
          </cell>
          <cell r="CC8" t="str">
            <v>Maladie</v>
          </cell>
          <cell r="CD8" t="str">
            <v>Maladie</v>
          </cell>
          <cell r="CE8" t="str">
            <v>Maladie</v>
          </cell>
          <cell r="CF8" t="str">
            <v>Maladie</v>
          </cell>
          <cell r="CG8" t="str">
            <v>Maladie</v>
          </cell>
          <cell r="CH8" t="str">
            <v>Maladie</v>
          </cell>
          <cell r="CI8" t="str">
            <v>Maladie</v>
          </cell>
          <cell r="CJ8" t="str">
            <v>Maladie</v>
          </cell>
          <cell r="CK8" t="str">
            <v>Maladie</v>
          </cell>
          <cell r="CL8" t="str">
            <v>Maladie</v>
          </cell>
          <cell r="CM8" t="str">
            <v>Maladie</v>
          </cell>
          <cell r="CN8" t="str">
            <v>Maladie</v>
          </cell>
          <cell r="CO8" t="str">
            <v>Maladie</v>
          </cell>
          <cell r="CP8" t="str">
            <v>Maladie</v>
          </cell>
          <cell r="CQ8" t="str">
            <v>Maladie</v>
          </cell>
          <cell r="CR8" t="str">
            <v>Maladie</v>
          </cell>
          <cell r="CS8" t="str">
            <v>Maladie</v>
          </cell>
          <cell r="CT8" t="str">
            <v>Maladie</v>
          </cell>
          <cell r="CU8" t="str">
            <v>Maladie</v>
          </cell>
          <cell r="CV8" t="str">
            <v>Maladie</v>
          </cell>
          <cell r="CW8" t="str">
            <v>Maladie</v>
          </cell>
          <cell r="CX8" t="str">
            <v>Maladie</v>
          </cell>
          <cell r="CY8" t="str">
            <v>Maladie</v>
          </cell>
          <cell r="CZ8" t="str">
            <v>Maladie</v>
          </cell>
          <cell r="DA8" t="str">
            <v>Maladie</v>
          </cell>
          <cell r="DB8" t="str">
            <v>Maladie</v>
          </cell>
          <cell r="DC8" t="str">
            <v>Maladie</v>
          </cell>
          <cell r="DD8" t="str">
            <v>Maladie</v>
          </cell>
          <cell r="DE8" t="str">
            <v>Maladie</v>
          </cell>
          <cell r="DF8" t="str">
            <v>Maladie</v>
          </cell>
          <cell r="DG8" t="str">
            <v>Maladie</v>
          </cell>
          <cell r="DH8" t="str">
            <v>Maladie</v>
          </cell>
          <cell r="DI8" t="str">
            <v>Maladie</v>
          </cell>
          <cell r="DJ8" t="str">
            <v>Maladie</v>
          </cell>
          <cell r="DK8" t="str">
            <v>Maladie</v>
          </cell>
          <cell r="DL8" t="str">
            <v>Maladie</v>
          </cell>
          <cell r="DM8" t="str">
            <v>Maladie</v>
          </cell>
          <cell r="DN8" t="str">
            <v>Maladie</v>
          </cell>
          <cell r="DO8" t="str">
            <v>Maladie</v>
          </cell>
          <cell r="DP8" t="str">
            <v>Maladie</v>
          </cell>
          <cell r="DQ8" t="str">
            <v>Maladie</v>
          </cell>
          <cell r="DR8" t="str">
            <v>Maladie</v>
          </cell>
          <cell r="DS8" t="str">
            <v>Maladie</v>
          </cell>
          <cell r="DT8" t="str">
            <v>Maladie</v>
          </cell>
          <cell r="DU8" t="str">
            <v>Maladie</v>
          </cell>
          <cell r="DV8" t="str">
            <v>Maladie</v>
          </cell>
          <cell r="DW8" t="str">
            <v>Maladie</v>
          </cell>
          <cell r="DX8" t="str">
            <v>Maladie</v>
          </cell>
          <cell r="DY8" t="str">
            <v>Maladie</v>
          </cell>
          <cell r="DZ8" t="str">
            <v>Maladie</v>
          </cell>
          <cell r="EA8" t="str">
            <v>Maladie</v>
          </cell>
          <cell r="EB8" t="str">
            <v>Maladie</v>
          </cell>
          <cell r="EC8" t="str">
            <v>Maladie</v>
          </cell>
          <cell r="ED8" t="str">
            <v>Maladie</v>
          </cell>
          <cell r="EE8" t="str">
            <v>Maladie</v>
          </cell>
          <cell r="EF8" t="str">
            <v>Maladie</v>
          </cell>
          <cell r="EG8" t="str">
            <v>Maladie</v>
          </cell>
          <cell r="EH8" t="str">
            <v>Maladie</v>
          </cell>
          <cell r="EI8" t="str">
            <v>Maladie</v>
          </cell>
          <cell r="EJ8" t="str">
            <v>Maladie</v>
          </cell>
          <cell r="EK8" t="str">
            <v>Maladie</v>
          </cell>
          <cell r="EL8" t="str">
            <v>Maladie</v>
          </cell>
          <cell r="EM8" t="str">
            <v>Maladie</v>
          </cell>
          <cell r="EN8" t="str">
            <v>Maladie</v>
          </cell>
          <cell r="EO8" t="str">
            <v>Maladie</v>
          </cell>
          <cell r="EP8" t="str">
            <v>Maladie</v>
          </cell>
          <cell r="EQ8" t="str">
            <v>Maladie</v>
          </cell>
          <cell r="ER8" t="str">
            <v>Maladie</v>
          </cell>
          <cell r="ES8" t="str">
            <v>Maladie</v>
          </cell>
          <cell r="ET8" t="str">
            <v>Maladie</v>
          </cell>
          <cell r="EU8" t="str">
            <v>Maladie</v>
          </cell>
          <cell r="EV8" t="str">
            <v>Maladie</v>
          </cell>
          <cell r="EW8" t="str">
            <v>Maladie</v>
          </cell>
          <cell r="EX8" t="str">
            <v>Maladie</v>
          </cell>
          <cell r="EY8" t="str">
            <v>Maladie</v>
          </cell>
          <cell r="EZ8" t="str">
            <v>Maladie</v>
          </cell>
          <cell r="FA8" t="str">
            <v>Maladie</v>
          </cell>
          <cell r="FB8" t="str">
            <v>Maladie</v>
          </cell>
          <cell r="FC8" t="str">
            <v>Maladie</v>
          </cell>
          <cell r="FD8" t="str">
            <v>Maladie</v>
          </cell>
          <cell r="FE8" t="str">
            <v>Maladie</v>
          </cell>
          <cell r="FF8" t="str">
            <v>Maladie</v>
          </cell>
          <cell r="FG8" t="str">
            <v>Maladie</v>
          </cell>
          <cell r="FH8" t="str">
            <v>Maladie</v>
          </cell>
          <cell r="FI8" t="str">
            <v>NICE EST</v>
          </cell>
          <cell r="FJ8" t="str">
            <v>NICE EST</v>
          </cell>
          <cell r="FK8" t="str">
            <v>NICE EST</v>
          </cell>
          <cell r="FL8" t="str">
            <v>NICE EST</v>
          </cell>
          <cell r="FM8" t="str">
            <v>REPOS</v>
          </cell>
          <cell r="FN8" t="str">
            <v>REPOS</v>
          </cell>
          <cell r="FO8" t="str">
            <v>NICE EST</v>
          </cell>
          <cell r="FP8" t="str">
            <v>NICE EST</v>
          </cell>
          <cell r="FQ8" t="str">
            <v>NICE EST</v>
          </cell>
          <cell r="FR8" t="str">
            <v>NICE EST</v>
          </cell>
          <cell r="FS8" t="str">
            <v>NICE EST</v>
          </cell>
          <cell r="FT8" t="str">
            <v>REPOS</v>
          </cell>
          <cell r="FU8" t="str">
            <v>REPOS</v>
          </cell>
          <cell r="FV8" t="str">
            <v>NICE EST</v>
          </cell>
          <cell r="FW8" t="str">
            <v>NICE EST</v>
          </cell>
          <cell r="FX8" t="str">
            <v>NICE EST</v>
          </cell>
          <cell r="FY8" t="str">
            <v>NICE EST</v>
          </cell>
          <cell r="FZ8" t="str">
            <v>NICE EST</v>
          </cell>
          <cell r="GA8" t="str">
            <v>REPOS</v>
          </cell>
          <cell r="GB8" t="str">
            <v>REPOS</v>
          </cell>
          <cell r="GH8" t="str">
            <v>REPOS</v>
          </cell>
          <cell r="GI8" t="str">
            <v>REPOS</v>
          </cell>
          <cell r="GO8" t="str">
            <v>REPOS</v>
          </cell>
          <cell r="GP8" t="str">
            <v>REPOS</v>
          </cell>
          <cell r="GQ8" t="str">
            <v>Congés</v>
          </cell>
          <cell r="GR8" t="str">
            <v>Congés</v>
          </cell>
          <cell r="GS8" t="str">
            <v>Congés</v>
          </cell>
          <cell r="GT8" t="str">
            <v>Congés</v>
          </cell>
          <cell r="GU8" t="str">
            <v>Congés</v>
          </cell>
          <cell r="GV8" t="str">
            <v>REPOS</v>
          </cell>
          <cell r="GW8" t="str">
            <v>REPOS</v>
          </cell>
          <cell r="HL8" t="str">
            <v>Congés</v>
          </cell>
          <cell r="HM8" t="str">
            <v>Congés</v>
          </cell>
          <cell r="HN8" t="str">
            <v>Congés</v>
          </cell>
          <cell r="HO8" t="str">
            <v>Congés</v>
          </cell>
          <cell r="HP8" t="str">
            <v>Congés</v>
          </cell>
          <cell r="HQ8" t="str">
            <v>REPOS</v>
          </cell>
          <cell r="HR8" t="str">
            <v>REPOS</v>
          </cell>
          <cell r="HS8" t="str">
            <v>Congés</v>
          </cell>
          <cell r="HT8" t="str">
            <v>Congés</v>
          </cell>
          <cell r="HU8" t="str">
            <v>Congés</v>
          </cell>
          <cell r="HV8" t="str">
            <v>Congés</v>
          </cell>
          <cell r="HW8" t="str">
            <v>Congés</v>
          </cell>
          <cell r="HX8" t="str">
            <v>REPOS</v>
          </cell>
          <cell r="HY8" t="str">
            <v>REPOS</v>
          </cell>
        </row>
        <row r="9">
          <cell r="J9" t="str">
            <v>AUTRE COP</v>
          </cell>
          <cell r="K9" t="str">
            <v>AUTRE COP</v>
          </cell>
          <cell r="L9" t="str">
            <v>REPOS</v>
          </cell>
          <cell r="M9" t="str">
            <v>NICE OUEST</v>
          </cell>
          <cell r="N9" t="str">
            <v>NICE OUEST</v>
          </cell>
          <cell r="O9" t="str">
            <v>NICE OUEST</v>
          </cell>
          <cell r="P9" t="str">
            <v>REPOS</v>
          </cell>
          <cell r="Q9" t="str">
            <v>ENC MATIN 5H-12H</v>
          </cell>
          <cell r="R9" t="str">
            <v>ENC MATIN 5H-12H</v>
          </cell>
          <cell r="S9" t="str">
            <v>ENC MATIN 5H-12H</v>
          </cell>
          <cell r="T9" t="str">
            <v>ENC MATIN 5H-12H</v>
          </cell>
          <cell r="U9" t="str">
            <v>ENC MATIN 5H-12H</v>
          </cell>
          <cell r="V9" t="str">
            <v>HS NICE OUEST</v>
          </cell>
          <cell r="W9" t="str">
            <v>REPOS</v>
          </cell>
          <cell r="X9" t="str">
            <v>ENC NUIT 20H30-02H30</v>
          </cell>
          <cell r="Y9" t="str">
            <v>ENC NUIT 20H30-02H30</v>
          </cell>
          <cell r="Z9" t="str">
            <v>ENC NUIT 20H30-02H30</v>
          </cell>
          <cell r="AA9" t="str">
            <v>ENC NUIT 20H30-02H30</v>
          </cell>
          <cell r="AB9" t="str">
            <v>ENC NUIT 20H30-02H30</v>
          </cell>
          <cell r="AC9" t="str">
            <v>REPOS</v>
          </cell>
          <cell r="AD9" t="str">
            <v>REPOS</v>
          </cell>
          <cell r="AE9" t="str">
            <v>ENC NUIT 20H30-03H30</v>
          </cell>
          <cell r="AF9" t="str">
            <v>ENC NUIT 20H30-03H30</v>
          </cell>
          <cell r="AG9" t="str">
            <v>ENC NUIT 20H30-03H30</v>
          </cell>
          <cell r="AH9" t="str">
            <v>Congés</v>
          </cell>
          <cell r="AI9" t="str">
            <v>ENC NUIT 20H30-03H30</v>
          </cell>
          <cell r="AJ9" t="str">
            <v>REPOS</v>
          </cell>
          <cell r="AK9" t="str">
            <v>NICE OUEST DIM</v>
          </cell>
          <cell r="AL9" t="str">
            <v>ENC MATIN 5H-12H</v>
          </cell>
          <cell r="AM9" t="str">
            <v>ENC MATIN 5H-12H</v>
          </cell>
          <cell r="AN9" t="str">
            <v>B. CARTON</v>
          </cell>
          <cell r="AO9" t="str">
            <v>ENC MATIN 5H-12H</v>
          </cell>
          <cell r="AP9" t="str">
            <v>B. CARTON</v>
          </cell>
          <cell r="AQ9" t="str">
            <v>REPOS</v>
          </cell>
          <cell r="AR9" t="str">
            <v>REPOS</v>
          </cell>
          <cell r="AS9" t="str">
            <v>ENC NUIT 20H30-03H30</v>
          </cell>
          <cell r="AT9" t="str">
            <v>ENC NUIT 20H30-03H30</v>
          </cell>
          <cell r="AU9" t="str">
            <v>ENC NUIT 20H30-03H30</v>
          </cell>
          <cell r="AV9" t="str">
            <v>ENC NUIT 20H30-03H30</v>
          </cell>
          <cell r="AW9" t="str">
            <v>Congés</v>
          </cell>
          <cell r="AX9" t="str">
            <v>REPOS</v>
          </cell>
          <cell r="AY9" t="str">
            <v>V.N Matin DIM</v>
          </cell>
          <cell r="AZ9" t="str">
            <v>ENC MATIN 5H-12H</v>
          </cell>
          <cell r="BA9" t="str">
            <v>ENC MATIN 5H-12H</v>
          </cell>
          <cell r="BB9" t="str">
            <v>ENC MATIN 5H-12H</v>
          </cell>
          <cell r="BC9" t="str">
            <v>REPOS</v>
          </cell>
          <cell r="BD9" t="str">
            <v>ENC MATIN 5H-12H</v>
          </cell>
          <cell r="BE9" t="str">
            <v>NICE OUEST</v>
          </cell>
          <cell r="BF9" t="str">
            <v>REPOS</v>
          </cell>
          <cell r="BG9" t="str">
            <v>ENC NUIT 20H30-02H30</v>
          </cell>
          <cell r="BH9" t="str">
            <v>FORMATION | 20:00-00:00</v>
          </cell>
          <cell r="BI9" t="str">
            <v>ENC NUIT 20H30-02H30</v>
          </cell>
          <cell r="BJ9" t="str">
            <v>ENC NUIT 20H30-02H30</v>
          </cell>
          <cell r="BK9" t="str">
            <v>ENC NUIT 20H30-02H30</v>
          </cell>
          <cell r="BL9" t="str">
            <v>REPOS</v>
          </cell>
          <cell r="BM9" t="str">
            <v>HS presta. Except | 11:00-19:00</v>
          </cell>
          <cell r="BN9" t="str">
            <v>ENC NUIT 20H30-02H30</v>
          </cell>
          <cell r="BO9" t="str">
            <v>FORMATION</v>
          </cell>
          <cell r="BP9" t="str">
            <v>Congés</v>
          </cell>
          <cell r="BQ9" t="str">
            <v>ENC NUIT 20H30-02H30</v>
          </cell>
          <cell r="BR9" t="str">
            <v>ENC NUIT 20H30-02H30</v>
          </cell>
          <cell r="BS9" t="str">
            <v>REPOS</v>
          </cell>
          <cell r="BT9" t="str">
            <v>NICE OUEST DIM</v>
          </cell>
          <cell r="BU9" t="str">
            <v>NICE OUEST</v>
          </cell>
          <cell r="BV9" t="str">
            <v>REPOS</v>
          </cell>
          <cell r="BW9" t="str">
            <v>NICE OUEST</v>
          </cell>
          <cell r="BX9" t="str">
            <v>ENC MATIN 5H-12H</v>
          </cell>
          <cell r="BY9" t="str">
            <v>ENC MATIN 5H-12H</v>
          </cell>
          <cell r="BZ9" t="str">
            <v>NICE OUEST</v>
          </cell>
          <cell r="CA9" t="str">
            <v>REPOS</v>
          </cell>
          <cell r="CB9" t="str">
            <v>ENC MATIN 5H-12H</v>
          </cell>
          <cell r="CC9" t="str">
            <v>CARTON MATIN</v>
          </cell>
          <cell r="CD9" t="str">
            <v>CARTON MATIN</v>
          </cell>
          <cell r="CE9" t="str">
            <v>CARTON MATIN</v>
          </cell>
          <cell r="CF9" t="str">
            <v>CARTON MATIN</v>
          </cell>
          <cell r="CG9" t="str">
            <v>HS NICE EST</v>
          </cell>
          <cell r="CH9" t="str">
            <v>REPOS</v>
          </cell>
          <cell r="CI9" t="str">
            <v>ENC MATIN 5H-12H</v>
          </cell>
          <cell r="CJ9" t="str">
            <v>CARTON MATIN</v>
          </cell>
          <cell r="CK9" t="str">
            <v>NICE EST</v>
          </cell>
          <cell r="CL9" t="str">
            <v>CARTON MATIN</v>
          </cell>
          <cell r="CM9" t="str">
            <v>B. CARTON</v>
          </cell>
          <cell r="CN9" t="str">
            <v>HS NICE OUEST</v>
          </cell>
          <cell r="CO9" t="str">
            <v>REPOS</v>
          </cell>
          <cell r="CP9" t="str">
            <v>Congés</v>
          </cell>
          <cell r="CQ9" t="str">
            <v>Congés</v>
          </cell>
          <cell r="CR9" t="str">
            <v>Congés</v>
          </cell>
          <cell r="CS9" t="str">
            <v>Congés</v>
          </cell>
          <cell r="CT9" t="str">
            <v>Congés</v>
          </cell>
          <cell r="CU9" t="str">
            <v>REPOS</v>
          </cell>
          <cell r="CV9" t="str">
            <v>REPOS</v>
          </cell>
          <cell r="CW9" t="str">
            <v>REPOS</v>
          </cell>
          <cell r="CX9" t="str">
            <v>CARTON MATIN</v>
          </cell>
          <cell r="CY9" t="str">
            <v>CARTON MATIN</v>
          </cell>
          <cell r="CZ9" t="str">
            <v>CARTON MATIN</v>
          </cell>
          <cell r="DA9" t="str">
            <v>CARTON MATIN</v>
          </cell>
          <cell r="DB9" t="str">
            <v>REPOS</v>
          </cell>
          <cell r="DC9" t="str">
            <v>NICE NORD DIM</v>
          </cell>
          <cell r="DD9" t="str">
            <v>ENC MATIN 5H-12H</v>
          </cell>
          <cell r="DE9" t="str">
            <v>NICE EST</v>
          </cell>
          <cell r="DF9" t="str">
            <v>B. CARTON</v>
          </cell>
          <cell r="DG9" t="str">
            <v>B. CARTON</v>
          </cell>
          <cell r="DH9" t="str">
            <v>REPOS</v>
          </cell>
          <cell r="DI9" t="str">
            <v>Congés</v>
          </cell>
          <cell r="DJ9" t="str">
            <v>REPOS</v>
          </cell>
          <cell r="DK9" t="str">
            <v>B. CARTON</v>
          </cell>
          <cell r="DL9" t="str">
            <v>B. CARTON</v>
          </cell>
          <cell r="DM9" t="str">
            <v>B. CARTON</v>
          </cell>
          <cell r="DN9" t="str">
            <v>B. CARTON</v>
          </cell>
          <cell r="DO9" t="str">
            <v>B. CARTON</v>
          </cell>
          <cell r="DP9" t="str">
            <v>HS NICE OUEST</v>
          </cell>
          <cell r="DQ9" t="str">
            <v>REPOS</v>
          </cell>
          <cell r="DR9" t="str">
            <v>NICE OUEST</v>
          </cell>
          <cell r="DS9" t="str">
            <v>NICE OUEST</v>
          </cell>
          <cell r="DT9" t="str">
            <v>NICE OUEST</v>
          </cell>
          <cell r="DU9" t="str">
            <v>NICE OUEST</v>
          </cell>
          <cell r="DV9" t="str">
            <v>NICE OUEST</v>
          </cell>
          <cell r="DW9" t="str">
            <v>REPOS</v>
          </cell>
          <cell r="DX9" t="str">
            <v>REPOS</v>
          </cell>
          <cell r="DY9" t="str">
            <v>NICE OUEST</v>
          </cell>
          <cell r="DZ9" t="str">
            <v>REPOS</v>
          </cell>
          <cell r="EA9" t="str">
            <v>NICE OUEST</v>
          </cell>
          <cell r="EB9" t="str">
            <v>REPOS</v>
          </cell>
          <cell r="EC9" t="str">
            <v>NICE OUEST</v>
          </cell>
          <cell r="ED9" t="str">
            <v>NICE OUEST</v>
          </cell>
          <cell r="EE9" t="str">
            <v>REPOS</v>
          </cell>
          <cell r="EF9" t="str">
            <v>B. CARTON | NICE EST</v>
          </cell>
          <cell r="EG9" t="str">
            <v>REPOS</v>
          </cell>
          <cell r="EH9" t="str">
            <v>NICE EST</v>
          </cell>
          <cell r="EI9" t="str">
            <v>REPOS</v>
          </cell>
          <cell r="EJ9" t="str">
            <v>NICE EST</v>
          </cell>
          <cell r="EK9" t="str">
            <v>REPOS</v>
          </cell>
          <cell r="EL9" t="str">
            <v>REPOS</v>
          </cell>
          <cell r="EM9" t="str">
            <v>Congés</v>
          </cell>
          <cell r="EN9" t="str">
            <v>NICE EST</v>
          </cell>
          <cell r="EO9" t="str">
            <v>CARTON MATIN</v>
          </cell>
          <cell r="EP9" t="str">
            <v>RTT Matin</v>
          </cell>
          <cell r="EQ9" t="str">
            <v>NICE EST</v>
          </cell>
          <cell r="ER9" t="str">
            <v>REPOS</v>
          </cell>
          <cell r="ES9" t="str">
            <v>NICE EST DIM</v>
          </cell>
          <cell r="ET9" t="str">
            <v>CARTON AP</v>
          </cell>
          <cell r="EU9" t="str">
            <v>REPOS</v>
          </cell>
          <cell r="EV9" t="str">
            <v>ENC MATIN 5H-12H</v>
          </cell>
          <cell r="EW9" t="str">
            <v>ENC MATIN 5H-12H</v>
          </cell>
          <cell r="EX9" t="str">
            <v>ENC MATIN 5H-12H</v>
          </cell>
          <cell r="EY9" t="str">
            <v>NICE EST</v>
          </cell>
          <cell r="EZ9" t="str">
            <v>REPOS</v>
          </cell>
          <cell r="FA9" t="str">
            <v>CARTON AP</v>
          </cell>
          <cell r="FB9" t="str">
            <v>CARTON AP</v>
          </cell>
          <cell r="FC9" t="str">
            <v>CARTON AP</v>
          </cell>
          <cell r="FD9" t="str">
            <v>CARTON AP</v>
          </cell>
          <cell r="FE9" t="str">
            <v>CARTON AP</v>
          </cell>
          <cell r="FF9" t="str">
            <v>REPOS</v>
          </cell>
          <cell r="FG9" t="str">
            <v>REPOS</v>
          </cell>
          <cell r="FH9" t="str">
            <v>ENC NUIT 20H30-03H30</v>
          </cell>
          <cell r="FI9" t="str">
            <v>ENC NUIT 20H30-03H30</v>
          </cell>
          <cell r="FJ9" t="str">
            <v>ENC NUIT 20H30-03H30</v>
          </cell>
          <cell r="FK9" t="str">
            <v>ENC NUIT 20H30-03H30</v>
          </cell>
          <cell r="FL9" t="str">
            <v>ENC NUIT 20H30-03H30</v>
          </cell>
          <cell r="FM9" t="str">
            <v>REPOS</v>
          </cell>
          <cell r="FN9" t="str">
            <v>NICE EST DIM</v>
          </cell>
          <cell r="FO9" t="str">
            <v>ENC NUIT 20H30-03H30</v>
          </cell>
          <cell r="FP9" t="str">
            <v>ENC NUIT 20H30-03H30</v>
          </cell>
          <cell r="FQ9" t="str">
            <v>ENC NUIT 20H30-03H30</v>
          </cell>
          <cell r="FR9" t="str">
            <v>ENC NUIT 20H30-03H30</v>
          </cell>
          <cell r="FS9" t="str">
            <v>ENC NUIT 20H30-03H30</v>
          </cell>
          <cell r="FT9" t="str">
            <v>REPOS</v>
          </cell>
          <cell r="FU9" t="str">
            <v>REPOS</v>
          </cell>
          <cell r="FV9" t="str">
            <v>ENC MATIN 5H-12H</v>
          </cell>
          <cell r="FW9" t="str">
            <v>ENC MATIN 5H-12H</v>
          </cell>
          <cell r="FX9" t="str">
            <v>ENC MATIN 5H-12H</v>
          </cell>
          <cell r="FY9" t="str">
            <v>ENC MATIN 5H-12H</v>
          </cell>
          <cell r="FZ9" t="str">
            <v>NICE OUEST</v>
          </cell>
          <cell r="GA9" t="str">
            <v>REPOS</v>
          </cell>
          <cell r="GB9" t="str">
            <v>REPOS</v>
          </cell>
          <cell r="GC9" t="str">
            <v>NICE OUEST</v>
          </cell>
          <cell r="GD9" t="str">
            <v>NICE OUEST</v>
          </cell>
          <cell r="GH9" t="str">
            <v>REPOS</v>
          </cell>
          <cell r="GI9" t="str">
            <v>REPOS</v>
          </cell>
          <cell r="GJ9" t="str">
            <v>Congés</v>
          </cell>
          <cell r="GK9" t="str">
            <v>Congés</v>
          </cell>
          <cell r="GL9" t="str">
            <v>Congés</v>
          </cell>
          <cell r="GM9" t="str">
            <v>Congés</v>
          </cell>
          <cell r="GN9" t="str">
            <v>Congés</v>
          </cell>
          <cell r="GO9" t="str">
            <v>REPOS</v>
          </cell>
          <cell r="GP9" t="str">
            <v>REPOS</v>
          </cell>
          <cell r="GQ9" t="str">
            <v>Congés</v>
          </cell>
          <cell r="GR9" t="str">
            <v>Congés</v>
          </cell>
          <cell r="GS9" t="str">
            <v>Congés</v>
          </cell>
          <cell r="GT9" t="str">
            <v>Congés</v>
          </cell>
          <cell r="GU9" t="str">
            <v>Congés</v>
          </cell>
          <cell r="GV9" t="str">
            <v>REPOS</v>
          </cell>
          <cell r="GW9" t="str">
            <v>REPOS</v>
          </cell>
        </row>
        <row r="10">
          <cell r="J10" t="str">
            <v>REPOS</v>
          </cell>
          <cell r="K10" t="str">
            <v>NICE NORD</v>
          </cell>
          <cell r="L10" t="str">
            <v>NICE OUEST</v>
          </cell>
          <cell r="M10" t="str">
            <v>NICE OUEST</v>
          </cell>
          <cell r="N10" t="str">
            <v>REPOS</v>
          </cell>
          <cell r="O10" t="str">
            <v>NICE OUEST</v>
          </cell>
          <cell r="P10" t="str">
            <v>REPOS</v>
          </cell>
          <cell r="Q10" t="str">
            <v>NICE NORD</v>
          </cell>
          <cell r="R10" t="str">
            <v>NICE OUEST</v>
          </cell>
          <cell r="S10" t="str">
            <v>NICE OUEST</v>
          </cell>
          <cell r="T10" t="str">
            <v>NICE OUEST</v>
          </cell>
          <cell r="U10" t="str">
            <v>NICE OUEST</v>
          </cell>
          <cell r="V10" t="str">
            <v>REPOS</v>
          </cell>
          <cell r="W10" t="str">
            <v>REPOS</v>
          </cell>
          <cell r="X10" t="str">
            <v>NICE OUEST</v>
          </cell>
          <cell r="Y10" t="str">
            <v>NICE OUEST</v>
          </cell>
          <cell r="Z10" t="str">
            <v>NICE OUEST</v>
          </cell>
          <cell r="AA10" t="str">
            <v>NICE OUEST</v>
          </cell>
          <cell r="AB10" t="str">
            <v>NICE OUEST</v>
          </cell>
          <cell r="AC10" t="str">
            <v>REPOS</v>
          </cell>
          <cell r="AD10" t="str">
            <v>REPOS</v>
          </cell>
          <cell r="AE10" t="str">
            <v>NICE OUEST</v>
          </cell>
          <cell r="AF10" t="str">
            <v>NICE OUEST</v>
          </cell>
          <cell r="AG10" t="str">
            <v>NICE OUEST</v>
          </cell>
          <cell r="AH10" t="str">
            <v>REPOS</v>
          </cell>
          <cell r="AI10" t="str">
            <v>NICE OUEST</v>
          </cell>
          <cell r="AJ10" t="str">
            <v>NICE OUEST</v>
          </cell>
          <cell r="AK10" t="str">
            <v>REPOS</v>
          </cell>
          <cell r="AL10" t="str">
            <v>NICE NORD</v>
          </cell>
          <cell r="AM10" t="str">
            <v>NICE OUEST</v>
          </cell>
          <cell r="AN10" t="str">
            <v>NICE OUEST</v>
          </cell>
          <cell r="AO10" t="str">
            <v>NICE OUEST</v>
          </cell>
          <cell r="AP10" t="str">
            <v>NICE OUEST</v>
          </cell>
          <cell r="AQ10" t="str">
            <v>REPOS</v>
          </cell>
          <cell r="AR10" t="str">
            <v>REPOS</v>
          </cell>
          <cell r="AS10" t="str">
            <v>NICE OUEST</v>
          </cell>
          <cell r="AT10" t="str">
            <v>NICE OUEST</v>
          </cell>
          <cell r="AU10" t="str">
            <v>NICE OUEST</v>
          </cell>
          <cell r="AV10" t="str">
            <v>NICE OUEST</v>
          </cell>
          <cell r="AW10" t="str">
            <v>NICE OUEST</v>
          </cell>
          <cell r="AX10" t="str">
            <v>REPOS</v>
          </cell>
          <cell r="AY10" t="str">
            <v>REPOS</v>
          </cell>
          <cell r="AZ10" t="str">
            <v>NICE OUEST</v>
          </cell>
          <cell r="BA10" t="str">
            <v>NICE OUEST</v>
          </cell>
          <cell r="BB10" t="str">
            <v>NICE OUEST</v>
          </cell>
          <cell r="BC10" t="str">
            <v>NICE OUEST</v>
          </cell>
          <cell r="BD10" t="str">
            <v>NICE OUEST</v>
          </cell>
          <cell r="BE10" t="str">
            <v>REPOS</v>
          </cell>
          <cell r="BF10" t="str">
            <v>REPOS</v>
          </cell>
          <cell r="BG10" t="str">
            <v>RTT</v>
          </cell>
          <cell r="BH10" t="str">
            <v>RTT</v>
          </cell>
          <cell r="BI10" t="str">
            <v>RTT</v>
          </cell>
          <cell r="BJ10" t="str">
            <v>Congés</v>
          </cell>
          <cell r="BK10" t="str">
            <v>Congés</v>
          </cell>
          <cell r="BL10" t="str">
            <v>REPOS</v>
          </cell>
          <cell r="BM10" t="str">
            <v>REPOS</v>
          </cell>
          <cell r="BN10" t="str">
            <v>NICE OUEST</v>
          </cell>
          <cell r="BO10" t="str">
            <v>NICE OUEST</v>
          </cell>
          <cell r="BP10" t="str">
            <v>NICE OUEST</v>
          </cell>
          <cell r="BQ10" t="str">
            <v>NICE OUEST</v>
          </cell>
          <cell r="BR10" t="str">
            <v>REPOS</v>
          </cell>
          <cell r="BS10" t="str">
            <v>NICE OUEST</v>
          </cell>
          <cell r="BT10" t="str">
            <v>REPOS</v>
          </cell>
          <cell r="BU10" t="str">
            <v>NICE NORD</v>
          </cell>
          <cell r="BV10" t="str">
            <v>NICE OUEST</v>
          </cell>
          <cell r="BW10" t="str">
            <v>NICE OUEST</v>
          </cell>
          <cell r="BX10" t="str">
            <v>NICE OUEST</v>
          </cell>
          <cell r="BY10" t="str">
            <v>NICE OUEST</v>
          </cell>
          <cell r="BZ10" t="str">
            <v>REPOS</v>
          </cell>
          <cell r="CA10" t="str">
            <v>REPOS</v>
          </cell>
          <cell r="CB10" t="str">
            <v>NICE OUEST</v>
          </cell>
          <cell r="CC10" t="str">
            <v>NICE OUEST</v>
          </cell>
          <cell r="CD10" t="str">
            <v>NICE OUEST</v>
          </cell>
          <cell r="CE10" t="str">
            <v>NICE OUEST</v>
          </cell>
          <cell r="CF10" t="str">
            <v>NICE OUEST</v>
          </cell>
          <cell r="CG10" t="str">
            <v>REPOS</v>
          </cell>
          <cell r="CH10" t="str">
            <v>REPOS</v>
          </cell>
          <cell r="CI10" t="str">
            <v>NICE OUEST</v>
          </cell>
          <cell r="CJ10" t="str">
            <v>NICE OUEST</v>
          </cell>
          <cell r="CK10" t="str">
            <v>NICE OUEST</v>
          </cell>
          <cell r="CL10" t="str">
            <v>NICE NORD</v>
          </cell>
          <cell r="CM10" t="str">
            <v>NICE OUEST</v>
          </cell>
          <cell r="CN10" t="str">
            <v>REPOS</v>
          </cell>
          <cell r="CO10" t="str">
            <v>REPOS</v>
          </cell>
          <cell r="CP10" t="str">
            <v>NICE OUEST</v>
          </cell>
          <cell r="CQ10" t="str">
            <v>NICE OUEST</v>
          </cell>
          <cell r="CR10" t="str">
            <v>NICE OUEST</v>
          </cell>
          <cell r="CS10" t="str">
            <v>NICE NORD</v>
          </cell>
          <cell r="CT10" t="str">
            <v>REPOS</v>
          </cell>
          <cell r="CU10" t="str">
            <v>NICE OUEST</v>
          </cell>
          <cell r="CV10" t="str">
            <v>REPOS</v>
          </cell>
          <cell r="CW10" t="str">
            <v>REPOS</v>
          </cell>
          <cell r="CX10" t="str">
            <v>NICE OUEST</v>
          </cell>
          <cell r="CY10" t="str">
            <v>NICE OUEST</v>
          </cell>
          <cell r="CZ10" t="str">
            <v>Congés</v>
          </cell>
          <cell r="DA10" t="str">
            <v>NICE OUEST</v>
          </cell>
          <cell r="DB10" t="str">
            <v>REPOS</v>
          </cell>
          <cell r="DC10" t="str">
            <v>REPOS</v>
          </cell>
          <cell r="DD10" t="str">
            <v>NICE OUEST</v>
          </cell>
          <cell r="DE10" t="str">
            <v>NICE OUEST</v>
          </cell>
          <cell r="DF10" t="str">
            <v>RTT AM</v>
          </cell>
          <cell r="DG10" t="str">
            <v>NICE OUEST</v>
          </cell>
          <cell r="DH10" t="str">
            <v>NICE OUEST</v>
          </cell>
          <cell r="DI10" t="str">
            <v>REPOS</v>
          </cell>
          <cell r="DJ10" t="str">
            <v>REPOS</v>
          </cell>
          <cell r="DK10" t="str">
            <v>NICE OUEST</v>
          </cell>
          <cell r="DL10" t="str">
            <v>NICE OUEST</v>
          </cell>
          <cell r="DM10" t="str">
            <v>NICE OUEST</v>
          </cell>
          <cell r="DN10" t="str">
            <v>NICE OUEST</v>
          </cell>
          <cell r="DO10" t="str">
            <v>NICE OUEST</v>
          </cell>
          <cell r="DP10" t="str">
            <v>REPOS</v>
          </cell>
          <cell r="DQ10" t="str">
            <v>REPOS</v>
          </cell>
          <cell r="DR10" t="str">
            <v>NICE OUEST</v>
          </cell>
          <cell r="DS10" t="str">
            <v>NICE OUEST</v>
          </cell>
          <cell r="DT10" t="str">
            <v>NICE OUEST</v>
          </cell>
          <cell r="DU10" t="str">
            <v>REPOS</v>
          </cell>
          <cell r="DV10" t="str">
            <v>NICE OUEST</v>
          </cell>
          <cell r="DW10" t="str">
            <v>NICE OUEST</v>
          </cell>
          <cell r="DX10" t="str">
            <v>REPOS</v>
          </cell>
          <cell r="DY10" t="str">
            <v>NICE OUEST</v>
          </cell>
          <cell r="DZ10" t="str">
            <v>REPOS</v>
          </cell>
          <cell r="EA10" t="str">
            <v>NICE OUEST</v>
          </cell>
          <cell r="EB10" t="str">
            <v>NICE OUEST</v>
          </cell>
          <cell r="EC10" t="str">
            <v>NICE OUEST</v>
          </cell>
          <cell r="ED10" t="str">
            <v>REPOS</v>
          </cell>
          <cell r="EE10" t="str">
            <v>REPOS</v>
          </cell>
          <cell r="EF10" t="str">
            <v>NICE OUEST</v>
          </cell>
          <cell r="EG10" t="str">
            <v>REPOS</v>
          </cell>
          <cell r="EH10" t="str">
            <v>NICE OUEST</v>
          </cell>
          <cell r="EI10" t="str">
            <v>REPOS</v>
          </cell>
          <cell r="EJ10" t="str">
            <v>NICE OUEST</v>
          </cell>
          <cell r="EK10" t="str">
            <v>REPOS</v>
          </cell>
          <cell r="EL10" t="str">
            <v>REPOS</v>
          </cell>
          <cell r="EM10" t="str">
            <v>NICE NORD</v>
          </cell>
          <cell r="EN10" t="str">
            <v>NICE OUEST</v>
          </cell>
          <cell r="EO10" t="str">
            <v>Congés</v>
          </cell>
          <cell r="EP10" t="str">
            <v>NICE OUEST</v>
          </cell>
          <cell r="EQ10" t="str">
            <v>NICE OUEST</v>
          </cell>
          <cell r="ER10" t="str">
            <v>REPOS</v>
          </cell>
          <cell r="ES10" t="str">
            <v>REPOS</v>
          </cell>
          <cell r="ET10" t="str">
            <v>RTT</v>
          </cell>
          <cell r="EU10" t="str">
            <v>NICE OUEST</v>
          </cell>
          <cell r="EV10" t="str">
            <v>NICE OUEST</v>
          </cell>
          <cell r="EW10" t="str">
            <v>NICE NORD</v>
          </cell>
          <cell r="EX10" t="str">
            <v>NICE OUEST</v>
          </cell>
          <cell r="EY10" t="str">
            <v>REPOS</v>
          </cell>
          <cell r="EZ10" t="str">
            <v>REPOS</v>
          </cell>
          <cell r="FA10" t="str">
            <v>NICE OUEST</v>
          </cell>
          <cell r="FB10" t="str">
            <v>REPOS</v>
          </cell>
          <cell r="FC10" t="str">
            <v>NICE OUEST</v>
          </cell>
          <cell r="FD10" t="str">
            <v>NICE OUEST</v>
          </cell>
          <cell r="FE10" t="str">
            <v>NICE OUEST</v>
          </cell>
          <cell r="FF10" t="str">
            <v>NICE OUEST</v>
          </cell>
          <cell r="FG10" t="str">
            <v>REPOS</v>
          </cell>
          <cell r="FH10" t="str">
            <v>NICE OUEST</v>
          </cell>
          <cell r="FI10" t="str">
            <v>NICE OUEST</v>
          </cell>
          <cell r="FJ10" t="str">
            <v>NICE OUEST</v>
          </cell>
          <cell r="FK10" t="str">
            <v>NICE OUEST</v>
          </cell>
          <cell r="FL10" t="str">
            <v>NICE OUEST</v>
          </cell>
          <cell r="FM10" t="str">
            <v>REPOS</v>
          </cell>
          <cell r="FN10" t="str">
            <v>REPOS</v>
          </cell>
          <cell r="FO10" t="str">
            <v>NICE NORD</v>
          </cell>
          <cell r="FP10" t="str">
            <v>NICE OUEST</v>
          </cell>
          <cell r="FQ10" t="str">
            <v>NICE OUEST</v>
          </cell>
          <cell r="FR10" t="str">
            <v>NICE OUEST</v>
          </cell>
          <cell r="FS10" t="str">
            <v>NICE OUEST</v>
          </cell>
          <cell r="FT10" t="str">
            <v>REPOS</v>
          </cell>
          <cell r="FU10" t="str">
            <v>REPOS</v>
          </cell>
          <cell r="FV10" t="str">
            <v>NICE OUEST</v>
          </cell>
          <cell r="FW10" t="str">
            <v>NICE OUEST</v>
          </cell>
          <cell r="FX10" t="str">
            <v>RTT AM</v>
          </cell>
          <cell r="FY10" t="str">
            <v>NICE OUEST</v>
          </cell>
          <cell r="FZ10" t="str">
            <v>NICE OUEST</v>
          </cell>
          <cell r="GA10" t="str">
            <v>REPOS</v>
          </cell>
          <cell r="GB10" t="str">
            <v>REPOS</v>
          </cell>
          <cell r="GC10" t="str">
            <v>RTT</v>
          </cell>
          <cell r="GD10" t="str">
            <v>Congés</v>
          </cell>
          <cell r="GE10" t="str">
            <v>NICE OUEST</v>
          </cell>
          <cell r="GF10" t="str">
            <v>NICE OUEST</v>
          </cell>
          <cell r="GG10" t="str">
            <v>NICE OUEST</v>
          </cell>
          <cell r="GH10" t="str">
            <v>REPOS</v>
          </cell>
          <cell r="GI10" t="str">
            <v>REPOS</v>
          </cell>
          <cell r="HX10" t="str">
            <v>REPOS</v>
          </cell>
          <cell r="HY10" t="str">
            <v>REPOS</v>
          </cell>
          <cell r="HZ10" t="str">
            <v>Congés</v>
          </cell>
          <cell r="IA10" t="str">
            <v>Congés</v>
          </cell>
          <cell r="IB10" t="str">
            <v>REPOS</v>
          </cell>
          <cell r="IC10" t="str">
            <v>Congés</v>
          </cell>
          <cell r="ID10" t="str">
            <v>Congés</v>
          </cell>
          <cell r="IE10" t="str">
            <v>REPOS</v>
          </cell>
          <cell r="IF10" t="str">
            <v>REPOS</v>
          </cell>
          <cell r="IG10" t="str">
            <v>Congés</v>
          </cell>
          <cell r="IH10" t="str">
            <v>Congés</v>
          </cell>
          <cell r="II10" t="str">
            <v>Congés</v>
          </cell>
          <cell r="IJ10" t="str">
            <v>Congés</v>
          </cell>
          <cell r="IK10" t="str">
            <v>Congés</v>
          </cell>
          <cell r="IL10" t="str">
            <v>REPOS</v>
          </cell>
          <cell r="IM10" t="str">
            <v>REPOS</v>
          </cell>
        </row>
        <row r="11">
          <cell r="BQ11" t="str">
            <v>ENC MATIN 5H-12H</v>
          </cell>
          <cell r="BR11" t="str">
            <v>ENC MATIN 5H-12H</v>
          </cell>
          <cell r="BS11" t="str">
            <v>REPOS</v>
          </cell>
          <cell r="BT11" t="str">
            <v>REPOS</v>
          </cell>
          <cell r="BU11" t="str">
            <v>NICE EST</v>
          </cell>
          <cell r="BV11" t="str">
            <v>NICE EST</v>
          </cell>
          <cell r="BW11" t="str">
            <v>NICE EST</v>
          </cell>
          <cell r="BX11" t="str">
            <v>NICE EST</v>
          </cell>
          <cell r="BY11" t="str">
            <v>NICE EST</v>
          </cell>
          <cell r="BZ11" t="str">
            <v>REPOS</v>
          </cell>
          <cell r="CA11" t="str">
            <v>ENC NUIT 20H30-02H30</v>
          </cell>
          <cell r="CB11" t="str">
            <v>ENC NUIT 20H30-03H30</v>
          </cell>
          <cell r="CC11" t="str">
            <v>ENC NUIT 20H30-03H30</v>
          </cell>
          <cell r="CD11" t="str">
            <v>ENC NUIT 20H30-03H30</v>
          </cell>
          <cell r="CE11" t="str">
            <v>ENC NUIT 20H30-03H30</v>
          </cell>
          <cell r="CF11" t="str">
            <v>REPOS</v>
          </cell>
          <cell r="CG11" t="str">
            <v>REPOS</v>
          </cell>
          <cell r="CH11" t="str">
            <v>ENC NUIT 20H30-03H30</v>
          </cell>
          <cell r="CI11" t="str">
            <v>ENC NUIT 20H30-03H30</v>
          </cell>
          <cell r="CJ11" t="str">
            <v>ENC NUIT 20H30-03H30</v>
          </cell>
          <cell r="CK11" t="str">
            <v>ENC NUIT 20H30-03H30</v>
          </cell>
          <cell r="CL11" t="str">
            <v>ENC NUIT 20H30-03H30</v>
          </cell>
          <cell r="CM11" t="str">
            <v>REPOS</v>
          </cell>
          <cell r="CN11" t="str">
            <v>REPOS</v>
          </cell>
          <cell r="CO11" t="str">
            <v>REPOS</v>
          </cell>
          <cell r="CP11" t="str">
            <v>ENC MATIN 5H-12H</v>
          </cell>
          <cell r="CQ11" t="str">
            <v>REPOS</v>
          </cell>
          <cell r="CR11" t="str">
            <v>B. CARTON</v>
          </cell>
          <cell r="CS11" t="str">
            <v>B. CARTON</v>
          </cell>
          <cell r="CT11" t="str">
            <v>B. CARTON</v>
          </cell>
          <cell r="CU11" t="str">
            <v>NICE OUEST</v>
          </cell>
          <cell r="CV11" t="str">
            <v>REPOS</v>
          </cell>
          <cell r="CW11" t="str">
            <v>REPOS</v>
          </cell>
          <cell r="CX11" t="str">
            <v>ENC NUIT 20H30-03H30</v>
          </cell>
          <cell r="CY11" t="str">
            <v>ENC NUIT 20H30-03H30</v>
          </cell>
          <cell r="CZ11" t="str">
            <v>AT</v>
          </cell>
          <cell r="DA11" t="str">
            <v>AT</v>
          </cell>
          <cell r="DB11" t="str">
            <v>AT</v>
          </cell>
          <cell r="DC11" t="str">
            <v>AT</v>
          </cell>
          <cell r="DD11" t="str">
            <v>AT</v>
          </cell>
          <cell r="DE11" t="str">
            <v>AT</v>
          </cell>
          <cell r="DF11" t="str">
            <v>AT</v>
          </cell>
          <cell r="DG11" t="str">
            <v>AT</v>
          </cell>
          <cell r="DH11" t="str">
            <v>AT</v>
          </cell>
          <cell r="DI11" t="str">
            <v>AT</v>
          </cell>
          <cell r="DJ11" t="str">
            <v>AT</v>
          </cell>
          <cell r="DK11" t="str">
            <v>AT</v>
          </cell>
          <cell r="DL11" t="str">
            <v>AT</v>
          </cell>
          <cell r="DM11" t="str">
            <v>AT</v>
          </cell>
          <cell r="DN11" t="str">
            <v>AT</v>
          </cell>
          <cell r="DO11" t="str">
            <v>AT</v>
          </cell>
          <cell r="DP11" t="str">
            <v>AT</v>
          </cell>
          <cell r="DQ11" t="str">
            <v>AT</v>
          </cell>
          <cell r="DR11" t="str">
            <v>AT</v>
          </cell>
          <cell r="DS11" t="str">
            <v>ENC MATIN 5H-12H</v>
          </cell>
          <cell r="DT11" t="str">
            <v>CARTON AP</v>
          </cell>
          <cell r="DU11" t="str">
            <v>CARTON AP</v>
          </cell>
          <cell r="DV11" t="str">
            <v>NICE EST</v>
          </cell>
          <cell r="DW11" t="str">
            <v>HS NICE EST</v>
          </cell>
          <cell r="DX11" t="str">
            <v>REPOS</v>
          </cell>
          <cell r="DY11" t="str">
            <v>NICE OUEST</v>
          </cell>
          <cell r="DZ11" t="str">
            <v>REPOS</v>
          </cell>
          <cell r="EA11" t="str">
            <v>NICE OUEST</v>
          </cell>
          <cell r="EB11" t="str">
            <v>NICE OUEST</v>
          </cell>
          <cell r="EC11" t="str">
            <v>NICE OUEST</v>
          </cell>
          <cell r="ED11" t="str">
            <v>REPOS</v>
          </cell>
          <cell r="EE11" t="str">
            <v>REPOS</v>
          </cell>
          <cell r="EF11" t="str">
            <v>ENC NUIT 20H30-03H30</v>
          </cell>
          <cell r="EG11" t="str">
            <v>REPOS</v>
          </cell>
          <cell r="EH11" t="str">
            <v>ENC NUIT 20H30-03H30</v>
          </cell>
          <cell r="EI11" t="str">
            <v>REPOS</v>
          </cell>
          <cell r="EJ11" t="str">
            <v>ENC NUIT 20H30-03H30</v>
          </cell>
          <cell r="EK11" t="str">
            <v>REPOS</v>
          </cell>
          <cell r="EL11" t="str">
            <v>ENC NUIT 20H30-03H30</v>
          </cell>
          <cell r="EM11" t="str">
            <v>ENC NUIT 20H30-03H30</v>
          </cell>
          <cell r="EN11" t="str">
            <v>ENC NUIT 20H30-03H30</v>
          </cell>
          <cell r="EO11" t="str">
            <v>ENC NUIT 20H30-03H30</v>
          </cell>
          <cell r="EP11" t="str">
            <v>ENC NUIT 20H30-03H30</v>
          </cell>
          <cell r="EQ11" t="str">
            <v>REPOS</v>
          </cell>
          <cell r="ER11" t="str">
            <v>REPOS</v>
          </cell>
          <cell r="ES11" t="str">
            <v>REPOS</v>
          </cell>
          <cell r="ET11" t="str">
            <v>ENC NUIT 20H30-03H30</v>
          </cell>
          <cell r="EU11" t="str">
            <v>ENC NUIT 20H30-03H30</v>
          </cell>
          <cell r="EV11" t="str">
            <v>ENC NUIT 20H30-03H30</v>
          </cell>
          <cell r="EW11" t="str">
            <v>ENC NUIT 20H30-03H30</v>
          </cell>
          <cell r="EX11" t="str">
            <v>ENC NUIT 20H30-03H30</v>
          </cell>
          <cell r="EY11" t="str">
            <v>REPOS</v>
          </cell>
          <cell r="EZ11" t="str">
            <v>REPOS</v>
          </cell>
          <cell r="FA11" t="str">
            <v>ENC MATIN 5H-12H</v>
          </cell>
          <cell r="FB11" t="str">
            <v>NICE OUEST</v>
          </cell>
          <cell r="FC11" t="str">
            <v>ENC MATIN 5H-12H</v>
          </cell>
          <cell r="FD11" t="str">
            <v>ENC MATIN 5H-12H</v>
          </cell>
          <cell r="FE11" t="str">
            <v>ENC MATIN 5H-12H</v>
          </cell>
          <cell r="FF11" t="str">
            <v>HS NICE EST</v>
          </cell>
          <cell r="FG11" t="str">
            <v>REPOS</v>
          </cell>
          <cell r="FH11" t="str">
            <v>ENC MATIN 5H-12H</v>
          </cell>
          <cell r="FI11" t="str">
            <v>REPOS</v>
          </cell>
          <cell r="FJ11" t="str">
            <v>ENC MATIN 5H-12H</v>
          </cell>
          <cell r="FK11" t="str">
            <v>ENC MATIN 5H-12H</v>
          </cell>
          <cell r="FL11" t="str">
            <v>ENC MATIN 5H-12H</v>
          </cell>
          <cell r="FM11" t="str">
            <v>NICE EST</v>
          </cell>
          <cell r="FN11" t="str">
            <v>REPOS</v>
          </cell>
          <cell r="FO11" t="str">
            <v>Congés</v>
          </cell>
          <cell r="FP11" t="str">
            <v>Congés</v>
          </cell>
          <cell r="FQ11" t="str">
            <v>Congés</v>
          </cell>
          <cell r="FR11" t="str">
            <v>Congés</v>
          </cell>
          <cell r="FS11" t="str">
            <v>Congés</v>
          </cell>
          <cell r="FT11" t="str">
            <v>REPOS</v>
          </cell>
          <cell r="FU11" t="str">
            <v>REPOS</v>
          </cell>
          <cell r="FV11" t="str">
            <v>Congés</v>
          </cell>
          <cell r="FW11" t="str">
            <v>Congés</v>
          </cell>
          <cell r="FX11" t="str">
            <v>Congés</v>
          </cell>
          <cell r="FY11" t="str">
            <v>Congés</v>
          </cell>
          <cell r="FZ11" t="str">
            <v>Congés</v>
          </cell>
          <cell r="GA11" t="str">
            <v>REPOS</v>
          </cell>
          <cell r="GB11" t="str">
            <v>REPOS</v>
          </cell>
          <cell r="GH11" t="str">
            <v>REPOS</v>
          </cell>
          <cell r="GI11" t="str">
            <v>REPOS</v>
          </cell>
        </row>
        <row r="12">
          <cell r="J12" t="str">
            <v>V.N AM DIM</v>
          </cell>
          <cell r="K12" t="str">
            <v>ENC MATIN 5H-12H</v>
          </cell>
          <cell r="L12" t="str">
            <v>ENC MATIN 5H-12H</v>
          </cell>
          <cell r="M12" t="str">
            <v>ENC MATIN 5H-12H</v>
          </cell>
          <cell r="N12" t="str">
            <v>ENC MATIN 5H-12H</v>
          </cell>
          <cell r="O12" t="str">
            <v>REPOS</v>
          </cell>
          <cell r="P12" t="str">
            <v>HS presta. Except | 7:00-13:00</v>
          </cell>
          <cell r="Q12" t="str">
            <v>ENC MATIN 5H-12H</v>
          </cell>
          <cell r="R12" t="str">
            <v>ENC MATIN 5H-12H</v>
          </cell>
          <cell r="S12" t="str">
            <v>ENC MATIN 5H-12H</v>
          </cell>
          <cell r="T12" t="str">
            <v>B. CARTON</v>
          </cell>
          <cell r="U12" t="str">
            <v>B. CARTON</v>
          </cell>
          <cell r="V12" t="str">
            <v>REPOS</v>
          </cell>
          <cell r="W12" t="str">
            <v>REPOS</v>
          </cell>
          <cell r="X12" t="str">
            <v>ENC MATIN 5H-12H</v>
          </cell>
          <cell r="Y12" t="str">
            <v>ENC MATIN 5H-12H</v>
          </cell>
          <cell r="Z12" t="str">
            <v>ENC MATIN 5H-12H</v>
          </cell>
          <cell r="AA12" t="str">
            <v>Congés</v>
          </cell>
          <cell r="AB12" t="str">
            <v>NICE OUEST</v>
          </cell>
          <cell r="AC12" t="str">
            <v>REPOS</v>
          </cell>
          <cell r="AD12" t="str">
            <v>REPOS</v>
          </cell>
          <cell r="AE12" t="str">
            <v>ENC MATIN 5H-12H</v>
          </cell>
          <cell r="AF12" t="str">
            <v>ENC MATIN 5H-12H</v>
          </cell>
          <cell r="AG12" t="str">
            <v>REPOS</v>
          </cell>
          <cell r="AH12" t="str">
            <v>NICE OUEST</v>
          </cell>
          <cell r="AI12" t="str">
            <v>ENC MATIN 5H-12H</v>
          </cell>
          <cell r="AJ12" t="str">
            <v>NICE OUEST</v>
          </cell>
          <cell r="AK12" t="str">
            <v>REPOS</v>
          </cell>
          <cell r="AL12" t="str">
            <v>NICE OUEST</v>
          </cell>
          <cell r="AM12" t="str">
            <v>NICE OUEST</v>
          </cell>
          <cell r="AN12" t="str">
            <v>ENC MATIN 5H-12H</v>
          </cell>
          <cell r="AO12" t="str">
            <v>ENC MATIN 5H-12H</v>
          </cell>
          <cell r="AP12" t="str">
            <v>NICE EST</v>
          </cell>
          <cell r="AQ12" t="str">
            <v>Congés</v>
          </cell>
          <cell r="AR12" t="str">
            <v>Congés</v>
          </cell>
          <cell r="AS12" t="str">
            <v>Congés</v>
          </cell>
          <cell r="AT12" t="str">
            <v>Congés</v>
          </cell>
          <cell r="AU12" t="str">
            <v>Congés</v>
          </cell>
          <cell r="AV12" t="str">
            <v>Congés</v>
          </cell>
          <cell r="AW12" t="str">
            <v>Congés</v>
          </cell>
          <cell r="AX12" t="str">
            <v>Congés</v>
          </cell>
          <cell r="AY12" t="str">
            <v>Congés</v>
          </cell>
          <cell r="AZ12" t="str">
            <v>ENC MATIN 5H-12H</v>
          </cell>
          <cell r="BA12" t="str">
            <v>ENC MATIN 5H-12H</v>
          </cell>
          <cell r="BB12" t="str">
            <v>ENC MATIN 5H-12H</v>
          </cell>
          <cell r="BC12" t="str">
            <v>ENC MATIN 5H-12H</v>
          </cell>
          <cell r="BD12" t="str">
            <v>ENC MATIN 5H-12H</v>
          </cell>
          <cell r="BE12" t="str">
            <v>HS NICE EST</v>
          </cell>
          <cell r="BF12" t="str">
            <v>REPOS</v>
          </cell>
          <cell r="BG12" t="str">
            <v>NICE OUEST</v>
          </cell>
          <cell r="BH12" t="str">
            <v>NICE OUEST</v>
          </cell>
          <cell r="BI12" t="str">
            <v>NICE OUEST</v>
          </cell>
          <cell r="BJ12" t="str">
            <v>REPOS</v>
          </cell>
          <cell r="BK12" t="str">
            <v>NICE OUEST</v>
          </cell>
          <cell r="BL12" t="str">
            <v>NICE OUEST</v>
          </cell>
          <cell r="BM12" t="str">
            <v>REPOS</v>
          </cell>
          <cell r="BN12" t="str">
            <v>B. CARTON</v>
          </cell>
          <cell r="BO12" t="str">
            <v>B. CARTON</v>
          </cell>
          <cell r="BP12" t="str">
            <v>B. CARTON</v>
          </cell>
          <cell r="BQ12" t="str">
            <v>B. CARTON</v>
          </cell>
          <cell r="BR12" t="str">
            <v>B. CARTON</v>
          </cell>
          <cell r="BS12" t="str">
            <v>HS presta. Except | 11:00-18:00</v>
          </cell>
          <cell r="BT12" t="str">
            <v>REPOS</v>
          </cell>
          <cell r="BU12" t="str">
            <v>B. CARTON</v>
          </cell>
          <cell r="BV12" t="str">
            <v>ENC MATIN 5H-12H</v>
          </cell>
          <cell r="BW12" t="str">
            <v>ENC MATIN 5H-12H</v>
          </cell>
          <cell r="BX12" t="str">
            <v>ENC MATIN 5H-12H</v>
          </cell>
          <cell r="BY12" t="str">
            <v>ENC MATIN 5H-12H</v>
          </cell>
          <cell r="BZ12" t="str">
            <v>HS NICE EST</v>
          </cell>
          <cell r="CA12" t="str">
            <v>REPOS</v>
          </cell>
          <cell r="CB12" t="str">
            <v>ENC NUIT 20H30-03H30</v>
          </cell>
          <cell r="CC12" t="str">
            <v>ENC NUIT 20H30-03H30</v>
          </cell>
          <cell r="CD12" t="str">
            <v>ENC NUIT 20H30-03H30</v>
          </cell>
          <cell r="CE12" t="str">
            <v>ENC NUIT 20H30-03H30</v>
          </cell>
          <cell r="CF12" t="str">
            <v>ENC NUIT 20H30-03H30</v>
          </cell>
          <cell r="CG12" t="str">
            <v>REPOS</v>
          </cell>
          <cell r="CH12" t="str">
            <v>REPOS</v>
          </cell>
          <cell r="CI12" t="str">
            <v>ENC NUIT 20H30-03H30</v>
          </cell>
          <cell r="CJ12" t="str">
            <v>ENC NUIT 20H30-03H30</v>
          </cell>
          <cell r="CK12" t="str">
            <v>ENC NUIT 20H30-03H30</v>
          </cell>
          <cell r="CL12" t="str">
            <v>ENC NUIT 20H30-03H30</v>
          </cell>
          <cell r="CM12" t="str">
            <v>ENC NUIT 20H30-03H30</v>
          </cell>
          <cell r="CN12" t="str">
            <v>REPOS</v>
          </cell>
          <cell r="CO12" t="str">
            <v>REPOS</v>
          </cell>
          <cell r="CP12" t="str">
            <v>ENC MATIN 5H-12H</v>
          </cell>
          <cell r="CQ12" t="str">
            <v>ENC MATIN 5H-12H</v>
          </cell>
          <cell r="CR12" t="str">
            <v>ENC MATIN 5H-12H</v>
          </cell>
          <cell r="CS12" t="str">
            <v>Congés</v>
          </cell>
          <cell r="CT12" t="str">
            <v>REPOS</v>
          </cell>
          <cell r="CU12" t="str">
            <v>NICE OUEST</v>
          </cell>
          <cell r="CV12" t="str">
            <v>REPOS</v>
          </cell>
          <cell r="CW12" t="str">
            <v>REPOS</v>
          </cell>
          <cell r="CX12" t="str">
            <v>ENC MATIN 5H-12H</v>
          </cell>
          <cell r="CY12" t="str">
            <v>ENC MATIN 5H-12H</v>
          </cell>
          <cell r="CZ12" t="str">
            <v>ENC MATIN 5H-12H</v>
          </cell>
          <cell r="DA12" t="str">
            <v>ENC MATIN 5H-12H</v>
          </cell>
          <cell r="DB12" t="str">
            <v>REPOS</v>
          </cell>
          <cell r="DC12" t="str">
            <v>REPOS</v>
          </cell>
          <cell r="DD12" t="str">
            <v>ENC NUIT 20H30-03H30</v>
          </cell>
          <cell r="DE12" t="str">
            <v>ENC NUIT 20H30-03H30</v>
          </cell>
          <cell r="DF12" t="str">
            <v>ENC NUIT 20H30-03H30</v>
          </cell>
          <cell r="DG12" t="str">
            <v>Congés</v>
          </cell>
          <cell r="DH12" t="str">
            <v>Congés</v>
          </cell>
          <cell r="DI12" t="str">
            <v>REPOS</v>
          </cell>
          <cell r="DJ12" t="str">
            <v>REPOS</v>
          </cell>
          <cell r="DK12" t="str">
            <v>Maladie</v>
          </cell>
          <cell r="DL12" t="str">
            <v>Maladie</v>
          </cell>
          <cell r="DM12" t="str">
            <v>ENC NUIT 20H30-03H30</v>
          </cell>
          <cell r="DN12" t="str">
            <v>ENC NUIT 20H30-03H30</v>
          </cell>
          <cell r="DO12" t="str">
            <v>ENC NUIT 20H30-03H30</v>
          </cell>
          <cell r="DP12" t="str">
            <v>REPOS</v>
          </cell>
          <cell r="DQ12" t="str">
            <v>REPOS</v>
          </cell>
        </row>
        <row r="13">
          <cell r="J13" t="str">
            <v>V.N AM DIM</v>
          </cell>
          <cell r="K13" t="str">
            <v>B. CARTON</v>
          </cell>
          <cell r="L13" t="str">
            <v>B. CARTON</v>
          </cell>
          <cell r="M13" t="str">
            <v>B. CARTON</v>
          </cell>
          <cell r="N13" t="str">
            <v>NICE EST</v>
          </cell>
          <cell r="O13" t="str">
            <v>REPOS</v>
          </cell>
          <cell r="P13" t="str">
            <v>NICE EST DIM</v>
          </cell>
          <cell r="Q13" t="str">
            <v>B. CARTON</v>
          </cell>
          <cell r="R13" t="str">
            <v>B. CARTON</v>
          </cell>
          <cell r="S13" t="str">
            <v>NICE EST</v>
          </cell>
          <cell r="T13" t="str">
            <v>NICE EST</v>
          </cell>
          <cell r="U13" t="str">
            <v>NICE EST</v>
          </cell>
          <cell r="V13" t="str">
            <v>REPOS</v>
          </cell>
          <cell r="W13" t="str">
            <v>REPOS</v>
          </cell>
          <cell r="X13" t="str">
            <v>ENC MATIN 5H-12H</v>
          </cell>
          <cell r="Y13" t="str">
            <v>ENC MATIN 5H-12H</v>
          </cell>
          <cell r="Z13" t="str">
            <v>ENC MATIN 5H-12H</v>
          </cell>
          <cell r="AA13" t="str">
            <v>ENC MATIN 5H-12H</v>
          </cell>
          <cell r="AB13" t="str">
            <v>ENC MATIN 5H-12H</v>
          </cell>
          <cell r="AC13" t="str">
            <v>REPOS</v>
          </cell>
          <cell r="AD13" t="str">
            <v>REPOS</v>
          </cell>
          <cell r="AE13" t="str">
            <v>ENC MATIN 5H-12H</v>
          </cell>
          <cell r="AF13" t="str">
            <v>ENC MATIN 5H-12H</v>
          </cell>
          <cell r="AG13" t="str">
            <v>ENC MATIN 5H-12H</v>
          </cell>
          <cell r="AH13" t="str">
            <v>ENC MATIN 5H-12H</v>
          </cell>
          <cell r="AI13" t="str">
            <v>ENC MATIN 5H-12H</v>
          </cell>
          <cell r="AJ13" t="str">
            <v>HS NICE EST</v>
          </cell>
          <cell r="AK13" t="str">
            <v>REPOS</v>
          </cell>
          <cell r="AL13" t="str">
            <v>ENC MATIN 5H-12H</v>
          </cell>
          <cell r="AM13" t="str">
            <v>ENC MATIN 5H-12H</v>
          </cell>
          <cell r="AN13" t="str">
            <v>REPOS</v>
          </cell>
          <cell r="AO13" t="str">
            <v>B. CARTON</v>
          </cell>
          <cell r="AP13" t="str">
            <v>B. CARTON</v>
          </cell>
          <cell r="AQ13" t="str">
            <v>NICE EST</v>
          </cell>
          <cell r="AR13" t="str">
            <v>REPOS</v>
          </cell>
          <cell r="AS13" t="str">
            <v>ENC MATIN 5H-12H</v>
          </cell>
          <cell r="AT13" t="str">
            <v>ENC MATIN 5H-12H</v>
          </cell>
          <cell r="AU13" t="str">
            <v>ENC MATIN 5H-12H</v>
          </cell>
          <cell r="AV13" t="str">
            <v>NICE EST</v>
          </cell>
          <cell r="AW13" t="str">
            <v>ENC MATIN 5H-12H</v>
          </cell>
          <cell r="AX13" t="str">
            <v>HS NICE EST</v>
          </cell>
          <cell r="AY13" t="str">
            <v>REPOS</v>
          </cell>
          <cell r="AZ13" t="str">
            <v>ENC NUIT 20H30-03H30</v>
          </cell>
          <cell r="BA13" t="str">
            <v>ENC NUIT 20H30-03H30</v>
          </cell>
          <cell r="BB13" t="str">
            <v>ENC NUIT 20H30-03H30</v>
          </cell>
          <cell r="BC13" t="str">
            <v>ENC NUIT 20H30-03H30</v>
          </cell>
          <cell r="BD13" t="str">
            <v>ENC NUIT 20H30-03H30</v>
          </cell>
          <cell r="BE13" t="str">
            <v>REPOS</v>
          </cell>
          <cell r="BF13" t="str">
            <v>ENC AM DIM</v>
          </cell>
          <cell r="BG13" t="str">
            <v>NICE EST</v>
          </cell>
          <cell r="BH13" t="str">
            <v>NICE EST</v>
          </cell>
          <cell r="BI13" t="str">
            <v>NICE OUEST</v>
          </cell>
          <cell r="BJ13" t="str">
            <v>NICE EST</v>
          </cell>
          <cell r="BK13" t="str">
            <v>REPOS</v>
          </cell>
          <cell r="BL13" t="str">
            <v>NICE EST</v>
          </cell>
          <cell r="BM13" t="str">
            <v>REPOS</v>
          </cell>
          <cell r="BN13" t="str">
            <v>NICE EST</v>
          </cell>
          <cell r="BO13" t="str">
            <v>NICE EST</v>
          </cell>
          <cell r="BP13" t="str">
            <v>NICE EST</v>
          </cell>
          <cell r="BQ13" t="str">
            <v>NICE EST</v>
          </cell>
          <cell r="BR13" t="str">
            <v>NICE EST</v>
          </cell>
          <cell r="BS13" t="str">
            <v>HS NICE EST</v>
          </cell>
          <cell r="BT13" t="str">
            <v>REPOS</v>
          </cell>
          <cell r="BU13" t="str">
            <v>ENC MATIN 5H-12H</v>
          </cell>
          <cell r="BV13" t="str">
            <v>ENC MATIN 5H-12H</v>
          </cell>
          <cell r="BW13" t="str">
            <v>NICE EST</v>
          </cell>
          <cell r="BX13" t="str">
            <v>NICE EST</v>
          </cell>
          <cell r="BY13" t="str">
            <v>NICE EST</v>
          </cell>
          <cell r="BZ13" t="str">
            <v>HS NICE EST</v>
          </cell>
          <cell r="CA13" t="str">
            <v>REPOS</v>
          </cell>
          <cell r="CB13" t="str">
            <v>B. CARTON</v>
          </cell>
          <cell r="CC13" t="str">
            <v>B. CARTON</v>
          </cell>
          <cell r="CD13" t="str">
            <v>B. CARTON</v>
          </cell>
          <cell r="CE13" t="str">
            <v>NICE EST</v>
          </cell>
          <cell r="CF13" t="str">
            <v>NICE EST</v>
          </cell>
          <cell r="CG13" t="str">
            <v>REPOS</v>
          </cell>
          <cell r="CH13" t="str">
            <v>REPOS</v>
          </cell>
          <cell r="CI13" t="str">
            <v>NICE EST</v>
          </cell>
          <cell r="CJ13" t="str">
            <v>NICE EST</v>
          </cell>
          <cell r="CK13" t="str">
            <v>NICE EST</v>
          </cell>
          <cell r="CL13" t="str">
            <v>NICE EST</v>
          </cell>
          <cell r="CM13" t="str">
            <v>NICE EST</v>
          </cell>
          <cell r="CN13" t="str">
            <v>HS NICE EST</v>
          </cell>
          <cell r="CO13" t="str">
            <v>REPOS</v>
          </cell>
          <cell r="CP13" t="str">
            <v>NICE EST</v>
          </cell>
          <cell r="CQ13" t="str">
            <v>NICE EST</v>
          </cell>
          <cell r="CR13" t="str">
            <v>NICE EST</v>
          </cell>
          <cell r="CS13" t="str">
            <v>NICE EST</v>
          </cell>
          <cell r="CT13" t="str">
            <v>NICE EST</v>
          </cell>
          <cell r="CU13" t="str">
            <v>HS NICE EST</v>
          </cell>
          <cell r="CV13" t="str">
            <v>REPOS</v>
          </cell>
          <cell r="CW13" t="str">
            <v>REPOS</v>
          </cell>
          <cell r="CX13" t="str">
            <v>NICE EST</v>
          </cell>
          <cell r="CY13" t="str">
            <v>NICE EST</v>
          </cell>
          <cell r="CZ13" t="str">
            <v>NICE EST</v>
          </cell>
          <cell r="DA13" t="str">
            <v>NICE EST</v>
          </cell>
          <cell r="DB13" t="str">
            <v>HS NICE EST</v>
          </cell>
          <cell r="DC13" t="str">
            <v>REPOS</v>
          </cell>
          <cell r="DD13" t="str">
            <v>NICE EST</v>
          </cell>
          <cell r="DE13" t="str">
            <v>NICE EST</v>
          </cell>
          <cell r="DF13" t="str">
            <v>NICE EST</v>
          </cell>
          <cell r="DG13" t="str">
            <v>NICE EST</v>
          </cell>
          <cell r="DH13" t="str">
            <v>NICE EST</v>
          </cell>
          <cell r="DI13" t="str">
            <v>HS NICE EST</v>
          </cell>
          <cell r="DJ13" t="str">
            <v>REPOS</v>
          </cell>
          <cell r="DK13" t="str">
            <v>RTT</v>
          </cell>
          <cell r="DL13" t="str">
            <v>NICE EST</v>
          </cell>
          <cell r="DM13" t="str">
            <v>NICE EST</v>
          </cell>
          <cell r="DN13" t="str">
            <v>NICE EST</v>
          </cell>
          <cell r="DO13" t="str">
            <v>NICE EST</v>
          </cell>
          <cell r="DP13" t="str">
            <v>HS NICE EST</v>
          </cell>
          <cell r="DQ13" t="str">
            <v>REPOS</v>
          </cell>
          <cell r="DR13" t="str">
            <v>NICE EST</v>
          </cell>
          <cell r="DS13" t="str">
            <v>NICE EST</v>
          </cell>
          <cell r="DT13" t="str">
            <v>NICE EST</v>
          </cell>
          <cell r="DU13" t="str">
            <v>NICE EST</v>
          </cell>
          <cell r="DV13" t="str">
            <v>NICE EST</v>
          </cell>
          <cell r="DW13" t="str">
            <v>REPOS</v>
          </cell>
          <cell r="DX13" t="str">
            <v>NICE EST &amp; VIEUX NICE</v>
          </cell>
          <cell r="DY13" t="str">
            <v>NICE EST</v>
          </cell>
          <cell r="DZ13" t="str">
            <v>REPOS</v>
          </cell>
          <cell r="EA13" t="str">
            <v>NICE EST</v>
          </cell>
          <cell r="EB13" t="str">
            <v>NICE EST</v>
          </cell>
          <cell r="EC13" t="str">
            <v>NICE EST</v>
          </cell>
          <cell r="ED13" t="str">
            <v>HS NICE EST</v>
          </cell>
          <cell r="EE13" t="str">
            <v>REPOS</v>
          </cell>
          <cell r="EF13" t="str">
            <v>NICE EST</v>
          </cell>
          <cell r="EG13" t="str">
            <v>REPOS</v>
          </cell>
          <cell r="EH13" t="str">
            <v>NICE EST</v>
          </cell>
          <cell r="EI13" t="str">
            <v>REPOS</v>
          </cell>
          <cell r="EJ13" t="str">
            <v>NICE EST</v>
          </cell>
          <cell r="EK13" t="str">
            <v>REPOS</v>
          </cell>
          <cell r="EL13" t="str">
            <v>REPOS</v>
          </cell>
          <cell r="EM13" t="str">
            <v>NICE EST</v>
          </cell>
          <cell r="EN13" t="str">
            <v>ENC NUIT 20H30-03H30</v>
          </cell>
          <cell r="EO13" t="str">
            <v>ENC NUIT 20H30-03H30</v>
          </cell>
          <cell r="EP13" t="str">
            <v>ENC NUIT 20H30-03H30</v>
          </cell>
          <cell r="EQ13" t="str">
            <v>ENC NUIT 20H30-03H30</v>
          </cell>
          <cell r="ER13" t="str">
            <v>REPOS</v>
          </cell>
          <cell r="ES13" t="str">
            <v>V.N Matin DIM</v>
          </cell>
          <cell r="ET13" t="str">
            <v>ENC MATIN 5H-12H</v>
          </cell>
          <cell r="EU13" t="str">
            <v>ENC MATIN 5H-12H</v>
          </cell>
          <cell r="EV13" t="str">
            <v>ENC MATIN 5H-12H</v>
          </cell>
          <cell r="EW13" t="str">
            <v>NICE EST</v>
          </cell>
          <cell r="EX13" t="str">
            <v>NICE EST</v>
          </cell>
          <cell r="EY13" t="str">
            <v>REPOS</v>
          </cell>
          <cell r="EZ13" t="str">
            <v>V.N AM DIM</v>
          </cell>
          <cell r="FA13" t="str">
            <v>NICE EST</v>
          </cell>
          <cell r="FB13" t="str">
            <v>B. CARTON</v>
          </cell>
          <cell r="FC13" t="str">
            <v>NICE EST</v>
          </cell>
          <cell r="FD13" t="str">
            <v>REPOS</v>
          </cell>
          <cell r="FE13" t="str">
            <v>NICE EST</v>
          </cell>
          <cell r="FF13" t="str">
            <v>NICE EST</v>
          </cell>
          <cell r="FG13" t="str">
            <v>REPOS</v>
          </cell>
          <cell r="FH13" t="str">
            <v>Congés</v>
          </cell>
          <cell r="FI13" t="str">
            <v>Congés</v>
          </cell>
          <cell r="FJ13" t="str">
            <v>Congés</v>
          </cell>
          <cell r="FK13" t="str">
            <v>Congés</v>
          </cell>
          <cell r="FL13" t="str">
            <v>Congés</v>
          </cell>
          <cell r="FM13" t="str">
            <v>REPOS</v>
          </cell>
          <cell r="FN13" t="str">
            <v>REPOS</v>
          </cell>
          <cell r="FO13" t="str">
            <v>Congés</v>
          </cell>
          <cell r="FP13" t="str">
            <v>Congés</v>
          </cell>
          <cell r="FQ13" t="str">
            <v>Congés</v>
          </cell>
          <cell r="FR13" t="str">
            <v>Congés</v>
          </cell>
          <cell r="FS13" t="str">
            <v>Congés</v>
          </cell>
          <cell r="FT13" t="str">
            <v>REPOS</v>
          </cell>
          <cell r="FU13" t="str">
            <v>REPOS</v>
          </cell>
          <cell r="FV13" t="str">
            <v>ENC MATIN 5H-12H</v>
          </cell>
          <cell r="FW13" t="str">
            <v>ENC MATIN 5H-12H</v>
          </cell>
          <cell r="FX13" t="str">
            <v>ENC MATIN 5H-12H</v>
          </cell>
          <cell r="FY13" t="str">
            <v>ENC MATIN 5H-12H</v>
          </cell>
          <cell r="FZ13" t="str">
            <v>ENC MATIN 5H-12H</v>
          </cell>
          <cell r="GA13" t="str">
            <v>REPOS</v>
          </cell>
          <cell r="GB13" t="str">
            <v>REPOS</v>
          </cell>
          <cell r="GH13" t="str">
            <v>REPOS</v>
          </cell>
          <cell r="GI13" t="str">
            <v>REPOS</v>
          </cell>
          <cell r="HY13" t="str">
            <v>REPOS</v>
          </cell>
          <cell r="HZ13" t="str">
            <v>Congés</v>
          </cell>
          <cell r="IA13" t="str">
            <v>Congés</v>
          </cell>
          <cell r="IB13" t="str">
            <v>REPOS</v>
          </cell>
          <cell r="IC13" t="str">
            <v>Congés</v>
          </cell>
          <cell r="ID13" t="str">
            <v>Congés</v>
          </cell>
          <cell r="IE13" t="str">
            <v>REPOS</v>
          </cell>
          <cell r="IF13" t="str">
            <v>REPOS</v>
          </cell>
          <cell r="IG13" t="str">
            <v>Congés</v>
          </cell>
          <cell r="IH13" t="str">
            <v>Congés</v>
          </cell>
          <cell r="II13" t="str">
            <v>Congés</v>
          </cell>
          <cell r="IJ13" t="str">
            <v>Congés</v>
          </cell>
          <cell r="IK13" t="str">
            <v>Congés</v>
          </cell>
          <cell r="IL13" t="str">
            <v>REPOS</v>
          </cell>
          <cell r="IM13" t="str">
            <v>REPOS</v>
          </cell>
        </row>
        <row r="14">
          <cell r="J14" t="str">
            <v>REPOS</v>
          </cell>
          <cell r="K14" t="str">
            <v>NICE OUEST</v>
          </cell>
          <cell r="L14" t="str">
            <v>NICE OUEST</v>
          </cell>
          <cell r="M14" t="str">
            <v>REPOS</v>
          </cell>
          <cell r="N14" t="str">
            <v>CARTON AP</v>
          </cell>
          <cell r="O14" t="str">
            <v>CARTON 8H30-12H / 13H-16H30</v>
          </cell>
          <cell r="P14" t="str">
            <v>REPOS</v>
          </cell>
          <cell r="Q14" t="str">
            <v>ENC MATIN 5H-12H</v>
          </cell>
          <cell r="R14" t="str">
            <v>ENC MATIN 5H-12H</v>
          </cell>
          <cell r="S14" t="str">
            <v>ENC MATIN 5H-12H</v>
          </cell>
          <cell r="T14" t="str">
            <v>ENC MATIN 5H-12H</v>
          </cell>
          <cell r="U14" t="str">
            <v>ENC MATIN 5H-12H</v>
          </cell>
          <cell r="V14" t="str">
            <v>REPOS</v>
          </cell>
          <cell r="W14" t="str">
            <v>REPOS</v>
          </cell>
          <cell r="X14" t="str">
            <v>Congés</v>
          </cell>
          <cell r="Y14" t="str">
            <v>Congés</v>
          </cell>
          <cell r="Z14" t="str">
            <v>Congés</v>
          </cell>
          <cell r="AA14" t="str">
            <v>RTT</v>
          </cell>
          <cell r="AB14" t="str">
            <v>RTT</v>
          </cell>
          <cell r="AC14" t="str">
            <v>REPOS</v>
          </cell>
          <cell r="AD14" t="str">
            <v>REPOS</v>
          </cell>
          <cell r="AE14" t="str">
            <v>RTT</v>
          </cell>
          <cell r="AF14" t="str">
            <v>RTT</v>
          </cell>
          <cell r="AG14" t="str">
            <v>RTT</v>
          </cell>
          <cell r="AH14" t="str">
            <v>RTT</v>
          </cell>
          <cell r="AI14" t="str">
            <v>RTT</v>
          </cell>
          <cell r="AJ14" t="str">
            <v>REPOS</v>
          </cell>
          <cell r="AK14" t="str">
            <v>REPOS</v>
          </cell>
          <cell r="AL14" t="str">
            <v>ENC NUIT 20H30-03H30</v>
          </cell>
          <cell r="AM14" t="str">
            <v>ENC NUIT 20H30-03H30</v>
          </cell>
          <cell r="AN14" t="str">
            <v>ENC NUIT 20H30-03H30</v>
          </cell>
          <cell r="AO14" t="str">
            <v>ENC NUIT 20H30-03H30</v>
          </cell>
          <cell r="AP14" t="str">
            <v>ENC NUIT 20H30-03H30</v>
          </cell>
          <cell r="AQ14" t="str">
            <v>REPOS</v>
          </cell>
          <cell r="AR14" t="str">
            <v>NICE OUEST DIM</v>
          </cell>
          <cell r="AS14" t="str">
            <v>ENC NUIT 20H30-03H30</v>
          </cell>
          <cell r="AT14" t="str">
            <v>ENC NUIT 20H30-03H30</v>
          </cell>
          <cell r="AU14" t="str">
            <v>ENC NUIT 20H30-03H30</v>
          </cell>
          <cell r="AV14" t="str">
            <v>ENC NUIT 20H30-03H30</v>
          </cell>
          <cell r="AW14" t="str">
            <v>ENC NUIT 20H30-03H30</v>
          </cell>
          <cell r="AX14" t="str">
            <v>REPOS</v>
          </cell>
          <cell r="AY14" t="str">
            <v>NICE OUEST DIM</v>
          </cell>
          <cell r="AZ14" t="str">
            <v>ENC MATIN 5H-12H</v>
          </cell>
          <cell r="BA14" t="str">
            <v>ENC MATIN 5H-12H</v>
          </cell>
          <cell r="BB14" t="str">
            <v>REPOS</v>
          </cell>
          <cell r="BC14" t="str">
            <v>ENC MATIN 5H-12H</v>
          </cell>
          <cell r="BD14" t="str">
            <v>ENC MATIN 5H-12H</v>
          </cell>
          <cell r="BE14" t="str">
            <v>NICE EST</v>
          </cell>
          <cell r="BF14" t="str">
            <v>REPOS</v>
          </cell>
          <cell r="BG14" t="str">
            <v>ENC MATIN 5H-12H</v>
          </cell>
          <cell r="BH14" t="str">
            <v>ENC MATIN 5H-12H</v>
          </cell>
          <cell r="BI14" t="str">
            <v>FORMATION | 11:00-19:00</v>
          </cell>
          <cell r="BJ14" t="str">
            <v>ENC MATIN 5H-12H</v>
          </cell>
          <cell r="BK14" t="str">
            <v>REPOS</v>
          </cell>
          <cell r="BL14" t="str">
            <v>NICE EST</v>
          </cell>
          <cell r="BM14" t="str">
            <v>REPOS</v>
          </cell>
          <cell r="BN14" t="str">
            <v>NICE OUEST</v>
          </cell>
          <cell r="BO14" t="str">
            <v>FORMATION</v>
          </cell>
          <cell r="BP14" t="str">
            <v>FORMATION | 11:00-19:00</v>
          </cell>
          <cell r="BQ14" t="str">
            <v>NICE OUEST</v>
          </cell>
          <cell r="BR14" t="str">
            <v>NICE OUEST</v>
          </cell>
          <cell r="BS14" t="str">
            <v>HS presta. Except |17:00-00:00</v>
          </cell>
          <cell r="BT14" t="str">
            <v>REPOS</v>
          </cell>
          <cell r="BU14" t="str">
            <v>Congés</v>
          </cell>
          <cell r="BV14" t="str">
            <v>Congés</v>
          </cell>
          <cell r="BW14" t="str">
            <v>Congés</v>
          </cell>
          <cell r="BX14" t="str">
            <v>Congés</v>
          </cell>
          <cell r="BY14" t="str">
            <v>Congés</v>
          </cell>
          <cell r="BZ14" t="str">
            <v>REPOS</v>
          </cell>
          <cell r="CA14" t="str">
            <v>REPOS</v>
          </cell>
          <cell r="CB14" t="str">
            <v>ENC NUIT 20H30-03H30</v>
          </cell>
          <cell r="CC14" t="str">
            <v>ENC NUIT 20H30-03H30</v>
          </cell>
          <cell r="CD14" t="str">
            <v>ENC NUIT 20H30-03H30</v>
          </cell>
          <cell r="CE14" t="str">
            <v>ENC NUIT 20H30-03H30</v>
          </cell>
          <cell r="CF14" t="str">
            <v>ENC NUIT 20H30-03H30</v>
          </cell>
          <cell r="CG14" t="str">
            <v>REPOS</v>
          </cell>
          <cell r="CH14" t="str">
            <v>V.N Matin DIM</v>
          </cell>
          <cell r="CI14" t="str">
            <v>ENC NUIT 20H30-03H30</v>
          </cell>
          <cell r="CJ14" t="str">
            <v>ENC NUIT 20H30-03H30</v>
          </cell>
          <cell r="CK14" t="str">
            <v>ENC NUIT 20H30-03H30</v>
          </cell>
          <cell r="CL14" t="str">
            <v>ENC NUIT 20H30-03H30</v>
          </cell>
          <cell r="CM14" t="str">
            <v>ENC NUIT 20H30-03H30</v>
          </cell>
          <cell r="CN14" t="str">
            <v>REPOS</v>
          </cell>
          <cell r="CO14" t="str">
            <v>NICE EST DIM</v>
          </cell>
          <cell r="CP14" t="str">
            <v>ENC NUIT 20H30-03H30</v>
          </cell>
          <cell r="CQ14" t="str">
            <v>ENC NUIT 20H30-03H30</v>
          </cell>
          <cell r="CR14" t="str">
            <v>ENC NUIT 20H30-03H30</v>
          </cell>
          <cell r="CS14" t="str">
            <v>ENC NUIT 20H30-03H30</v>
          </cell>
          <cell r="CT14" t="str">
            <v>ENC NUIT 20H30-03H30</v>
          </cell>
          <cell r="CU14" t="str">
            <v>REPOS</v>
          </cell>
          <cell r="CV14" t="str">
            <v>REPOS</v>
          </cell>
          <cell r="CW14" t="str">
            <v>REPOS</v>
          </cell>
          <cell r="CX14" t="str">
            <v>NICE EST</v>
          </cell>
          <cell r="CY14" t="str">
            <v>NICE EST</v>
          </cell>
          <cell r="CZ14" t="str">
            <v>NICE EST</v>
          </cell>
          <cell r="DA14" t="str">
            <v>NICE EST</v>
          </cell>
          <cell r="DB14" t="str">
            <v>REPOS</v>
          </cell>
          <cell r="DC14" t="str">
            <v>V.N Matin DIM</v>
          </cell>
          <cell r="DD14" t="str">
            <v>CARTON AP</v>
          </cell>
          <cell r="DE14" t="str">
            <v>CARTON AP</v>
          </cell>
          <cell r="DF14" t="str">
            <v>CARTON AP</v>
          </cell>
          <cell r="DG14" t="str">
            <v>CARTON AP</v>
          </cell>
          <cell r="DH14" t="str">
            <v>CARTON AP</v>
          </cell>
          <cell r="DI14" t="str">
            <v>HS NICE OUEST</v>
          </cell>
          <cell r="DJ14" t="str">
            <v>REPOS</v>
          </cell>
          <cell r="DK14" t="str">
            <v>ENC MATIN 5H-12H</v>
          </cell>
          <cell r="DL14" t="str">
            <v>ENC MATIN 5H-12H</v>
          </cell>
          <cell r="DM14" t="str">
            <v>ENC MATIN 5H-12H</v>
          </cell>
          <cell r="DN14" t="str">
            <v>ENC MATIN 5H-12H</v>
          </cell>
          <cell r="DO14" t="str">
            <v>ENC MATIN 5H-12H</v>
          </cell>
          <cell r="DP14" t="str">
            <v>HS NICE OUEST</v>
          </cell>
          <cell r="DQ14" t="str">
            <v>REPOS</v>
          </cell>
          <cell r="DR14" t="str">
            <v>B. CARTON</v>
          </cell>
          <cell r="DS14" t="str">
            <v>ENC MATIN 5H-12H</v>
          </cell>
          <cell r="DT14" t="str">
            <v>ENC MATIN 5H-12H</v>
          </cell>
          <cell r="DU14" t="str">
            <v>ENC MATIN 5H-12H</v>
          </cell>
          <cell r="DV14" t="str">
            <v>REPOS</v>
          </cell>
          <cell r="DW14" t="str">
            <v>NICE OUEST</v>
          </cell>
          <cell r="DX14" t="str">
            <v>REPOS</v>
          </cell>
          <cell r="DY14" t="str">
            <v>B. CARTON</v>
          </cell>
          <cell r="DZ14" t="str">
            <v>REPOS</v>
          </cell>
          <cell r="EA14" t="str">
            <v>B. CARTON</v>
          </cell>
          <cell r="EB14" t="str">
            <v>B. CARTON</v>
          </cell>
          <cell r="EC14" t="str">
            <v>B. CARTON</v>
          </cell>
          <cell r="ED14" t="str">
            <v>REPOS</v>
          </cell>
          <cell r="EE14" t="str">
            <v>REPOS</v>
          </cell>
          <cell r="EF14" t="str">
            <v>Congés</v>
          </cell>
          <cell r="EG14" t="str">
            <v>REPOS</v>
          </cell>
          <cell r="EH14" t="str">
            <v>Congés</v>
          </cell>
          <cell r="EI14" t="str">
            <v>NICE NORD &amp; VIEUX NICE</v>
          </cell>
          <cell r="EJ14" t="str">
            <v>CARTON MATIN</v>
          </cell>
          <cell r="EK14" t="str">
            <v>REPOS</v>
          </cell>
          <cell r="EL14" t="str">
            <v>NICE NORD &amp; VIEUX NICE</v>
          </cell>
          <cell r="EM14" t="str">
            <v>ENC MATIN 5H-12H</v>
          </cell>
          <cell r="EN14" t="str">
            <v>ENC MATIN 5H-12H</v>
          </cell>
          <cell r="EO14" t="str">
            <v>ENC MATIN 5H-12H</v>
          </cell>
          <cell r="EP14" t="str">
            <v>ENC MATIN 5H-12H</v>
          </cell>
          <cell r="EQ14" t="str">
            <v>NICE EST</v>
          </cell>
          <cell r="ER14" t="str">
            <v>REPOS</v>
          </cell>
          <cell r="ES14" t="str">
            <v>REPOS</v>
          </cell>
          <cell r="ET14" t="str">
            <v>B. CARTON</v>
          </cell>
          <cell r="EU14" t="str">
            <v>B. CARTON</v>
          </cell>
          <cell r="EV14" t="str">
            <v>ENC MATIN 5H-12H</v>
          </cell>
          <cell r="EW14" t="str">
            <v>NICE EST</v>
          </cell>
          <cell r="EX14" t="str">
            <v>ENC MATIN 5H-12H</v>
          </cell>
          <cell r="EY14" t="str">
            <v>HS NICE EST</v>
          </cell>
          <cell r="EZ14" t="str">
            <v>REPOS</v>
          </cell>
          <cell r="FA14" t="str">
            <v>NICE EST</v>
          </cell>
          <cell r="FB14" t="str">
            <v>ENC MATIN 5H-12H</v>
          </cell>
          <cell r="FC14" t="str">
            <v>ENC MATIN 5H-12H</v>
          </cell>
          <cell r="FD14" t="str">
            <v>ENC MATIN 5H-12H</v>
          </cell>
          <cell r="FE14" t="str">
            <v>ENC MATIN 5H-12H</v>
          </cell>
          <cell r="FF14" t="str">
            <v>REPOS</v>
          </cell>
          <cell r="FG14" t="str">
            <v>V.N Matin DIM</v>
          </cell>
          <cell r="FH14" t="str">
            <v>B. CARTON</v>
          </cell>
          <cell r="FI14" t="str">
            <v>B. CARTON</v>
          </cell>
          <cell r="FJ14" t="str">
            <v>B. CARTON</v>
          </cell>
          <cell r="FK14" t="str">
            <v>B. CARTON</v>
          </cell>
          <cell r="FL14" t="str">
            <v>B. CARTON</v>
          </cell>
          <cell r="FM14" t="str">
            <v>REPOS</v>
          </cell>
          <cell r="FN14" t="str">
            <v>REPOS</v>
          </cell>
          <cell r="FO14" t="str">
            <v>ENC MATIN 5H-12H</v>
          </cell>
          <cell r="FP14" t="str">
            <v>B. CARTON</v>
          </cell>
          <cell r="FQ14" t="str">
            <v>B. CARTON</v>
          </cell>
          <cell r="FR14" t="str">
            <v>REPOS</v>
          </cell>
          <cell r="FS14" t="str">
            <v>ENC MATIN 5H-12H</v>
          </cell>
          <cell r="FT14" t="str">
            <v>NICE OUEST</v>
          </cell>
          <cell r="FU14" t="str">
            <v>REPOS</v>
          </cell>
          <cell r="FV14" t="str">
            <v>Congés</v>
          </cell>
          <cell r="FW14" t="str">
            <v>Congés</v>
          </cell>
          <cell r="FX14" t="str">
            <v>Congés</v>
          </cell>
          <cell r="FY14" t="str">
            <v>Congés</v>
          </cell>
          <cell r="FZ14" t="str">
            <v>Congés</v>
          </cell>
          <cell r="GA14" t="str">
            <v>REPOS</v>
          </cell>
          <cell r="GB14" t="str">
            <v>REPOS</v>
          </cell>
          <cell r="GC14" t="str">
            <v>Congés</v>
          </cell>
          <cell r="GD14" t="str">
            <v>Congés</v>
          </cell>
          <cell r="GE14" t="str">
            <v>Congés</v>
          </cell>
          <cell r="GF14" t="str">
            <v>Congés</v>
          </cell>
          <cell r="GG14" t="str">
            <v>Congés</v>
          </cell>
          <cell r="GH14" t="str">
            <v>REPOS</v>
          </cell>
          <cell r="GI14" t="str">
            <v>REPOS</v>
          </cell>
          <cell r="HL14" t="str">
            <v>Congés</v>
          </cell>
          <cell r="HM14" t="str">
            <v>Congés</v>
          </cell>
          <cell r="HN14" t="str">
            <v>Congés</v>
          </cell>
          <cell r="HO14" t="str">
            <v>Congés</v>
          </cell>
          <cell r="HP14" t="str">
            <v>Congés</v>
          </cell>
          <cell r="HQ14" t="str">
            <v>REPOS</v>
          </cell>
          <cell r="HR14" t="str">
            <v>REPOS</v>
          </cell>
          <cell r="HS14" t="str">
            <v>Congés</v>
          </cell>
          <cell r="HT14" t="str">
            <v>Congés</v>
          </cell>
          <cell r="HU14" t="str">
            <v>Congés</v>
          </cell>
          <cell r="HV14" t="str">
            <v>Congés</v>
          </cell>
          <cell r="HW14" t="str">
            <v>Congés</v>
          </cell>
          <cell r="HX14" t="str">
            <v>REPOS</v>
          </cell>
          <cell r="HY14" t="str">
            <v>REPOS</v>
          </cell>
        </row>
        <row r="15">
          <cell r="J15" t="str">
            <v>REPOS</v>
          </cell>
          <cell r="K15" t="str">
            <v>MI-TEMPS NICE EST</v>
          </cell>
          <cell r="L15" t="str">
            <v>MI-TEMPS NICE EST</v>
          </cell>
          <cell r="M15" t="str">
            <v>MI-TEMPS NICE EST</v>
          </cell>
          <cell r="N15" t="str">
            <v>MI-TEMPS NICE EST</v>
          </cell>
          <cell r="O15" t="str">
            <v>REPOS</v>
          </cell>
          <cell r="P15" t="str">
            <v>REPOS</v>
          </cell>
          <cell r="Q15" t="str">
            <v>MI-TEMPS NICE EST</v>
          </cell>
          <cell r="R15" t="str">
            <v>MI-TEMPS NICE EST</v>
          </cell>
          <cell r="S15" t="str">
            <v>MI-TEMPS NICE EST</v>
          </cell>
          <cell r="T15" t="str">
            <v>MI-TEMPS NICE EST</v>
          </cell>
          <cell r="U15" t="str">
            <v>MI-TEMPS NICE EST</v>
          </cell>
          <cell r="V15" t="str">
            <v>REPOS</v>
          </cell>
          <cell r="W15" t="str">
            <v>REPOS</v>
          </cell>
          <cell r="X15" t="str">
            <v>MI-TEMPS NICE EST</v>
          </cell>
          <cell r="Y15" t="str">
            <v>MI-TEMPS NICE EST</v>
          </cell>
          <cell r="Z15" t="str">
            <v>MI-TEMPS NICE EST</v>
          </cell>
          <cell r="AA15" t="str">
            <v>MI-TEMPS NICE EST</v>
          </cell>
          <cell r="AB15" t="str">
            <v>MI-TEMPS NICE EST</v>
          </cell>
          <cell r="AC15" t="str">
            <v>REPOS</v>
          </cell>
          <cell r="AD15" t="str">
            <v>REPOS</v>
          </cell>
          <cell r="AE15" t="str">
            <v>MI-TEMPS NICE EST</v>
          </cell>
          <cell r="AF15" t="str">
            <v>MI-TEMPS NICE EST</v>
          </cell>
          <cell r="AG15" t="str">
            <v>MI-TEMPS NICE EST</v>
          </cell>
          <cell r="AH15" t="str">
            <v>MI-TEMPS NICE EST</v>
          </cell>
          <cell r="AI15" t="str">
            <v>MI-TEMPS NICE EST</v>
          </cell>
          <cell r="AJ15" t="str">
            <v>REPOS</v>
          </cell>
          <cell r="AK15" t="str">
            <v>REPOS</v>
          </cell>
          <cell r="AL15" t="str">
            <v>MI-TEMPS NICE EST</v>
          </cell>
          <cell r="AM15" t="str">
            <v>MI-TEMPS NICE EST</v>
          </cell>
          <cell r="AN15" t="str">
            <v>Congés</v>
          </cell>
          <cell r="AO15" t="str">
            <v>MI-TEMPS NICE EST</v>
          </cell>
          <cell r="AP15" t="str">
            <v>MI-TEMPS NICE EST</v>
          </cell>
          <cell r="AQ15" t="str">
            <v>REPOS</v>
          </cell>
          <cell r="AR15" t="str">
            <v>REPOS</v>
          </cell>
          <cell r="AS15" t="str">
            <v>Congés</v>
          </cell>
          <cell r="AT15" t="str">
            <v>Congés</v>
          </cell>
          <cell r="AU15" t="str">
            <v>Congés</v>
          </cell>
          <cell r="AV15" t="str">
            <v>Congés</v>
          </cell>
          <cell r="AW15" t="str">
            <v>Congés</v>
          </cell>
          <cell r="AX15" t="str">
            <v>REPOS</v>
          </cell>
          <cell r="AY15" t="str">
            <v>REPOS</v>
          </cell>
          <cell r="AZ15" t="str">
            <v>MI-TEMPS NICE EST</v>
          </cell>
          <cell r="BA15" t="str">
            <v>MI-TEMPS NICE EST</v>
          </cell>
          <cell r="BB15" t="str">
            <v>MI-TEMPS NICE EST</v>
          </cell>
          <cell r="BC15" t="str">
            <v>MI-TEMPS NICE EST</v>
          </cell>
          <cell r="BD15" t="str">
            <v>MI-TEMPS NICE EST</v>
          </cell>
          <cell r="BE15" t="str">
            <v>REPOS</v>
          </cell>
          <cell r="BF15" t="str">
            <v>REPOS</v>
          </cell>
          <cell r="BG15" t="str">
            <v>MI-TEMPS NICE EST</v>
          </cell>
          <cell r="BH15" t="str">
            <v>MI-TEMPS NICE EST</v>
          </cell>
          <cell r="BI15" t="str">
            <v>MI-TEMPS NICE EST</v>
          </cell>
          <cell r="BJ15" t="str">
            <v>MI-TEMPS NICE EST</v>
          </cell>
          <cell r="BK15" t="str">
            <v>MI-TEMPS NICE EST</v>
          </cell>
          <cell r="BL15" t="str">
            <v>REPOS</v>
          </cell>
          <cell r="BM15" t="str">
            <v>REPOS</v>
          </cell>
          <cell r="BN15" t="str">
            <v>MI-TEMPS NICE EST</v>
          </cell>
          <cell r="BO15" t="str">
            <v>Congés</v>
          </cell>
          <cell r="BP15" t="str">
            <v>MI-TEMPS NICE EST</v>
          </cell>
          <cell r="BQ15" t="str">
            <v>Congés</v>
          </cell>
          <cell r="BR15" t="str">
            <v>MI-TEMPS NICE EST</v>
          </cell>
          <cell r="BS15" t="str">
            <v>REPOS</v>
          </cell>
          <cell r="BT15" t="str">
            <v>REPOS</v>
          </cell>
          <cell r="BU15" t="str">
            <v>MI-TEMPS NICE EST</v>
          </cell>
          <cell r="BV15" t="str">
            <v>MI-TEMPS NICE EST</v>
          </cell>
          <cell r="BW15" t="str">
            <v>MI-TEMPS NICE EST</v>
          </cell>
          <cell r="BX15" t="str">
            <v>MI-TEMPS NICE EST</v>
          </cell>
          <cell r="BY15" t="str">
            <v>Congés</v>
          </cell>
          <cell r="BZ15" t="str">
            <v>REPOS</v>
          </cell>
          <cell r="CA15" t="str">
            <v>REPOS</v>
          </cell>
          <cell r="CB15" t="str">
            <v>MI-TEMPS NICE EST</v>
          </cell>
          <cell r="CC15" t="str">
            <v>MI-TEMPS NICE EST</v>
          </cell>
          <cell r="CD15" t="str">
            <v>MI-TEMPS NICE EST</v>
          </cell>
          <cell r="CE15" t="str">
            <v>MI-TEMPS NICE EST</v>
          </cell>
          <cell r="CF15" t="str">
            <v>Congés</v>
          </cell>
          <cell r="CG15" t="str">
            <v>REPOS</v>
          </cell>
          <cell r="CH15" t="str">
            <v>REPOS</v>
          </cell>
          <cell r="CI15" t="str">
            <v>MI-TEMPS NICE EST</v>
          </cell>
          <cell r="CJ15" t="str">
            <v>MI-TEMPS NICE EST</v>
          </cell>
          <cell r="CK15" t="str">
            <v>MI-TEMPS NICE EST</v>
          </cell>
          <cell r="CL15" t="str">
            <v>MI-TEMPS NICE EST</v>
          </cell>
          <cell r="CM15" t="str">
            <v>Congés Matin</v>
          </cell>
          <cell r="CN15" t="str">
            <v>REPOS</v>
          </cell>
          <cell r="CO15" t="str">
            <v>REPOS</v>
          </cell>
          <cell r="CP15" t="str">
            <v>Congés Matin</v>
          </cell>
          <cell r="CQ15" t="str">
            <v>Congés Matin</v>
          </cell>
          <cell r="CR15" t="str">
            <v>Maladie</v>
          </cell>
          <cell r="CS15" t="str">
            <v>Maladie</v>
          </cell>
          <cell r="CT15" t="str">
            <v>Maladie</v>
          </cell>
          <cell r="CU15" t="str">
            <v>Maladie</v>
          </cell>
          <cell r="CV15" t="str">
            <v>Maladie</v>
          </cell>
          <cell r="CW15" t="str">
            <v>Maladie</v>
          </cell>
          <cell r="CX15" t="str">
            <v>Maladie</v>
          </cell>
          <cell r="CY15" t="str">
            <v>Maladie</v>
          </cell>
          <cell r="CZ15" t="str">
            <v>MI-TEMPS NICE EST</v>
          </cell>
          <cell r="DA15" t="str">
            <v>MI-TEMPS NICE EST</v>
          </cell>
          <cell r="DB15" t="str">
            <v>REPOS</v>
          </cell>
          <cell r="DC15" t="str">
            <v>REPOS</v>
          </cell>
          <cell r="DD15" t="str">
            <v>MI-TEMPS NICE EST</v>
          </cell>
          <cell r="DE15" t="str">
            <v>MI-TEMPS NICE EST</v>
          </cell>
          <cell r="DF15" t="str">
            <v>MI-TEMPS NICE EST</v>
          </cell>
          <cell r="DG15" t="str">
            <v>MI-TEMPS NICE EST</v>
          </cell>
          <cell r="DH15" t="str">
            <v>MI-TEMPS NICE EST</v>
          </cell>
          <cell r="DI15" t="str">
            <v>REPOS</v>
          </cell>
          <cell r="DJ15" t="str">
            <v>REPOS</v>
          </cell>
          <cell r="DK15" t="str">
            <v>MI-TEMPS NICE EST</v>
          </cell>
          <cell r="DL15" t="str">
            <v>MI-TEMPS NICE EST</v>
          </cell>
          <cell r="DM15" t="str">
            <v>MI-TEMPS NICE EST</v>
          </cell>
          <cell r="DN15" t="str">
            <v>MI-TEMPS NICE EST</v>
          </cell>
          <cell r="DO15" t="str">
            <v>MI-TEMPS NICE EST</v>
          </cell>
          <cell r="DP15" t="str">
            <v>REPOS</v>
          </cell>
          <cell r="DQ15" t="str">
            <v>REPOS</v>
          </cell>
          <cell r="DR15" t="str">
            <v>MI-TEMPS NICE EST</v>
          </cell>
          <cell r="DS15" t="str">
            <v>MI-TEMPS NICE EST</v>
          </cell>
          <cell r="DT15" t="str">
            <v>MI-TEMPS NICE EST</v>
          </cell>
          <cell r="DU15" t="str">
            <v>MI-TEMPS NICE EST</v>
          </cell>
          <cell r="DV15" t="str">
            <v>MI-TEMPS NICE EST</v>
          </cell>
          <cell r="DW15" t="str">
            <v>REPOS</v>
          </cell>
          <cell r="DX15" t="str">
            <v>REPOS</v>
          </cell>
          <cell r="DY15" t="str">
            <v>MI-TEMPS NICE EST</v>
          </cell>
          <cell r="DZ15" t="str">
            <v>REPOS</v>
          </cell>
          <cell r="EA15" t="str">
            <v>MI-TEMPS NICE EST</v>
          </cell>
          <cell r="EB15" t="str">
            <v>Maladie</v>
          </cell>
          <cell r="EC15" t="str">
            <v>Maladie</v>
          </cell>
          <cell r="ED15" t="str">
            <v>Maladie</v>
          </cell>
          <cell r="EE15" t="str">
            <v>Maladie</v>
          </cell>
          <cell r="EF15" t="str">
            <v>MI-TEMPS NICE EST</v>
          </cell>
          <cell r="EG15" t="str">
            <v>REPOS</v>
          </cell>
          <cell r="EH15" t="str">
            <v>MI-TEMPS NICE EST</v>
          </cell>
          <cell r="EI15" t="str">
            <v>REPOS</v>
          </cell>
          <cell r="EJ15" t="str">
            <v>MI-TEMPS NICE EST</v>
          </cell>
          <cell r="EK15" t="str">
            <v>REPOS</v>
          </cell>
          <cell r="EL15" t="str">
            <v>REPOS</v>
          </cell>
          <cell r="EM15" t="str">
            <v>MI-TEMPS NICE EST</v>
          </cell>
          <cell r="EN15" t="str">
            <v>MI-TEMPS NICE EST</v>
          </cell>
          <cell r="EO15" t="str">
            <v>MI-TEMPS NICE EST</v>
          </cell>
          <cell r="EP15" t="str">
            <v>MI-TEMPS NICE EST</v>
          </cell>
          <cell r="EQ15" t="str">
            <v>MI-TEMPS NICE EST</v>
          </cell>
          <cell r="ER15" t="str">
            <v>REPOS</v>
          </cell>
          <cell r="ES15" t="str">
            <v>REPOS</v>
          </cell>
          <cell r="ET15" t="str">
            <v>MI-TEMPS NICE EST</v>
          </cell>
          <cell r="EU15" t="str">
            <v>NICE EST</v>
          </cell>
          <cell r="EV15" t="str">
            <v>NICE EST</v>
          </cell>
          <cell r="EW15" t="str">
            <v>NICE EST</v>
          </cell>
          <cell r="EX15" t="str">
            <v>NICE EST</v>
          </cell>
          <cell r="EY15" t="str">
            <v>REPOS</v>
          </cell>
          <cell r="EZ15" t="str">
            <v>REPOS</v>
          </cell>
          <cell r="FA15" t="str">
            <v>NICE EST</v>
          </cell>
          <cell r="FB15" t="str">
            <v>NICE EST</v>
          </cell>
          <cell r="FC15" t="str">
            <v>NICE EST</v>
          </cell>
          <cell r="FD15" t="str">
            <v>NICE EST</v>
          </cell>
          <cell r="FE15" t="str">
            <v>RTT</v>
          </cell>
          <cell r="FF15" t="str">
            <v>REPOS</v>
          </cell>
          <cell r="FG15" t="str">
            <v>REPOS</v>
          </cell>
          <cell r="FH15" t="str">
            <v>RTT</v>
          </cell>
          <cell r="FI15" t="str">
            <v>NICE EST</v>
          </cell>
          <cell r="FJ15" t="str">
            <v>NICE EST</v>
          </cell>
          <cell r="FK15" t="str">
            <v>NICE EST</v>
          </cell>
          <cell r="FL15" t="str">
            <v>NICE EST</v>
          </cell>
          <cell r="FM15" t="str">
            <v>REPOS</v>
          </cell>
          <cell r="FN15" t="str">
            <v>REPOS</v>
          </cell>
          <cell r="FO15" t="str">
            <v>NICE EST</v>
          </cell>
          <cell r="FP15" t="str">
            <v>NICE EST</v>
          </cell>
          <cell r="FQ15" t="str">
            <v>NICE EST</v>
          </cell>
          <cell r="FR15" t="str">
            <v>NICE EST</v>
          </cell>
          <cell r="FS15" t="str">
            <v>REPOS</v>
          </cell>
          <cell r="FT15" t="str">
            <v>NICE EST</v>
          </cell>
          <cell r="FU15" t="str">
            <v>REPOS</v>
          </cell>
          <cell r="FV15" t="str">
            <v>NICE EST</v>
          </cell>
          <cell r="FW15" t="str">
            <v>NICE EST</v>
          </cell>
          <cell r="FX15" t="str">
            <v>NICE EST</v>
          </cell>
          <cell r="FY15" t="str">
            <v>NICE EST</v>
          </cell>
          <cell r="FZ15" t="str">
            <v>NICE EST</v>
          </cell>
          <cell r="GA15" t="str">
            <v>REPOS</v>
          </cell>
          <cell r="GB15" t="str">
            <v>REPOS</v>
          </cell>
          <cell r="GH15" t="str">
            <v>REPOS</v>
          </cell>
          <cell r="GI15" t="str">
            <v>REPOS</v>
          </cell>
          <cell r="HL15" t="str">
            <v>Congés</v>
          </cell>
          <cell r="HM15" t="str">
            <v>Congés</v>
          </cell>
          <cell r="HN15" t="str">
            <v>Congés</v>
          </cell>
          <cell r="HO15" t="str">
            <v>Congés</v>
          </cell>
          <cell r="HP15" t="str">
            <v>Congés</v>
          </cell>
          <cell r="HQ15" t="str">
            <v>REPOS</v>
          </cell>
          <cell r="HR15" t="str">
            <v>REPOS</v>
          </cell>
          <cell r="HS15" t="str">
            <v>Congés</v>
          </cell>
          <cell r="HT15" t="str">
            <v>Congés</v>
          </cell>
          <cell r="HU15" t="str">
            <v>Congés</v>
          </cell>
          <cell r="HV15" t="str">
            <v>Congés</v>
          </cell>
          <cell r="HW15" t="str">
            <v>Congés</v>
          </cell>
          <cell r="HX15" t="str">
            <v>REPOS</v>
          </cell>
          <cell r="HY15" t="str">
            <v>REPOS</v>
          </cell>
        </row>
        <row r="16">
          <cell r="J16" t="str">
            <v>REPOS</v>
          </cell>
          <cell r="K16" t="str">
            <v>ENC NUIT 20H30-02H30</v>
          </cell>
          <cell r="L16" t="str">
            <v>ENC NUIT 20H30-02H30</v>
          </cell>
          <cell r="M16" t="str">
            <v>ENC NUIT 20H30-02H30</v>
          </cell>
          <cell r="N16" t="str">
            <v>ENC NUIT 20H30-02H30</v>
          </cell>
          <cell r="O16" t="str">
            <v>REPOS</v>
          </cell>
          <cell r="P16" t="str">
            <v>V.N Matin DIM</v>
          </cell>
          <cell r="Q16" t="str">
            <v>ENC NUIT 20H30-02H30</v>
          </cell>
          <cell r="R16" t="str">
            <v>ENC NUIT 20H30-02H30</v>
          </cell>
          <cell r="S16" t="str">
            <v>ENC NUIT 20H30-02H30</v>
          </cell>
          <cell r="T16" t="str">
            <v>ENC NUIT 20H30-02H30</v>
          </cell>
          <cell r="U16" t="str">
            <v>ENC NUIT 20H30-02H30</v>
          </cell>
          <cell r="V16" t="str">
            <v>REPOS</v>
          </cell>
          <cell r="W16" t="str">
            <v>V.N Matin DIM</v>
          </cell>
          <cell r="X16" t="str">
            <v>ENC MATIN 5H-12H</v>
          </cell>
          <cell r="Y16" t="str">
            <v>ENC MATIN 5H-12H</v>
          </cell>
          <cell r="Z16" t="str">
            <v>ENC MATIN 5H-12H</v>
          </cell>
          <cell r="AA16" t="str">
            <v>REPOS</v>
          </cell>
          <cell r="AB16" t="str">
            <v>ENC MATIN 5H-12H</v>
          </cell>
          <cell r="AC16" t="str">
            <v>NICE EST</v>
          </cell>
          <cell r="AD16" t="str">
            <v>REPOS</v>
          </cell>
          <cell r="AE16" t="str">
            <v>ENC NUIT 20H30-03H30</v>
          </cell>
          <cell r="AF16" t="str">
            <v>ENC NUIT 20H30-03H30</v>
          </cell>
          <cell r="AG16" t="str">
            <v>ENC NUIT 20H30-03H30</v>
          </cell>
          <cell r="AH16" t="str">
            <v>ENC NUIT 20H30-03H30</v>
          </cell>
          <cell r="AI16" t="str">
            <v>ENC NUIT 20H30-03H30</v>
          </cell>
          <cell r="AJ16" t="str">
            <v>REPOS</v>
          </cell>
          <cell r="AK16" t="str">
            <v>V.N Matin DIM</v>
          </cell>
          <cell r="AL16" t="str">
            <v>ENC NUIT 20H30-03H30</v>
          </cell>
          <cell r="AM16" t="str">
            <v>ENC NUIT 20H30-03H30</v>
          </cell>
          <cell r="AN16" t="str">
            <v>ENC NUIT 20H30-03H30</v>
          </cell>
          <cell r="AO16" t="str">
            <v>ENC NUIT 20H30-03H30</v>
          </cell>
          <cell r="AP16" t="str">
            <v>ENC NUIT 20H30-03H30</v>
          </cell>
          <cell r="AQ16" t="str">
            <v>REPOS</v>
          </cell>
          <cell r="AR16" t="str">
            <v>REPOS</v>
          </cell>
          <cell r="AS16" t="str">
            <v>Congés</v>
          </cell>
          <cell r="AT16" t="str">
            <v>Congés</v>
          </cell>
          <cell r="AU16" t="str">
            <v>Congés</v>
          </cell>
          <cell r="AV16" t="str">
            <v>Congés</v>
          </cell>
          <cell r="AW16" t="str">
            <v>Congés</v>
          </cell>
          <cell r="AX16" t="str">
            <v>REPOS</v>
          </cell>
          <cell r="AY16" t="str">
            <v>REPOS</v>
          </cell>
          <cell r="AZ16" t="str">
            <v>ENC NUIT 20H30-03H30</v>
          </cell>
          <cell r="BA16" t="str">
            <v>ENC NUIT 20H30-03H30</v>
          </cell>
          <cell r="BB16" t="str">
            <v>ENC NUIT 20H30-03H30</v>
          </cell>
          <cell r="BC16" t="str">
            <v>ENC NUIT 20H30-03H30</v>
          </cell>
          <cell r="BD16" t="str">
            <v>REPOS</v>
          </cell>
          <cell r="BE16" t="str">
            <v>NICE EST</v>
          </cell>
          <cell r="BF16" t="str">
            <v>REPOS</v>
          </cell>
          <cell r="BG16" t="str">
            <v>ENC NUIT 20H30-02H30</v>
          </cell>
          <cell r="BH16" t="str">
            <v>FORMATION | 20:00-00:00</v>
          </cell>
          <cell r="BI16" t="str">
            <v>ENC NUIT 20H30-02H30</v>
          </cell>
          <cell r="BJ16" t="str">
            <v>ENC NUIT 20H30-02H30</v>
          </cell>
          <cell r="BK16" t="str">
            <v>ENC NUIT 20H30-02H30</v>
          </cell>
          <cell r="BL16" t="str">
            <v>REPOS</v>
          </cell>
          <cell r="BM16" t="str">
            <v>V.N Matin DIM</v>
          </cell>
          <cell r="BN16" t="str">
            <v>ENC NUIT 20H30-02H30</v>
          </cell>
          <cell r="BO16" t="str">
            <v>ENC NUIT 20H30-02H30</v>
          </cell>
          <cell r="BP16" t="str">
            <v>ENC NUIT 20H30-02H30</v>
          </cell>
          <cell r="BQ16" t="str">
            <v>ENC NUIT 20H30-02H30</v>
          </cell>
          <cell r="BR16" t="str">
            <v>ENC NUIT 20H30-02H30</v>
          </cell>
          <cell r="BS16" t="str">
            <v>REPOS</v>
          </cell>
          <cell r="BT16" t="str">
            <v>REPOS</v>
          </cell>
          <cell r="BU16" t="str">
            <v>ENC MATIN 5H-12H</v>
          </cell>
          <cell r="BV16" t="str">
            <v>REPOS</v>
          </cell>
          <cell r="BW16" t="str">
            <v>ENC MATIN 5H-12H</v>
          </cell>
          <cell r="BX16" t="str">
            <v>ENC MATIN 5H-12H</v>
          </cell>
          <cell r="BY16" t="str">
            <v>ENC MATIN 5H-12H</v>
          </cell>
          <cell r="BZ16" t="str">
            <v>NICE OUEST</v>
          </cell>
          <cell r="CA16" t="str">
            <v>REPOS</v>
          </cell>
          <cell r="CB16" t="str">
            <v>ENC NUIT 20H30-03H30</v>
          </cell>
          <cell r="CC16" t="str">
            <v>ENC NUIT 20H30-03H30</v>
          </cell>
          <cell r="CD16" t="str">
            <v>ENC NUIT 20H30-03H30</v>
          </cell>
          <cell r="CE16" t="str">
            <v>ENC NUIT 20H30-03H30</v>
          </cell>
          <cell r="CF16" t="str">
            <v>ENC NUIT 20H30-03H30</v>
          </cell>
          <cell r="CG16" t="str">
            <v>REPOS</v>
          </cell>
          <cell r="CH16" t="str">
            <v>NICE OUEST DIM</v>
          </cell>
          <cell r="CI16" t="str">
            <v>ENC MATIN 5H-12H</v>
          </cell>
          <cell r="CJ16" t="str">
            <v>ENC MATIN 5H-12H</v>
          </cell>
          <cell r="CK16" t="str">
            <v>ENC MATIN 5H-12H</v>
          </cell>
          <cell r="CL16" t="str">
            <v>ENC MATIN 5H-12H</v>
          </cell>
          <cell r="CM16" t="str">
            <v>ENC MATIN 5H-12H</v>
          </cell>
          <cell r="CN16" t="str">
            <v>HS NICE EST</v>
          </cell>
          <cell r="CO16" t="str">
            <v>REPOS</v>
          </cell>
          <cell r="CP16" t="str">
            <v>NICE OUEST</v>
          </cell>
          <cell r="CQ16" t="str">
            <v>NICE OUEST</v>
          </cell>
          <cell r="CR16" t="str">
            <v>NICE OUEST</v>
          </cell>
          <cell r="CS16" t="str">
            <v>NICE OUEST</v>
          </cell>
          <cell r="CT16" t="str">
            <v>NICE OUEST</v>
          </cell>
          <cell r="CU16" t="str">
            <v>REPOS</v>
          </cell>
          <cell r="CV16" t="str">
            <v>REPOS</v>
          </cell>
          <cell r="CW16" t="str">
            <v>REPOS</v>
          </cell>
          <cell r="CX16" t="str">
            <v>FORMATION</v>
          </cell>
          <cell r="CY16" t="str">
            <v>FORMATION</v>
          </cell>
          <cell r="CZ16" t="str">
            <v>REPOS</v>
          </cell>
          <cell r="DA16" t="str">
            <v>NICE OUEST</v>
          </cell>
          <cell r="DB16" t="str">
            <v>NICE OUEST</v>
          </cell>
          <cell r="DC16" t="str">
            <v>REPOS</v>
          </cell>
          <cell r="DD16" t="str">
            <v>FORMATION</v>
          </cell>
          <cell r="DE16" t="str">
            <v>FORMATION</v>
          </cell>
          <cell r="DF16" t="str">
            <v>FORMATION</v>
          </cell>
          <cell r="DG16" t="str">
            <v>NICE EST</v>
          </cell>
          <cell r="DH16" t="str">
            <v>ENC MATIN 5H-12H</v>
          </cell>
          <cell r="DI16" t="str">
            <v>REPOS</v>
          </cell>
          <cell r="DJ16" t="str">
            <v>V.N Matin DIM</v>
          </cell>
          <cell r="DK16" t="str">
            <v>Maladie</v>
          </cell>
          <cell r="DL16" t="str">
            <v>Maladie</v>
          </cell>
          <cell r="DM16" t="str">
            <v>Maladie</v>
          </cell>
          <cell r="DN16" t="str">
            <v>Maladie</v>
          </cell>
          <cell r="DO16" t="str">
            <v>Maladie</v>
          </cell>
          <cell r="DP16" t="str">
            <v>Maladie</v>
          </cell>
          <cell r="DQ16" t="str">
            <v>Maladie</v>
          </cell>
          <cell r="DR16" t="str">
            <v>ENC NUIT 20H30-03H30</v>
          </cell>
          <cell r="DS16" t="str">
            <v>ENC NUIT 20H30-03H30</v>
          </cell>
          <cell r="DT16" t="str">
            <v>ENC NUIT 20H30-03H30</v>
          </cell>
          <cell r="DU16" t="str">
            <v>ENC NUIT 20H30-03H30</v>
          </cell>
          <cell r="DV16" t="str">
            <v>ENC NUIT 20H30-03H30</v>
          </cell>
          <cell r="DW16" t="str">
            <v>REPOS</v>
          </cell>
          <cell r="DX16" t="str">
            <v>NICE NORD DIM</v>
          </cell>
          <cell r="DY16" t="str">
            <v>ENC NUIT 20H30-03H30</v>
          </cell>
          <cell r="DZ16" t="str">
            <v>REPOS</v>
          </cell>
          <cell r="EA16" t="str">
            <v>ENC NUIT 20H30-03H30</v>
          </cell>
          <cell r="EB16" t="str">
            <v>ENC NUIT 20H30-03H30</v>
          </cell>
          <cell r="EC16" t="str">
            <v>ENC NUIT 20H30-03H30</v>
          </cell>
          <cell r="ED16" t="str">
            <v>REPOS</v>
          </cell>
          <cell r="EE16" t="str">
            <v>REPOS</v>
          </cell>
          <cell r="EF16" t="str">
            <v>ENC NUIT 20H30-03H30</v>
          </cell>
          <cell r="EG16" t="str">
            <v>REPOS</v>
          </cell>
          <cell r="EH16" t="str">
            <v>ENC NUIT 20H30-03H30</v>
          </cell>
          <cell r="EI16" t="str">
            <v>REPOS</v>
          </cell>
          <cell r="EJ16" t="str">
            <v>ENC NUIT 20H30-03H30</v>
          </cell>
          <cell r="EK16" t="str">
            <v>REPOS</v>
          </cell>
          <cell r="EL16" t="str">
            <v>V.N Matin DIM</v>
          </cell>
          <cell r="EM16" t="str">
            <v>ENC MATIN 5H-12H</v>
          </cell>
          <cell r="EN16" t="str">
            <v>REPOS</v>
          </cell>
          <cell r="EO16" t="str">
            <v>ENC MATIN 5H-12H</v>
          </cell>
          <cell r="EP16" t="str">
            <v>ENC MATIN 5H-12H</v>
          </cell>
          <cell r="EQ16" t="str">
            <v>ENC MATIN 5H-12H</v>
          </cell>
          <cell r="ER16" t="str">
            <v>NICE OUEST</v>
          </cell>
          <cell r="ES16" t="str">
            <v>REPOS</v>
          </cell>
          <cell r="ET16" t="str">
            <v>ENC MATIN 5H-12H</v>
          </cell>
          <cell r="EU16" t="str">
            <v>ENC MATIN 5H-12H</v>
          </cell>
          <cell r="EV16" t="str">
            <v>ENC MATIN 5H-12H</v>
          </cell>
          <cell r="EW16" t="str">
            <v>ENC MATIN 5H-12H</v>
          </cell>
          <cell r="EX16" t="str">
            <v>NICE OUEST</v>
          </cell>
          <cell r="EY16" t="str">
            <v>HS NICE OUEST</v>
          </cell>
          <cell r="EZ16" t="str">
            <v>REPOS</v>
          </cell>
          <cell r="FA16" t="str">
            <v>ENC NUIT 20H30-03H30</v>
          </cell>
          <cell r="FB16" t="str">
            <v>ENC NUIT 20H30-03H30</v>
          </cell>
          <cell r="FC16" t="str">
            <v>ENC NUIT 20H30-03H30</v>
          </cell>
          <cell r="FD16" t="str">
            <v>ENC NUIT 20H30-03H30</v>
          </cell>
          <cell r="FE16" t="str">
            <v>ENC NUIT 20H30-03H30</v>
          </cell>
          <cell r="FF16" t="str">
            <v>REPOS</v>
          </cell>
          <cell r="FG16" t="str">
            <v>REPOS</v>
          </cell>
          <cell r="FH16" t="str">
            <v>ENC NUIT 20H30-03H30</v>
          </cell>
          <cell r="FI16" t="str">
            <v>ENC NUIT 20H30-03H30</v>
          </cell>
          <cell r="FJ16" t="str">
            <v>ENC NUIT 20H30-03H30</v>
          </cell>
          <cell r="FK16" t="str">
            <v>ENC NUIT 20H30-03H30</v>
          </cell>
          <cell r="FL16" t="str">
            <v>ENC NUIT 20H30-03H30</v>
          </cell>
          <cell r="FM16" t="str">
            <v>REPOS</v>
          </cell>
          <cell r="FN16" t="str">
            <v>V.N Matin DIM</v>
          </cell>
          <cell r="FO16" t="str">
            <v>ENC MATIN 5H-12H</v>
          </cell>
          <cell r="FP16" t="str">
            <v>ENC MATIN 5H-12H</v>
          </cell>
          <cell r="FQ16" t="str">
            <v>ENC MATIN 5H-12H</v>
          </cell>
          <cell r="FR16" t="str">
            <v>REPOS</v>
          </cell>
          <cell r="FS16" t="str">
            <v>ENC MATIN 5H-12H</v>
          </cell>
          <cell r="FT16" t="str">
            <v>NICE EST</v>
          </cell>
          <cell r="FU16" t="str">
            <v>REPOS</v>
          </cell>
          <cell r="FV16" t="str">
            <v>ENC MATIN 5H-12H</v>
          </cell>
          <cell r="FW16" t="str">
            <v>ENC MATIN 5H-12H</v>
          </cell>
          <cell r="FX16" t="str">
            <v>ENC MATIN 5H-12H</v>
          </cell>
          <cell r="FY16" t="str">
            <v>ENC MATIN 5H-12H</v>
          </cell>
          <cell r="FZ16" t="str">
            <v>ENC MATIN 5H-12H</v>
          </cell>
          <cell r="GA16" t="str">
            <v>REPOS</v>
          </cell>
          <cell r="GB16" t="str">
            <v>REPOS</v>
          </cell>
          <cell r="GH16" t="str">
            <v>REPOS</v>
          </cell>
          <cell r="GI16" t="str">
            <v>REPOS</v>
          </cell>
          <cell r="HZ16" t="str">
            <v>Congés</v>
          </cell>
          <cell r="IA16" t="str">
            <v>Congés</v>
          </cell>
          <cell r="IB16" t="str">
            <v>REPOS</v>
          </cell>
          <cell r="IC16" t="str">
            <v>Congés</v>
          </cell>
          <cell r="ID16" t="str">
            <v>Congés</v>
          </cell>
          <cell r="IE16" t="str">
            <v>REPOS</v>
          </cell>
          <cell r="IF16" t="str">
            <v>REPOS</v>
          </cell>
          <cell r="IG16" t="str">
            <v>Congés</v>
          </cell>
          <cell r="IH16" t="str">
            <v>Congés</v>
          </cell>
          <cell r="II16" t="str">
            <v>Congés</v>
          </cell>
          <cell r="IJ16" t="str">
            <v>Congés</v>
          </cell>
          <cell r="IK16" t="str">
            <v>Congés</v>
          </cell>
          <cell r="IL16" t="str">
            <v>Congés</v>
          </cell>
          <cell r="IM16" t="str">
            <v>Congés</v>
          </cell>
        </row>
        <row r="17">
          <cell r="J17" t="str">
            <v>REPOS</v>
          </cell>
          <cell r="K17" t="str">
            <v>B. CARTON</v>
          </cell>
          <cell r="L17" t="str">
            <v>B. CARTON</v>
          </cell>
          <cell r="M17" t="str">
            <v>B. CARTON</v>
          </cell>
          <cell r="N17" t="str">
            <v>B. CARTON</v>
          </cell>
          <cell r="O17" t="str">
            <v>REPOS</v>
          </cell>
          <cell r="P17" t="str">
            <v>REPOS</v>
          </cell>
          <cell r="Q17" t="str">
            <v>B. CARTON</v>
          </cell>
          <cell r="R17" t="str">
            <v>B. CARTON</v>
          </cell>
          <cell r="S17" t="str">
            <v>B. CARTON</v>
          </cell>
          <cell r="T17" t="str">
            <v>B. CARTON</v>
          </cell>
          <cell r="U17" t="str">
            <v>REPOS</v>
          </cell>
          <cell r="V17" t="str">
            <v>NICE EST</v>
          </cell>
          <cell r="W17" t="str">
            <v>REPOS</v>
          </cell>
          <cell r="X17" t="str">
            <v>B. CARTON</v>
          </cell>
          <cell r="Y17" t="str">
            <v>B. CARTON</v>
          </cell>
          <cell r="Z17" t="str">
            <v>B. CARTON</v>
          </cell>
          <cell r="AA17" t="str">
            <v>B. CARTON</v>
          </cell>
          <cell r="AB17" t="str">
            <v>B. CARTON</v>
          </cell>
          <cell r="AC17" t="str">
            <v>REPOS</v>
          </cell>
          <cell r="AD17" t="str">
            <v>REPOS</v>
          </cell>
          <cell r="AE17" t="str">
            <v>B. CARTON</v>
          </cell>
          <cell r="AF17" t="str">
            <v>B. CARTON</v>
          </cell>
          <cell r="AG17" t="str">
            <v>B. CARTON</v>
          </cell>
          <cell r="AH17" t="str">
            <v>B. CARTON</v>
          </cell>
          <cell r="AI17" t="str">
            <v>B. CARTON</v>
          </cell>
          <cell r="AJ17" t="str">
            <v>REPOS</v>
          </cell>
          <cell r="AK17" t="str">
            <v>REPOS</v>
          </cell>
          <cell r="AL17" t="str">
            <v>B. CARTON</v>
          </cell>
          <cell r="AM17" t="str">
            <v>B. CARTON</v>
          </cell>
          <cell r="AN17" t="str">
            <v>B. CARTON</v>
          </cell>
          <cell r="AO17" t="str">
            <v>B. CARTON</v>
          </cell>
          <cell r="AP17" t="str">
            <v>REPOS</v>
          </cell>
          <cell r="AQ17" t="str">
            <v>Congés</v>
          </cell>
          <cell r="AR17" t="str">
            <v>REPOS</v>
          </cell>
          <cell r="AS17" t="str">
            <v>B. CARTON</v>
          </cell>
          <cell r="AT17" t="str">
            <v>B. CARTON</v>
          </cell>
          <cell r="AU17" t="str">
            <v>B. CARTON</v>
          </cell>
          <cell r="AV17" t="str">
            <v>B. CARTON</v>
          </cell>
          <cell r="AW17" t="str">
            <v>B. CARTON</v>
          </cell>
          <cell r="AX17" t="str">
            <v>REPOS</v>
          </cell>
          <cell r="AY17" t="str">
            <v>REPOS</v>
          </cell>
          <cell r="AZ17" t="str">
            <v>B. CARTON</v>
          </cell>
          <cell r="BA17" t="str">
            <v>B. CARTON</v>
          </cell>
          <cell r="BB17" t="str">
            <v>B. CARTON</v>
          </cell>
          <cell r="BC17" t="str">
            <v>B. CARTON</v>
          </cell>
          <cell r="BD17" t="str">
            <v>B. CARTON</v>
          </cell>
          <cell r="BE17" t="str">
            <v>REPOS</v>
          </cell>
          <cell r="BF17" t="str">
            <v>NICE EST DIM</v>
          </cell>
          <cell r="BG17" t="str">
            <v>B. CARTON</v>
          </cell>
          <cell r="BH17" t="str">
            <v>B. CARTON</v>
          </cell>
          <cell r="BI17" t="str">
            <v>B. CARTON</v>
          </cell>
          <cell r="BJ17" t="str">
            <v>B. CARTON</v>
          </cell>
          <cell r="BK17" t="str">
            <v>B. CARTON</v>
          </cell>
          <cell r="BL17" t="str">
            <v>REPOS</v>
          </cell>
          <cell r="BM17" t="str">
            <v>REPOS</v>
          </cell>
          <cell r="BN17" t="str">
            <v>Congés</v>
          </cell>
          <cell r="BO17" t="str">
            <v>Congés</v>
          </cell>
          <cell r="BP17" t="str">
            <v>Congés</v>
          </cell>
          <cell r="BQ17" t="str">
            <v>Congés</v>
          </cell>
          <cell r="BR17" t="str">
            <v>Congés</v>
          </cell>
          <cell r="BS17" t="str">
            <v>REPOS</v>
          </cell>
          <cell r="BT17" t="str">
            <v>REPOS</v>
          </cell>
          <cell r="BU17" t="str">
            <v>Congés</v>
          </cell>
          <cell r="BV17" t="str">
            <v>B. CARTON</v>
          </cell>
          <cell r="BW17" t="str">
            <v>B. CARTON</v>
          </cell>
          <cell r="BX17" t="str">
            <v>B. CARTON</v>
          </cell>
          <cell r="BY17" t="str">
            <v>B. CARTON</v>
          </cell>
          <cell r="BZ17" t="str">
            <v>REPOS</v>
          </cell>
          <cell r="CA17" t="str">
            <v>NICE EST DIM</v>
          </cell>
          <cell r="CB17" t="str">
            <v>B. CARTON</v>
          </cell>
          <cell r="CC17" t="str">
            <v>B. CARTON</v>
          </cell>
          <cell r="CD17" t="str">
            <v>B. CARTON</v>
          </cell>
          <cell r="CE17" t="str">
            <v>B. CARTON</v>
          </cell>
          <cell r="CF17" t="str">
            <v>REPOS</v>
          </cell>
          <cell r="CG17" t="str">
            <v>NICE EST</v>
          </cell>
          <cell r="CH17" t="str">
            <v>REPOS</v>
          </cell>
          <cell r="CI17" t="str">
            <v>B. CARTON</v>
          </cell>
          <cell r="CJ17" t="str">
            <v>B. CARTON</v>
          </cell>
          <cell r="CK17" t="str">
            <v>Congés</v>
          </cell>
          <cell r="CL17" t="str">
            <v>B. CARTON</v>
          </cell>
          <cell r="CM17" t="str">
            <v>B. CARTON</v>
          </cell>
          <cell r="CN17" t="str">
            <v>REPOS</v>
          </cell>
          <cell r="CO17" t="str">
            <v>V.N Matin DIM</v>
          </cell>
          <cell r="CP17" t="str">
            <v>B. CARTON</v>
          </cell>
          <cell r="CQ17" t="str">
            <v>REPOS</v>
          </cell>
          <cell r="CR17" t="str">
            <v>Maladie</v>
          </cell>
          <cell r="CS17" t="str">
            <v>Maladie</v>
          </cell>
          <cell r="CT17" t="str">
            <v>Maladie</v>
          </cell>
          <cell r="CU17" t="str">
            <v>NICE EST</v>
          </cell>
          <cell r="CV17" t="str">
            <v>REPOS</v>
          </cell>
          <cell r="CW17" t="str">
            <v>REPOS</v>
          </cell>
          <cell r="CX17" t="str">
            <v>B. CARTON</v>
          </cell>
          <cell r="CY17" t="str">
            <v>B. CARTON</v>
          </cell>
          <cell r="CZ17" t="str">
            <v>B. CARTON</v>
          </cell>
          <cell r="DA17" t="str">
            <v>B. CARTON</v>
          </cell>
          <cell r="DB17" t="str">
            <v>REPOS</v>
          </cell>
          <cell r="DC17" t="str">
            <v>REPOS</v>
          </cell>
          <cell r="DD17" t="str">
            <v>B. CARTON</v>
          </cell>
          <cell r="DE17" t="str">
            <v>B. CARTON</v>
          </cell>
          <cell r="DF17" t="str">
            <v>B. CARTON</v>
          </cell>
          <cell r="DG17" t="str">
            <v>B. CARTON</v>
          </cell>
          <cell r="DH17" t="str">
            <v>B. CARTON</v>
          </cell>
          <cell r="DI17" t="str">
            <v>HS NICE EST</v>
          </cell>
          <cell r="DJ17" t="str">
            <v>REPOS</v>
          </cell>
          <cell r="DK17" t="str">
            <v>B. CARTON</v>
          </cell>
          <cell r="DL17" t="str">
            <v>B. CARTON</v>
          </cell>
          <cell r="DM17" t="str">
            <v>Congés</v>
          </cell>
          <cell r="DN17" t="str">
            <v>B. CARTON</v>
          </cell>
          <cell r="DO17" t="str">
            <v>B. CARTON</v>
          </cell>
          <cell r="DP17" t="str">
            <v>REPOS</v>
          </cell>
          <cell r="DQ17" t="str">
            <v>REPOS</v>
          </cell>
          <cell r="DR17" t="str">
            <v>B. CARTON</v>
          </cell>
          <cell r="DS17" t="str">
            <v>B. CARTON</v>
          </cell>
          <cell r="DT17" t="str">
            <v>REPOS</v>
          </cell>
          <cell r="DU17" t="str">
            <v>B. CARTON</v>
          </cell>
          <cell r="DV17" t="str">
            <v>B. CARTON | 16:00-18:00</v>
          </cell>
          <cell r="DW17" t="str">
            <v>NICE EST</v>
          </cell>
          <cell r="DX17" t="str">
            <v>REPOS</v>
          </cell>
          <cell r="DY17" t="str">
            <v>B. CARTON</v>
          </cell>
          <cell r="DZ17" t="str">
            <v>REPOS</v>
          </cell>
          <cell r="EA17" t="str">
            <v>B. CARTON</v>
          </cell>
          <cell r="EB17" t="str">
            <v>B. CARTON</v>
          </cell>
          <cell r="EC17" t="str">
            <v>B. CARTON</v>
          </cell>
          <cell r="ED17" t="str">
            <v>HS NICE EST</v>
          </cell>
          <cell r="EE17" t="str">
            <v>REPOS</v>
          </cell>
          <cell r="EF17" t="str">
            <v>Congés</v>
          </cell>
          <cell r="EG17" t="str">
            <v>REPOS</v>
          </cell>
          <cell r="EH17" t="str">
            <v>B. CARTON</v>
          </cell>
          <cell r="EI17" t="str">
            <v>NICE EST DIM</v>
          </cell>
          <cell r="EJ17" t="str">
            <v>B. CARTON</v>
          </cell>
          <cell r="EK17" t="str">
            <v>REPOS</v>
          </cell>
          <cell r="EL17" t="str">
            <v>REPOS</v>
          </cell>
          <cell r="EM17" t="str">
            <v>B. CARTON</v>
          </cell>
          <cell r="EN17" t="str">
            <v>B. CARTON</v>
          </cell>
          <cell r="EO17" t="str">
            <v>B. CARTON</v>
          </cell>
          <cell r="EP17" t="str">
            <v>B. CARTON</v>
          </cell>
          <cell r="EQ17" t="str">
            <v>B. CARTON</v>
          </cell>
          <cell r="ER17" t="str">
            <v>REPOS</v>
          </cell>
          <cell r="ES17" t="str">
            <v>REPOS</v>
          </cell>
          <cell r="ET17" t="str">
            <v>Congés</v>
          </cell>
          <cell r="EU17" t="str">
            <v>Congés</v>
          </cell>
          <cell r="EV17" t="str">
            <v>B. CARTON</v>
          </cell>
          <cell r="EW17" t="str">
            <v>B. CARTON</v>
          </cell>
          <cell r="EX17" t="str">
            <v>B. CARTON</v>
          </cell>
          <cell r="EY17" t="str">
            <v>REPOS</v>
          </cell>
          <cell r="EZ17" t="str">
            <v>NICE EST DIM</v>
          </cell>
          <cell r="FA17" t="str">
            <v>Congés</v>
          </cell>
          <cell r="FB17" t="str">
            <v>Congés</v>
          </cell>
          <cell r="FC17" t="str">
            <v>Congés</v>
          </cell>
          <cell r="FD17" t="str">
            <v>Congés</v>
          </cell>
          <cell r="FE17" t="str">
            <v>Congés</v>
          </cell>
          <cell r="FF17" t="str">
            <v>REPOS</v>
          </cell>
          <cell r="FG17" t="str">
            <v>REPOS</v>
          </cell>
          <cell r="FH17" t="str">
            <v>Congés</v>
          </cell>
          <cell r="FI17" t="str">
            <v>Congés</v>
          </cell>
          <cell r="FJ17" t="str">
            <v>Congés</v>
          </cell>
          <cell r="FK17" t="str">
            <v>Congés</v>
          </cell>
          <cell r="FL17" t="str">
            <v>Congés</v>
          </cell>
          <cell r="FM17" t="str">
            <v>REPOS</v>
          </cell>
          <cell r="FN17" t="str">
            <v>REPOS</v>
          </cell>
          <cell r="FO17" t="str">
            <v>B. CARTON</v>
          </cell>
          <cell r="FP17" t="str">
            <v>B. CARTON</v>
          </cell>
          <cell r="FQ17" t="str">
            <v>REPOS</v>
          </cell>
          <cell r="FR17" t="str">
            <v>B. CARTON</v>
          </cell>
          <cell r="FS17" t="str">
            <v>B. CARTON</v>
          </cell>
          <cell r="FT17" t="str">
            <v>NICE EST</v>
          </cell>
          <cell r="FU17" t="str">
            <v>REPOS</v>
          </cell>
          <cell r="FV17" t="str">
            <v>B. CARTON</v>
          </cell>
          <cell r="FW17" t="str">
            <v>B. CARTON</v>
          </cell>
          <cell r="FX17" t="str">
            <v>B. CARTON</v>
          </cell>
          <cell r="FY17" t="str">
            <v>B. CARTON</v>
          </cell>
          <cell r="FZ17" t="str">
            <v>B. CARTON</v>
          </cell>
          <cell r="GA17" t="str">
            <v>REPOS</v>
          </cell>
          <cell r="GB17" t="str">
            <v>REPOS</v>
          </cell>
          <cell r="GH17" t="str">
            <v>REPOS</v>
          </cell>
          <cell r="GI17" t="str">
            <v>REPOS</v>
          </cell>
          <cell r="HZ17" t="str">
            <v>Congés</v>
          </cell>
          <cell r="IA17" t="str">
            <v>Congés</v>
          </cell>
          <cell r="IB17" t="str">
            <v>REPOS</v>
          </cell>
          <cell r="IC17" t="str">
            <v>Congés</v>
          </cell>
          <cell r="ID17" t="str">
            <v>Congés</v>
          </cell>
          <cell r="IE17" t="str">
            <v>REPOS</v>
          </cell>
          <cell r="IF17" t="str">
            <v>REPOS</v>
          </cell>
          <cell r="IG17" t="str">
            <v>Congés</v>
          </cell>
          <cell r="IH17" t="str">
            <v>Congés</v>
          </cell>
          <cell r="II17" t="str">
            <v>Congés</v>
          </cell>
          <cell r="IJ17" t="str">
            <v>Congés</v>
          </cell>
          <cell r="IK17" t="str">
            <v>Congés</v>
          </cell>
          <cell r="IL17" t="str">
            <v>REPOS</v>
          </cell>
          <cell r="IM17" t="str">
            <v>REPOS</v>
          </cell>
        </row>
        <row r="18">
          <cell r="J18" t="str">
            <v>V.N Matin DIM</v>
          </cell>
          <cell r="K18" t="str">
            <v>CARTON MATIN</v>
          </cell>
          <cell r="L18" t="str">
            <v>CARTON MATIN</v>
          </cell>
          <cell r="M18" t="str">
            <v>REPOS</v>
          </cell>
          <cell r="N18" t="str">
            <v>CARTON MATIN</v>
          </cell>
          <cell r="O18" t="str">
            <v>NICE OUEST</v>
          </cell>
          <cell r="P18" t="str">
            <v>REPOS</v>
          </cell>
          <cell r="Q18" t="str">
            <v>CARTON MATIN</v>
          </cell>
          <cell r="R18" t="str">
            <v>CARTON MATIN</v>
          </cell>
          <cell r="S18" t="str">
            <v>CARTON MATIN</v>
          </cell>
          <cell r="T18" t="str">
            <v>Congés</v>
          </cell>
          <cell r="U18" t="str">
            <v>CARTON MATIN</v>
          </cell>
          <cell r="V18" t="str">
            <v>HS NICE EST</v>
          </cell>
          <cell r="W18" t="str">
            <v>REPOS</v>
          </cell>
          <cell r="X18" t="str">
            <v>CARTON MATIN</v>
          </cell>
          <cell r="Y18" t="str">
            <v>CARTON MATIN</v>
          </cell>
          <cell r="Z18" t="str">
            <v>CARTON MATIN</v>
          </cell>
          <cell r="AA18" t="str">
            <v>CARTON MATIN</v>
          </cell>
          <cell r="AB18" t="str">
            <v>CARTON MATIN</v>
          </cell>
          <cell r="AC18" t="str">
            <v>REPOS</v>
          </cell>
          <cell r="AD18" t="str">
            <v>NICE NORD &amp; VIEUX NICE</v>
          </cell>
          <cell r="AE18" t="str">
            <v>Maladie</v>
          </cell>
          <cell r="AF18" t="str">
            <v>Maladie</v>
          </cell>
          <cell r="AG18" t="str">
            <v>CARTON MATIN</v>
          </cell>
          <cell r="AH18" t="str">
            <v>CARTON MATIN</v>
          </cell>
          <cell r="AI18" t="str">
            <v>CARTON MATIN</v>
          </cell>
          <cell r="AJ18" t="str">
            <v>REPOS</v>
          </cell>
          <cell r="AK18" t="str">
            <v>REPOS</v>
          </cell>
          <cell r="AL18" t="str">
            <v>CARTON MATIN</v>
          </cell>
          <cell r="AM18" t="str">
            <v>CARTON MATIN</v>
          </cell>
          <cell r="AN18" t="str">
            <v>CARTON MATIN</v>
          </cell>
          <cell r="AO18" t="str">
            <v>CARTON MATIN</v>
          </cell>
          <cell r="AP18" t="str">
            <v>CARTON MATIN</v>
          </cell>
          <cell r="AQ18" t="str">
            <v>REPOS</v>
          </cell>
          <cell r="AR18" t="str">
            <v>V.N. Matin</v>
          </cell>
          <cell r="AS18" t="str">
            <v>CARTON MATIN</v>
          </cell>
          <cell r="AT18" t="str">
            <v>CARTON MATIN</v>
          </cell>
          <cell r="AU18" t="str">
            <v>CARTON MATIN</v>
          </cell>
          <cell r="AV18" t="str">
            <v>CARTON MATIN</v>
          </cell>
          <cell r="AW18" t="str">
            <v>Congés</v>
          </cell>
          <cell r="AX18" t="str">
            <v>REPOS</v>
          </cell>
          <cell r="AY18" t="str">
            <v>NICE OUEST DIM</v>
          </cell>
          <cell r="AZ18" t="str">
            <v>CARTON MATIN</v>
          </cell>
          <cell r="BA18" t="str">
            <v>CARTON MATIN</v>
          </cell>
          <cell r="BB18" t="str">
            <v>CARTON MATIN</v>
          </cell>
          <cell r="BC18" t="str">
            <v>CARTON MATIN</v>
          </cell>
          <cell r="BD18" t="str">
            <v>REPOS</v>
          </cell>
          <cell r="BE18" t="str">
            <v>NICE NORD</v>
          </cell>
          <cell r="BF18" t="str">
            <v>REPOS</v>
          </cell>
          <cell r="BG18" t="str">
            <v>Maladie</v>
          </cell>
          <cell r="BH18" t="str">
            <v>Maladie</v>
          </cell>
          <cell r="BI18" t="str">
            <v>CARTON MATIN</v>
          </cell>
          <cell r="BJ18" t="str">
            <v>CARTON MATIN</v>
          </cell>
          <cell r="BK18" t="str">
            <v>CARTON MATIN</v>
          </cell>
          <cell r="BL18" t="str">
            <v>HS NICE NORD</v>
          </cell>
          <cell r="BM18" t="str">
            <v>REPOS</v>
          </cell>
          <cell r="BN18" t="str">
            <v>CARTON MATIN</v>
          </cell>
          <cell r="BO18" t="str">
            <v>CARTON MATIN</v>
          </cell>
          <cell r="BP18" t="str">
            <v>CARTON MATIN</v>
          </cell>
          <cell r="BQ18" t="str">
            <v>CARTON MATIN</v>
          </cell>
          <cell r="BR18" t="str">
            <v>CARTON MATIN</v>
          </cell>
          <cell r="BS18" t="str">
            <v>REPOS</v>
          </cell>
          <cell r="BT18" t="str">
            <v>NICE NORD &amp; VIEUX NICE</v>
          </cell>
          <cell r="BU18" t="str">
            <v>CARTON MATIN</v>
          </cell>
          <cell r="BV18" t="str">
            <v>CARTON MATIN</v>
          </cell>
          <cell r="BW18" t="str">
            <v>CARTON MATIN</v>
          </cell>
          <cell r="BX18" t="str">
            <v>Congés</v>
          </cell>
          <cell r="BY18" t="str">
            <v>Congés</v>
          </cell>
          <cell r="BZ18" t="str">
            <v>REPOS</v>
          </cell>
          <cell r="CA18" t="str">
            <v>REPOS</v>
          </cell>
          <cell r="CB18" t="str">
            <v>Congés</v>
          </cell>
          <cell r="CC18" t="str">
            <v>Congés</v>
          </cell>
          <cell r="CD18" t="str">
            <v>Congés</v>
          </cell>
          <cell r="CE18" t="str">
            <v>Congés</v>
          </cell>
          <cell r="CF18" t="str">
            <v>Congés</v>
          </cell>
          <cell r="CG18" t="str">
            <v>REPOS</v>
          </cell>
          <cell r="CH18" t="str">
            <v>REPOS</v>
          </cell>
          <cell r="CI18" t="str">
            <v>CARTON MATIN</v>
          </cell>
          <cell r="CJ18" t="str">
            <v>CARTON MATIN</v>
          </cell>
          <cell r="CK18" t="str">
            <v>REPOS</v>
          </cell>
          <cell r="CL18" t="str">
            <v>CARTON MATIN</v>
          </cell>
          <cell r="CM18" t="str">
            <v>CARTON MATIN</v>
          </cell>
          <cell r="CN18" t="str">
            <v>NICE NORD</v>
          </cell>
          <cell r="CO18" t="str">
            <v>REPOS</v>
          </cell>
          <cell r="CP18" t="str">
            <v>CARTON MATIN</v>
          </cell>
          <cell r="CQ18" t="str">
            <v>CARTON MATIN</v>
          </cell>
          <cell r="CR18" t="str">
            <v>Congés</v>
          </cell>
          <cell r="CS18" t="str">
            <v>CARTON MATIN</v>
          </cell>
          <cell r="CT18" t="str">
            <v>FORMATION</v>
          </cell>
          <cell r="CU18" t="str">
            <v>REPOS</v>
          </cell>
          <cell r="CV18" t="str">
            <v>NICE NORD &amp; VIEUX NICE</v>
          </cell>
          <cell r="CW18" t="str">
            <v>HS ENC. AM</v>
          </cell>
          <cell r="CX18" t="str">
            <v>Congés</v>
          </cell>
          <cell r="CY18" t="str">
            <v>CARTON MATIN</v>
          </cell>
          <cell r="CZ18" t="str">
            <v>CARTON MATIN</v>
          </cell>
          <cell r="DA18" t="str">
            <v>CARTON MATIN</v>
          </cell>
          <cell r="DB18" t="str">
            <v>REPOS</v>
          </cell>
          <cell r="DC18" t="str">
            <v>REPOS</v>
          </cell>
          <cell r="DD18" t="str">
            <v>Congés</v>
          </cell>
          <cell r="DE18" t="str">
            <v>Congés</v>
          </cell>
          <cell r="DF18" t="str">
            <v>Congés</v>
          </cell>
          <cell r="DG18" t="str">
            <v>Congés</v>
          </cell>
          <cell r="DH18" t="str">
            <v>Congés</v>
          </cell>
          <cell r="DI18" t="str">
            <v>REPOS</v>
          </cell>
          <cell r="DJ18" t="str">
            <v>REPOS</v>
          </cell>
          <cell r="DK18" t="str">
            <v>CARTON MATIN</v>
          </cell>
          <cell r="DL18" t="str">
            <v>CARTON MATIN</v>
          </cell>
          <cell r="DM18" t="str">
            <v>CARTON MATIN</v>
          </cell>
          <cell r="DN18" t="str">
            <v>CARTON MATIN</v>
          </cell>
          <cell r="DO18" t="str">
            <v>CARTON MATIN</v>
          </cell>
          <cell r="DP18" t="str">
            <v>HS NICE EST</v>
          </cell>
          <cell r="DQ18" t="str">
            <v>REPOS</v>
          </cell>
          <cell r="DR18" t="str">
            <v>CARTON MATIN</v>
          </cell>
          <cell r="DS18" t="str">
            <v>CARTON MATIN</v>
          </cell>
          <cell r="DT18" t="str">
            <v>CARTON MATIN</v>
          </cell>
          <cell r="DU18" t="str">
            <v>CARTON MATIN</v>
          </cell>
          <cell r="DV18" t="str">
            <v>CARTON MATIN</v>
          </cell>
          <cell r="DW18" t="str">
            <v>HS NICE NORD</v>
          </cell>
          <cell r="DX18" t="str">
            <v>REPOS</v>
          </cell>
          <cell r="DY18" t="str">
            <v>CARTON MATIN</v>
          </cell>
          <cell r="DZ18" t="str">
            <v>REPOS</v>
          </cell>
          <cell r="EA18" t="str">
            <v>CARTON MATIN</v>
          </cell>
          <cell r="EB18" t="str">
            <v>CARTON MATIN</v>
          </cell>
          <cell r="EC18" t="str">
            <v>CARTON MATIN</v>
          </cell>
          <cell r="ED18" t="str">
            <v>REPOS</v>
          </cell>
          <cell r="EE18" t="str">
            <v>NICE EST DIM</v>
          </cell>
          <cell r="EF18" t="str">
            <v>CARTON MATIN</v>
          </cell>
          <cell r="EG18" t="str">
            <v>REPOS</v>
          </cell>
          <cell r="EH18" t="str">
            <v>CARTON MATIN</v>
          </cell>
          <cell r="EI18" t="str">
            <v>REPOS</v>
          </cell>
          <cell r="EJ18" t="str">
            <v>REPOS</v>
          </cell>
          <cell r="EK18" t="str">
            <v>NICE OUEST</v>
          </cell>
          <cell r="EL18" t="str">
            <v>REPOS</v>
          </cell>
          <cell r="EM18" t="str">
            <v>CARTON MATIN</v>
          </cell>
          <cell r="EN18" t="str">
            <v>CARTON MATIN</v>
          </cell>
          <cell r="EO18" t="str">
            <v>Congés</v>
          </cell>
          <cell r="EP18" t="str">
            <v>CARTON MATIN</v>
          </cell>
          <cell r="EQ18" t="str">
            <v>CARTON MATIN</v>
          </cell>
          <cell r="ER18" t="str">
            <v>REPOS</v>
          </cell>
          <cell r="ES18" t="str">
            <v>NICE NORD &amp; VIEUX NICE</v>
          </cell>
          <cell r="ET18" t="str">
            <v>CARTON MATIN</v>
          </cell>
          <cell r="EU18" t="str">
            <v>CARTON MATIN</v>
          </cell>
          <cell r="EV18" t="str">
            <v>CARTON MATIN</v>
          </cell>
          <cell r="EW18" t="str">
            <v>FORMATION AM - RECUP CREDIT | 13:00-17:00</v>
          </cell>
          <cell r="EX18" t="str">
            <v>REPOS</v>
          </cell>
          <cell r="EY18" t="str">
            <v>NICE NORD</v>
          </cell>
          <cell r="EZ18" t="str">
            <v>REPOS</v>
          </cell>
          <cell r="FA18" t="str">
            <v>CARTON MATIN</v>
          </cell>
          <cell r="FB18" t="str">
            <v>CARTON MATIN</v>
          </cell>
          <cell r="FC18" t="str">
            <v>CARTON MATIN</v>
          </cell>
          <cell r="FD18" t="str">
            <v>CARTON MATIN</v>
          </cell>
          <cell r="FE18" t="str">
            <v>CARTON MATIN</v>
          </cell>
          <cell r="FF18" t="str">
            <v>REPOS</v>
          </cell>
          <cell r="FG18" t="str">
            <v>NICE NORD &amp; VIEUX NICE</v>
          </cell>
          <cell r="FH18" t="str">
            <v>CARTON MATIN</v>
          </cell>
          <cell r="FI18" t="str">
            <v>CARTON MATIN</v>
          </cell>
          <cell r="FJ18" t="str">
            <v>CARTON MATIN</v>
          </cell>
          <cell r="FK18" t="str">
            <v>CARTON MATIN</v>
          </cell>
          <cell r="FL18" t="str">
            <v>CARTON MATIN</v>
          </cell>
          <cell r="FM18" t="str">
            <v>REPOS</v>
          </cell>
          <cell r="FN18" t="str">
            <v>NICE EST DIM</v>
          </cell>
          <cell r="FO18" t="str">
            <v>CARTON MATIN</v>
          </cell>
          <cell r="FP18" t="str">
            <v>CARTON MATIN</v>
          </cell>
          <cell r="FQ18" t="str">
            <v>CARTON MATIN</v>
          </cell>
          <cell r="FR18" t="str">
            <v>CARTON MATIN</v>
          </cell>
          <cell r="FS18" t="str">
            <v>CARTON MATIN</v>
          </cell>
          <cell r="FT18" t="str">
            <v>REPOS</v>
          </cell>
          <cell r="FU18" t="str">
            <v>REPOS</v>
          </cell>
          <cell r="FV18" t="str">
            <v>CARTON MATIN</v>
          </cell>
          <cell r="FW18" t="str">
            <v>FORMATION</v>
          </cell>
          <cell r="FX18" t="str">
            <v>CARTON MATIN</v>
          </cell>
          <cell r="FY18" t="str">
            <v>CARTON MATIN</v>
          </cell>
          <cell r="FZ18" t="str">
            <v>CARTON MATIN</v>
          </cell>
          <cell r="GA18" t="str">
            <v>REPOS</v>
          </cell>
          <cell r="GB18" t="str">
            <v>REPOS</v>
          </cell>
          <cell r="GC18" t="str">
            <v>Congés</v>
          </cell>
          <cell r="GD18" t="str">
            <v>Congés</v>
          </cell>
          <cell r="GE18" t="str">
            <v>Congés</v>
          </cell>
          <cell r="GF18" t="str">
            <v>Congés</v>
          </cell>
          <cell r="GG18" t="str">
            <v>Congés</v>
          </cell>
          <cell r="GH18" t="str">
            <v>REPOS</v>
          </cell>
          <cell r="GI18" t="str">
            <v>REPOS</v>
          </cell>
          <cell r="IN18" t="str">
            <v>Congés</v>
          </cell>
          <cell r="IO18" t="str">
            <v>Congés</v>
          </cell>
          <cell r="IP18" t="str">
            <v>Congés</v>
          </cell>
          <cell r="IQ18" t="str">
            <v>Congés</v>
          </cell>
          <cell r="IR18" t="str">
            <v>Congés</v>
          </cell>
          <cell r="IS18" t="str">
            <v>REPOS</v>
          </cell>
          <cell r="IT18" t="str">
            <v>REPOS</v>
          </cell>
          <cell r="IU18" t="str">
            <v>Congés</v>
          </cell>
          <cell r="IV18" t="str">
            <v>Congés</v>
          </cell>
          <cell r="IW18" t="str">
            <v>Congés</v>
          </cell>
          <cell r="IX18" t="str">
            <v>Congés</v>
          </cell>
          <cell r="IY18" t="str">
            <v>Congés</v>
          </cell>
          <cell r="IZ18" t="str">
            <v>REPOS</v>
          </cell>
          <cell r="JA18" t="str">
            <v>REPOS</v>
          </cell>
          <cell r="MF18" t="str">
            <v>REPOS</v>
          </cell>
          <cell r="MG18" t="str">
            <v>REPOS</v>
          </cell>
          <cell r="MH18" t="str">
            <v>Congés</v>
          </cell>
          <cell r="MI18" t="str">
            <v>Congés</v>
          </cell>
          <cell r="MJ18" t="str">
            <v>Congés</v>
          </cell>
          <cell r="MK18" t="str">
            <v>Congés</v>
          </cell>
          <cell r="ML18" t="str">
            <v>Congés</v>
          </cell>
          <cell r="MM18" t="str">
            <v>REPOS</v>
          </cell>
          <cell r="MN18" t="str">
            <v>REPOS</v>
          </cell>
          <cell r="MO18" t="str">
            <v>Congés</v>
          </cell>
          <cell r="MP18" t="str">
            <v>Congés</v>
          </cell>
          <cell r="MQ18" t="str">
            <v>Congés</v>
          </cell>
          <cell r="MR18" t="str">
            <v>Congés</v>
          </cell>
          <cell r="MS18" t="str">
            <v>Congés</v>
          </cell>
          <cell r="MT18" t="str">
            <v>REPOS</v>
          </cell>
          <cell r="MU18" t="str">
            <v>REPOS</v>
          </cell>
        </row>
        <row r="19">
          <cell r="J19" t="str">
            <v>Maladie</v>
          </cell>
          <cell r="K19" t="str">
            <v>Maladie</v>
          </cell>
          <cell r="L19" t="str">
            <v>Maladie</v>
          </cell>
          <cell r="M19" t="str">
            <v>Maladie</v>
          </cell>
          <cell r="N19" t="str">
            <v>Maladie</v>
          </cell>
          <cell r="O19" t="str">
            <v>Maladie</v>
          </cell>
          <cell r="P19" t="str">
            <v>Maladie</v>
          </cell>
          <cell r="Q19" t="str">
            <v>Maladie</v>
          </cell>
          <cell r="R19" t="str">
            <v>Maladie</v>
          </cell>
          <cell r="S19" t="str">
            <v>Maladie</v>
          </cell>
          <cell r="T19" t="str">
            <v>Maladie</v>
          </cell>
          <cell r="U19" t="str">
            <v>Maladie</v>
          </cell>
          <cell r="V19" t="str">
            <v>Maladie</v>
          </cell>
          <cell r="W19" t="str">
            <v>Maladie</v>
          </cell>
          <cell r="X19" t="str">
            <v>Maladie</v>
          </cell>
          <cell r="Y19" t="str">
            <v>Maladie</v>
          </cell>
          <cell r="Z19" t="str">
            <v>Maladie</v>
          </cell>
          <cell r="AA19" t="str">
            <v>Maladie</v>
          </cell>
          <cell r="AB19" t="str">
            <v>Maladie</v>
          </cell>
          <cell r="AC19" t="str">
            <v>Maladie</v>
          </cell>
          <cell r="AD19" t="str">
            <v>Maladie</v>
          </cell>
          <cell r="AE19" t="str">
            <v>Maladie</v>
          </cell>
          <cell r="AF19" t="str">
            <v>Maladie</v>
          </cell>
          <cell r="AG19" t="str">
            <v>Maladie</v>
          </cell>
          <cell r="AH19" t="str">
            <v>Maladie</v>
          </cell>
          <cell r="AI19" t="str">
            <v>Maladie</v>
          </cell>
          <cell r="AJ19" t="str">
            <v>Maladie</v>
          </cell>
          <cell r="AK19" t="str">
            <v>Maladie</v>
          </cell>
          <cell r="AL19" t="str">
            <v>Maladie</v>
          </cell>
          <cell r="AM19" t="str">
            <v>Maladie</v>
          </cell>
          <cell r="AN19" t="str">
            <v>Maladie</v>
          </cell>
          <cell r="AO19" t="str">
            <v>Maladie</v>
          </cell>
          <cell r="AP19" t="str">
            <v>Maladie</v>
          </cell>
          <cell r="AQ19" t="str">
            <v>Maladie</v>
          </cell>
          <cell r="AR19" t="str">
            <v>Maladie</v>
          </cell>
          <cell r="AS19" t="str">
            <v>Maladie</v>
          </cell>
          <cell r="AT19" t="str">
            <v>Maladie</v>
          </cell>
          <cell r="AU19" t="str">
            <v>Maladie</v>
          </cell>
          <cell r="AV19" t="str">
            <v>Maladie</v>
          </cell>
          <cell r="AW19" t="str">
            <v>Maladie</v>
          </cell>
          <cell r="AX19" t="str">
            <v>Maladie</v>
          </cell>
          <cell r="AY19" t="str">
            <v>Maladie</v>
          </cell>
          <cell r="AZ19" t="str">
            <v>Maladie</v>
          </cell>
          <cell r="BA19" t="str">
            <v>Maladie</v>
          </cell>
          <cell r="BB19" t="str">
            <v>Maladie</v>
          </cell>
          <cell r="BC19" t="str">
            <v>Maladie</v>
          </cell>
          <cell r="BD19" t="str">
            <v>Maladie</v>
          </cell>
          <cell r="BE19" t="str">
            <v>Maladie</v>
          </cell>
          <cell r="BF19" t="str">
            <v>Maladie</v>
          </cell>
          <cell r="BG19" t="str">
            <v>Maladie</v>
          </cell>
          <cell r="BH19" t="str">
            <v>Maladie</v>
          </cell>
          <cell r="BI19" t="str">
            <v>Maladie</v>
          </cell>
          <cell r="BJ19" t="str">
            <v>Maladie</v>
          </cell>
          <cell r="BK19" t="str">
            <v>Maladie</v>
          </cell>
          <cell r="BL19" t="str">
            <v>Maladie</v>
          </cell>
          <cell r="BM19" t="str">
            <v>Maladie</v>
          </cell>
          <cell r="BN19" t="str">
            <v>Maladie</v>
          </cell>
          <cell r="BO19" t="str">
            <v>Maladie</v>
          </cell>
          <cell r="BP19" t="str">
            <v>Maladie</v>
          </cell>
          <cell r="BQ19" t="str">
            <v>Maladie</v>
          </cell>
          <cell r="BR19" t="str">
            <v>Maladie</v>
          </cell>
          <cell r="BS19" t="str">
            <v>Maladie</v>
          </cell>
          <cell r="BT19" t="str">
            <v>Maladie</v>
          </cell>
          <cell r="BU19" t="str">
            <v>Maladie</v>
          </cell>
          <cell r="BV19" t="str">
            <v>Maladie</v>
          </cell>
          <cell r="BW19" t="str">
            <v>Maladie</v>
          </cell>
          <cell r="BX19" t="str">
            <v>Maladie</v>
          </cell>
          <cell r="BY19" t="str">
            <v>Maladie</v>
          </cell>
          <cell r="BZ19" t="str">
            <v>Maladie</v>
          </cell>
          <cell r="CA19" t="str">
            <v>Maladie</v>
          </cell>
          <cell r="CB19" t="str">
            <v>Maladie</v>
          </cell>
          <cell r="CC19" t="str">
            <v>Maladie</v>
          </cell>
          <cell r="CD19" t="str">
            <v>Maladie</v>
          </cell>
          <cell r="CE19" t="str">
            <v>Maladie</v>
          </cell>
          <cell r="CF19" t="str">
            <v>Maladie</v>
          </cell>
          <cell r="CG19" t="str">
            <v>Maladie</v>
          </cell>
          <cell r="CH19" t="str">
            <v>Maladie</v>
          </cell>
          <cell r="CI19" t="str">
            <v>Maladie</v>
          </cell>
          <cell r="CJ19" t="str">
            <v>Maladie</v>
          </cell>
          <cell r="CK19" t="str">
            <v>Maladie</v>
          </cell>
          <cell r="CL19" t="str">
            <v>Maladie</v>
          </cell>
          <cell r="CM19" t="str">
            <v>Maladie</v>
          </cell>
          <cell r="CN19" t="str">
            <v>Maladie</v>
          </cell>
          <cell r="CO19" t="str">
            <v>Maladie</v>
          </cell>
          <cell r="CP19" t="str">
            <v>Maladie</v>
          </cell>
          <cell r="CQ19" t="str">
            <v>Maladie</v>
          </cell>
          <cell r="CR19" t="str">
            <v>Maladie</v>
          </cell>
          <cell r="CS19" t="str">
            <v>Maladie</v>
          </cell>
          <cell r="CT19" t="str">
            <v>Maladie</v>
          </cell>
          <cell r="CU19" t="str">
            <v>Maladie</v>
          </cell>
          <cell r="CV19" t="str">
            <v>Maladie</v>
          </cell>
          <cell r="CW19" t="str">
            <v>Maladie</v>
          </cell>
          <cell r="CX19" t="str">
            <v>Maladie</v>
          </cell>
          <cell r="CY19" t="str">
            <v>Maladie</v>
          </cell>
          <cell r="CZ19" t="str">
            <v>Maladie</v>
          </cell>
          <cell r="DA19" t="str">
            <v>Maladie</v>
          </cell>
          <cell r="DB19" t="str">
            <v>Maladie</v>
          </cell>
          <cell r="DC19" t="str">
            <v>Maladie</v>
          </cell>
          <cell r="DD19" t="str">
            <v>Maladie</v>
          </cell>
          <cell r="DE19" t="str">
            <v>Maladie</v>
          </cell>
          <cell r="DF19" t="str">
            <v>Maladie</v>
          </cell>
          <cell r="DG19" t="str">
            <v>Maladie</v>
          </cell>
          <cell r="DH19" t="str">
            <v>Maladie</v>
          </cell>
          <cell r="DI19" t="str">
            <v>Maladie</v>
          </cell>
          <cell r="DJ19" t="str">
            <v>Maladie</v>
          </cell>
          <cell r="DK19" t="str">
            <v>Maladie</v>
          </cell>
          <cell r="DL19" t="str">
            <v>Maladie</v>
          </cell>
          <cell r="DM19" t="str">
            <v>Maladie</v>
          </cell>
          <cell r="DN19" t="str">
            <v>Maladie</v>
          </cell>
          <cell r="DO19" t="str">
            <v>Maladie</v>
          </cell>
          <cell r="DP19" t="str">
            <v>Maladie</v>
          </cell>
          <cell r="DQ19" t="str">
            <v>Maladie</v>
          </cell>
          <cell r="DR19" t="str">
            <v>Maladie</v>
          </cell>
          <cell r="DS19" t="str">
            <v>Maladie</v>
          </cell>
          <cell r="DT19" t="str">
            <v>Maladie</v>
          </cell>
          <cell r="DU19" t="str">
            <v>Maladie</v>
          </cell>
          <cell r="DV19" t="str">
            <v>Maladie</v>
          </cell>
          <cell r="DW19" t="str">
            <v>Maladie</v>
          </cell>
          <cell r="DX19" t="str">
            <v>Maladie</v>
          </cell>
          <cell r="DY19" t="str">
            <v>Maladie</v>
          </cell>
          <cell r="DZ19" t="str">
            <v>Maladie</v>
          </cell>
          <cell r="EA19" t="str">
            <v>Maladie</v>
          </cell>
          <cell r="EB19" t="str">
            <v>Maladie</v>
          </cell>
          <cell r="EC19" t="str">
            <v>Maladie</v>
          </cell>
          <cell r="ED19" t="str">
            <v>Maladie</v>
          </cell>
          <cell r="EE19" t="str">
            <v>Maladie</v>
          </cell>
          <cell r="EF19" t="str">
            <v>Maladie</v>
          </cell>
          <cell r="EG19" t="str">
            <v>Maladie</v>
          </cell>
          <cell r="EH19" t="str">
            <v>Maladie</v>
          </cell>
          <cell r="EI19" t="str">
            <v>Maladie</v>
          </cell>
          <cell r="EJ19" t="str">
            <v>Maladie</v>
          </cell>
          <cell r="EK19" t="str">
            <v>Maladie</v>
          </cell>
          <cell r="EL19" t="str">
            <v>Maladie</v>
          </cell>
          <cell r="EM19" t="str">
            <v>Maladie</v>
          </cell>
          <cell r="EN19" t="str">
            <v>Maladie</v>
          </cell>
          <cell r="EO19" t="str">
            <v>Maladie</v>
          </cell>
          <cell r="EP19" t="str">
            <v>Maladie</v>
          </cell>
          <cell r="EQ19" t="str">
            <v>Maladie</v>
          </cell>
          <cell r="ER19" t="str">
            <v>Maladie</v>
          </cell>
          <cell r="ES19" t="str">
            <v>Maladie</v>
          </cell>
          <cell r="ET19" t="str">
            <v>Maladie</v>
          </cell>
          <cell r="EU19" t="str">
            <v>Maladie</v>
          </cell>
          <cell r="EV19" t="str">
            <v>Maladie</v>
          </cell>
          <cell r="EW19" t="str">
            <v>Maladie</v>
          </cell>
          <cell r="EX19" t="str">
            <v>Maladie</v>
          </cell>
          <cell r="EY19" t="str">
            <v>Maladie</v>
          </cell>
          <cell r="EZ19" t="str">
            <v>Maladie</v>
          </cell>
          <cell r="FA19" t="str">
            <v>Maladie</v>
          </cell>
          <cell r="FB19" t="str">
            <v>Maladie</v>
          </cell>
          <cell r="FC19" t="str">
            <v>Maladie</v>
          </cell>
          <cell r="FD19" t="str">
            <v>Maladie</v>
          </cell>
          <cell r="FE19" t="str">
            <v>Maladie</v>
          </cell>
          <cell r="FF19" t="str">
            <v>Maladie</v>
          </cell>
          <cell r="FG19" t="str">
            <v>Maladie</v>
          </cell>
          <cell r="FH19" t="str">
            <v>Maladie</v>
          </cell>
          <cell r="FI19" t="str">
            <v>Maladie</v>
          </cell>
          <cell r="FJ19" t="str">
            <v>Maladie</v>
          </cell>
          <cell r="FK19" t="str">
            <v>Maladie</v>
          </cell>
          <cell r="FL19" t="str">
            <v>Maladie</v>
          </cell>
          <cell r="FM19" t="str">
            <v>Maladie</v>
          </cell>
          <cell r="FN19" t="str">
            <v>Maladie</v>
          </cell>
          <cell r="FO19" t="str">
            <v>Maladie</v>
          </cell>
          <cell r="FP19" t="str">
            <v>Maladie</v>
          </cell>
          <cell r="FQ19" t="str">
            <v>Maladie</v>
          </cell>
          <cell r="FR19" t="str">
            <v>Maladie</v>
          </cell>
          <cell r="FS19" t="str">
            <v>Maladie</v>
          </cell>
          <cell r="FT19" t="str">
            <v>Maladie</v>
          </cell>
          <cell r="FU19" t="str">
            <v>Maladie</v>
          </cell>
          <cell r="FV19" t="str">
            <v>Maladie</v>
          </cell>
          <cell r="FW19" t="str">
            <v>Maladie</v>
          </cell>
          <cell r="FX19" t="str">
            <v>Maladie</v>
          </cell>
          <cell r="FY19" t="str">
            <v>Maladie</v>
          </cell>
          <cell r="FZ19" t="str">
            <v>Maladie</v>
          </cell>
          <cell r="GA19" t="str">
            <v>Maladie</v>
          </cell>
          <cell r="GB19" t="str">
            <v>Maladie</v>
          </cell>
          <cell r="GH19" t="str">
            <v>REPOS</v>
          </cell>
          <cell r="GI19" t="str">
            <v>REPOS</v>
          </cell>
        </row>
        <row r="20">
          <cell r="J20" t="str">
            <v>REPOS</v>
          </cell>
          <cell r="K20" t="str">
            <v>Congés</v>
          </cell>
          <cell r="L20" t="str">
            <v>NICE NORD</v>
          </cell>
          <cell r="M20" t="str">
            <v>NICE NORD</v>
          </cell>
          <cell r="N20" t="str">
            <v>NICE NORD</v>
          </cell>
          <cell r="O20" t="str">
            <v>REPOS</v>
          </cell>
          <cell r="P20" t="str">
            <v>REPOS</v>
          </cell>
          <cell r="Q20" t="str">
            <v>REPOS</v>
          </cell>
          <cell r="R20" t="str">
            <v>NICE NORD</v>
          </cell>
          <cell r="S20" t="str">
            <v>NICE NORD</v>
          </cell>
          <cell r="T20" t="str">
            <v>NICE NORD</v>
          </cell>
          <cell r="U20" t="str">
            <v>NICE NORD</v>
          </cell>
          <cell r="V20" t="str">
            <v>NICE NORD</v>
          </cell>
          <cell r="W20" t="str">
            <v>REPOS</v>
          </cell>
          <cell r="X20" t="str">
            <v>NICE NORD</v>
          </cell>
          <cell r="Y20" t="str">
            <v>NICE NORD</v>
          </cell>
          <cell r="Z20" t="str">
            <v>NICE NORD</v>
          </cell>
          <cell r="AA20" t="str">
            <v>NICE NORD</v>
          </cell>
          <cell r="AB20" t="str">
            <v>NICE NORD</v>
          </cell>
          <cell r="AC20" t="str">
            <v>HS NICE NORD</v>
          </cell>
          <cell r="AD20" t="str">
            <v>REPOS</v>
          </cell>
          <cell r="AE20" t="str">
            <v>NICE NORD</v>
          </cell>
          <cell r="AF20" t="str">
            <v>NICE NORD</v>
          </cell>
          <cell r="AG20" t="str">
            <v>NICE NORD</v>
          </cell>
          <cell r="AH20" t="str">
            <v>NICE NORD</v>
          </cell>
          <cell r="AI20" t="str">
            <v>NICE NORD</v>
          </cell>
          <cell r="AJ20" t="str">
            <v>REPOS</v>
          </cell>
          <cell r="AK20" t="str">
            <v>REPOS</v>
          </cell>
          <cell r="AL20" t="str">
            <v>REPOS</v>
          </cell>
          <cell r="AM20" t="str">
            <v>NICE NORD</v>
          </cell>
          <cell r="AN20" t="str">
            <v>NICE NORD</v>
          </cell>
          <cell r="AO20" t="str">
            <v>NICE NORD</v>
          </cell>
          <cell r="AP20" t="str">
            <v>NICE NORD</v>
          </cell>
          <cell r="AQ20" t="str">
            <v>NICE NORD</v>
          </cell>
          <cell r="AR20" t="str">
            <v>REPOS</v>
          </cell>
          <cell r="AS20" t="str">
            <v>NICE NORD</v>
          </cell>
          <cell r="AT20" t="str">
            <v>NICE NORD</v>
          </cell>
          <cell r="AU20" t="str">
            <v>NICE NORD</v>
          </cell>
          <cell r="AV20" t="str">
            <v>NICE NORD</v>
          </cell>
          <cell r="AW20" t="str">
            <v>NICE NORD</v>
          </cell>
          <cell r="AX20" t="str">
            <v>HS NICE NORD</v>
          </cell>
          <cell r="AY20" t="str">
            <v>REPOS</v>
          </cell>
          <cell r="AZ20" t="str">
            <v>NICE NORD</v>
          </cell>
          <cell r="BA20" t="str">
            <v>NICE NORD</v>
          </cell>
          <cell r="BB20" t="str">
            <v>NICE NORD</v>
          </cell>
          <cell r="BC20" t="str">
            <v>NICE NORD</v>
          </cell>
          <cell r="BD20" t="str">
            <v>NICE NORD</v>
          </cell>
          <cell r="BE20" t="str">
            <v>REPOS</v>
          </cell>
          <cell r="BF20" t="str">
            <v>NICE NORD DIM</v>
          </cell>
          <cell r="BG20" t="str">
            <v>Congés Matin</v>
          </cell>
          <cell r="BH20" t="str">
            <v>NICE NORD</v>
          </cell>
          <cell r="BI20" t="str">
            <v>NICE NORD</v>
          </cell>
          <cell r="BJ20" t="str">
            <v>NICE NORD</v>
          </cell>
          <cell r="BK20" t="str">
            <v>NICE NORD</v>
          </cell>
          <cell r="BL20" t="str">
            <v>REPOS</v>
          </cell>
          <cell r="BM20" t="str">
            <v>NICE NORD DIM</v>
          </cell>
          <cell r="BN20" t="str">
            <v>NICE NORD</v>
          </cell>
          <cell r="BO20" t="str">
            <v>NICE NORD</v>
          </cell>
          <cell r="BP20" t="str">
            <v>NICE NORD</v>
          </cell>
          <cell r="BQ20" t="str">
            <v>NICE NORD</v>
          </cell>
          <cell r="BR20" t="str">
            <v>NICE NORD</v>
          </cell>
          <cell r="BS20" t="str">
            <v>REPOS</v>
          </cell>
          <cell r="BT20" t="str">
            <v>REPOS</v>
          </cell>
          <cell r="BU20" t="str">
            <v>REPOS</v>
          </cell>
          <cell r="BV20" t="str">
            <v>NICE NORD</v>
          </cell>
          <cell r="BW20" t="str">
            <v>NICE NORD</v>
          </cell>
          <cell r="BX20" t="str">
            <v>NICE NORD</v>
          </cell>
          <cell r="BY20" t="str">
            <v>NICE NORD</v>
          </cell>
          <cell r="BZ20" t="str">
            <v>NICE NORD</v>
          </cell>
          <cell r="CA20" t="str">
            <v>REPOS</v>
          </cell>
          <cell r="CB20" t="str">
            <v>NICE NORD</v>
          </cell>
          <cell r="CC20" t="str">
            <v>NICE NORD</v>
          </cell>
          <cell r="CD20" t="str">
            <v>NICE NORD</v>
          </cell>
          <cell r="CE20" t="str">
            <v>NICE NORD</v>
          </cell>
          <cell r="CF20" t="str">
            <v>NICE NORD</v>
          </cell>
          <cell r="CG20" t="str">
            <v>REPOS</v>
          </cell>
          <cell r="CH20" t="str">
            <v>REPOS</v>
          </cell>
          <cell r="CI20" t="str">
            <v>NICE NORD</v>
          </cell>
          <cell r="CJ20" t="str">
            <v>NICE NORD</v>
          </cell>
          <cell r="CK20" t="str">
            <v>NICE NORD</v>
          </cell>
          <cell r="CL20" t="str">
            <v>Congés</v>
          </cell>
          <cell r="CM20" t="str">
            <v>NICE NORD</v>
          </cell>
          <cell r="CN20" t="str">
            <v>REPOS</v>
          </cell>
          <cell r="CO20" t="str">
            <v>NICE NORD DIM</v>
          </cell>
          <cell r="CP20" t="str">
            <v>NICE NORD</v>
          </cell>
          <cell r="CQ20" t="str">
            <v>NICE NORD</v>
          </cell>
          <cell r="CR20" t="str">
            <v>NICE NORD</v>
          </cell>
          <cell r="CS20" t="str">
            <v>REPOS</v>
          </cell>
          <cell r="CT20" t="str">
            <v>NICE NORD</v>
          </cell>
          <cell r="CU20" t="str">
            <v>REPOS</v>
          </cell>
          <cell r="CV20" t="str">
            <v>REPOS</v>
          </cell>
          <cell r="CW20" t="str">
            <v>NICE NORD DIM</v>
          </cell>
          <cell r="CX20" t="str">
            <v>NICE NORD</v>
          </cell>
          <cell r="CY20" t="str">
            <v>NICE NORD</v>
          </cell>
          <cell r="CZ20" t="str">
            <v>NICE NORD</v>
          </cell>
          <cell r="DA20" t="str">
            <v>NICE NORD</v>
          </cell>
          <cell r="DB20" t="str">
            <v>NICE NORD</v>
          </cell>
          <cell r="DC20" t="str">
            <v>REPOS</v>
          </cell>
          <cell r="DD20" t="str">
            <v>NICE NORD</v>
          </cell>
          <cell r="DE20" t="str">
            <v>NICE NORD</v>
          </cell>
          <cell r="DF20" t="str">
            <v>NICE NORD</v>
          </cell>
          <cell r="DG20" t="str">
            <v>NICE NORD</v>
          </cell>
          <cell r="DH20" t="str">
            <v>NICE NORD</v>
          </cell>
          <cell r="DI20" t="str">
            <v>REPOS</v>
          </cell>
          <cell r="DJ20" t="str">
            <v>REPOS</v>
          </cell>
          <cell r="DK20" t="str">
            <v>NICE NORD</v>
          </cell>
          <cell r="DL20" t="str">
            <v>Congés</v>
          </cell>
          <cell r="DM20" t="str">
            <v>NICE NORD</v>
          </cell>
          <cell r="DN20" t="str">
            <v>NICE NORD</v>
          </cell>
          <cell r="DO20" t="str">
            <v>NICE NORD</v>
          </cell>
          <cell r="DP20" t="str">
            <v>HS NICE NORD</v>
          </cell>
          <cell r="DQ20" t="str">
            <v>REPOS</v>
          </cell>
          <cell r="DR20" t="str">
            <v>NICE NORD</v>
          </cell>
          <cell r="DS20" t="str">
            <v>NICE NORD</v>
          </cell>
          <cell r="DT20" t="str">
            <v>NICE NORD</v>
          </cell>
          <cell r="DU20" t="str">
            <v>NICE NORD</v>
          </cell>
          <cell r="DV20" t="str">
            <v>NICE NORD</v>
          </cell>
          <cell r="DW20" t="str">
            <v>REPOS</v>
          </cell>
          <cell r="DX20" t="str">
            <v>REPOS</v>
          </cell>
          <cell r="DY20" t="str">
            <v>Congés</v>
          </cell>
          <cell r="DZ20" t="str">
            <v>REPOS</v>
          </cell>
          <cell r="EA20" t="str">
            <v>NICE NORD</v>
          </cell>
          <cell r="EB20" t="str">
            <v>NICE NORD</v>
          </cell>
          <cell r="EC20" t="str">
            <v>NICE NORD</v>
          </cell>
          <cell r="ED20" t="str">
            <v>REPOS</v>
          </cell>
          <cell r="EE20" t="str">
            <v>REPOS</v>
          </cell>
          <cell r="EF20" t="str">
            <v>NICE NORD</v>
          </cell>
          <cell r="EG20" t="str">
            <v>NICE NORD DIM</v>
          </cell>
          <cell r="EH20" t="str">
            <v>NICE NORD</v>
          </cell>
          <cell r="EI20" t="str">
            <v>REPOS</v>
          </cell>
          <cell r="EJ20" t="str">
            <v>NICE NORD</v>
          </cell>
          <cell r="EK20" t="str">
            <v>REPOS</v>
          </cell>
          <cell r="EL20" t="str">
            <v>REPOS</v>
          </cell>
          <cell r="EM20" t="str">
            <v>REPOS</v>
          </cell>
          <cell r="EN20" t="str">
            <v>NICE NORD</v>
          </cell>
          <cell r="EO20" t="str">
            <v>NICE NORD</v>
          </cell>
          <cell r="EP20" t="str">
            <v>NICE NORD</v>
          </cell>
          <cell r="EQ20" t="str">
            <v>NICE NORD</v>
          </cell>
          <cell r="ER20" t="str">
            <v>NICE NORD</v>
          </cell>
          <cell r="ES20" t="str">
            <v>REPOS</v>
          </cell>
          <cell r="ET20" t="str">
            <v>NICE NORD</v>
          </cell>
          <cell r="EU20" t="str">
            <v>NICE NORD</v>
          </cell>
          <cell r="EV20" t="str">
            <v>NICE NORD</v>
          </cell>
          <cell r="EW20" t="str">
            <v>NICE NORD</v>
          </cell>
          <cell r="EX20" t="str">
            <v>NICE NORD</v>
          </cell>
          <cell r="EY20" t="str">
            <v>REPOS</v>
          </cell>
          <cell r="EZ20" t="str">
            <v>REPOS</v>
          </cell>
          <cell r="FA20" t="str">
            <v>NICE NORD</v>
          </cell>
          <cell r="FB20" t="str">
            <v>NICE NORD</v>
          </cell>
          <cell r="FC20" t="str">
            <v>NICE NORD</v>
          </cell>
          <cell r="FD20" t="str">
            <v>NICE NORD</v>
          </cell>
          <cell r="FE20" t="str">
            <v>NICE NORD</v>
          </cell>
          <cell r="FF20" t="str">
            <v>HS NICE NORD</v>
          </cell>
          <cell r="FG20" t="str">
            <v>REPOS</v>
          </cell>
          <cell r="FH20" t="str">
            <v>NICE NORD</v>
          </cell>
          <cell r="FI20" t="str">
            <v>NICE NORD</v>
          </cell>
          <cell r="FJ20" t="str">
            <v>NICE NORD</v>
          </cell>
          <cell r="FK20" t="str">
            <v>NICE NORD</v>
          </cell>
          <cell r="FL20" t="str">
            <v>NICE NORD</v>
          </cell>
          <cell r="FM20" t="str">
            <v>REPOS</v>
          </cell>
          <cell r="FN20" t="str">
            <v>REPOS</v>
          </cell>
          <cell r="FO20" t="str">
            <v>REPOS</v>
          </cell>
          <cell r="FP20" t="str">
            <v>NICE NORD</v>
          </cell>
          <cell r="FQ20" t="str">
            <v>NICE NORD</v>
          </cell>
          <cell r="FR20" t="str">
            <v>NICE NORD</v>
          </cell>
          <cell r="FS20" t="str">
            <v>NICE NORD</v>
          </cell>
          <cell r="FT20" t="str">
            <v>NICE NORD</v>
          </cell>
          <cell r="FU20" t="str">
            <v>REPOS</v>
          </cell>
          <cell r="FV20" t="str">
            <v>NICE NORD</v>
          </cell>
          <cell r="FW20" t="str">
            <v>NICE NORD</v>
          </cell>
          <cell r="FX20" t="str">
            <v>NICE NORD</v>
          </cell>
          <cell r="FY20" t="str">
            <v>NICE NORD</v>
          </cell>
          <cell r="FZ20" t="str">
            <v>NICE NORD</v>
          </cell>
          <cell r="GA20" t="str">
            <v>REPOS</v>
          </cell>
          <cell r="GB20" t="str">
            <v>REPOS</v>
          </cell>
          <cell r="GH20" t="str">
            <v>REPOS</v>
          </cell>
          <cell r="GI20" t="str">
            <v>REPOS</v>
          </cell>
          <cell r="HQ20" t="str">
            <v>REPOS</v>
          </cell>
          <cell r="HR20" t="str">
            <v>REPOS</v>
          </cell>
          <cell r="HS20" t="str">
            <v>Congés</v>
          </cell>
          <cell r="HT20" t="str">
            <v>Congés</v>
          </cell>
          <cell r="HU20" t="str">
            <v>Congés</v>
          </cell>
          <cell r="HV20" t="str">
            <v>Congés</v>
          </cell>
          <cell r="HW20" t="str">
            <v>Congés</v>
          </cell>
          <cell r="HX20" t="str">
            <v>REPOS</v>
          </cell>
          <cell r="HY20" t="str">
            <v>REPOS</v>
          </cell>
          <cell r="HZ20" t="str">
            <v>Congés</v>
          </cell>
          <cell r="IA20" t="str">
            <v>Congés</v>
          </cell>
          <cell r="IB20" t="str">
            <v>REPOS</v>
          </cell>
          <cell r="IC20" t="str">
            <v>Congés</v>
          </cell>
          <cell r="ID20" t="str">
            <v>Congés</v>
          </cell>
          <cell r="IE20" t="str">
            <v>REPOS</v>
          </cell>
          <cell r="IF20" t="str">
            <v>REPOS</v>
          </cell>
          <cell r="IG20" t="str">
            <v>Congés</v>
          </cell>
        </row>
        <row r="21">
          <cell r="J21" t="str">
            <v>REPOS</v>
          </cell>
          <cell r="K21" t="str">
            <v>Congés</v>
          </cell>
          <cell r="L21" t="str">
            <v>Congés</v>
          </cell>
          <cell r="M21" t="str">
            <v>Congés</v>
          </cell>
          <cell r="N21" t="str">
            <v>Congés</v>
          </cell>
          <cell r="O21" t="str">
            <v>REPOS</v>
          </cell>
          <cell r="P21" t="str">
            <v>REPOS</v>
          </cell>
          <cell r="Q21" t="str">
            <v>Congés</v>
          </cell>
          <cell r="R21" t="str">
            <v>Congés</v>
          </cell>
          <cell r="S21" t="str">
            <v>Congés</v>
          </cell>
          <cell r="T21" t="str">
            <v>Congés</v>
          </cell>
          <cell r="U21" t="str">
            <v>Congés</v>
          </cell>
          <cell r="V21" t="str">
            <v>REPOS</v>
          </cell>
          <cell r="W21" t="str">
            <v>REPOS</v>
          </cell>
          <cell r="X21" t="str">
            <v>NICE OUEST</v>
          </cell>
          <cell r="Y21" t="str">
            <v>NICE OUEST</v>
          </cell>
          <cell r="Z21" t="str">
            <v>REPOS</v>
          </cell>
          <cell r="AA21" t="str">
            <v>NICE OUEST</v>
          </cell>
          <cell r="AB21" t="str">
            <v>NICE OUEST</v>
          </cell>
          <cell r="AC21" t="str">
            <v>NICE OUEST</v>
          </cell>
          <cell r="AD21" t="str">
            <v>NICE OUEST DIM</v>
          </cell>
          <cell r="AE21" t="str">
            <v>NICE OUEST</v>
          </cell>
          <cell r="AF21" t="str">
            <v>NICE OUEST</v>
          </cell>
          <cell r="AG21" t="str">
            <v>NICE OUEST</v>
          </cell>
          <cell r="AH21" t="str">
            <v>NICE OUEST</v>
          </cell>
          <cell r="AI21" t="str">
            <v>NICE OUEST</v>
          </cell>
          <cell r="AJ21" t="str">
            <v>REPOS</v>
          </cell>
          <cell r="AK21" t="str">
            <v>NICE OUEST DIM</v>
          </cell>
          <cell r="AL21" t="str">
            <v>NICE OUEST</v>
          </cell>
          <cell r="AM21" t="str">
            <v>NICE OUEST</v>
          </cell>
          <cell r="AN21" t="str">
            <v>NICE OUEST</v>
          </cell>
          <cell r="AO21" t="str">
            <v>NICE OUEST</v>
          </cell>
          <cell r="AP21" t="str">
            <v>NICE OUEST</v>
          </cell>
          <cell r="AQ21" t="str">
            <v>REPOS</v>
          </cell>
          <cell r="AR21" t="str">
            <v>REPOS</v>
          </cell>
          <cell r="AS21" t="str">
            <v>NICE OUEST</v>
          </cell>
          <cell r="AT21" t="str">
            <v>NICE OUEST</v>
          </cell>
          <cell r="AU21" t="str">
            <v>REPOS</v>
          </cell>
          <cell r="AV21" t="str">
            <v>NICE OUEST</v>
          </cell>
          <cell r="AW21" t="str">
            <v>NICE OUEST</v>
          </cell>
          <cell r="AX21" t="str">
            <v>NICE OUEST</v>
          </cell>
          <cell r="AY21" t="str">
            <v>REPOS</v>
          </cell>
          <cell r="AZ21" t="str">
            <v>NICE OUEST</v>
          </cell>
          <cell r="BA21" t="str">
            <v>NICE OUEST</v>
          </cell>
          <cell r="BB21" t="str">
            <v>NICE OUEST</v>
          </cell>
          <cell r="BC21" t="str">
            <v>NICE OUEST</v>
          </cell>
          <cell r="BD21" t="str">
            <v>NICE OUEST</v>
          </cell>
          <cell r="BE21" t="str">
            <v>REPOS</v>
          </cell>
          <cell r="BF21" t="str">
            <v>REPOS</v>
          </cell>
          <cell r="BG21" t="str">
            <v>NICE OUEST</v>
          </cell>
          <cell r="BH21" t="str">
            <v>NICE OUEST</v>
          </cell>
          <cell r="BI21" t="str">
            <v>NICE OUEST</v>
          </cell>
          <cell r="BJ21" t="str">
            <v>NICE OUEST</v>
          </cell>
          <cell r="BK21" t="str">
            <v>NICE OUEST</v>
          </cell>
          <cell r="BL21" t="str">
            <v>REPOS</v>
          </cell>
          <cell r="BM21" t="str">
            <v>REPOS</v>
          </cell>
          <cell r="BN21" t="str">
            <v>Congés</v>
          </cell>
          <cell r="BO21" t="str">
            <v>Congés</v>
          </cell>
          <cell r="BP21" t="str">
            <v>Congés</v>
          </cell>
          <cell r="BQ21" t="str">
            <v>Congés</v>
          </cell>
          <cell r="BR21" t="str">
            <v>Congés</v>
          </cell>
          <cell r="BS21" t="str">
            <v>REPOS</v>
          </cell>
          <cell r="BT21" t="str">
            <v>REPOS</v>
          </cell>
          <cell r="BU21" t="str">
            <v>NICE OUEST</v>
          </cell>
          <cell r="BV21" t="str">
            <v>NICE OUEST</v>
          </cell>
          <cell r="BW21" t="str">
            <v>REPOS</v>
          </cell>
          <cell r="BX21" t="str">
            <v>NICE OUEST</v>
          </cell>
          <cell r="BY21" t="str">
            <v>NICE OUEST</v>
          </cell>
          <cell r="BZ21" t="str">
            <v>REPOS</v>
          </cell>
          <cell r="CA21" t="str">
            <v>REPOS</v>
          </cell>
          <cell r="CB21" t="str">
            <v>NICE OUEST</v>
          </cell>
          <cell r="CC21" t="str">
            <v>NICE OUEST</v>
          </cell>
          <cell r="CD21" t="str">
            <v>NICE OUEST</v>
          </cell>
          <cell r="CE21" t="str">
            <v>NICE OUEST</v>
          </cell>
          <cell r="CF21" t="str">
            <v>NICE OUEST</v>
          </cell>
          <cell r="CG21" t="str">
            <v>REPOS</v>
          </cell>
          <cell r="CH21" t="str">
            <v>NICE OUEST DIM</v>
          </cell>
          <cell r="CI21" t="str">
            <v>NICE OUEST</v>
          </cell>
          <cell r="CJ21" t="str">
            <v>NICE OUEST</v>
          </cell>
          <cell r="CK21" t="str">
            <v>REPOS</v>
          </cell>
          <cell r="CL21" t="str">
            <v>NICE OUEST</v>
          </cell>
          <cell r="CM21" t="str">
            <v>NICE OUEST</v>
          </cell>
          <cell r="CN21" t="str">
            <v>NICE OUEST</v>
          </cell>
          <cell r="CO21" t="str">
            <v>REPOS</v>
          </cell>
          <cell r="CP21" t="str">
            <v>NICE OUEST</v>
          </cell>
          <cell r="CQ21" t="str">
            <v>NICE OUEST</v>
          </cell>
          <cell r="CR21" t="str">
            <v>NICE OUEST</v>
          </cell>
          <cell r="CS21" t="str">
            <v>NICE OUEST</v>
          </cell>
          <cell r="CT21" t="str">
            <v>NICE OUEST</v>
          </cell>
          <cell r="CU21" t="str">
            <v>REPOS</v>
          </cell>
          <cell r="CV21" t="str">
            <v>REPOS</v>
          </cell>
          <cell r="CW21" t="str">
            <v>REPOS</v>
          </cell>
          <cell r="CX21" t="str">
            <v>NICE OUEST</v>
          </cell>
          <cell r="CY21" t="str">
            <v>NICE OUEST</v>
          </cell>
          <cell r="CZ21" t="str">
            <v>NICE OUEST</v>
          </cell>
          <cell r="DA21" t="str">
            <v>NICE OUEST</v>
          </cell>
          <cell r="DB21" t="str">
            <v>REPOS</v>
          </cell>
          <cell r="DC21" t="str">
            <v>REPOS</v>
          </cell>
          <cell r="DD21" t="str">
            <v>NICE OUEST</v>
          </cell>
          <cell r="DE21" t="str">
            <v>NICE OUEST</v>
          </cell>
          <cell r="DF21" t="str">
            <v>NICE OUEST</v>
          </cell>
          <cell r="DG21" t="str">
            <v>NICE OUEST</v>
          </cell>
          <cell r="DH21" t="str">
            <v>NICE OUEST</v>
          </cell>
          <cell r="DI21" t="str">
            <v>REPOS</v>
          </cell>
          <cell r="DJ21" t="str">
            <v>REPOS</v>
          </cell>
          <cell r="DK21" t="str">
            <v>NICE OUEST</v>
          </cell>
          <cell r="DL21" t="str">
            <v>NICE OUEST</v>
          </cell>
          <cell r="DM21" t="str">
            <v>NICE OUEST</v>
          </cell>
          <cell r="DN21" t="str">
            <v>NICE OUEST</v>
          </cell>
          <cell r="DO21" t="str">
            <v>Congés</v>
          </cell>
          <cell r="DP21" t="str">
            <v>REPOS</v>
          </cell>
          <cell r="DQ21" t="str">
            <v>REPOS</v>
          </cell>
          <cell r="DR21" t="str">
            <v>Congés</v>
          </cell>
          <cell r="DS21" t="str">
            <v>Congés</v>
          </cell>
          <cell r="DT21" t="str">
            <v>Congés</v>
          </cell>
          <cell r="DU21" t="str">
            <v>Congés</v>
          </cell>
          <cell r="DV21" t="str">
            <v>Congés</v>
          </cell>
          <cell r="DW21" t="str">
            <v>REPOS</v>
          </cell>
          <cell r="DX21" t="str">
            <v>REPOS</v>
          </cell>
          <cell r="DY21" t="str">
            <v>Congés</v>
          </cell>
          <cell r="DZ21" t="str">
            <v>REPOS</v>
          </cell>
          <cell r="EA21" t="str">
            <v>Congés</v>
          </cell>
          <cell r="EB21" t="str">
            <v>Congés</v>
          </cell>
          <cell r="EC21" t="str">
            <v>Congés</v>
          </cell>
          <cell r="ED21" t="str">
            <v>REPOS</v>
          </cell>
          <cell r="EE21" t="str">
            <v>REPOS</v>
          </cell>
          <cell r="EF21" t="str">
            <v>NICE OUEST</v>
          </cell>
          <cell r="EG21" t="str">
            <v>REPOS</v>
          </cell>
          <cell r="EH21" t="str">
            <v>NICE OUEST</v>
          </cell>
          <cell r="EI21" t="str">
            <v>REPOS</v>
          </cell>
          <cell r="EJ21" t="str">
            <v>NICE OUEST</v>
          </cell>
          <cell r="EK21" t="str">
            <v>REPOS</v>
          </cell>
          <cell r="EL21" t="str">
            <v>REPOS</v>
          </cell>
          <cell r="EM21" t="str">
            <v>NICE OUEST</v>
          </cell>
          <cell r="EN21" t="str">
            <v>NICE OUEST</v>
          </cell>
          <cell r="EO21" t="str">
            <v>NICE OUEST</v>
          </cell>
          <cell r="EP21" t="str">
            <v>NICE OUEST</v>
          </cell>
          <cell r="EQ21" t="str">
            <v>NICE OUEST</v>
          </cell>
          <cell r="ER21" t="str">
            <v>NICE OUEST</v>
          </cell>
          <cell r="ES21" t="str">
            <v>REPOS</v>
          </cell>
          <cell r="ET21" t="str">
            <v>NICE OUEST</v>
          </cell>
          <cell r="EU21" t="str">
            <v>NICE OUEST</v>
          </cell>
          <cell r="EV21" t="str">
            <v>REPOS</v>
          </cell>
          <cell r="EW21" t="str">
            <v>NICE OUEST</v>
          </cell>
          <cell r="EX21" t="str">
            <v>NICE OUEST</v>
          </cell>
          <cell r="EY21" t="str">
            <v>REPOS</v>
          </cell>
          <cell r="EZ21" t="str">
            <v>REPOS</v>
          </cell>
          <cell r="FA21" t="str">
            <v>NICE OUEST</v>
          </cell>
          <cell r="FB21" t="str">
            <v>NICE OUEST</v>
          </cell>
          <cell r="FC21" t="str">
            <v>NICE OUEST</v>
          </cell>
          <cell r="FD21" t="str">
            <v>NICE OUEST</v>
          </cell>
          <cell r="FE21" t="str">
            <v>NICE OUEST</v>
          </cell>
          <cell r="FF21" t="str">
            <v>REPOS</v>
          </cell>
          <cell r="FG21" t="str">
            <v>REPOS</v>
          </cell>
          <cell r="FH21" t="str">
            <v>NICE OUEST</v>
          </cell>
          <cell r="FI21" t="str">
            <v>NICE OUEST</v>
          </cell>
          <cell r="FJ21" t="str">
            <v>NICE OUEST</v>
          </cell>
          <cell r="FK21" t="str">
            <v>NICE OUEST</v>
          </cell>
          <cell r="FL21" t="str">
            <v>NICE OUEST</v>
          </cell>
          <cell r="FM21" t="str">
            <v>REPOS</v>
          </cell>
          <cell r="FN21" t="str">
            <v>REPOS</v>
          </cell>
          <cell r="FO21" t="str">
            <v>NICE OUEST</v>
          </cell>
          <cell r="FP21" t="str">
            <v>NICE OUEST</v>
          </cell>
          <cell r="FQ21" t="str">
            <v>REPOS</v>
          </cell>
          <cell r="FR21" t="str">
            <v>NICE OUEST</v>
          </cell>
          <cell r="FS21" t="str">
            <v>NICE OUEST</v>
          </cell>
          <cell r="FT21" t="str">
            <v>NICE OUEST</v>
          </cell>
          <cell r="FU21" t="str">
            <v>REPOS</v>
          </cell>
          <cell r="FV21" t="str">
            <v>NICE OUEST</v>
          </cell>
          <cell r="FW21" t="str">
            <v>NICE OUEST</v>
          </cell>
          <cell r="FX21" t="str">
            <v>NICE OUEST</v>
          </cell>
          <cell r="FY21" t="str">
            <v>NICE OUEST</v>
          </cell>
          <cell r="FZ21" t="str">
            <v>NICE OUEST</v>
          </cell>
          <cell r="GA21" t="str">
            <v>REPOS</v>
          </cell>
          <cell r="GB21" t="str">
            <v>REPOS</v>
          </cell>
          <cell r="GC21" t="str">
            <v>NICE OUEST</v>
          </cell>
          <cell r="GD21" t="str">
            <v>NICE OUEST</v>
          </cell>
          <cell r="GE21" t="str">
            <v>NICE OUEST</v>
          </cell>
          <cell r="GF21" t="str">
            <v>NICE OUEST</v>
          </cell>
          <cell r="GG21" t="str">
            <v>NICE OUEST</v>
          </cell>
          <cell r="GH21" t="str">
            <v>REPOS</v>
          </cell>
          <cell r="GI21" t="str">
            <v>REPOS</v>
          </cell>
          <cell r="GJ21" t="str">
            <v>NICE OUEST</v>
          </cell>
          <cell r="GK21" t="str">
            <v>NICE OUEST</v>
          </cell>
          <cell r="GL21" t="str">
            <v>NICE OUEST</v>
          </cell>
          <cell r="GM21" t="str">
            <v>NICE OUEST</v>
          </cell>
          <cell r="GN21" t="str">
            <v>NICE OUEST</v>
          </cell>
          <cell r="GO21" t="str">
            <v>REPOS</v>
          </cell>
          <cell r="GP21" t="str">
            <v>REPOS</v>
          </cell>
          <cell r="GQ21" t="str">
            <v>Congés</v>
          </cell>
          <cell r="GR21" t="str">
            <v>Congés</v>
          </cell>
          <cell r="GS21" t="str">
            <v>Congés</v>
          </cell>
          <cell r="GT21" t="str">
            <v>Congés</v>
          </cell>
          <cell r="GU21" t="str">
            <v>Congés</v>
          </cell>
          <cell r="GV21" t="str">
            <v>REPOS</v>
          </cell>
          <cell r="GW21" t="str">
            <v>REPOS</v>
          </cell>
          <cell r="GX21" t="str">
            <v>Congés</v>
          </cell>
          <cell r="GY21" t="str">
            <v>Congés</v>
          </cell>
          <cell r="GZ21" t="str">
            <v>Congés</v>
          </cell>
          <cell r="HA21" t="str">
            <v>Congés</v>
          </cell>
          <cell r="HB21" t="str">
            <v>Congés</v>
          </cell>
          <cell r="HC21" t="str">
            <v>REPOS</v>
          </cell>
          <cell r="HD21" t="str">
            <v>REPOS</v>
          </cell>
          <cell r="HE21" t="str">
            <v>Congés</v>
          </cell>
          <cell r="HF21" t="str">
            <v>Congés</v>
          </cell>
          <cell r="HG21" t="str">
            <v>Congés</v>
          </cell>
          <cell r="HH21" t="str">
            <v>Congés</v>
          </cell>
          <cell r="HI21" t="str">
            <v>Congés</v>
          </cell>
          <cell r="HJ21" t="str">
            <v>REPOS</v>
          </cell>
          <cell r="HK21" t="str">
            <v>REPOS</v>
          </cell>
        </row>
        <row r="22">
          <cell r="CW22" t="str">
            <v>REPOS</v>
          </cell>
          <cell r="CX22" t="str">
            <v>ENC MATIN 5H-12H</v>
          </cell>
          <cell r="CY22" t="str">
            <v>ENC MATIN 5H-12H</v>
          </cell>
          <cell r="CZ22" t="str">
            <v>ENC MATIN 5H-12H</v>
          </cell>
          <cell r="DA22" t="str">
            <v>ENC MATIN 5H-12H</v>
          </cell>
          <cell r="DB22" t="str">
            <v>REPOS</v>
          </cell>
          <cell r="DC22" t="str">
            <v>REPOS</v>
          </cell>
          <cell r="DD22" t="str">
            <v>ENC MATIN 5H-12H</v>
          </cell>
          <cell r="DE22" t="str">
            <v>ENC MATIN 5H-12H</v>
          </cell>
          <cell r="DF22" t="str">
            <v>ENC MATIN 5H-12H</v>
          </cell>
          <cell r="DG22" t="str">
            <v>ENC MATIN 5H-12H</v>
          </cell>
          <cell r="DH22" t="str">
            <v>ENC MATIN 5H-12H</v>
          </cell>
          <cell r="DI22" t="str">
            <v>REPOS</v>
          </cell>
          <cell r="DJ22" t="str">
            <v>ENC. AM DIM</v>
          </cell>
          <cell r="DK22" t="str">
            <v>ENC MATIN 5H-12H</v>
          </cell>
          <cell r="DL22" t="str">
            <v>REPOS</v>
          </cell>
          <cell r="DM22" t="str">
            <v>ENC MATIN 5H-12H</v>
          </cell>
          <cell r="DN22" t="str">
            <v>ENC MATIN 5H-12H</v>
          </cell>
          <cell r="DO22" t="str">
            <v>ENC MATIN 5H-12H</v>
          </cell>
          <cell r="DP22" t="str">
            <v>NICE EST</v>
          </cell>
          <cell r="DQ22" t="str">
            <v>REPOS</v>
          </cell>
          <cell r="DR22" t="str">
            <v>ENC NUIT 20H30-03H30</v>
          </cell>
          <cell r="DS22" t="str">
            <v>ENC NUIT 20H30-03H30</v>
          </cell>
          <cell r="DT22" t="str">
            <v>ENC NUIT 20H30-03H30</v>
          </cell>
          <cell r="DU22" t="str">
            <v>ENC NUIT 20H30-03H30</v>
          </cell>
          <cell r="DV22" t="str">
            <v>ENC NUIT 20H30-03H30</v>
          </cell>
          <cell r="DW22" t="str">
            <v>REPOS</v>
          </cell>
          <cell r="DX22" t="str">
            <v>ENC NUIT 20H30-03H30</v>
          </cell>
          <cell r="DY22" t="str">
            <v>ENC NUIT 20H30-03H30</v>
          </cell>
          <cell r="DZ22" t="str">
            <v>REPOS</v>
          </cell>
          <cell r="EA22" t="str">
            <v>ENC NUIT 20H30-03H30</v>
          </cell>
          <cell r="EB22" t="str">
            <v>ENC NUIT 20H30-03H30</v>
          </cell>
          <cell r="EC22" t="str">
            <v>REPOS</v>
          </cell>
          <cell r="ED22" t="str">
            <v>HS NICE EST</v>
          </cell>
          <cell r="EE22" t="str">
            <v>HS NICE EST</v>
          </cell>
          <cell r="EF22" t="str">
            <v>NICE OUEST</v>
          </cell>
          <cell r="EG22" t="str">
            <v>REPOS</v>
          </cell>
          <cell r="EH22" t="str">
            <v>NICE OUEST</v>
          </cell>
          <cell r="EI22" t="str">
            <v>REPOS</v>
          </cell>
          <cell r="EJ22" t="str">
            <v>NICE EST</v>
          </cell>
          <cell r="EK22" t="str">
            <v>HS NICE OUEST</v>
          </cell>
          <cell r="EL22" t="str">
            <v>REPOS</v>
          </cell>
          <cell r="EM22" t="str">
            <v>RTT AM</v>
          </cell>
          <cell r="EN22" t="str">
            <v>Congés</v>
          </cell>
          <cell r="EO22" t="str">
            <v>ENC MATIN 5H-12H</v>
          </cell>
          <cell r="EP22" t="str">
            <v>NICE OUEST</v>
          </cell>
          <cell r="EQ22" t="str">
            <v>NICE OUEST</v>
          </cell>
          <cell r="ER22" t="str">
            <v>REPOS</v>
          </cell>
          <cell r="ES22" t="str">
            <v>REPOS</v>
          </cell>
          <cell r="ET22" t="str">
            <v>Congés</v>
          </cell>
          <cell r="EU22" t="str">
            <v>NICE EST</v>
          </cell>
          <cell r="EV22" t="str">
            <v>NICE EST</v>
          </cell>
          <cell r="EW22" t="str">
            <v>NICE EST</v>
          </cell>
          <cell r="EX22" t="str">
            <v>NICE EST</v>
          </cell>
          <cell r="EY22" t="str">
            <v>REPOS</v>
          </cell>
          <cell r="EZ22" t="str">
            <v>ENC NUIT 20H30-03H30</v>
          </cell>
          <cell r="FA22" t="str">
            <v>ENC NUIT 20H30-03H30</v>
          </cell>
          <cell r="FB22" t="str">
            <v>ENC NUIT 20H30-03H30</v>
          </cell>
          <cell r="FC22" t="str">
            <v>ENC NUIT 20H30-03H30</v>
          </cell>
          <cell r="FD22" t="str">
            <v>ENC NUIT 20H30-03H30</v>
          </cell>
          <cell r="FE22" t="str">
            <v>REPOS</v>
          </cell>
          <cell r="FF22" t="str">
            <v>REPOS</v>
          </cell>
          <cell r="FG22" t="str">
            <v>NICE EST DIM</v>
          </cell>
          <cell r="FH22" t="str">
            <v>ENC MATIN 5H-12H</v>
          </cell>
          <cell r="FI22" t="str">
            <v>ENC MATIN 5H-12H</v>
          </cell>
          <cell r="FJ22" t="str">
            <v>REPOS</v>
          </cell>
          <cell r="FK22" t="str">
            <v>ENC MATIN 5H-12H</v>
          </cell>
          <cell r="FL22" t="str">
            <v>ENC MATIN 5H-12H</v>
          </cell>
          <cell r="FM22" t="str">
            <v>NICE OUEST</v>
          </cell>
          <cell r="FN22" t="str">
            <v>REPOS</v>
          </cell>
          <cell r="FO22" t="str">
            <v>ENC MATIN 5H-12H</v>
          </cell>
          <cell r="FP22" t="str">
            <v>ENC MATIN 5H-12H</v>
          </cell>
          <cell r="FQ22" t="str">
            <v>ENC MATIN 5H-12H</v>
          </cell>
          <cell r="FR22" t="str">
            <v>ENC MATIN 5H-12H</v>
          </cell>
          <cell r="FS22" t="str">
            <v>ENC MATIN 5H-12H</v>
          </cell>
          <cell r="FT22" t="str">
            <v>REPOS</v>
          </cell>
          <cell r="FU22" t="str">
            <v>ENC NUIT 20H30-03H30</v>
          </cell>
          <cell r="FV22" t="str">
            <v>ENC NUIT 20H30-03H30</v>
          </cell>
          <cell r="FW22" t="str">
            <v>ENC NUIT 20H30-03H30</v>
          </cell>
          <cell r="FX22" t="str">
            <v>ENC NUIT 20H30-03H30</v>
          </cell>
          <cell r="FY22" t="str">
            <v>ENC NUIT 20H30-03H30</v>
          </cell>
          <cell r="FZ22" t="str">
            <v>REPOS</v>
          </cell>
          <cell r="GA22" t="str">
            <v>REPOS</v>
          </cell>
          <cell r="GB22" t="str">
            <v>REPOS</v>
          </cell>
          <cell r="GH22" t="str">
            <v>REPOS</v>
          </cell>
          <cell r="GI22" t="str">
            <v>REPOS</v>
          </cell>
        </row>
        <row r="23">
          <cell r="J23" t="str">
            <v>REPOS</v>
          </cell>
          <cell r="K23" t="str">
            <v>Congés</v>
          </cell>
          <cell r="L23" t="str">
            <v>Congés</v>
          </cell>
          <cell r="M23" t="str">
            <v>Congés</v>
          </cell>
          <cell r="N23" t="str">
            <v>Congés</v>
          </cell>
          <cell r="O23" t="str">
            <v>REPOS</v>
          </cell>
          <cell r="P23" t="str">
            <v>REPOS</v>
          </cell>
          <cell r="Q23" t="str">
            <v>NICE EST</v>
          </cell>
          <cell r="R23" t="str">
            <v>NICE EST</v>
          </cell>
          <cell r="S23" t="str">
            <v>Maladie</v>
          </cell>
          <cell r="T23" t="str">
            <v>Maladie</v>
          </cell>
          <cell r="U23" t="str">
            <v>Maladie</v>
          </cell>
          <cell r="V23" t="str">
            <v>Maladie</v>
          </cell>
          <cell r="W23" t="str">
            <v>Maladie</v>
          </cell>
          <cell r="X23" t="str">
            <v>NICE EST</v>
          </cell>
          <cell r="Y23" t="str">
            <v>NICE EST</v>
          </cell>
          <cell r="Z23" t="str">
            <v>NICE EST</v>
          </cell>
          <cell r="AA23" t="str">
            <v>NICE EST</v>
          </cell>
          <cell r="AB23" t="str">
            <v>NICE EST</v>
          </cell>
          <cell r="AC23" t="str">
            <v>REPOS</v>
          </cell>
          <cell r="AD23" t="str">
            <v>REPOS</v>
          </cell>
          <cell r="AE23" t="str">
            <v>NICE EST</v>
          </cell>
          <cell r="AF23" t="str">
            <v>NICE EST</v>
          </cell>
          <cell r="AG23" t="str">
            <v>NICE EST</v>
          </cell>
          <cell r="AH23" t="str">
            <v>NICE EST</v>
          </cell>
          <cell r="AI23" t="str">
            <v>NICE EST</v>
          </cell>
          <cell r="AJ23" t="str">
            <v>REPOS</v>
          </cell>
          <cell r="AK23" t="str">
            <v>REPOS</v>
          </cell>
          <cell r="AL23" t="str">
            <v>NICE EST</v>
          </cell>
          <cell r="AM23" t="str">
            <v>NICE EST</v>
          </cell>
          <cell r="AN23" t="str">
            <v>NICE EST</v>
          </cell>
          <cell r="AO23" t="str">
            <v>NICE EST</v>
          </cell>
          <cell r="AP23" t="str">
            <v>NICE EST</v>
          </cell>
          <cell r="AQ23" t="str">
            <v>REPOS</v>
          </cell>
          <cell r="AR23" t="str">
            <v>REPOS</v>
          </cell>
          <cell r="AS23" t="str">
            <v>NICE EST</v>
          </cell>
          <cell r="AT23" t="str">
            <v>NICE EST</v>
          </cell>
          <cell r="AU23" t="str">
            <v>NICE EST</v>
          </cell>
          <cell r="AV23" t="str">
            <v>Congés</v>
          </cell>
          <cell r="AW23" t="str">
            <v>NICE EST</v>
          </cell>
          <cell r="AX23" t="str">
            <v>REPOS</v>
          </cell>
          <cell r="AY23" t="str">
            <v>REPOS</v>
          </cell>
          <cell r="AZ23" t="str">
            <v>NICE EST</v>
          </cell>
          <cell r="BA23" t="str">
            <v>NICE EST</v>
          </cell>
          <cell r="BB23" t="str">
            <v>NICE EST</v>
          </cell>
          <cell r="BC23" t="str">
            <v>NICE EST</v>
          </cell>
          <cell r="BD23" t="str">
            <v>NICE EST</v>
          </cell>
          <cell r="BE23" t="str">
            <v>REPOS</v>
          </cell>
          <cell r="BF23" t="str">
            <v>REPOS</v>
          </cell>
          <cell r="BG23" t="str">
            <v>NICE NORD</v>
          </cell>
          <cell r="BH23" t="str">
            <v>NICE EST</v>
          </cell>
          <cell r="BI23" t="str">
            <v>NICE EST</v>
          </cell>
          <cell r="BJ23" t="str">
            <v>NICE EST</v>
          </cell>
          <cell r="BK23" t="str">
            <v>NICE EST</v>
          </cell>
          <cell r="BL23" t="str">
            <v>REPOS</v>
          </cell>
          <cell r="BM23" t="str">
            <v>NICE EST DIM</v>
          </cell>
          <cell r="BN23" t="str">
            <v>NICE EST</v>
          </cell>
          <cell r="BO23" t="str">
            <v>NICE EST</v>
          </cell>
          <cell r="BP23" t="str">
            <v>NICE EST</v>
          </cell>
          <cell r="BQ23" t="str">
            <v>Congés</v>
          </cell>
          <cell r="BR23" t="str">
            <v>NICE EST</v>
          </cell>
          <cell r="BS23" t="str">
            <v>REPOS</v>
          </cell>
          <cell r="BT23" t="str">
            <v>REPOS</v>
          </cell>
          <cell r="BU23" t="str">
            <v>NICE EST</v>
          </cell>
          <cell r="BV23" t="str">
            <v>NICE EST</v>
          </cell>
          <cell r="BW23" t="str">
            <v>Congés</v>
          </cell>
          <cell r="BX23" t="str">
            <v>NICE EST</v>
          </cell>
          <cell r="BY23" t="str">
            <v>NICE EST</v>
          </cell>
          <cell r="BZ23" t="str">
            <v>REPOS</v>
          </cell>
          <cell r="CA23" t="str">
            <v>REPOS</v>
          </cell>
          <cell r="CB23" t="str">
            <v>NICE EST</v>
          </cell>
          <cell r="CC23" t="str">
            <v>NICE EST</v>
          </cell>
          <cell r="CD23" t="str">
            <v>NICE EST</v>
          </cell>
          <cell r="CE23" t="str">
            <v>REPOS</v>
          </cell>
          <cell r="CF23" t="str">
            <v>NICE EST</v>
          </cell>
          <cell r="CG23" t="str">
            <v>NICE EST</v>
          </cell>
          <cell r="CH23" t="str">
            <v>REPOS</v>
          </cell>
          <cell r="CI23" t="str">
            <v>NICE EST</v>
          </cell>
          <cell r="CJ23" t="str">
            <v>NICE EST</v>
          </cell>
          <cell r="CK23" t="str">
            <v>Congés</v>
          </cell>
          <cell r="CL23" t="str">
            <v>NICE EST</v>
          </cell>
          <cell r="CM23" t="str">
            <v>NICE EST</v>
          </cell>
          <cell r="CN23" t="str">
            <v>REPOS</v>
          </cell>
          <cell r="CO23" t="str">
            <v>REPOS</v>
          </cell>
          <cell r="CP23" t="str">
            <v>NICE EST</v>
          </cell>
          <cell r="CQ23" t="str">
            <v>NICE EST</v>
          </cell>
          <cell r="CR23" t="str">
            <v>NICE EST</v>
          </cell>
          <cell r="CS23" t="str">
            <v>NICE EST</v>
          </cell>
          <cell r="CT23" t="str">
            <v>NICE EST</v>
          </cell>
          <cell r="CU23" t="str">
            <v>REPOS</v>
          </cell>
          <cell r="CV23" t="str">
            <v>REPOS</v>
          </cell>
          <cell r="CW23" t="str">
            <v>REPOS</v>
          </cell>
          <cell r="CX23" t="str">
            <v>Congés</v>
          </cell>
          <cell r="CY23" t="str">
            <v>Congés</v>
          </cell>
          <cell r="CZ23" t="str">
            <v>Congés</v>
          </cell>
          <cell r="DA23" t="str">
            <v>Congés</v>
          </cell>
          <cell r="DB23" t="str">
            <v>REPOS</v>
          </cell>
          <cell r="DC23" t="str">
            <v>REPOS</v>
          </cell>
          <cell r="DD23" t="str">
            <v>Congés</v>
          </cell>
          <cell r="DE23" t="str">
            <v>Congés</v>
          </cell>
          <cell r="DF23" t="str">
            <v>Congés</v>
          </cell>
          <cell r="DG23" t="str">
            <v>Congés</v>
          </cell>
          <cell r="DH23" t="str">
            <v>Congés</v>
          </cell>
          <cell r="DI23" t="str">
            <v>REPOS</v>
          </cell>
          <cell r="DJ23" t="str">
            <v>REPOS</v>
          </cell>
          <cell r="DK23" t="str">
            <v>NICE EST</v>
          </cell>
          <cell r="DL23" t="str">
            <v>NICE EST</v>
          </cell>
          <cell r="DM23" t="str">
            <v>NICE EST</v>
          </cell>
          <cell r="DN23" t="str">
            <v>NICE EST</v>
          </cell>
          <cell r="DO23" t="str">
            <v>NICE EST</v>
          </cell>
          <cell r="DP23" t="str">
            <v>REPOS</v>
          </cell>
          <cell r="DQ23" t="str">
            <v>NICE EST DIM</v>
          </cell>
          <cell r="DR23" t="str">
            <v>NICE EST</v>
          </cell>
          <cell r="DS23" t="str">
            <v>NICE EST</v>
          </cell>
          <cell r="DT23" t="str">
            <v>NICE EST</v>
          </cell>
          <cell r="DU23" t="str">
            <v>NICE EST</v>
          </cell>
          <cell r="DV23" t="str">
            <v>Maladie</v>
          </cell>
          <cell r="DW23" t="str">
            <v>Maladie</v>
          </cell>
          <cell r="DX23" t="str">
            <v>Maladie</v>
          </cell>
          <cell r="DY23" t="str">
            <v>Maladie</v>
          </cell>
          <cell r="DZ23" t="str">
            <v>Maladie</v>
          </cell>
          <cell r="EA23" t="str">
            <v>Maladie</v>
          </cell>
          <cell r="EB23" t="str">
            <v>Maladie</v>
          </cell>
          <cell r="EC23" t="str">
            <v>Maladie</v>
          </cell>
          <cell r="ED23" t="str">
            <v>Maladie</v>
          </cell>
          <cell r="EE23" t="str">
            <v>Maladie</v>
          </cell>
          <cell r="EF23" t="str">
            <v>Maladie</v>
          </cell>
          <cell r="EG23" t="str">
            <v>Maladie</v>
          </cell>
          <cell r="EH23" t="str">
            <v>Maladie</v>
          </cell>
          <cell r="EI23" t="str">
            <v>Maladie</v>
          </cell>
          <cell r="EJ23" t="str">
            <v>Maladie</v>
          </cell>
          <cell r="EK23" t="str">
            <v>REPOS</v>
          </cell>
          <cell r="EL23" t="str">
            <v>REPOS</v>
          </cell>
          <cell r="EM23" t="str">
            <v>NICE EST</v>
          </cell>
          <cell r="EN23" t="str">
            <v>NICE EST</v>
          </cell>
          <cell r="EO23" t="str">
            <v>NICE EST</v>
          </cell>
          <cell r="EP23" t="str">
            <v>NICE EST</v>
          </cell>
          <cell r="EQ23" t="str">
            <v>NICE EST</v>
          </cell>
          <cell r="ER23" t="str">
            <v>REPOS</v>
          </cell>
          <cell r="ES23" t="str">
            <v>REPOS</v>
          </cell>
          <cell r="ET23" t="str">
            <v>NICE EST</v>
          </cell>
          <cell r="EU23" t="str">
            <v>NICE EST</v>
          </cell>
          <cell r="EV23" t="str">
            <v>NICE EST</v>
          </cell>
          <cell r="EW23" t="str">
            <v>NICE EST</v>
          </cell>
          <cell r="EX23" t="str">
            <v>NICE EST</v>
          </cell>
          <cell r="EY23" t="str">
            <v>REPOS</v>
          </cell>
          <cell r="EZ23" t="str">
            <v>REPOS</v>
          </cell>
          <cell r="FA23" t="str">
            <v>RTT</v>
          </cell>
          <cell r="FB23" t="str">
            <v>NICE EST</v>
          </cell>
          <cell r="FC23" t="str">
            <v>NICE EST</v>
          </cell>
          <cell r="FD23" t="str">
            <v>NICE EST</v>
          </cell>
          <cell r="FE23" t="str">
            <v>NICE EST</v>
          </cell>
          <cell r="FF23" t="str">
            <v>REPOS</v>
          </cell>
          <cell r="FG23" t="str">
            <v>REPOS</v>
          </cell>
          <cell r="FH23" t="str">
            <v>NICE EST</v>
          </cell>
          <cell r="FI23" t="str">
            <v>NICE EST</v>
          </cell>
          <cell r="FJ23" t="str">
            <v>NICE EST</v>
          </cell>
          <cell r="FK23" t="str">
            <v>NICE EST</v>
          </cell>
          <cell r="FL23" t="str">
            <v>REPOS</v>
          </cell>
          <cell r="FM23" t="str">
            <v>NICE EST</v>
          </cell>
          <cell r="FN23" t="str">
            <v>REPOS</v>
          </cell>
          <cell r="FO23" t="str">
            <v>NICE EST</v>
          </cell>
          <cell r="FP23" t="str">
            <v>NICE EST</v>
          </cell>
          <cell r="FQ23" t="str">
            <v>NICE EST</v>
          </cell>
          <cell r="FR23" t="str">
            <v>NICE EST</v>
          </cell>
          <cell r="FS23" t="str">
            <v>NICE EST</v>
          </cell>
          <cell r="FT23" t="str">
            <v>REPOS</v>
          </cell>
          <cell r="FU23" t="str">
            <v>NICE EST DIM</v>
          </cell>
          <cell r="FV23" t="str">
            <v>NICE EST</v>
          </cell>
          <cell r="FW23" t="str">
            <v>NICE EST</v>
          </cell>
          <cell r="FX23" t="str">
            <v>NICE EST</v>
          </cell>
          <cell r="FY23" t="str">
            <v>NICE EST</v>
          </cell>
          <cell r="FZ23" t="str">
            <v>NICE EST</v>
          </cell>
          <cell r="GA23" t="str">
            <v>REPOS</v>
          </cell>
          <cell r="GB23" t="str">
            <v>REPOS</v>
          </cell>
          <cell r="GH23" t="str">
            <v>REPOS</v>
          </cell>
          <cell r="GI23" t="str">
            <v>REPOS</v>
          </cell>
          <cell r="IK23" t="str">
            <v>Congés</v>
          </cell>
          <cell r="IL23" t="str">
            <v>REPOS</v>
          </cell>
          <cell r="IM23" t="str">
            <v>REPOS</v>
          </cell>
          <cell r="IN23" t="str">
            <v>Congés</v>
          </cell>
          <cell r="IO23" t="str">
            <v>Congés</v>
          </cell>
          <cell r="IP23" t="str">
            <v>Congés</v>
          </cell>
          <cell r="IQ23" t="str">
            <v>Congés</v>
          </cell>
          <cell r="IR23" t="str">
            <v>Congés</v>
          </cell>
          <cell r="IS23" t="str">
            <v>REPOS</v>
          </cell>
          <cell r="IT23" t="str">
            <v>REPOS</v>
          </cell>
          <cell r="IU23" t="str">
            <v>Congés</v>
          </cell>
          <cell r="IV23" t="str">
            <v>Congés</v>
          </cell>
          <cell r="IW23" t="str">
            <v>Congés</v>
          </cell>
          <cell r="IX23" t="str">
            <v>Congés</v>
          </cell>
          <cell r="IY23" t="str">
            <v>Congés</v>
          </cell>
          <cell r="IZ23" t="str">
            <v>REPOS</v>
          </cell>
          <cell r="JA23" t="str">
            <v>REPOS</v>
          </cell>
          <cell r="JB23" t="str">
            <v>Congés</v>
          </cell>
          <cell r="JC23" t="str">
            <v>Congés</v>
          </cell>
          <cell r="JD23" t="str">
            <v>Congés</v>
          </cell>
          <cell r="JE23" t="str">
            <v>Congés</v>
          </cell>
          <cell r="JF23" t="str">
            <v>Congés</v>
          </cell>
          <cell r="JG23" t="str">
            <v>REPOS</v>
          </cell>
          <cell r="JH23" t="str">
            <v>REPOS</v>
          </cell>
        </row>
        <row r="24">
          <cell r="J24" t="str">
            <v>REPOS</v>
          </cell>
          <cell r="K24" t="str">
            <v>ENC MATIN 5H-12H</v>
          </cell>
          <cell r="L24" t="str">
            <v>ENC MATIN 5H-12H</v>
          </cell>
          <cell r="M24" t="str">
            <v>CARTON MATIN</v>
          </cell>
          <cell r="N24" t="str">
            <v>REPOS</v>
          </cell>
          <cell r="O24" t="str">
            <v>NICE NORD</v>
          </cell>
          <cell r="P24" t="str">
            <v>REPOS</v>
          </cell>
          <cell r="Q24" t="str">
            <v>CARTON MATIN</v>
          </cell>
          <cell r="R24" t="str">
            <v>CARTON MATIN</v>
          </cell>
          <cell r="S24" t="str">
            <v>CARTON MATIN</v>
          </cell>
          <cell r="T24" t="str">
            <v>CARTON MATIN</v>
          </cell>
          <cell r="U24" t="str">
            <v>CARTON MATIN</v>
          </cell>
          <cell r="V24" t="str">
            <v>REPOS</v>
          </cell>
          <cell r="W24" t="str">
            <v>NICE EST DIM</v>
          </cell>
          <cell r="X24" t="str">
            <v>CARTON MATIN</v>
          </cell>
          <cell r="Y24" t="str">
            <v>CARTON MATIN</v>
          </cell>
          <cell r="Z24" t="str">
            <v>CARTON MATIN</v>
          </cell>
          <cell r="AA24" t="str">
            <v>CARTON MATIN</v>
          </cell>
          <cell r="AB24" t="str">
            <v>CARTON MATIN</v>
          </cell>
          <cell r="AC24" t="str">
            <v>REPOS</v>
          </cell>
          <cell r="AD24" t="str">
            <v>REPOS</v>
          </cell>
          <cell r="AE24" t="str">
            <v>ENC MATIN 5H-12H</v>
          </cell>
          <cell r="AF24" t="str">
            <v>CARTON MATIN</v>
          </cell>
          <cell r="AG24" t="str">
            <v>ENC MATIN 5H-12H</v>
          </cell>
          <cell r="AH24" t="str">
            <v>ENC MATIN 5H-12H</v>
          </cell>
          <cell r="AI24" t="str">
            <v>ENC MATIN 5H-12H</v>
          </cell>
          <cell r="AJ24" t="str">
            <v>HS NICE NORD</v>
          </cell>
          <cell r="AK24" t="str">
            <v>REPOS</v>
          </cell>
          <cell r="AL24" t="str">
            <v>ENC MATIN 5H-12H</v>
          </cell>
          <cell r="AM24" t="str">
            <v>ENC MATIN 5H-12H</v>
          </cell>
          <cell r="AN24" t="str">
            <v>ENC MATIN 5H-12H</v>
          </cell>
          <cell r="AO24" t="str">
            <v>ENC MATIN 5H-12H</v>
          </cell>
          <cell r="AP24" t="str">
            <v>ENC MATIN 5H-12H</v>
          </cell>
          <cell r="AQ24" t="str">
            <v>REPOS</v>
          </cell>
          <cell r="AR24" t="str">
            <v>REPOS</v>
          </cell>
          <cell r="AS24" t="str">
            <v>ENC MATIN 5H-12H</v>
          </cell>
          <cell r="AT24" t="str">
            <v>ENC MATIN 5H-12H</v>
          </cell>
          <cell r="AU24" t="str">
            <v>REPOS</v>
          </cell>
          <cell r="AV24" t="str">
            <v>ENC MATIN 5H-12H</v>
          </cell>
          <cell r="AW24" t="str">
            <v>CARTON MATIN</v>
          </cell>
          <cell r="AX24" t="str">
            <v>NICE OUEST</v>
          </cell>
          <cell r="AY24" t="str">
            <v>REPOS</v>
          </cell>
          <cell r="AZ24" t="str">
            <v>ENC MATIN 5H-12H</v>
          </cell>
          <cell r="BA24" t="str">
            <v>CARTON MATIN</v>
          </cell>
          <cell r="BB24" t="str">
            <v>ENC MATIN 5H-12H</v>
          </cell>
          <cell r="BC24" t="str">
            <v>CARTON MATIN</v>
          </cell>
          <cell r="BD24" t="str">
            <v>CARTON MATIN</v>
          </cell>
          <cell r="BE24" t="str">
            <v>HS presta. Except | 11:00-18:00</v>
          </cell>
          <cell r="BF24" t="str">
            <v>REPOS</v>
          </cell>
          <cell r="BG24" t="str">
            <v>ENC MATIN 5H-12H</v>
          </cell>
          <cell r="BH24" t="str">
            <v>CARTON MATIN</v>
          </cell>
          <cell r="BI24" t="str">
            <v>ENC MATIN 5H-12H</v>
          </cell>
          <cell r="BJ24" t="str">
            <v>ENC MATIN 5H-12H</v>
          </cell>
          <cell r="BK24" t="str">
            <v>CARTON MATIN</v>
          </cell>
          <cell r="BL24" t="str">
            <v>HS NICE OUEST</v>
          </cell>
          <cell r="BM24" t="str">
            <v>REPOS</v>
          </cell>
          <cell r="BN24" t="str">
            <v>ENC MATIN 5H-12H</v>
          </cell>
          <cell r="BO24" t="str">
            <v>CARTON MATIN</v>
          </cell>
          <cell r="BP24" t="str">
            <v>ENC MATIN 5H-12H</v>
          </cell>
          <cell r="BT24" t="str">
            <v>NICE OUEST DIM</v>
          </cell>
        </row>
        <row r="25">
          <cell r="J25" t="str">
            <v>REPOS</v>
          </cell>
          <cell r="K25" t="str">
            <v>CARTON MATIN</v>
          </cell>
          <cell r="L25" t="str">
            <v>CARTON MATIN</v>
          </cell>
          <cell r="M25" t="str">
            <v>CARTON MATIN</v>
          </cell>
          <cell r="N25" t="str">
            <v>CARTON MATIN</v>
          </cell>
          <cell r="O25" t="str">
            <v>REPOS</v>
          </cell>
          <cell r="P25" t="str">
            <v>REPOS</v>
          </cell>
          <cell r="Q25" t="str">
            <v>Congés</v>
          </cell>
          <cell r="R25" t="str">
            <v>Congés</v>
          </cell>
          <cell r="S25" t="str">
            <v>Congés</v>
          </cell>
          <cell r="T25" t="str">
            <v>Congés</v>
          </cell>
          <cell r="U25" t="str">
            <v>Congés</v>
          </cell>
          <cell r="V25" t="str">
            <v>REPOS</v>
          </cell>
          <cell r="W25" t="str">
            <v>REPOS</v>
          </cell>
          <cell r="X25" t="str">
            <v>Congés</v>
          </cell>
          <cell r="Y25" t="str">
            <v>Congés</v>
          </cell>
          <cell r="Z25" t="str">
            <v>Congés</v>
          </cell>
          <cell r="AA25" t="str">
            <v>Congés</v>
          </cell>
          <cell r="AB25" t="str">
            <v>Congés</v>
          </cell>
          <cell r="AC25" t="str">
            <v>REPOS</v>
          </cell>
          <cell r="AD25" t="str">
            <v>REPOS</v>
          </cell>
          <cell r="AE25" t="str">
            <v>CARTON MATIN</v>
          </cell>
          <cell r="AF25" t="str">
            <v>CARTON MATIN</v>
          </cell>
          <cell r="AG25" t="str">
            <v>CARTON MATIN</v>
          </cell>
          <cell r="AH25" t="str">
            <v>CARTON MATIN</v>
          </cell>
          <cell r="AI25" t="str">
            <v>CARTON MATIN</v>
          </cell>
          <cell r="AJ25" t="str">
            <v>REPOS</v>
          </cell>
          <cell r="AK25" t="str">
            <v>REPOS</v>
          </cell>
          <cell r="AL25" t="str">
            <v>CARTON MATIN</v>
          </cell>
          <cell r="AM25" t="str">
            <v>CARTON MATIN</v>
          </cell>
          <cell r="AN25" t="str">
            <v>CARTON MATIN</v>
          </cell>
          <cell r="AO25" t="str">
            <v>CARTON MATIN</v>
          </cell>
          <cell r="AP25" t="str">
            <v>CARTON MATIN</v>
          </cell>
          <cell r="AQ25" t="str">
            <v>REPOS</v>
          </cell>
          <cell r="AR25" t="str">
            <v>REPOS</v>
          </cell>
          <cell r="AS25" t="str">
            <v>CARTON MATIN</v>
          </cell>
          <cell r="AT25" t="str">
            <v>CARTON MATIN</v>
          </cell>
          <cell r="AU25" t="str">
            <v>CARTON MATIN</v>
          </cell>
          <cell r="AV25" t="str">
            <v>CARTON MATIN</v>
          </cell>
          <cell r="AW25" t="str">
            <v>CARTON MATIN</v>
          </cell>
          <cell r="AX25" t="str">
            <v>REPOS</v>
          </cell>
          <cell r="AY25" t="str">
            <v>REPOS</v>
          </cell>
          <cell r="AZ25" t="str">
            <v>CARTON MATIN</v>
          </cell>
          <cell r="BA25" t="str">
            <v>Congés</v>
          </cell>
          <cell r="BB25" t="str">
            <v>CARTON MATIN</v>
          </cell>
          <cell r="BC25" t="str">
            <v>REPOS</v>
          </cell>
          <cell r="BD25" t="str">
            <v>CARTON MATIN</v>
          </cell>
          <cell r="BE25" t="str">
            <v>NICE OUEST</v>
          </cell>
          <cell r="BF25" t="str">
            <v>REPOS</v>
          </cell>
          <cell r="BG25" t="str">
            <v>Congés</v>
          </cell>
          <cell r="BH25" t="str">
            <v>Congés</v>
          </cell>
          <cell r="BI25" t="str">
            <v>CARTON MATIN</v>
          </cell>
          <cell r="BJ25" t="str">
            <v>CARTON MATIN</v>
          </cell>
          <cell r="BK25" t="str">
            <v>Congés</v>
          </cell>
          <cell r="BL25" t="str">
            <v>REPOS</v>
          </cell>
          <cell r="BM25" t="str">
            <v>REPOS</v>
          </cell>
          <cell r="BN25" t="str">
            <v>CARTON MATIN</v>
          </cell>
          <cell r="BO25" t="str">
            <v>Congés</v>
          </cell>
          <cell r="BP25" t="str">
            <v>CARTON MATIN</v>
          </cell>
          <cell r="BQ25" t="str">
            <v>Congés</v>
          </cell>
          <cell r="BR25" t="str">
            <v>CARTON MATIN</v>
          </cell>
          <cell r="BS25" t="str">
            <v>REPOS</v>
          </cell>
          <cell r="BT25" t="str">
            <v>REPOS</v>
          </cell>
          <cell r="BU25" t="str">
            <v>CARTON MATIN</v>
          </cell>
          <cell r="BV25" t="str">
            <v>Congés</v>
          </cell>
          <cell r="BW25" t="str">
            <v>CARTON MATIN</v>
          </cell>
          <cell r="BX25" t="str">
            <v>Congés</v>
          </cell>
          <cell r="BY25" t="str">
            <v>Congés</v>
          </cell>
          <cell r="BZ25" t="str">
            <v>REPOS</v>
          </cell>
          <cell r="CA25" t="str">
            <v>REPOS</v>
          </cell>
          <cell r="CB25" t="str">
            <v>CARTON MATIN</v>
          </cell>
          <cell r="CC25" t="str">
            <v>Maladie</v>
          </cell>
          <cell r="CD25" t="str">
            <v>Maladie</v>
          </cell>
          <cell r="CE25" t="str">
            <v>Maladie</v>
          </cell>
          <cell r="CF25" t="str">
            <v>Maladie</v>
          </cell>
          <cell r="CG25" t="str">
            <v>Maladie</v>
          </cell>
          <cell r="CH25" t="str">
            <v>Maladie</v>
          </cell>
          <cell r="CI25" t="str">
            <v>Maladie</v>
          </cell>
          <cell r="CJ25" t="str">
            <v>Maladie</v>
          </cell>
          <cell r="CK25" t="str">
            <v>Maladie</v>
          </cell>
          <cell r="CL25" t="str">
            <v>CARTON MATIN</v>
          </cell>
          <cell r="CM25" t="str">
            <v>CARTON MATIN</v>
          </cell>
          <cell r="CN25" t="str">
            <v>REPOS</v>
          </cell>
          <cell r="CO25" t="str">
            <v>REPOS</v>
          </cell>
          <cell r="CP25" t="str">
            <v>Congés</v>
          </cell>
          <cell r="CQ25" t="str">
            <v>Congés</v>
          </cell>
          <cell r="CR25" t="str">
            <v>Congés</v>
          </cell>
          <cell r="CS25" t="str">
            <v>Congés</v>
          </cell>
          <cell r="CT25" t="str">
            <v>Congés</v>
          </cell>
          <cell r="CU25" t="str">
            <v>REPOS</v>
          </cell>
          <cell r="CV25" t="str">
            <v>REPOS</v>
          </cell>
          <cell r="CW25" t="str">
            <v>Congés</v>
          </cell>
          <cell r="CX25" t="str">
            <v>Congés</v>
          </cell>
          <cell r="CY25" t="str">
            <v>Congés</v>
          </cell>
          <cell r="CZ25" t="str">
            <v>Congés</v>
          </cell>
          <cell r="DA25" t="str">
            <v>Congés</v>
          </cell>
          <cell r="DB25" t="str">
            <v>REPOS</v>
          </cell>
          <cell r="DC25" t="str">
            <v>REPOS</v>
          </cell>
          <cell r="DD25" t="str">
            <v>Congés</v>
          </cell>
          <cell r="DE25" t="str">
            <v>Congés</v>
          </cell>
          <cell r="DF25" t="str">
            <v>Congés</v>
          </cell>
          <cell r="DG25" t="str">
            <v>Congés</v>
          </cell>
          <cell r="DH25" t="str">
            <v>Congés</v>
          </cell>
          <cell r="DI25" t="str">
            <v>REPOS</v>
          </cell>
          <cell r="DJ25" t="str">
            <v>REPOS</v>
          </cell>
          <cell r="DK25" t="str">
            <v>Congés</v>
          </cell>
          <cell r="DL25" t="str">
            <v>Congés</v>
          </cell>
          <cell r="DM25" t="str">
            <v>Congés</v>
          </cell>
          <cell r="DN25" t="str">
            <v>Congés</v>
          </cell>
          <cell r="DO25" t="str">
            <v>Congés</v>
          </cell>
        </row>
        <row r="26">
          <cell r="J26" t="str">
            <v>REPOS</v>
          </cell>
          <cell r="K26" t="str">
            <v>Congés</v>
          </cell>
          <cell r="L26" t="str">
            <v>Congés</v>
          </cell>
          <cell r="M26" t="str">
            <v>Congés</v>
          </cell>
          <cell r="N26" t="str">
            <v>Congés</v>
          </cell>
          <cell r="O26" t="str">
            <v>REPOS</v>
          </cell>
          <cell r="P26" t="str">
            <v>REPOS</v>
          </cell>
          <cell r="Q26" t="str">
            <v>Congés</v>
          </cell>
          <cell r="R26" t="str">
            <v>Congés</v>
          </cell>
          <cell r="S26" t="str">
            <v>Congés</v>
          </cell>
          <cell r="T26" t="str">
            <v>Congés</v>
          </cell>
          <cell r="U26" t="str">
            <v>Congés</v>
          </cell>
          <cell r="V26" t="str">
            <v>REPOS</v>
          </cell>
          <cell r="W26" t="str">
            <v>REPOS</v>
          </cell>
          <cell r="X26" t="str">
            <v>CARTON AP</v>
          </cell>
          <cell r="Y26" t="str">
            <v>CARTON AP</v>
          </cell>
          <cell r="Z26" t="str">
            <v>CARTON AP</v>
          </cell>
          <cell r="AA26" t="str">
            <v>CARTON AP</v>
          </cell>
          <cell r="AB26" t="str">
            <v>CARTON AP</v>
          </cell>
          <cell r="AC26" t="str">
            <v>HS NICE EST</v>
          </cell>
          <cell r="AD26" t="str">
            <v>REPOS</v>
          </cell>
          <cell r="AE26" t="str">
            <v>REPOS</v>
          </cell>
          <cell r="AF26" t="str">
            <v>CARTON AP</v>
          </cell>
          <cell r="AG26" t="str">
            <v>CARTON AP</v>
          </cell>
          <cell r="AH26" t="str">
            <v>CARTON AP</v>
          </cell>
          <cell r="AI26" t="str">
            <v>CARTON AP</v>
          </cell>
          <cell r="AJ26" t="str">
            <v>CARTON 8H30-12H / 13H-16H30</v>
          </cell>
          <cell r="AK26" t="str">
            <v>REPOS</v>
          </cell>
          <cell r="AL26" t="str">
            <v>CARTON AP</v>
          </cell>
          <cell r="AM26" t="str">
            <v>CARTON AP</v>
          </cell>
          <cell r="AN26" t="str">
            <v>CARTON AP</v>
          </cell>
          <cell r="AO26" t="str">
            <v>CARTON AP</v>
          </cell>
          <cell r="AP26" t="str">
            <v>CARTON AP</v>
          </cell>
          <cell r="AQ26" t="str">
            <v>REPOS</v>
          </cell>
          <cell r="AR26" t="str">
            <v>NICE OUEST DIM</v>
          </cell>
          <cell r="AS26" t="str">
            <v>CARTON AP</v>
          </cell>
          <cell r="AT26" t="str">
            <v>CARTON AP</v>
          </cell>
          <cell r="AU26" t="str">
            <v>CARTON AP</v>
          </cell>
          <cell r="AV26" t="str">
            <v>CARTON AP</v>
          </cell>
          <cell r="AW26" t="str">
            <v>Congés AM</v>
          </cell>
          <cell r="AX26" t="str">
            <v>REPOS</v>
          </cell>
          <cell r="AY26" t="str">
            <v>REPOS</v>
          </cell>
          <cell r="AZ26" t="str">
            <v>CARTON AP</v>
          </cell>
          <cell r="BA26" t="str">
            <v>CARTON AP</v>
          </cell>
          <cell r="BB26" t="str">
            <v>CARTON AP</v>
          </cell>
          <cell r="BC26" t="str">
            <v>CARTON AP</v>
          </cell>
          <cell r="BD26" t="str">
            <v>CARTON AP</v>
          </cell>
          <cell r="BE26" t="str">
            <v>HS NICE OUEST</v>
          </cell>
          <cell r="BF26" t="str">
            <v>REPOS</v>
          </cell>
          <cell r="BG26" t="str">
            <v>REPOS</v>
          </cell>
          <cell r="BH26" t="str">
            <v>CARTON AP</v>
          </cell>
          <cell r="BI26" t="str">
            <v>NICE EST</v>
          </cell>
          <cell r="BJ26" t="str">
            <v>CARTON AP</v>
          </cell>
          <cell r="BK26" t="str">
            <v>CARTON AP</v>
          </cell>
          <cell r="BL26" t="str">
            <v>CARTON 8H30-12H / 13H-16H30</v>
          </cell>
          <cell r="BM26" t="str">
            <v>REPOS</v>
          </cell>
          <cell r="BN26" t="str">
            <v>CARTON AP</v>
          </cell>
          <cell r="BO26" t="str">
            <v>CARTON AP</v>
          </cell>
          <cell r="BP26" t="str">
            <v>CARTON AP</v>
          </cell>
          <cell r="BQ26" t="str">
            <v>CARTON AP</v>
          </cell>
          <cell r="BR26" t="str">
            <v>CARTON AP</v>
          </cell>
          <cell r="BS26" t="str">
            <v>HS NICE OUEST</v>
          </cell>
          <cell r="BT26" t="str">
            <v>REPOS</v>
          </cell>
          <cell r="BU26" t="str">
            <v>CARTON AP</v>
          </cell>
          <cell r="BV26" t="str">
            <v>CARTON AP</v>
          </cell>
          <cell r="BW26" t="str">
            <v>CARTON AP</v>
          </cell>
          <cell r="BX26" t="str">
            <v>CARTON AP</v>
          </cell>
          <cell r="BY26" t="str">
            <v>CARTON AP</v>
          </cell>
          <cell r="BZ26" t="str">
            <v>HS NICE OUEST</v>
          </cell>
          <cell r="CA26" t="str">
            <v>REPOS</v>
          </cell>
          <cell r="CB26" t="str">
            <v>CARTON AP</v>
          </cell>
          <cell r="CC26" t="str">
            <v>CARTON AP</v>
          </cell>
          <cell r="CD26" t="str">
            <v>CARTON AP</v>
          </cell>
          <cell r="CE26" t="str">
            <v>CARTON AP</v>
          </cell>
          <cell r="CF26" t="str">
            <v>CARTON AP</v>
          </cell>
          <cell r="CG26" t="str">
            <v>HS CARTON 8H30-12H / 13H-16H30</v>
          </cell>
          <cell r="CH26" t="str">
            <v>REPOS</v>
          </cell>
          <cell r="CI26" t="str">
            <v>REPOS</v>
          </cell>
          <cell r="CJ26" t="str">
            <v>CARTON AP</v>
          </cell>
          <cell r="CK26" t="str">
            <v>CARTON AP</v>
          </cell>
          <cell r="CL26" t="str">
            <v>CARTON AP</v>
          </cell>
          <cell r="CM26" t="str">
            <v>CARTON AP</v>
          </cell>
          <cell r="CN26" t="str">
            <v>CARTON 8H30-12H / 13H-16H30</v>
          </cell>
          <cell r="CO26" t="str">
            <v>REPOS</v>
          </cell>
          <cell r="CP26" t="str">
            <v>CARTON AP</v>
          </cell>
          <cell r="CQ26" t="str">
            <v>CARTON AP</v>
          </cell>
          <cell r="CR26" t="str">
            <v>CARTON AP</v>
          </cell>
          <cell r="CS26" t="str">
            <v>CARTON AP</v>
          </cell>
          <cell r="CT26" t="str">
            <v>CARTON AP</v>
          </cell>
          <cell r="CU26" t="str">
            <v>REPOS</v>
          </cell>
          <cell r="CV26" t="str">
            <v>REPOS</v>
          </cell>
          <cell r="CW26" t="str">
            <v>REPOS</v>
          </cell>
          <cell r="CX26" t="str">
            <v>CARTON AP</v>
          </cell>
          <cell r="CY26" t="str">
            <v>CARTON AP</v>
          </cell>
          <cell r="CZ26" t="str">
            <v>CARTON AP</v>
          </cell>
          <cell r="DA26" t="str">
            <v>CARTON AP</v>
          </cell>
          <cell r="DB26" t="str">
            <v>HS CARTON 8H30-12H / 13H-16H30</v>
          </cell>
          <cell r="DC26" t="str">
            <v>REPOS</v>
          </cell>
          <cell r="DD26" t="str">
            <v>CARTON AP</v>
          </cell>
          <cell r="DE26" t="str">
            <v>Congés</v>
          </cell>
          <cell r="DF26" t="str">
            <v>Congés</v>
          </cell>
          <cell r="DG26" t="str">
            <v>Congés</v>
          </cell>
          <cell r="DH26" t="str">
            <v>Congés</v>
          </cell>
          <cell r="DI26" t="str">
            <v>REPOS</v>
          </cell>
          <cell r="DJ26" t="str">
            <v>REPOS</v>
          </cell>
          <cell r="DK26" t="str">
            <v>CARTON AP</v>
          </cell>
          <cell r="DL26" t="str">
            <v>CARTON AP</v>
          </cell>
          <cell r="DM26" t="str">
            <v>CARTON AP</v>
          </cell>
          <cell r="DN26" t="str">
            <v>CARTON AP</v>
          </cell>
          <cell r="DO26" t="str">
            <v>CARTON AP</v>
          </cell>
          <cell r="DP26" t="str">
            <v>REPOS</v>
          </cell>
          <cell r="DQ26" t="str">
            <v>REPOS</v>
          </cell>
          <cell r="DR26" t="str">
            <v>CARTON AP</v>
          </cell>
          <cell r="DS26" t="str">
            <v>CARTON AP</v>
          </cell>
          <cell r="DT26" t="str">
            <v>CARTON AP</v>
          </cell>
          <cell r="DU26" t="str">
            <v>CARTON AP</v>
          </cell>
          <cell r="DV26" t="str">
            <v>CARTON AP</v>
          </cell>
          <cell r="DW26" t="str">
            <v>HS NICE EST</v>
          </cell>
          <cell r="DX26" t="str">
            <v>REPOS</v>
          </cell>
          <cell r="DY26" t="str">
            <v>REPOS</v>
          </cell>
          <cell r="DZ26" t="str">
            <v>REPOS</v>
          </cell>
          <cell r="EA26" t="str">
            <v>CARTON AP</v>
          </cell>
          <cell r="EB26" t="str">
            <v>CARTON AP</v>
          </cell>
          <cell r="EC26" t="str">
            <v>CARTON AP</v>
          </cell>
          <cell r="ED26" t="str">
            <v>CARTON 8H30-12H / 13H-16H30</v>
          </cell>
          <cell r="EE26" t="str">
            <v>REPOS</v>
          </cell>
          <cell r="EF26" t="str">
            <v>CARTON AP</v>
          </cell>
          <cell r="EG26" t="str">
            <v>REPOS</v>
          </cell>
          <cell r="EH26" t="str">
            <v>CARTON AP</v>
          </cell>
          <cell r="EI26" t="str">
            <v>REPOS</v>
          </cell>
          <cell r="EJ26" t="str">
            <v>CARTON AP</v>
          </cell>
          <cell r="EK26" t="str">
            <v>REPOS</v>
          </cell>
          <cell r="EL26" t="str">
            <v>NICE EST DIM</v>
          </cell>
          <cell r="EM26" t="str">
            <v>CARTON AP</v>
          </cell>
          <cell r="EN26" t="str">
            <v>CARTON AP</v>
          </cell>
          <cell r="EO26" t="str">
            <v>CARTON AP</v>
          </cell>
          <cell r="EP26" t="str">
            <v>CARTON AP</v>
          </cell>
          <cell r="EQ26" t="str">
            <v>CARTON AP</v>
          </cell>
          <cell r="ER26" t="str">
            <v>REPOS</v>
          </cell>
          <cell r="ES26" t="str">
            <v>NICE EST DIM</v>
          </cell>
          <cell r="ET26" t="str">
            <v>RTT</v>
          </cell>
          <cell r="EU26" t="str">
            <v>CARTON AP</v>
          </cell>
          <cell r="EV26" t="str">
            <v>CARTON AP</v>
          </cell>
          <cell r="EW26" t="str">
            <v>FORMATION MATIN - RECUP CREDIT | 08:00-12:00</v>
          </cell>
          <cell r="EX26" t="str">
            <v>CARTON AP</v>
          </cell>
          <cell r="EY26" t="str">
            <v>REPOS</v>
          </cell>
          <cell r="EZ26" t="str">
            <v>REPOS</v>
          </cell>
          <cell r="FA26" t="str">
            <v>Congés</v>
          </cell>
          <cell r="FB26" t="str">
            <v>Congés</v>
          </cell>
          <cell r="FC26" t="str">
            <v>Congés</v>
          </cell>
          <cell r="FD26" t="str">
            <v>Congés</v>
          </cell>
          <cell r="FE26" t="str">
            <v>Congés</v>
          </cell>
          <cell r="FF26" t="str">
            <v>HS NICE EST</v>
          </cell>
          <cell r="FG26" t="str">
            <v>REPOS</v>
          </cell>
          <cell r="FH26" t="str">
            <v>REPOS</v>
          </cell>
          <cell r="FI26" t="str">
            <v>CARTON AP</v>
          </cell>
          <cell r="FJ26" t="str">
            <v>CARTON AP</v>
          </cell>
          <cell r="FK26" t="str">
            <v>CARTON AP</v>
          </cell>
          <cell r="FL26" t="str">
            <v>CARTON AP</v>
          </cell>
          <cell r="FM26" t="str">
            <v>CARTON 8H30-12H / 13H-16H30</v>
          </cell>
          <cell r="FN26" t="str">
            <v>REPOS</v>
          </cell>
          <cell r="FO26" t="str">
            <v>CARTON AP</v>
          </cell>
          <cell r="FP26" t="str">
            <v>CARTON AP</v>
          </cell>
          <cell r="FQ26" t="str">
            <v>CARTON AP</v>
          </cell>
          <cell r="FR26" t="str">
            <v>CARTON AP</v>
          </cell>
          <cell r="FS26" t="str">
            <v>CARTON AP</v>
          </cell>
          <cell r="FT26" t="str">
            <v>REPOS</v>
          </cell>
          <cell r="FU26" t="str">
            <v>REPOS</v>
          </cell>
          <cell r="FV26" t="str">
            <v>CARTON AP</v>
          </cell>
          <cell r="FW26" t="str">
            <v>CARTON AP</v>
          </cell>
          <cell r="FX26" t="str">
            <v>CARTON AP</v>
          </cell>
          <cell r="FY26" t="str">
            <v>CARTON AP</v>
          </cell>
          <cell r="FZ26" t="str">
            <v>CARTON AP</v>
          </cell>
          <cell r="GA26" t="str">
            <v>REPOS</v>
          </cell>
          <cell r="GB26" t="str">
            <v>REPOS</v>
          </cell>
          <cell r="GC26" t="str">
            <v>CARTON AP</v>
          </cell>
          <cell r="GD26" t="str">
            <v>CARTON AP</v>
          </cell>
          <cell r="GE26" t="str">
            <v>CARTON AP</v>
          </cell>
          <cell r="GF26" t="str">
            <v>CARTON AP</v>
          </cell>
          <cell r="GG26" t="str">
            <v>CARTON AP</v>
          </cell>
          <cell r="GH26" t="str">
            <v>REPOS</v>
          </cell>
          <cell r="GI26" t="str">
            <v>REPOS</v>
          </cell>
          <cell r="GW26" t="str">
            <v>REPOS</v>
          </cell>
          <cell r="GX26" t="str">
            <v>Congés</v>
          </cell>
          <cell r="GY26" t="str">
            <v>Congés</v>
          </cell>
          <cell r="GZ26" t="str">
            <v>Congés</v>
          </cell>
          <cell r="HA26" t="str">
            <v>Congés</v>
          </cell>
          <cell r="HB26" t="str">
            <v>Congés</v>
          </cell>
          <cell r="HC26" t="str">
            <v>REPOS</v>
          </cell>
          <cell r="HD26" t="str">
            <v>REPOS</v>
          </cell>
          <cell r="HE26" t="str">
            <v>Congés</v>
          </cell>
          <cell r="HF26" t="str">
            <v>Congés</v>
          </cell>
          <cell r="HG26" t="str">
            <v>Congés</v>
          </cell>
          <cell r="HH26" t="str">
            <v>Congés</v>
          </cell>
          <cell r="HI26" t="str">
            <v>Congés</v>
          </cell>
          <cell r="HJ26" t="str">
            <v>REPOS</v>
          </cell>
          <cell r="HK26" t="str">
            <v>REPOS</v>
          </cell>
          <cell r="HL26" t="str">
            <v>Congés</v>
          </cell>
          <cell r="HM26" t="str">
            <v>Congés</v>
          </cell>
          <cell r="HN26" t="str">
            <v>Congés</v>
          </cell>
          <cell r="HO26" t="str">
            <v>Congés</v>
          </cell>
          <cell r="HP26" t="str">
            <v>Congés</v>
          </cell>
          <cell r="HQ26" t="str">
            <v>REPOS</v>
          </cell>
          <cell r="HR26" t="str">
            <v>REPOS</v>
          </cell>
        </row>
        <row r="27">
          <cell r="J27" t="str">
            <v>ABSENT</v>
          </cell>
          <cell r="K27" t="str">
            <v>CARTON AP</v>
          </cell>
          <cell r="L27" t="str">
            <v>CARTON AP</v>
          </cell>
          <cell r="M27" t="str">
            <v>Maladie</v>
          </cell>
          <cell r="N27" t="str">
            <v>Maladie</v>
          </cell>
          <cell r="O27" t="str">
            <v>Maladie</v>
          </cell>
          <cell r="P27" t="str">
            <v>Maladie</v>
          </cell>
          <cell r="Q27" t="str">
            <v>CARTON AP</v>
          </cell>
          <cell r="R27" t="str">
            <v>CARTON AP</v>
          </cell>
          <cell r="S27" t="str">
            <v>CARTON AP</v>
          </cell>
          <cell r="T27" t="str">
            <v>CARTON AP</v>
          </cell>
          <cell r="U27" t="str">
            <v>CARTON AP</v>
          </cell>
          <cell r="V27" t="str">
            <v>REPOS</v>
          </cell>
          <cell r="W27" t="str">
            <v>REPOS</v>
          </cell>
          <cell r="X27" t="str">
            <v>REPOS</v>
          </cell>
          <cell r="Y27" t="str">
            <v>CARTON AP</v>
          </cell>
          <cell r="Z27" t="str">
            <v>CARTON AP</v>
          </cell>
          <cell r="AA27" t="str">
            <v>CARTON AP</v>
          </cell>
          <cell r="AB27" t="str">
            <v>CARTON AP</v>
          </cell>
          <cell r="AC27" t="str">
            <v>CARTON 8H30-12H / 13H-16H30</v>
          </cell>
          <cell r="AD27" t="str">
            <v>REPOS</v>
          </cell>
          <cell r="AE27" t="str">
            <v>CARTON AP</v>
          </cell>
          <cell r="AF27" t="str">
            <v>CARTON AP</v>
          </cell>
          <cell r="AG27" t="str">
            <v>CARTON AP</v>
          </cell>
          <cell r="AH27" t="str">
            <v>CARTON AP</v>
          </cell>
          <cell r="AI27" t="str">
            <v>CARTON AP</v>
          </cell>
          <cell r="AJ27" t="str">
            <v>REPOS</v>
          </cell>
          <cell r="AK27" t="str">
            <v>REPOS</v>
          </cell>
          <cell r="AL27" t="str">
            <v>CARTON AP</v>
          </cell>
          <cell r="AM27" t="str">
            <v>CARTON AP</v>
          </cell>
          <cell r="AN27" t="str">
            <v>CARTON AP</v>
          </cell>
          <cell r="AO27" t="str">
            <v>CARTON AP</v>
          </cell>
          <cell r="AP27" t="str">
            <v>CARTON AP</v>
          </cell>
          <cell r="AQ27" t="str">
            <v>REPOS</v>
          </cell>
          <cell r="AR27" t="str">
            <v>REPOS</v>
          </cell>
          <cell r="AS27" t="str">
            <v>CARTON AP</v>
          </cell>
          <cell r="AT27" t="str">
            <v>CARTON AP</v>
          </cell>
          <cell r="AU27" t="str">
            <v>CARTON AP</v>
          </cell>
          <cell r="AV27" t="str">
            <v>CARTON AP</v>
          </cell>
          <cell r="AW27" t="str">
            <v>CARTON AP</v>
          </cell>
          <cell r="AX27" t="str">
            <v>HS NICE EST</v>
          </cell>
          <cell r="AY27" t="str">
            <v>REPOS</v>
          </cell>
          <cell r="AZ27" t="str">
            <v>REPOS</v>
          </cell>
          <cell r="BA27" t="str">
            <v>CARTON AP</v>
          </cell>
          <cell r="BB27" t="str">
            <v>CARTON AP</v>
          </cell>
          <cell r="BC27" t="str">
            <v>CARTON AP</v>
          </cell>
          <cell r="BD27" t="str">
            <v>CARTON AP</v>
          </cell>
          <cell r="BE27" t="str">
            <v>CARTON 8H30-12H / 13H-16H30</v>
          </cell>
          <cell r="BF27" t="str">
            <v>REPOS</v>
          </cell>
          <cell r="BG27" t="str">
            <v>CARTON AP</v>
          </cell>
          <cell r="BH27" t="str">
            <v>CARTON AP</v>
          </cell>
          <cell r="BI27" t="str">
            <v>CARTON AP</v>
          </cell>
          <cell r="BJ27" t="str">
            <v>CARTON AP</v>
          </cell>
          <cell r="BK27" t="str">
            <v>CARTON AP</v>
          </cell>
          <cell r="BL27" t="str">
            <v>HS presta. Except | 11:00-18:00</v>
          </cell>
          <cell r="BM27" t="str">
            <v>REPOS</v>
          </cell>
          <cell r="BN27" t="str">
            <v>CARTON AP</v>
          </cell>
          <cell r="BO27" t="str">
            <v>CARTON AP</v>
          </cell>
          <cell r="BP27" t="str">
            <v>CARTON AP</v>
          </cell>
          <cell r="BQ27" t="str">
            <v>Congés</v>
          </cell>
          <cell r="BR27" t="str">
            <v>CARTON AP</v>
          </cell>
          <cell r="BS27" t="str">
            <v>HS NICE EST</v>
          </cell>
          <cell r="BT27" t="str">
            <v>REPOS</v>
          </cell>
          <cell r="BU27" t="str">
            <v>CARTON AP</v>
          </cell>
          <cell r="BV27" t="str">
            <v>CARTON AP</v>
          </cell>
          <cell r="BW27" t="str">
            <v>CARTON AP</v>
          </cell>
          <cell r="BX27" t="str">
            <v>CARTON AP</v>
          </cell>
          <cell r="BY27" t="str">
            <v>CARTON AP</v>
          </cell>
          <cell r="BZ27" t="str">
            <v>REPOS</v>
          </cell>
          <cell r="CA27" t="str">
            <v>HS presta. Except | 07:30-16:30</v>
          </cell>
          <cell r="CB27" t="str">
            <v>REPOS</v>
          </cell>
          <cell r="CC27" t="str">
            <v>Congés</v>
          </cell>
          <cell r="CD27" t="str">
            <v>Congés</v>
          </cell>
          <cell r="CE27" t="str">
            <v>Congés</v>
          </cell>
          <cell r="CF27" t="str">
            <v>CARTON AP</v>
          </cell>
          <cell r="CG27" t="str">
            <v>NICE OUEST</v>
          </cell>
          <cell r="CH27" t="str">
            <v>REPOS</v>
          </cell>
          <cell r="CI27" t="str">
            <v>CARTON AP</v>
          </cell>
          <cell r="CJ27" t="str">
            <v>CARTON AP</v>
          </cell>
          <cell r="CK27" t="str">
            <v>CARTON AP</v>
          </cell>
          <cell r="CL27" t="str">
            <v>CARTON AP</v>
          </cell>
          <cell r="CM27" t="str">
            <v>CARTON AP</v>
          </cell>
          <cell r="CN27" t="str">
            <v>REPOS</v>
          </cell>
          <cell r="CO27" t="str">
            <v>REPOS</v>
          </cell>
          <cell r="CP27" t="str">
            <v>CARTON AP</v>
          </cell>
          <cell r="CQ27" t="str">
            <v>CARTON AP</v>
          </cell>
          <cell r="CR27" t="str">
            <v>CARTON AP</v>
          </cell>
          <cell r="CS27" t="str">
            <v>CARTON AP</v>
          </cell>
          <cell r="CT27" t="str">
            <v>CARTON AP</v>
          </cell>
          <cell r="CU27" t="str">
            <v>HS NICE OUEST</v>
          </cell>
          <cell r="CV27" t="str">
            <v>REPOS</v>
          </cell>
          <cell r="CW27" t="str">
            <v>REPOS</v>
          </cell>
          <cell r="CX27" t="str">
            <v>Maladie</v>
          </cell>
          <cell r="CY27" t="str">
            <v>Maladie</v>
          </cell>
          <cell r="CZ27" t="str">
            <v>Maladie</v>
          </cell>
          <cell r="DA27" t="str">
            <v>Maladie</v>
          </cell>
          <cell r="DB27" t="str">
            <v>Maladie</v>
          </cell>
          <cell r="DC27" t="str">
            <v>Maladie</v>
          </cell>
          <cell r="DD27" t="str">
            <v>Maladie</v>
          </cell>
          <cell r="DE27" t="str">
            <v>CARTON AP</v>
          </cell>
          <cell r="DF27" t="str">
            <v>CARTON AP</v>
          </cell>
          <cell r="DG27" t="str">
            <v>CARTON AP</v>
          </cell>
          <cell r="DH27" t="str">
            <v>CARTON AP</v>
          </cell>
          <cell r="DI27" t="str">
            <v>REPOS</v>
          </cell>
          <cell r="DJ27" t="str">
            <v>NICE NORD DIM</v>
          </cell>
          <cell r="DK27" t="str">
            <v>REPOS</v>
          </cell>
          <cell r="DL27" t="str">
            <v>CARTON AP</v>
          </cell>
          <cell r="DM27" t="str">
            <v>CARTON AP</v>
          </cell>
          <cell r="DN27" t="str">
            <v>CARTON AP</v>
          </cell>
          <cell r="DO27" t="str">
            <v>CARTON AP</v>
          </cell>
          <cell r="DP27" t="str">
            <v>CARTON 8H30-12H / 13H-16H30</v>
          </cell>
          <cell r="DQ27" t="str">
            <v>REPOS</v>
          </cell>
          <cell r="DR27" t="str">
            <v>CARTON AP</v>
          </cell>
          <cell r="DS27" t="str">
            <v>CARTON AP</v>
          </cell>
          <cell r="DT27" t="str">
            <v>Congés</v>
          </cell>
          <cell r="DU27" t="str">
            <v>Congés</v>
          </cell>
          <cell r="DV27" t="str">
            <v>Congés</v>
          </cell>
          <cell r="DW27" t="str">
            <v>REPOS</v>
          </cell>
          <cell r="DX27" t="str">
            <v>V.N Matin DIM</v>
          </cell>
          <cell r="DY27" t="str">
            <v>CARTON AP</v>
          </cell>
          <cell r="DZ27" t="str">
            <v>REPOS</v>
          </cell>
          <cell r="EA27" t="str">
            <v>CARTON AP</v>
          </cell>
          <cell r="EB27" t="str">
            <v>CARTON AP</v>
          </cell>
          <cell r="EC27" t="str">
            <v>CARTON AP</v>
          </cell>
          <cell r="ED27" t="str">
            <v>REPOS</v>
          </cell>
          <cell r="EE27" t="str">
            <v>REPOS</v>
          </cell>
          <cell r="EF27" t="str">
            <v>Congés</v>
          </cell>
          <cell r="EG27" t="str">
            <v>REPOS</v>
          </cell>
          <cell r="EH27" t="str">
            <v>CARTON AP</v>
          </cell>
          <cell r="EI27" t="str">
            <v>REPOS</v>
          </cell>
          <cell r="EJ27" t="str">
            <v>CARTON AP</v>
          </cell>
          <cell r="EK27" t="str">
            <v>HS CARTON 8H30-12H / 13H-16H30</v>
          </cell>
          <cell r="EL27" t="str">
            <v>REPOS</v>
          </cell>
          <cell r="EM27" t="str">
            <v>REPOS</v>
          </cell>
          <cell r="EN27" t="str">
            <v>CARTON AP</v>
          </cell>
          <cell r="EO27" t="str">
            <v>CARTON AP</v>
          </cell>
          <cell r="EP27" t="str">
            <v>CARTON AP</v>
          </cell>
          <cell r="EQ27" t="str">
            <v>CARTON AP</v>
          </cell>
          <cell r="ER27" t="str">
            <v>CARTON 8H30-12H / 13H-16H30</v>
          </cell>
          <cell r="ES27" t="str">
            <v>REPOS</v>
          </cell>
          <cell r="ET27" t="str">
            <v>REPOS</v>
          </cell>
          <cell r="EU27" t="str">
            <v>CARTON AP</v>
          </cell>
          <cell r="EV27" t="str">
            <v>CARTON AP</v>
          </cell>
          <cell r="EW27" t="str">
            <v>CARTON AP</v>
          </cell>
          <cell r="EX27" t="str">
            <v>CARTON AP</v>
          </cell>
          <cell r="EY27" t="str">
            <v>CARTON 8H30-12H / 13H-16H30</v>
          </cell>
          <cell r="EZ27" t="str">
            <v>REPOS</v>
          </cell>
          <cell r="FA27" t="str">
            <v>CARTON AP</v>
          </cell>
          <cell r="FB27" t="str">
            <v>CARTON AP</v>
          </cell>
          <cell r="FC27" t="str">
            <v>CARTON AP</v>
          </cell>
          <cell r="FD27" t="str">
            <v>CARTON AP</v>
          </cell>
          <cell r="FE27" t="str">
            <v>CARTON AP</v>
          </cell>
          <cell r="FF27" t="str">
            <v>HS NICE OUEST</v>
          </cell>
          <cell r="FG27" t="str">
            <v>REPOS</v>
          </cell>
          <cell r="FH27" t="str">
            <v>CARTON AP</v>
          </cell>
          <cell r="FI27" t="str">
            <v>CARTON AP</v>
          </cell>
          <cell r="FJ27" t="str">
            <v>CARTON AP</v>
          </cell>
          <cell r="FK27" t="str">
            <v>CARTON AP</v>
          </cell>
          <cell r="FL27" t="str">
            <v>CARTON AP</v>
          </cell>
          <cell r="FM27" t="str">
            <v>REPOS</v>
          </cell>
          <cell r="FN27" t="str">
            <v>REPOS</v>
          </cell>
          <cell r="FO27" t="str">
            <v>CARTON AP</v>
          </cell>
          <cell r="FP27" t="str">
            <v>CARTON AP</v>
          </cell>
          <cell r="FQ27" t="str">
            <v>CARTON AP</v>
          </cell>
          <cell r="FR27" t="str">
            <v>CARTON AP</v>
          </cell>
          <cell r="FS27" t="str">
            <v>CARTON AP</v>
          </cell>
          <cell r="FT27" t="str">
            <v>REPOS</v>
          </cell>
          <cell r="FU27" t="str">
            <v>REPOS</v>
          </cell>
          <cell r="FV27" t="str">
            <v>CARTON AP</v>
          </cell>
          <cell r="FW27" t="str">
            <v>CARTON AP</v>
          </cell>
          <cell r="FX27" t="str">
            <v>CARTON AP</v>
          </cell>
          <cell r="FY27" t="str">
            <v>CARTON AP</v>
          </cell>
          <cell r="FZ27" t="str">
            <v>CARTON AP</v>
          </cell>
          <cell r="GA27" t="str">
            <v>REPOS</v>
          </cell>
          <cell r="GB27" t="str">
            <v>REPOS</v>
          </cell>
          <cell r="GC27" t="str">
            <v>CARTON AP</v>
          </cell>
          <cell r="GD27" t="str">
            <v>CARTON AP</v>
          </cell>
          <cell r="GE27" t="str">
            <v>CARTON AP</v>
          </cell>
          <cell r="GF27" t="str">
            <v>CARTON AP</v>
          </cell>
          <cell r="GG27" t="str">
            <v>CARTON AP</v>
          </cell>
          <cell r="GH27" t="str">
            <v>REPOS</v>
          </cell>
          <cell r="GI27" t="str">
            <v>REPOS</v>
          </cell>
          <cell r="HZ27" t="str">
            <v>Congés</v>
          </cell>
          <cell r="IA27" t="str">
            <v>Congés</v>
          </cell>
          <cell r="IB27" t="str">
            <v>REPOS</v>
          </cell>
          <cell r="IC27" t="str">
            <v>Congés</v>
          </cell>
          <cell r="ID27" t="str">
            <v>Congés</v>
          </cell>
          <cell r="IE27" t="str">
            <v>REPOS</v>
          </cell>
          <cell r="IF27" t="str">
            <v>REPOS</v>
          </cell>
          <cell r="IG27" t="str">
            <v>Congés</v>
          </cell>
          <cell r="IH27" t="str">
            <v>Congés</v>
          </cell>
          <cell r="II27" t="str">
            <v>Congés</v>
          </cell>
          <cell r="IJ27" t="str">
            <v>Congés</v>
          </cell>
          <cell r="IK27" t="str">
            <v>Congés</v>
          </cell>
          <cell r="IL27" t="str">
            <v>REPOS</v>
          </cell>
          <cell r="IM27" t="str">
            <v>REPOS</v>
          </cell>
        </row>
        <row r="28">
          <cell r="J28" t="str">
            <v>REPOS</v>
          </cell>
          <cell r="K28" t="str">
            <v>ENC NUIT 20H30-02H30</v>
          </cell>
          <cell r="L28" t="str">
            <v>ENC NUIT 20H30-02H30</v>
          </cell>
          <cell r="M28" t="str">
            <v>ENC NUIT 20H30-02H30</v>
          </cell>
          <cell r="N28" t="str">
            <v>Maladie</v>
          </cell>
          <cell r="O28" t="str">
            <v>Maladie</v>
          </cell>
          <cell r="P28" t="str">
            <v>Maladie</v>
          </cell>
          <cell r="Q28" t="str">
            <v>ENC NUIT 20H30-02H30</v>
          </cell>
          <cell r="R28" t="str">
            <v>ENC NUIT 20H30-02H30</v>
          </cell>
          <cell r="S28" t="str">
            <v>ENC NUIT 20H30-02H30</v>
          </cell>
          <cell r="T28" t="str">
            <v>ENC NUIT 20H30-02H30</v>
          </cell>
          <cell r="U28" t="str">
            <v>ENC NUIT 20H30-02H30</v>
          </cell>
          <cell r="V28" t="str">
            <v>REPOS</v>
          </cell>
          <cell r="W28" t="str">
            <v>REPOS</v>
          </cell>
          <cell r="X28" t="str">
            <v>ENC NUIT 20H30-02H30</v>
          </cell>
          <cell r="Y28" t="str">
            <v>ENC NUIT 20H30-02H30</v>
          </cell>
          <cell r="Z28" t="str">
            <v>ENC NUIT 20H30-02H30</v>
          </cell>
          <cell r="AA28" t="str">
            <v>Congés</v>
          </cell>
          <cell r="AB28" t="str">
            <v>ENC NUIT 20H30-02H30</v>
          </cell>
          <cell r="AC28" t="str">
            <v>REPOS</v>
          </cell>
          <cell r="AD28" t="str">
            <v>REPOS</v>
          </cell>
          <cell r="AE28" t="str">
            <v>ENC NUIT 20H30-03H30</v>
          </cell>
          <cell r="AF28" t="str">
            <v>ENC NUIT 20H30-03H30</v>
          </cell>
          <cell r="AG28" t="str">
            <v>ENC NUIT 20H30-03H30</v>
          </cell>
          <cell r="AH28" t="str">
            <v>ENC NUIT 20H30-03H30</v>
          </cell>
          <cell r="AI28" t="str">
            <v>ENC NUIT 20H30-03H30</v>
          </cell>
          <cell r="AJ28" t="str">
            <v>REPOS</v>
          </cell>
          <cell r="AK28" t="str">
            <v>REPOS</v>
          </cell>
          <cell r="AL28" t="str">
            <v>ENC NUIT 20H30-03H30</v>
          </cell>
          <cell r="AM28" t="str">
            <v>ENC NUIT 20H30-03H30</v>
          </cell>
          <cell r="AN28" t="str">
            <v>ENC NUIT 20H30-03H30</v>
          </cell>
          <cell r="AO28" t="str">
            <v>ENC NUIT 20H30-03H30</v>
          </cell>
          <cell r="AP28" t="str">
            <v>ENC NUIT 20H30-03H30</v>
          </cell>
          <cell r="AQ28" t="str">
            <v>REPOS</v>
          </cell>
          <cell r="AR28" t="str">
            <v>REPOS</v>
          </cell>
          <cell r="AS28" t="str">
            <v>ENC MATIN 5H-12H</v>
          </cell>
          <cell r="AT28" t="str">
            <v>ENC MATIN 5H-12H</v>
          </cell>
          <cell r="AU28" t="str">
            <v>ENC MATIN 5H-12H</v>
          </cell>
          <cell r="AV28" t="str">
            <v>REPOS</v>
          </cell>
          <cell r="AW28" t="str">
            <v>ENC MATIN 5H-12H</v>
          </cell>
          <cell r="AX28" t="str">
            <v>NICE EST</v>
          </cell>
          <cell r="AY28" t="str">
            <v>REPOS</v>
          </cell>
          <cell r="AZ28" t="str">
            <v>ENC NUIT 20H30-03H30</v>
          </cell>
          <cell r="BA28" t="str">
            <v>ENC NUIT 20H30-03H30</v>
          </cell>
          <cell r="BB28" t="str">
            <v>ABSENT</v>
          </cell>
          <cell r="BC28" t="str">
            <v>ABSENT</v>
          </cell>
          <cell r="BD28" t="str">
            <v>ABSENT</v>
          </cell>
          <cell r="BE28" t="str">
            <v>ABSENT</v>
          </cell>
          <cell r="BF28" t="str">
            <v>ABSENT</v>
          </cell>
          <cell r="BG28" t="str">
            <v>ENC NUIT 20H30-03H30</v>
          </cell>
          <cell r="BH28" t="str">
            <v>FORMATION</v>
          </cell>
          <cell r="BI28" t="str">
            <v>ENC NUIT 20H30-02H30</v>
          </cell>
          <cell r="BJ28" t="str">
            <v>ENC NUIT 20H30-02H30</v>
          </cell>
          <cell r="BK28" t="str">
            <v>ENC NUIT 20H30-02H30</v>
          </cell>
          <cell r="BL28" t="str">
            <v>REPOS</v>
          </cell>
          <cell r="BM28" t="str">
            <v>REPOS</v>
          </cell>
          <cell r="BN28" t="str">
            <v>ENC NUIT 20H30-02H30</v>
          </cell>
          <cell r="BO28" t="str">
            <v>FORMATION</v>
          </cell>
          <cell r="BP28" t="str">
            <v>ENC NUIT 20H30-02H30</v>
          </cell>
        </row>
        <row r="29">
          <cell r="J29" t="str">
            <v>REPOS</v>
          </cell>
          <cell r="K29" t="str">
            <v>Congés</v>
          </cell>
          <cell r="L29" t="str">
            <v>Congés</v>
          </cell>
          <cell r="M29" t="str">
            <v>Congés</v>
          </cell>
          <cell r="N29" t="str">
            <v>Congés</v>
          </cell>
          <cell r="O29" t="str">
            <v>REPOS</v>
          </cell>
          <cell r="P29" t="str">
            <v>REPOS</v>
          </cell>
          <cell r="Q29" t="str">
            <v>ENC AM 12H30-19H30</v>
          </cell>
          <cell r="R29" t="str">
            <v>ENC AM 12H30-19H30</v>
          </cell>
          <cell r="S29" t="str">
            <v>NICE EST</v>
          </cell>
          <cell r="T29" t="str">
            <v>NICE EST</v>
          </cell>
          <cell r="U29" t="str">
            <v>NICE EST</v>
          </cell>
          <cell r="V29" t="str">
            <v>HS NICE EST</v>
          </cell>
          <cell r="W29" t="str">
            <v>REPOS</v>
          </cell>
          <cell r="X29" t="str">
            <v>ENC AM 12H30-19H30</v>
          </cell>
          <cell r="Y29" t="str">
            <v>ENC AM 12H30-19H30</v>
          </cell>
          <cell r="Z29" t="str">
            <v>ENC AM 12H30-19H30</v>
          </cell>
          <cell r="AA29" t="str">
            <v>ENC AM 12H30-19H30</v>
          </cell>
          <cell r="AB29" t="str">
            <v>ENC AM 12H30-19H30</v>
          </cell>
          <cell r="AC29" t="str">
            <v>HS NICE EST</v>
          </cell>
          <cell r="AD29" t="str">
            <v>REPOS</v>
          </cell>
          <cell r="AE29" t="str">
            <v>ENC AM 12H30-19H30</v>
          </cell>
          <cell r="AF29" t="str">
            <v>Congés</v>
          </cell>
          <cell r="AG29" t="str">
            <v>Congés</v>
          </cell>
          <cell r="AH29" t="str">
            <v>Congés</v>
          </cell>
          <cell r="AI29" t="str">
            <v>Congés</v>
          </cell>
          <cell r="AJ29" t="str">
            <v>REPOS</v>
          </cell>
          <cell r="AK29" t="str">
            <v>REPOS</v>
          </cell>
        </row>
        <row r="30">
          <cell r="J30" t="str">
            <v>REPOS</v>
          </cell>
          <cell r="K30" t="str">
            <v>ENC NUIT 20H30-02H30</v>
          </cell>
          <cell r="L30" t="str">
            <v>ENC NUIT 20H30-02H30</v>
          </cell>
          <cell r="M30" t="str">
            <v>ENC NUIT 20H30-02H30</v>
          </cell>
          <cell r="N30" t="str">
            <v>ENC NUIT 20H30-02H30</v>
          </cell>
          <cell r="O30" t="str">
            <v>REPOS</v>
          </cell>
          <cell r="P30" t="str">
            <v>NICE OUEST DIM</v>
          </cell>
          <cell r="Q30" t="str">
            <v>ENC NUIT 20H30-02H30</v>
          </cell>
          <cell r="R30" t="str">
            <v>ENC NUIT 20H30-02H30</v>
          </cell>
          <cell r="S30" t="str">
            <v>ENC NUIT 20H30-02H30</v>
          </cell>
          <cell r="T30" t="str">
            <v>ENC NUIT 20H30-02H30</v>
          </cell>
          <cell r="U30" t="str">
            <v>ENC NUIT 20H30-02H30</v>
          </cell>
          <cell r="V30" t="str">
            <v>REPOS</v>
          </cell>
          <cell r="W30" t="str">
            <v>REPOS</v>
          </cell>
          <cell r="X30" t="str">
            <v>ENC MATIN 5H-12H</v>
          </cell>
          <cell r="Y30" t="str">
            <v>ENC MATIN 5H-12H</v>
          </cell>
          <cell r="Z30" t="str">
            <v>ENC MATIN 5H-12H</v>
          </cell>
          <cell r="AA30" t="str">
            <v>Congés</v>
          </cell>
          <cell r="AB30" t="str">
            <v>ENC MATIN 5H-12H</v>
          </cell>
          <cell r="AC30" t="str">
            <v>REPOS</v>
          </cell>
          <cell r="AD30" t="str">
            <v>REPOS</v>
          </cell>
          <cell r="AE30" t="str">
            <v>ENC MATIN 5H-12H</v>
          </cell>
          <cell r="AF30" t="str">
            <v>ENC MATIN 5H-12H</v>
          </cell>
          <cell r="AG30" t="str">
            <v>REPOS</v>
          </cell>
          <cell r="AH30" t="str">
            <v>ENC MATIN 5H-12H</v>
          </cell>
          <cell r="AI30" t="str">
            <v>ENC MATIN 5H-12H</v>
          </cell>
          <cell r="AJ30" t="str">
            <v>NICE OUEST</v>
          </cell>
          <cell r="AK30" t="str">
            <v>REPOS</v>
          </cell>
          <cell r="AL30" t="str">
            <v>ENC NUIT 20H30-03H30</v>
          </cell>
          <cell r="AM30" t="str">
            <v>ENC NUIT 20H30-03H30</v>
          </cell>
          <cell r="AN30" t="str">
            <v>ENC NUIT 20H30-03H30</v>
          </cell>
          <cell r="AO30" t="str">
            <v>ENC NUIT 20H30-03H30</v>
          </cell>
          <cell r="AP30" t="str">
            <v>ENC NUIT 20H30-03H30</v>
          </cell>
          <cell r="AQ30" t="str">
            <v>REPOS</v>
          </cell>
          <cell r="AR30" t="str">
            <v>NICE EST DIM</v>
          </cell>
          <cell r="AS30" t="str">
            <v>Congés</v>
          </cell>
          <cell r="AT30" t="str">
            <v>Congés</v>
          </cell>
          <cell r="AU30" t="str">
            <v>Congés</v>
          </cell>
          <cell r="AV30" t="str">
            <v>Congés</v>
          </cell>
          <cell r="AW30" t="str">
            <v>Congés</v>
          </cell>
          <cell r="AX30" t="str">
            <v>REPOS</v>
          </cell>
          <cell r="AY30" t="str">
            <v>REPOS</v>
          </cell>
          <cell r="AZ30" t="str">
            <v>Congés</v>
          </cell>
          <cell r="BA30" t="str">
            <v>Congés</v>
          </cell>
          <cell r="BB30" t="str">
            <v>Congés</v>
          </cell>
          <cell r="BC30" t="str">
            <v>Congés</v>
          </cell>
          <cell r="BD30" t="str">
            <v>Congés</v>
          </cell>
          <cell r="BE30" t="str">
            <v>REPOS</v>
          </cell>
          <cell r="BF30" t="str">
            <v>REPOS</v>
          </cell>
          <cell r="BG30" t="str">
            <v>Congés</v>
          </cell>
          <cell r="BH30" t="str">
            <v>Congés</v>
          </cell>
          <cell r="BI30" t="str">
            <v>Congés</v>
          </cell>
          <cell r="BJ30" t="str">
            <v>Congés</v>
          </cell>
          <cell r="BK30" t="str">
            <v>Congés</v>
          </cell>
          <cell r="BL30" t="str">
            <v>REPOS</v>
          </cell>
          <cell r="BM30" t="str">
            <v>REPOS</v>
          </cell>
          <cell r="BN30" t="str">
            <v>ENC MATIN 5H-12H</v>
          </cell>
          <cell r="BO30" t="str">
            <v>ENC MATIN 5H-12H</v>
          </cell>
          <cell r="BP30" t="str">
            <v>ENC MATIN 5H-12H</v>
          </cell>
          <cell r="BQ30" t="str">
            <v>ENC MATIN 5H-12H</v>
          </cell>
          <cell r="BR30" t="str">
            <v>ENC MATIN 5H-12H</v>
          </cell>
          <cell r="BS30" t="str">
            <v>HS NICE NORD</v>
          </cell>
          <cell r="BT30" t="str">
            <v>REPOS</v>
          </cell>
          <cell r="BU30" t="str">
            <v>ENC NUIT 20H30-02H30</v>
          </cell>
          <cell r="BV30" t="str">
            <v>ENC NUIT 20H30-02H30</v>
          </cell>
          <cell r="BW30" t="str">
            <v>ENC NUIT 20H30-02H30</v>
          </cell>
          <cell r="BX30" t="str">
            <v>ENC NUIT 20H30-02H30</v>
          </cell>
          <cell r="BY30" t="str">
            <v>ENC NUIT 20H30-02H30</v>
          </cell>
          <cell r="BZ30" t="str">
            <v>REPOS</v>
          </cell>
          <cell r="CA30" t="str">
            <v>V.N Matin DIM</v>
          </cell>
          <cell r="CB30" t="str">
            <v>ENC MATIN 5H-12H</v>
          </cell>
          <cell r="CC30" t="str">
            <v>ENC MATIN 5H-12H</v>
          </cell>
          <cell r="CD30" t="str">
            <v>REPOS</v>
          </cell>
          <cell r="CE30" t="str">
            <v>ENC MATIN 5H-12H</v>
          </cell>
          <cell r="CF30" t="str">
            <v>ENC MATIN 5H-12H</v>
          </cell>
          <cell r="CG30" t="str">
            <v>NICE OUEST</v>
          </cell>
          <cell r="CH30" t="str">
            <v>REPOS</v>
          </cell>
          <cell r="CI30" t="str">
            <v>ENC NUIT 20H30-03H30</v>
          </cell>
          <cell r="CJ30" t="str">
            <v>ENC NUIT 20H30-03H30</v>
          </cell>
          <cell r="CK30" t="str">
            <v>ENC NUIT 20H30-03H30</v>
          </cell>
          <cell r="CL30" t="str">
            <v>ENC NUIT 20H30-03H30</v>
          </cell>
          <cell r="CM30" t="str">
            <v>ENC NUIT 20H30-03H30</v>
          </cell>
          <cell r="CN30" t="str">
            <v>REPOS</v>
          </cell>
          <cell r="CO30" t="str">
            <v>REPOS</v>
          </cell>
          <cell r="CP30" t="str">
            <v>Congés</v>
          </cell>
          <cell r="CQ30" t="str">
            <v>Congés</v>
          </cell>
          <cell r="CR30" t="str">
            <v>Congés</v>
          </cell>
          <cell r="CS30" t="str">
            <v>ENC NUIT 20H30-03H30</v>
          </cell>
          <cell r="CT30" t="str">
            <v>ENC NUIT 20H30-03H30</v>
          </cell>
          <cell r="CU30" t="str">
            <v>REPOS</v>
          </cell>
          <cell r="CV30" t="str">
            <v>HS ENC. AM</v>
          </cell>
          <cell r="CW30" t="str">
            <v>REPOS</v>
          </cell>
          <cell r="CX30" t="str">
            <v>ENC MATIN 5H-12H</v>
          </cell>
          <cell r="CY30" t="str">
            <v>NICE EST</v>
          </cell>
          <cell r="CZ30" t="str">
            <v>ENC MATIN 5H-12H</v>
          </cell>
          <cell r="DA30" t="str">
            <v>REPOS</v>
          </cell>
          <cell r="DB30" t="str">
            <v>NICE OUEST</v>
          </cell>
          <cell r="DC30" t="str">
            <v>REPOS</v>
          </cell>
          <cell r="DD30" t="str">
            <v>NICE EST</v>
          </cell>
          <cell r="DE30" t="str">
            <v>NICE EST</v>
          </cell>
          <cell r="DF30" t="str">
            <v>NICE EST</v>
          </cell>
          <cell r="DG30" t="str">
            <v>NICE EST</v>
          </cell>
          <cell r="DH30" t="str">
            <v>NICE EST</v>
          </cell>
          <cell r="DI30" t="str">
            <v>HS NICE NORD</v>
          </cell>
          <cell r="DJ30" t="str">
            <v>REPOS</v>
          </cell>
          <cell r="DK30" t="str">
            <v>NICE EST</v>
          </cell>
          <cell r="DL30" t="str">
            <v>NICE EST</v>
          </cell>
          <cell r="DM30" t="str">
            <v>B. CARTON</v>
          </cell>
          <cell r="DN30" t="str">
            <v>ENC MATIN 5H-12H</v>
          </cell>
          <cell r="DO30" t="str">
            <v>ENC MATIN 5H-12H</v>
          </cell>
          <cell r="DP30" t="str">
            <v>REPOS</v>
          </cell>
          <cell r="DQ30" t="str">
            <v>REPOS</v>
          </cell>
          <cell r="DR30" t="str">
            <v>ENC NUIT 20H30-03H30</v>
          </cell>
          <cell r="DS30" t="str">
            <v>ENC NUIT 20H30-03H30</v>
          </cell>
          <cell r="DT30" t="str">
            <v>ENC NUIT 20H30-03H30</v>
          </cell>
          <cell r="DU30" t="str">
            <v>ENC NUIT 20H30-03H30</v>
          </cell>
          <cell r="DV30" t="str">
            <v>ENC NUIT 20H30-03H30</v>
          </cell>
          <cell r="DW30" t="str">
            <v>REPOS</v>
          </cell>
          <cell r="DX30" t="str">
            <v>HS ENC AM DIM</v>
          </cell>
          <cell r="DY30" t="str">
            <v>ENC NUIT 20H30-03H30</v>
          </cell>
          <cell r="DZ30" t="str">
            <v>REPOS</v>
          </cell>
          <cell r="EA30" t="str">
            <v>ENC NUIT 20H30-03H30</v>
          </cell>
          <cell r="EB30" t="str">
            <v>ENC NUIT 20H30-03H30</v>
          </cell>
          <cell r="EC30" t="str">
            <v>ENC NUIT 20H30-03H30</v>
          </cell>
          <cell r="ED30" t="str">
            <v>REPOS</v>
          </cell>
          <cell r="EE30" t="str">
            <v>V.N Matin DIM</v>
          </cell>
          <cell r="EF30" t="str">
            <v>ENC MATIN 5H-12H</v>
          </cell>
          <cell r="EG30" t="str">
            <v>REPOS</v>
          </cell>
          <cell r="EH30" t="str">
            <v>ENC MATIN 5H-12H</v>
          </cell>
          <cell r="EI30" t="str">
            <v>REPOS</v>
          </cell>
          <cell r="EJ30" t="str">
            <v>ENC MATIN 5H-12H</v>
          </cell>
          <cell r="EK30" t="str">
            <v>HS NICE EST</v>
          </cell>
          <cell r="EL30" t="str">
            <v>REPOS</v>
          </cell>
          <cell r="EM30" t="str">
            <v>ENC MATIN 5H-12H</v>
          </cell>
          <cell r="EN30" t="str">
            <v>ENC MATIN 5H-12H</v>
          </cell>
          <cell r="EO30" t="str">
            <v>ENC MATIN 5H-12H</v>
          </cell>
          <cell r="EP30" t="str">
            <v>ENC MATIN 5H-12H</v>
          </cell>
          <cell r="EQ30" t="str">
            <v>REPOS</v>
          </cell>
          <cell r="ER30" t="str">
            <v>ENC MATIN 5H-12H</v>
          </cell>
          <cell r="ES30" t="str">
            <v>REPOS</v>
          </cell>
          <cell r="ET30" t="str">
            <v>Congés</v>
          </cell>
          <cell r="EU30" t="str">
            <v>Congés</v>
          </cell>
          <cell r="EV30" t="str">
            <v>Congés</v>
          </cell>
          <cell r="EW30" t="str">
            <v>Congés</v>
          </cell>
          <cell r="EX30" t="str">
            <v>Congés</v>
          </cell>
          <cell r="EY30" t="str">
            <v>REPOS</v>
          </cell>
          <cell r="EZ30" t="str">
            <v>REPOS</v>
          </cell>
          <cell r="FA30" t="str">
            <v>Congés</v>
          </cell>
          <cell r="FB30" t="str">
            <v>Congés</v>
          </cell>
          <cell r="FC30" t="str">
            <v>Congés</v>
          </cell>
          <cell r="FD30" t="str">
            <v>RTT</v>
          </cell>
          <cell r="FE30" t="str">
            <v>RTT</v>
          </cell>
          <cell r="FF30" t="str">
            <v>REPOS</v>
          </cell>
          <cell r="FG30" t="str">
            <v>REPOS</v>
          </cell>
          <cell r="FH30" t="str">
            <v>ENC MATIN 5H-12H</v>
          </cell>
          <cell r="FI30" t="str">
            <v>ENC MATIN 5H-12H</v>
          </cell>
          <cell r="FJ30" t="str">
            <v>ENC MATIN 5H-12H</v>
          </cell>
          <cell r="FK30" t="str">
            <v>ENC MATIN 5H-12H</v>
          </cell>
          <cell r="FL30" t="str">
            <v>ENC MATIN 5H-12H</v>
          </cell>
          <cell r="FM30" t="str">
            <v>REPOS</v>
          </cell>
          <cell r="FN30" t="str">
            <v>REPOS</v>
          </cell>
          <cell r="FO30" t="str">
            <v>ENC MATIN 5H-12H</v>
          </cell>
          <cell r="FP30" t="str">
            <v>ENC MATIN 5H-12H</v>
          </cell>
          <cell r="FQ30" t="str">
            <v>ENC MATIN 5H-12H</v>
          </cell>
          <cell r="FR30" t="str">
            <v>ENC MATIN 5H-12H</v>
          </cell>
          <cell r="FS30" t="str">
            <v>REPOS</v>
          </cell>
          <cell r="FT30" t="str">
            <v>NICE OUEST</v>
          </cell>
          <cell r="FU30" t="str">
            <v>REPOS</v>
          </cell>
          <cell r="FV30" t="str">
            <v>ENC NUIT 20H30-03H30</v>
          </cell>
          <cell r="FW30" t="str">
            <v>ENC NUIT 20H30-03H30</v>
          </cell>
          <cell r="FX30" t="str">
            <v>ENC NUIT 20H30-03H30</v>
          </cell>
          <cell r="FY30" t="str">
            <v>ENC NUIT 20H30-03H30</v>
          </cell>
          <cell r="FZ30" t="str">
            <v>ENC NUIT 20H30-03H30</v>
          </cell>
          <cell r="GA30" t="str">
            <v>REPOS</v>
          </cell>
          <cell r="GB30" t="str">
            <v>REPOS</v>
          </cell>
          <cell r="GH30" t="str">
            <v>REPOS</v>
          </cell>
          <cell r="GI30" t="str">
            <v>REPOS</v>
          </cell>
          <cell r="GX30" t="str">
            <v>Congés</v>
          </cell>
          <cell r="GY30" t="str">
            <v>Congés</v>
          </cell>
          <cell r="GZ30" t="str">
            <v>Congés</v>
          </cell>
          <cell r="HA30" t="str">
            <v>Congés</v>
          </cell>
          <cell r="HB30" t="str">
            <v>Congés</v>
          </cell>
          <cell r="HC30" t="str">
            <v>REPOS</v>
          </cell>
          <cell r="HD30" t="str">
            <v>REPOS</v>
          </cell>
          <cell r="HE30" t="str">
            <v>Congés</v>
          </cell>
          <cell r="HF30" t="str">
            <v>Congés</v>
          </cell>
          <cell r="HG30" t="str">
            <v>Congés</v>
          </cell>
          <cell r="HH30" t="str">
            <v>Congés</v>
          </cell>
          <cell r="HI30" t="str">
            <v>Congés</v>
          </cell>
          <cell r="HJ30" t="str">
            <v>REPOS</v>
          </cell>
          <cell r="HK30" t="str">
            <v>REPOS</v>
          </cell>
        </row>
        <row r="31">
          <cell r="J31" t="str">
            <v>REPOS</v>
          </cell>
          <cell r="K31" t="str">
            <v>CARTON AP</v>
          </cell>
          <cell r="L31" t="str">
            <v>CARTON AP</v>
          </cell>
          <cell r="M31" t="str">
            <v>CARTON AP</v>
          </cell>
          <cell r="N31" t="str">
            <v>CARTON AP</v>
          </cell>
          <cell r="O31" t="str">
            <v>REPOS</v>
          </cell>
          <cell r="P31" t="str">
            <v>NICE NORD &amp; VIEUX NICE</v>
          </cell>
          <cell r="Q31" t="str">
            <v>REPOS</v>
          </cell>
          <cell r="R31" t="str">
            <v>CARTON AP</v>
          </cell>
          <cell r="S31" t="str">
            <v>CARTON AP</v>
          </cell>
          <cell r="T31" t="str">
            <v>CARTON AP</v>
          </cell>
          <cell r="U31" t="str">
            <v>CARTON AP</v>
          </cell>
          <cell r="V31" t="str">
            <v>CARTON 8H30-12H / 13H-16H30</v>
          </cell>
          <cell r="W31" t="str">
            <v>REPOS</v>
          </cell>
          <cell r="X31" t="str">
            <v>CARTON AP</v>
          </cell>
          <cell r="Y31" t="str">
            <v>CARTON AP</v>
          </cell>
          <cell r="Z31" t="str">
            <v>CARTON AP</v>
          </cell>
          <cell r="AA31" t="str">
            <v>CARTON AP</v>
          </cell>
          <cell r="AB31" t="str">
            <v>Congés</v>
          </cell>
          <cell r="AC31" t="str">
            <v>REPOS</v>
          </cell>
          <cell r="AD31" t="str">
            <v>REPOS</v>
          </cell>
          <cell r="AE31" t="str">
            <v>Congés</v>
          </cell>
          <cell r="AF31" t="str">
            <v>Congés</v>
          </cell>
          <cell r="AG31" t="str">
            <v>Congés</v>
          </cell>
          <cell r="AH31" t="str">
            <v>Congés</v>
          </cell>
          <cell r="AI31" t="str">
            <v>Congés</v>
          </cell>
          <cell r="AJ31" t="str">
            <v>REPOS</v>
          </cell>
          <cell r="AK31" t="str">
            <v>REPOS</v>
          </cell>
          <cell r="AL31" t="str">
            <v>REPOS</v>
          </cell>
          <cell r="AM31" t="str">
            <v>CARTON AP</v>
          </cell>
          <cell r="AN31" t="str">
            <v>CARTON AP</v>
          </cell>
          <cell r="AO31" t="str">
            <v>CARTON AP</v>
          </cell>
          <cell r="AP31" t="str">
            <v>CARTON AP</v>
          </cell>
          <cell r="AQ31" t="str">
            <v>CARTON 8H30-12H / 13H-16H30</v>
          </cell>
          <cell r="AR31" t="str">
            <v>REPOS</v>
          </cell>
          <cell r="AS31" t="str">
            <v>CARTON AP</v>
          </cell>
          <cell r="AT31" t="str">
            <v>CARTON AP</v>
          </cell>
          <cell r="AU31" t="str">
            <v>CARTON AP</v>
          </cell>
          <cell r="AV31" t="str">
            <v>CARTON AP</v>
          </cell>
          <cell r="AW31" t="str">
            <v>CARTON AP</v>
          </cell>
          <cell r="AX31" t="str">
            <v>REPOS</v>
          </cell>
          <cell r="AY31" t="str">
            <v>NICE NORD &amp; VIEUX NICE</v>
          </cell>
          <cell r="AZ31" t="str">
            <v>CARTON AP</v>
          </cell>
          <cell r="BA31" t="str">
            <v>CARTON AP</v>
          </cell>
          <cell r="BB31" t="str">
            <v>CARTON AP</v>
          </cell>
          <cell r="BC31" t="str">
            <v>CARTON AP</v>
          </cell>
          <cell r="BD31" t="str">
            <v>CARTON AP</v>
          </cell>
          <cell r="BE31" t="str">
            <v>REPOS</v>
          </cell>
          <cell r="BF31" t="str">
            <v>REPOS</v>
          </cell>
          <cell r="BG31" t="str">
            <v>CARTON AP</v>
          </cell>
          <cell r="BH31" t="str">
            <v>CARTON AP</v>
          </cell>
          <cell r="BI31" t="str">
            <v>CARTON AP</v>
          </cell>
          <cell r="BJ31" t="str">
            <v>CARTON AP</v>
          </cell>
          <cell r="BK31" t="str">
            <v>CARTON AP</v>
          </cell>
          <cell r="BL31" t="str">
            <v>REPOS</v>
          </cell>
          <cell r="BM31" t="str">
            <v>HS presta. Except | 11:00-19:00</v>
          </cell>
          <cell r="BN31" t="str">
            <v>REPOS</v>
          </cell>
          <cell r="BO31" t="str">
            <v>CARTON AP</v>
          </cell>
          <cell r="BP31" t="str">
            <v>CARTON AP</v>
          </cell>
          <cell r="BQ31" t="str">
            <v>CARTON AP</v>
          </cell>
          <cell r="BR31" t="str">
            <v>CARTON AP</v>
          </cell>
          <cell r="BS31" t="str">
            <v>CARTON 8H30-12H / 13H-16H30</v>
          </cell>
          <cell r="BT31" t="str">
            <v>REPOS</v>
          </cell>
          <cell r="BU31" t="str">
            <v>CARTON AP</v>
          </cell>
          <cell r="BV31" t="str">
            <v>CARTON AP</v>
          </cell>
          <cell r="BW31" t="str">
            <v>CARTON AP</v>
          </cell>
          <cell r="BX31" t="str">
            <v>CARTON AP</v>
          </cell>
          <cell r="BY31" t="str">
            <v>CARTON AP</v>
          </cell>
          <cell r="BZ31" t="str">
            <v>REPOS</v>
          </cell>
          <cell r="CA31" t="str">
            <v>NICE NORD &amp; VIEUX NICE</v>
          </cell>
          <cell r="CB31" t="str">
            <v>CARTON AP</v>
          </cell>
          <cell r="CC31" t="str">
            <v>CARTON AP</v>
          </cell>
          <cell r="CD31" t="str">
            <v>Congés</v>
          </cell>
          <cell r="CE31" t="str">
            <v>CARTON AP</v>
          </cell>
          <cell r="CF31" t="str">
            <v>CARTON AP</v>
          </cell>
          <cell r="CG31" t="str">
            <v>HS NICE OUEST</v>
          </cell>
          <cell r="CH31" t="str">
            <v>REPOS</v>
          </cell>
          <cell r="CI31" t="str">
            <v>CARTON AP</v>
          </cell>
          <cell r="CJ31" t="str">
            <v>CARTON AP</v>
          </cell>
          <cell r="CK31" t="str">
            <v>CARTON AP</v>
          </cell>
          <cell r="CL31" t="str">
            <v>CARTON AP</v>
          </cell>
          <cell r="CM31" t="str">
            <v>CARTON AP</v>
          </cell>
          <cell r="CN31" t="str">
            <v>REPOS</v>
          </cell>
          <cell r="CO31" t="str">
            <v>NICE OUEST &amp; VIEUX NICE</v>
          </cell>
          <cell r="CP31" t="str">
            <v>REPOS</v>
          </cell>
          <cell r="CQ31" t="str">
            <v>CARTON AP</v>
          </cell>
          <cell r="CR31" t="str">
            <v>CARTON AP</v>
          </cell>
          <cell r="CS31" t="str">
            <v>CARTON AP</v>
          </cell>
          <cell r="CT31" t="str">
            <v>CARTON AP</v>
          </cell>
          <cell r="CU31" t="str">
            <v>CARTON 8H30-12H / 13H-16H30</v>
          </cell>
          <cell r="CV31" t="str">
            <v>REPOS</v>
          </cell>
          <cell r="CW31" t="str">
            <v>REPOS</v>
          </cell>
          <cell r="CX31" t="str">
            <v>CARTON AP</v>
          </cell>
          <cell r="CY31" t="str">
            <v>Congés</v>
          </cell>
          <cell r="CZ31" t="str">
            <v>CARTON AP</v>
          </cell>
          <cell r="DA31" t="str">
            <v>CARTON AP</v>
          </cell>
          <cell r="DB31" t="str">
            <v>REPOS</v>
          </cell>
          <cell r="DC31" t="str">
            <v>REPOS</v>
          </cell>
          <cell r="DD31" t="str">
            <v>CARTON AP</v>
          </cell>
          <cell r="DE31" t="str">
            <v>CARTON AP</v>
          </cell>
          <cell r="DF31" t="str">
            <v>CARTON AP</v>
          </cell>
          <cell r="DG31" t="str">
            <v>CARTON AP</v>
          </cell>
          <cell r="DH31" t="str">
            <v>CARTON AP</v>
          </cell>
          <cell r="DI31" t="str">
            <v>HS NICE OUEST</v>
          </cell>
          <cell r="DJ31" t="str">
            <v>REPOS</v>
          </cell>
          <cell r="DK31" t="str">
            <v>CARTON AP</v>
          </cell>
          <cell r="DL31" t="str">
            <v>CARTON AP</v>
          </cell>
          <cell r="DM31" t="str">
            <v>CARTON AP</v>
          </cell>
          <cell r="DN31" t="str">
            <v>CARTON AP</v>
          </cell>
          <cell r="DO31" t="str">
            <v>CARTON AP</v>
          </cell>
          <cell r="DP31" t="str">
            <v>REPOS</v>
          </cell>
          <cell r="DQ31" t="str">
            <v>NICE NORD DIM</v>
          </cell>
          <cell r="DR31" t="str">
            <v>REPOS</v>
          </cell>
          <cell r="DS31" t="str">
            <v>CARTON AP</v>
          </cell>
          <cell r="DT31" t="str">
            <v>CARTON AP</v>
          </cell>
          <cell r="DU31" t="str">
            <v>CARTON AP</v>
          </cell>
          <cell r="DV31" t="str">
            <v>CARTON AP</v>
          </cell>
          <cell r="DW31" t="str">
            <v>CARTON 8H30-12H / 13H-16H30</v>
          </cell>
          <cell r="DX31" t="str">
            <v>REPOS</v>
          </cell>
          <cell r="DY31" t="str">
            <v>CARTON AP</v>
          </cell>
          <cell r="DZ31" t="str">
            <v>REPOS</v>
          </cell>
          <cell r="EA31" t="str">
            <v>CARTON AP</v>
          </cell>
          <cell r="EB31" t="str">
            <v>CARTON AP</v>
          </cell>
          <cell r="EC31" t="str">
            <v>CARTON AP</v>
          </cell>
          <cell r="ED31" t="str">
            <v>HS ENC MATIN</v>
          </cell>
          <cell r="EE31" t="str">
            <v>REPOS</v>
          </cell>
          <cell r="EF31" t="str">
            <v>CARTON AP</v>
          </cell>
          <cell r="EG31" t="str">
            <v>NICE EST DIM</v>
          </cell>
          <cell r="EH31" t="str">
            <v>CARTON AP</v>
          </cell>
          <cell r="EI31" t="str">
            <v>REPOS</v>
          </cell>
          <cell r="EJ31" t="str">
            <v>CARTON AP</v>
          </cell>
          <cell r="EK31" t="str">
            <v>HS NICE NORD</v>
          </cell>
          <cell r="EL31" t="str">
            <v>REPOS</v>
          </cell>
          <cell r="EM31" t="str">
            <v>CARTON AP</v>
          </cell>
          <cell r="EN31" t="str">
            <v>Congés</v>
          </cell>
          <cell r="EO31" t="str">
            <v>CARTON AP</v>
          </cell>
          <cell r="EP31" t="str">
            <v>CARTON AP</v>
          </cell>
          <cell r="EQ31" t="str">
            <v>CARTON AP</v>
          </cell>
          <cell r="ER31" t="str">
            <v>HS NICE EST</v>
          </cell>
          <cell r="ES31" t="str">
            <v>REPOS</v>
          </cell>
          <cell r="ET31" t="str">
            <v>CARTON AP</v>
          </cell>
          <cell r="EU31" t="str">
            <v>CARTON AP</v>
          </cell>
          <cell r="EV31" t="str">
            <v>CARTON AP</v>
          </cell>
          <cell r="EW31" t="str">
            <v>FORMATION MATIN - RECUP CREDIT | 08:00-12:00</v>
          </cell>
          <cell r="EX31" t="str">
            <v>CARTON AP</v>
          </cell>
          <cell r="EY31" t="str">
            <v>HS NICE OUEST</v>
          </cell>
          <cell r="EZ31" t="str">
            <v>REPOS</v>
          </cell>
          <cell r="FA31" t="str">
            <v>REPOS</v>
          </cell>
          <cell r="FB31" t="str">
            <v>CARTON AP</v>
          </cell>
          <cell r="FC31" t="str">
            <v>CARTON AP</v>
          </cell>
          <cell r="FD31" t="str">
            <v>FORMATION</v>
          </cell>
          <cell r="FE31" t="str">
            <v>FORMATION</v>
          </cell>
          <cell r="FF31" t="str">
            <v>CARTON 8H30-12H / 13H-16H30</v>
          </cell>
          <cell r="FG31" t="str">
            <v>REPOS</v>
          </cell>
          <cell r="FH31" t="str">
            <v>CARTON AP</v>
          </cell>
          <cell r="FI31" t="str">
            <v>CARTON AP</v>
          </cell>
          <cell r="FJ31" t="str">
            <v>FORMATION</v>
          </cell>
          <cell r="FK31" t="str">
            <v>FORMATION</v>
          </cell>
          <cell r="FL31" t="str">
            <v>FORMATION</v>
          </cell>
          <cell r="FM31" t="str">
            <v>REPOS</v>
          </cell>
          <cell r="FN31" t="str">
            <v>REPOS</v>
          </cell>
          <cell r="FO31" t="str">
            <v>CARTON AP</v>
          </cell>
          <cell r="FP31" t="str">
            <v>CARTON AP</v>
          </cell>
          <cell r="FQ31" t="str">
            <v>CARTON AP</v>
          </cell>
          <cell r="FR31" t="str">
            <v>CARTON AP</v>
          </cell>
          <cell r="FS31" t="str">
            <v>CARTON AP</v>
          </cell>
          <cell r="FT31" t="str">
            <v>REPOS</v>
          </cell>
          <cell r="FU31" t="str">
            <v>NICE NORD &amp; VIEUX NICE</v>
          </cell>
          <cell r="FV31" t="str">
            <v>CARTON AP</v>
          </cell>
          <cell r="FW31" t="str">
            <v>CARTON AP</v>
          </cell>
          <cell r="FX31" t="str">
            <v>CARTON AP</v>
          </cell>
          <cell r="FY31" t="str">
            <v>CARTON AP</v>
          </cell>
          <cell r="FZ31" t="str">
            <v>CARTON AP</v>
          </cell>
          <cell r="GA31" t="str">
            <v>REPOS</v>
          </cell>
          <cell r="GB31" t="str">
            <v>REPOS</v>
          </cell>
          <cell r="GC31" t="str">
            <v>CARTON AP</v>
          </cell>
          <cell r="GD31" t="str">
            <v>CARTON AP</v>
          </cell>
          <cell r="GE31" t="str">
            <v>CARTON AP</v>
          </cell>
          <cell r="GF31" t="str">
            <v>CARTON AP</v>
          </cell>
          <cell r="GG31" t="str">
            <v>CARTON AP</v>
          </cell>
          <cell r="GH31" t="str">
            <v>REPOS</v>
          </cell>
          <cell r="GI31" t="str">
            <v>REPOS</v>
          </cell>
          <cell r="HL31" t="str">
            <v>Congés</v>
          </cell>
          <cell r="HM31" t="str">
            <v>Congés</v>
          </cell>
          <cell r="HN31" t="str">
            <v>Congés</v>
          </cell>
          <cell r="HO31" t="str">
            <v>Congés</v>
          </cell>
          <cell r="HP31" t="str">
            <v>Congés</v>
          </cell>
          <cell r="HQ31" t="str">
            <v>REPOS</v>
          </cell>
          <cell r="HR31" t="str">
            <v>REPOS</v>
          </cell>
          <cell r="HS31" t="str">
            <v>Congés</v>
          </cell>
          <cell r="HT31" t="str">
            <v>Congés</v>
          </cell>
          <cell r="HU31" t="str">
            <v>Congés</v>
          </cell>
          <cell r="HV31" t="str">
            <v>Congés</v>
          </cell>
          <cell r="HW31" t="str">
            <v>Congés</v>
          </cell>
          <cell r="HX31" t="str">
            <v>REPOS</v>
          </cell>
          <cell r="HY31" t="str">
            <v>REPOS</v>
          </cell>
        </row>
        <row r="32">
          <cell r="J32" t="str">
            <v>REPOS</v>
          </cell>
          <cell r="K32" t="str">
            <v>CARTON AP</v>
          </cell>
          <cell r="L32" t="str">
            <v>CARTON AP</v>
          </cell>
          <cell r="M32" t="str">
            <v>CARTON AP</v>
          </cell>
          <cell r="N32" t="str">
            <v>CARTON AP</v>
          </cell>
          <cell r="O32" t="str">
            <v>HS NICE EST</v>
          </cell>
          <cell r="P32" t="str">
            <v>REPOS</v>
          </cell>
          <cell r="Q32" t="str">
            <v>CARTON AP</v>
          </cell>
          <cell r="R32" t="str">
            <v>CARTON AP</v>
          </cell>
          <cell r="S32" t="str">
            <v>CARTON AP</v>
          </cell>
          <cell r="T32" t="str">
            <v>CARTON AP</v>
          </cell>
          <cell r="U32" t="str">
            <v>CARTON AP</v>
          </cell>
          <cell r="V32" t="str">
            <v>REPOS</v>
          </cell>
          <cell r="W32" t="str">
            <v>NICE NORD &amp; VIEUX NICE</v>
          </cell>
          <cell r="X32" t="str">
            <v>ENC AM 12H30-19H30</v>
          </cell>
          <cell r="Y32" t="str">
            <v>ENC AM 12H30-19H30</v>
          </cell>
          <cell r="Z32" t="str">
            <v>ENC AM 12H30-19H30</v>
          </cell>
          <cell r="AA32" t="str">
            <v>REPOS</v>
          </cell>
          <cell r="AB32" t="str">
            <v>CARTON AP</v>
          </cell>
          <cell r="AC32" t="str">
            <v>NICE EST</v>
          </cell>
          <cell r="AD32" t="str">
            <v>REPOS</v>
          </cell>
          <cell r="AE32" t="str">
            <v>CARTON AP</v>
          </cell>
          <cell r="AF32" t="str">
            <v>CARTON AP</v>
          </cell>
          <cell r="AG32" t="str">
            <v>CARTON AP</v>
          </cell>
          <cell r="AH32" t="str">
            <v>CARTON AP</v>
          </cell>
          <cell r="AI32" t="str">
            <v>CARTON AP</v>
          </cell>
          <cell r="AJ32" t="str">
            <v>HS NICE EST</v>
          </cell>
          <cell r="AK32" t="str">
            <v>REPOS</v>
          </cell>
          <cell r="AL32" t="str">
            <v>CARTON AP</v>
          </cell>
          <cell r="AM32" t="str">
            <v>CARTON AP</v>
          </cell>
          <cell r="AN32" t="str">
            <v>CARTON AP</v>
          </cell>
          <cell r="AO32" t="str">
            <v>CARTON AP</v>
          </cell>
          <cell r="AP32" t="str">
            <v>CARTON AP</v>
          </cell>
          <cell r="AQ32" t="str">
            <v>REPOS</v>
          </cell>
          <cell r="AR32" t="str">
            <v>NICE NORD &amp; VIEUX NICE</v>
          </cell>
          <cell r="AS32" t="str">
            <v>ENC NUIT 20H30-03H30</v>
          </cell>
          <cell r="AT32" t="str">
            <v>ENC NUIT 20H30-03H30</v>
          </cell>
          <cell r="AU32" t="str">
            <v>ENC NUIT 20H30-03H30</v>
          </cell>
          <cell r="AV32" t="str">
            <v>ENC NUIT 20H30-03H30</v>
          </cell>
          <cell r="AW32" t="str">
            <v>ENC NUIT 20H30-03H30</v>
          </cell>
          <cell r="AX32" t="str">
            <v>REPOS</v>
          </cell>
          <cell r="AY32" t="str">
            <v>REPOS</v>
          </cell>
          <cell r="AZ32" t="str">
            <v>ENC MATIN 5H-12H</v>
          </cell>
          <cell r="BA32" t="str">
            <v>REPOS</v>
          </cell>
          <cell r="BB32" t="str">
            <v>ENC MATIN 5H-12H</v>
          </cell>
          <cell r="BC32" t="str">
            <v>NICE EST</v>
          </cell>
          <cell r="BD32" t="str">
            <v>Congés</v>
          </cell>
          <cell r="BE32" t="str">
            <v>NICE EST</v>
          </cell>
          <cell r="BF32" t="str">
            <v>REPOS</v>
          </cell>
          <cell r="BG32" t="str">
            <v>ENC MATIN 5H-12H</v>
          </cell>
          <cell r="BH32" t="str">
            <v>CARTON MATIN</v>
          </cell>
          <cell r="BI32" t="str">
            <v>FORMATION | 15:00-19:00</v>
          </cell>
          <cell r="BJ32" t="str">
            <v>REPOS</v>
          </cell>
          <cell r="BK32" t="str">
            <v>ENC MATIN 5H-12H</v>
          </cell>
          <cell r="BL32" t="str">
            <v>NICE EST</v>
          </cell>
          <cell r="BM32" t="str">
            <v>REPOS</v>
          </cell>
          <cell r="BN32" t="str">
            <v>ENC MATIN 5H-12H</v>
          </cell>
          <cell r="BO32" t="str">
            <v>ENC MATIN 5H-12H</v>
          </cell>
          <cell r="BP32" t="str">
            <v>FORMATION | 11:00-19:00</v>
          </cell>
          <cell r="BQ32" t="str">
            <v>ENC MATIN 5H-12H</v>
          </cell>
          <cell r="BR32" t="str">
            <v>ENC MATIN 5H-12H</v>
          </cell>
          <cell r="BS32" t="str">
            <v>HS NICE EST</v>
          </cell>
          <cell r="BT32" t="str">
            <v>REPOS</v>
          </cell>
          <cell r="BU32" t="str">
            <v>ENC NUIT 20H30-02H30</v>
          </cell>
          <cell r="BV32" t="str">
            <v>ENC NUIT 20H30-02H30</v>
          </cell>
          <cell r="BW32" t="str">
            <v>ENC NUIT 20H30-02H30</v>
          </cell>
          <cell r="BX32" t="str">
            <v>CARTON MATIN</v>
          </cell>
          <cell r="BY32" t="str">
            <v>CARTON MATIN</v>
          </cell>
          <cell r="BZ32" t="str">
            <v>REPOS</v>
          </cell>
          <cell r="CA32" t="str">
            <v>HS presta. Except | 07:30-18:30</v>
          </cell>
          <cell r="CB32" t="str">
            <v>CARTON MATIN</v>
          </cell>
          <cell r="CC32" t="str">
            <v>CARTON MATIN</v>
          </cell>
          <cell r="CD32" t="str">
            <v>CARTON MATIN</v>
          </cell>
          <cell r="CE32" t="str">
            <v>CARTON MATIN</v>
          </cell>
          <cell r="CF32" t="str">
            <v>CARTON MATIN</v>
          </cell>
          <cell r="CG32" t="str">
            <v>REPOS</v>
          </cell>
          <cell r="CH32" t="str">
            <v>NICE NORD &amp; VIEUX NICE</v>
          </cell>
          <cell r="CI32" t="str">
            <v>ENC MATIN 5H-12H</v>
          </cell>
          <cell r="CJ32" t="str">
            <v>ENC MATIN 5H-12H</v>
          </cell>
          <cell r="CK32" t="str">
            <v>CARTON MATIN</v>
          </cell>
          <cell r="CL32" t="str">
            <v>REPOS</v>
          </cell>
          <cell r="CM32" t="str">
            <v>ENC MATIN 5H-12H</v>
          </cell>
          <cell r="CN32" t="str">
            <v>NICE EST</v>
          </cell>
          <cell r="CO32" t="str">
            <v>REPOS</v>
          </cell>
          <cell r="CP32" t="str">
            <v>CARTON MATIN</v>
          </cell>
          <cell r="CQ32" t="str">
            <v>CARTON MATIN</v>
          </cell>
          <cell r="CR32" t="str">
            <v>CARTON MATIN</v>
          </cell>
          <cell r="CS32" t="str">
            <v>CARTON MATIN</v>
          </cell>
          <cell r="CT32" t="str">
            <v>CARTON MATIN</v>
          </cell>
          <cell r="CU32" t="str">
            <v>HS NICE NORD</v>
          </cell>
          <cell r="CV32" t="str">
            <v>REPOS</v>
          </cell>
          <cell r="CW32" t="str">
            <v>REPOS</v>
          </cell>
          <cell r="CX32" t="str">
            <v>Congés</v>
          </cell>
          <cell r="CY32" t="str">
            <v>Congés</v>
          </cell>
          <cell r="CZ32" t="str">
            <v>Congés</v>
          </cell>
          <cell r="DA32" t="str">
            <v>Congés</v>
          </cell>
          <cell r="DB32" t="str">
            <v>REPOS</v>
          </cell>
          <cell r="DC32" t="str">
            <v>REPOS</v>
          </cell>
          <cell r="DD32" t="str">
            <v>CARTON MATIN</v>
          </cell>
          <cell r="DE32" t="str">
            <v>CARTON MATIN</v>
          </cell>
          <cell r="DF32" t="str">
            <v>CARTON MATIN</v>
          </cell>
          <cell r="DG32" t="str">
            <v>CARTON MATIN</v>
          </cell>
          <cell r="DH32" t="str">
            <v>CARTON MATIN</v>
          </cell>
          <cell r="DI32" t="str">
            <v>REPOS</v>
          </cell>
          <cell r="DJ32" t="str">
            <v>NICE EST &amp; VIEUX NICE</v>
          </cell>
          <cell r="DK32" t="str">
            <v>CARTON MATIN</v>
          </cell>
          <cell r="DL32" t="str">
            <v>CARTON MATIN</v>
          </cell>
          <cell r="DM32" t="str">
            <v>CARTON MATIN</v>
          </cell>
          <cell r="DN32" t="str">
            <v>CARTON MATIN</v>
          </cell>
          <cell r="DO32" t="str">
            <v>CARTON MATIN</v>
          </cell>
          <cell r="DP32" t="str">
            <v>REPOS</v>
          </cell>
          <cell r="DQ32" t="str">
            <v>V.N AM DIM</v>
          </cell>
          <cell r="DR32" t="str">
            <v>CARTON MATIN</v>
          </cell>
          <cell r="DS32" t="str">
            <v>CARTON MATIN</v>
          </cell>
          <cell r="DT32" t="str">
            <v>CARTON MATIN</v>
          </cell>
          <cell r="DU32" t="str">
            <v>CARTON MATIN</v>
          </cell>
          <cell r="DV32" t="str">
            <v>AT</v>
          </cell>
          <cell r="DW32" t="str">
            <v>AT</v>
          </cell>
          <cell r="DX32" t="str">
            <v>AT</v>
          </cell>
          <cell r="DY32" t="str">
            <v>AT</v>
          </cell>
          <cell r="DZ32" t="str">
            <v>AT</v>
          </cell>
          <cell r="EA32" t="str">
            <v>AT</v>
          </cell>
          <cell r="EB32" t="str">
            <v>AT</v>
          </cell>
          <cell r="EC32" t="str">
            <v>AT</v>
          </cell>
          <cell r="ED32" t="str">
            <v>AT</v>
          </cell>
          <cell r="EE32" t="str">
            <v>AT</v>
          </cell>
          <cell r="EF32" t="str">
            <v>AT</v>
          </cell>
          <cell r="EG32" t="str">
            <v>AT</v>
          </cell>
          <cell r="EH32" t="str">
            <v>AT</v>
          </cell>
          <cell r="EI32" t="str">
            <v>AT</v>
          </cell>
          <cell r="EJ32" t="str">
            <v>NICE OUEST</v>
          </cell>
          <cell r="EK32" t="str">
            <v>REPOS</v>
          </cell>
          <cell r="EL32" t="str">
            <v>HS ENC Matin DIM</v>
          </cell>
          <cell r="EM32" t="str">
            <v>CARTON MATIN</v>
          </cell>
          <cell r="EN32" t="str">
            <v>CARTON MATIN</v>
          </cell>
          <cell r="EO32" t="str">
            <v>CARTON MATIN</v>
          </cell>
          <cell r="EP32" t="str">
            <v>CARTON MATIN</v>
          </cell>
          <cell r="EQ32" t="str">
            <v>CARTON MATIN</v>
          </cell>
          <cell r="ER32" t="str">
            <v>REPOS</v>
          </cell>
          <cell r="ES32" t="str">
            <v>REPOS</v>
          </cell>
          <cell r="ET32" t="str">
            <v>CARTON MATIN</v>
          </cell>
          <cell r="EU32" t="str">
            <v>CARTON MATIN</v>
          </cell>
          <cell r="EV32" t="str">
            <v>CARTON MATIN</v>
          </cell>
          <cell r="EW32" t="str">
            <v>CARTON MATIN</v>
          </cell>
          <cell r="EX32" t="str">
            <v>CARTON MATIN</v>
          </cell>
          <cell r="EY32" t="str">
            <v>HS NICE EST</v>
          </cell>
          <cell r="EZ32" t="str">
            <v>REPOS</v>
          </cell>
          <cell r="FA32" t="str">
            <v>ENC MATIN 5H-12H</v>
          </cell>
          <cell r="FB32" t="str">
            <v>ENC MATIN 5H-12H</v>
          </cell>
          <cell r="FC32" t="str">
            <v>ENC MATIN 5H-12H</v>
          </cell>
          <cell r="FD32" t="str">
            <v>CARTON AP</v>
          </cell>
          <cell r="FE32" t="str">
            <v>CARTON AP</v>
          </cell>
          <cell r="FF32" t="str">
            <v>REPOS</v>
          </cell>
          <cell r="FG32" t="str">
            <v>REPOS</v>
          </cell>
          <cell r="FH32" t="str">
            <v>REPOS</v>
          </cell>
          <cell r="FI32" t="str">
            <v>NICE OUEST</v>
          </cell>
          <cell r="FJ32" t="str">
            <v>CARTON AP</v>
          </cell>
          <cell r="FK32" t="str">
            <v>CARTON AP</v>
          </cell>
          <cell r="FL32" t="str">
            <v>CARTON AP</v>
          </cell>
          <cell r="FM32" t="str">
            <v>NICE NORD</v>
          </cell>
          <cell r="FN32" t="str">
            <v>REPOS</v>
          </cell>
          <cell r="FO32" t="str">
            <v>CARTON MATIN</v>
          </cell>
          <cell r="FP32" t="str">
            <v>CARTON MATIN</v>
          </cell>
          <cell r="FQ32" t="str">
            <v>CARTON MATIN</v>
          </cell>
          <cell r="FR32" t="str">
            <v>CARTON MATIN</v>
          </cell>
          <cell r="FS32" t="str">
            <v>CARTON MATIN</v>
          </cell>
          <cell r="FT32" t="str">
            <v>REPOS</v>
          </cell>
          <cell r="FU32" t="str">
            <v>NICE EST DIM</v>
          </cell>
          <cell r="FV32" t="str">
            <v>ENC MATIN 5H-12H</v>
          </cell>
          <cell r="FW32" t="str">
            <v>CARTON MATIN</v>
          </cell>
          <cell r="FX32" t="str">
            <v>ENC MATIN 5H-12H</v>
          </cell>
          <cell r="FY32" t="str">
            <v>ENC MATIN 5H-12H</v>
          </cell>
          <cell r="FZ32" t="str">
            <v>ENC MATIN 5H-12H</v>
          </cell>
          <cell r="GA32" t="str">
            <v>REPOS</v>
          </cell>
          <cell r="GB32" t="str">
            <v>REPOS</v>
          </cell>
          <cell r="GC32" t="str">
            <v>CARTON MATIN</v>
          </cell>
          <cell r="GD32" t="str">
            <v>CARTON MATIN</v>
          </cell>
          <cell r="GE32" t="str">
            <v>CARTON MATIN</v>
          </cell>
          <cell r="GF32" t="str">
            <v>CARTON MATIN</v>
          </cell>
          <cell r="GG32" t="str">
            <v>CARTON MATIN</v>
          </cell>
          <cell r="GH32" t="str">
            <v>REPOS</v>
          </cell>
          <cell r="GI32" t="str">
            <v>REPOS</v>
          </cell>
          <cell r="GX32" t="str">
            <v>Congés</v>
          </cell>
          <cell r="GY32" t="str">
            <v>Congés</v>
          </cell>
          <cell r="GZ32" t="str">
            <v>Congés</v>
          </cell>
          <cell r="HA32" t="str">
            <v>Congés</v>
          </cell>
          <cell r="HB32" t="str">
            <v>Congés</v>
          </cell>
          <cell r="HC32" t="str">
            <v>REPOS</v>
          </cell>
          <cell r="HD32" t="str">
            <v>REPOS</v>
          </cell>
          <cell r="HE32" t="str">
            <v>Congés</v>
          </cell>
          <cell r="HF32" t="str">
            <v>Congés</v>
          </cell>
          <cell r="HG32" t="str">
            <v>Congés</v>
          </cell>
          <cell r="HH32" t="str">
            <v>Congés</v>
          </cell>
          <cell r="HI32" t="str">
            <v>Congés</v>
          </cell>
          <cell r="HJ32" t="str">
            <v>REPOS</v>
          </cell>
          <cell r="HK32" t="str">
            <v>REPOS</v>
          </cell>
        </row>
        <row r="33">
          <cell r="J33" t="str">
            <v>REPOS</v>
          </cell>
          <cell r="K33" t="str">
            <v>NICE EST</v>
          </cell>
          <cell r="L33" t="str">
            <v>NICE EST</v>
          </cell>
          <cell r="M33" t="str">
            <v>NICE EST</v>
          </cell>
          <cell r="N33" t="str">
            <v>NICE EST</v>
          </cell>
          <cell r="O33" t="str">
            <v>REPOS</v>
          </cell>
          <cell r="P33" t="str">
            <v>REPOS</v>
          </cell>
          <cell r="Q33" t="str">
            <v>NICE EST</v>
          </cell>
          <cell r="R33" t="str">
            <v>NICE EST</v>
          </cell>
          <cell r="S33" t="str">
            <v>Congés</v>
          </cell>
          <cell r="T33" t="str">
            <v>Congés</v>
          </cell>
          <cell r="U33" t="str">
            <v>Congés</v>
          </cell>
          <cell r="V33" t="str">
            <v>REPOS</v>
          </cell>
          <cell r="W33" t="str">
            <v>REPOS</v>
          </cell>
          <cell r="X33" t="str">
            <v>NICE EST</v>
          </cell>
          <cell r="Y33" t="str">
            <v>NICE EST</v>
          </cell>
          <cell r="Z33" t="str">
            <v>NICE EST</v>
          </cell>
          <cell r="AA33" t="str">
            <v>NICE EST</v>
          </cell>
          <cell r="AB33" t="str">
            <v>NICE EST</v>
          </cell>
          <cell r="AC33" t="str">
            <v>REPOS</v>
          </cell>
          <cell r="AD33" t="str">
            <v>REPOS</v>
          </cell>
          <cell r="AE33" t="str">
            <v>ENC AM 12H30-19H30</v>
          </cell>
          <cell r="AF33" t="str">
            <v>ENC AM 12H30-19H30</v>
          </cell>
          <cell r="AG33" t="str">
            <v>REPOS</v>
          </cell>
          <cell r="AH33" t="str">
            <v>ENC AM 12H30-19H30</v>
          </cell>
          <cell r="AI33" t="str">
            <v>ENC AM 12H30-19H30</v>
          </cell>
          <cell r="AJ33" t="str">
            <v>NICE EST</v>
          </cell>
          <cell r="AK33" t="str">
            <v>REPOS</v>
          </cell>
          <cell r="AL33" t="str">
            <v>NICE EST</v>
          </cell>
          <cell r="AM33" t="str">
            <v>NICE EST</v>
          </cell>
          <cell r="AN33" t="str">
            <v>ENC AM 12H30-19H30</v>
          </cell>
          <cell r="AO33" t="str">
            <v>ENC AM 12H30-19H30</v>
          </cell>
          <cell r="AP33" t="str">
            <v>ENC AM 12H30-19H30</v>
          </cell>
          <cell r="AQ33" t="str">
            <v>REPOS</v>
          </cell>
          <cell r="AR33" t="str">
            <v>REPOS</v>
          </cell>
          <cell r="AS33" t="str">
            <v>NICE EST</v>
          </cell>
          <cell r="AT33" t="str">
            <v>NICE EST</v>
          </cell>
          <cell r="AU33" t="str">
            <v>NICE EST</v>
          </cell>
          <cell r="AV33" t="str">
            <v>NICE EST</v>
          </cell>
          <cell r="AW33" t="str">
            <v>NICE EST</v>
          </cell>
          <cell r="AX33" t="str">
            <v>REPOS</v>
          </cell>
          <cell r="AY33" t="str">
            <v>REPOS</v>
          </cell>
          <cell r="AZ33" t="str">
            <v>ENC AM 12H30-19H30</v>
          </cell>
          <cell r="BA33" t="str">
            <v>NICE EST</v>
          </cell>
          <cell r="BB33" t="str">
            <v>NICE EST</v>
          </cell>
          <cell r="BC33" t="str">
            <v>NICE EST</v>
          </cell>
          <cell r="BD33" t="str">
            <v>NICE EST</v>
          </cell>
          <cell r="BE33" t="str">
            <v>REPOS</v>
          </cell>
          <cell r="BF33" t="str">
            <v>REPOS</v>
          </cell>
          <cell r="BG33" t="str">
            <v>NICE EST</v>
          </cell>
          <cell r="BH33" t="str">
            <v>NICE EST</v>
          </cell>
          <cell r="BI33" t="str">
            <v>NICE EST</v>
          </cell>
          <cell r="BJ33" t="str">
            <v>REPOS</v>
          </cell>
          <cell r="BK33" t="str">
            <v>NICE EST</v>
          </cell>
          <cell r="BL33" t="str">
            <v>NICE EST</v>
          </cell>
          <cell r="BM33" t="str">
            <v>REPOS</v>
          </cell>
          <cell r="BN33" t="str">
            <v>NICE EST</v>
          </cell>
          <cell r="BO33" t="str">
            <v>Congés</v>
          </cell>
          <cell r="BP33" t="str">
            <v>NICE EST</v>
          </cell>
          <cell r="BQ33" t="str">
            <v>NICE EST</v>
          </cell>
          <cell r="BR33" t="str">
            <v>NICE EST</v>
          </cell>
          <cell r="BS33" t="str">
            <v>REPOS</v>
          </cell>
          <cell r="BT33" t="str">
            <v>REPOS</v>
          </cell>
          <cell r="BU33" t="str">
            <v>ENC AM 12H30-19H30</v>
          </cell>
          <cell r="BV33" t="str">
            <v>ENC AM 12H30-19H30</v>
          </cell>
          <cell r="BW33" t="str">
            <v>NICE EST</v>
          </cell>
          <cell r="BX33" t="str">
            <v>NICE EST</v>
          </cell>
          <cell r="BY33" t="str">
            <v>Congés</v>
          </cell>
          <cell r="BZ33" t="str">
            <v>REPOS</v>
          </cell>
          <cell r="CA33" t="str">
            <v>REPOS</v>
          </cell>
          <cell r="CB33" t="str">
            <v>ENC AM 12H30-19H30</v>
          </cell>
          <cell r="CC33" t="str">
            <v>ENC AM 12H30-19H30</v>
          </cell>
          <cell r="CD33" t="str">
            <v>ENC AM 12H30-19H30</v>
          </cell>
          <cell r="CE33" t="str">
            <v>NICE EST</v>
          </cell>
          <cell r="CF33" t="str">
            <v>NICE EST</v>
          </cell>
          <cell r="CG33" t="str">
            <v>REPOS</v>
          </cell>
          <cell r="CH33" t="str">
            <v>REPOS</v>
          </cell>
          <cell r="CI33" t="str">
            <v>ENC AM 12H30-19H30</v>
          </cell>
          <cell r="CJ33" t="str">
            <v>ENC AM 12H30-19H30</v>
          </cell>
          <cell r="CK33" t="str">
            <v>NICE EST</v>
          </cell>
          <cell r="CL33" t="str">
            <v>NICE EST</v>
          </cell>
          <cell r="CM33" t="str">
            <v>NICE EST</v>
          </cell>
          <cell r="CN33" t="str">
            <v>REPOS</v>
          </cell>
          <cell r="CO33" t="str">
            <v>REPOS</v>
          </cell>
          <cell r="CP33" t="str">
            <v>NICE EST</v>
          </cell>
          <cell r="CQ33" t="str">
            <v>ENC AM 12H30-19H30</v>
          </cell>
          <cell r="CR33" t="str">
            <v>ENC AM 12H30-19H30</v>
          </cell>
          <cell r="CS33" t="str">
            <v>ENC AM 12H30-19H30</v>
          </cell>
          <cell r="CT33" t="str">
            <v>ENC AM 12H30-19H30</v>
          </cell>
          <cell r="CU33" t="str">
            <v>REPOS</v>
          </cell>
          <cell r="CV33" t="str">
            <v>REPOS</v>
          </cell>
          <cell r="CW33" t="str">
            <v>REPOS</v>
          </cell>
          <cell r="CX33" t="str">
            <v>FORMATION</v>
          </cell>
          <cell r="CY33" t="str">
            <v>FORMATION</v>
          </cell>
          <cell r="CZ33" t="str">
            <v>ENC AM 12H30-19H30</v>
          </cell>
          <cell r="DA33" t="str">
            <v>ENC AM 12H30-19H30</v>
          </cell>
          <cell r="DB33" t="str">
            <v>REPOS</v>
          </cell>
          <cell r="DC33" t="str">
            <v>REPOS</v>
          </cell>
          <cell r="DD33" t="str">
            <v>FORMATION</v>
          </cell>
          <cell r="DE33" t="str">
            <v>FORMATION</v>
          </cell>
          <cell r="DF33" t="str">
            <v>FORMATION</v>
          </cell>
          <cell r="DG33" t="str">
            <v>REPOS</v>
          </cell>
          <cell r="DH33" t="str">
            <v>NICE EST</v>
          </cell>
          <cell r="DI33" t="str">
            <v>NICE EST</v>
          </cell>
          <cell r="DJ33" t="str">
            <v>REPOS</v>
          </cell>
          <cell r="DK33" t="str">
            <v>Congés</v>
          </cell>
          <cell r="DL33" t="str">
            <v>Congés</v>
          </cell>
          <cell r="DM33" t="str">
            <v>ENC AM 12H30-19H30</v>
          </cell>
          <cell r="DN33" t="str">
            <v>ENC AM 12H30-19H30</v>
          </cell>
          <cell r="DO33" t="str">
            <v>ENC AM 12H30-19H30</v>
          </cell>
          <cell r="DP33" t="str">
            <v>REPOS</v>
          </cell>
          <cell r="DQ33" t="str">
            <v>REPOS</v>
          </cell>
          <cell r="DR33" t="str">
            <v>ENC AM 12H30-19H30</v>
          </cell>
          <cell r="DS33" t="str">
            <v>ENC AM 12H30-19H30</v>
          </cell>
          <cell r="DT33" t="str">
            <v>NICE EST</v>
          </cell>
          <cell r="DU33" t="str">
            <v>NICE EST</v>
          </cell>
          <cell r="DV33" t="str">
            <v>NICE EST</v>
          </cell>
          <cell r="DW33" t="str">
            <v>REPOS</v>
          </cell>
          <cell r="DX33" t="str">
            <v>REPOS</v>
          </cell>
          <cell r="DY33" t="str">
            <v>Congés</v>
          </cell>
          <cell r="DZ33" t="str">
            <v>REPOS</v>
          </cell>
          <cell r="EA33" t="str">
            <v>NICE EST</v>
          </cell>
          <cell r="EB33" t="str">
            <v>NICE EST</v>
          </cell>
          <cell r="EC33" t="str">
            <v>NICE EST</v>
          </cell>
          <cell r="ED33" t="str">
            <v>REPOS</v>
          </cell>
          <cell r="EE33" t="str">
            <v>REPOS</v>
          </cell>
          <cell r="EF33" t="str">
            <v>NICE EST</v>
          </cell>
          <cell r="EG33" t="str">
            <v>REPOS</v>
          </cell>
          <cell r="EH33" t="str">
            <v>NICE EST</v>
          </cell>
          <cell r="EI33" t="str">
            <v>REPOS</v>
          </cell>
          <cell r="EJ33" t="str">
            <v>REPOS</v>
          </cell>
          <cell r="EK33" t="str">
            <v>NICE EST</v>
          </cell>
          <cell r="EL33" t="str">
            <v>REPOS</v>
          </cell>
          <cell r="EM33" t="str">
            <v>NICE EST</v>
          </cell>
          <cell r="EN33" t="str">
            <v>NICE EST</v>
          </cell>
          <cell r="EO33" t="str">
            <v>NICE EST</v>
          </cell>
          <cell r="EP33" t="str">
            <v>NICE EST</v>
          </cell>
          <cell r="EQ33" t="str">
            <v>NICE EST</v>
          </cell>
          <cell r="ER33" t="str">
            <v>REPOS</v>
          </cell>
          <cell r="ES33" t="str">
            <v>REPOS</v>
          </cell>
          <cell r="ET33" t="str">
            <v>NICE EST</v>
          </cell>
          <cell r="EU33" t="str">
            <v>NICE EST</v>
          </cell>
          <cell r="EV33" t="str">
            <v>NICE EST</v>
          </cell>
          <cell r="EW33" t="str">
            <v>NICE EST</v>
          </cell>
          <cell r="EX33" t="str">
            <v>NICE EST</v>
          </cell>
          <cell r="EY33" t="str">
            <v>REPOS</v>
          </cell>
          <cell r="EZ33" t="str">
            <v>REPOS</v>
          </cell>
          <cell r="FA33" t="str">
            <v>NICE EST</v>
          </cell>
          <cell r="FB33" t="str">
            <v>ENC AM 12H30-19H30</v>
          </cell>
          <cell r="FC33" t="str">
            <v>ENC AM 12H30-19H30</v>
          </cell>
          <cell r="FD33" t="str">
            <v>ENC AM 12H30-19H30</v>
          </cell>
          <cell r="FE33" t="str">
            <v>NICE EST</v>
          </cell>
          <cell r="FF33" t="str">
            <v>REPOS</v>
          </cell>
          <cell r="FG33" t="str">
            <v>REPOS</v>
          </cell>
          <cell r="FH33" t="str">
            <v>ENC AM 12H30-19H30</v>
          </cell>
          <cell r="FI33" t="str">
            <v>ENC AM 12H30-19H30</v>
          </cell>
          <cell r="FJ33" t="str">
            <v>REPOS</v>
          </cell>
          <cell r="FK33" t="str">
            <v>ENC AM 12H30-19H30</v>
          </cell>
          <cell r="FL33" t="str">
            <v>NICE EST</v>
          </cell>
          <cell r="FM33" t="str">
            <v>NICE EST</v>
          </cell>
          <cell r="FN33" t="str">
            <v>REPOS</v>
          </cell>
          <cell r="FO33" t="str">
            <v>ENC AM 12H30-19H30</v>
          </cell>
          <cell r="FP33" t="str">
            <v>ENC AM 12H30-19H30</v>
          </cell>
          <cell r="FQ33" t="str">
            <v>ENC AM 12H30-19H30</v>
          </cell>
          <cell r="FR33" t="str">
            <v>NICE EST</v>
          </cell>
          <cell r="FS33" t="str">
            <v>NICE EST</v>
          </cell>
          <cell r="FT33" t="str">
            <v>REPOS</v>
          </cell>
          <cell r="FU33" t="str">
            <v>REPOS</v>
          </cell>
          <cell r="FV33" t="str">
            <v>ENC AM 12H30-19H30</v>
          </cell>
          <cell r="FW33" t="str">
            <v>ENC AM 12H30-19H30</v>
          </cell>
          <cell r="FX33" t="str">
            <v>ENC AM 12H30-19H30</v>
          </cell>
          <cell r="FY33" t="str">
            <v>ENC AM 12H30-19H30</v>
          </cell>
          <cell r="FZ33" t="str">
            <v>ENC AM 12H30-19H30</v>
          </cell>
          <cell r="GA33" t="str">
            <v>REPOS</v>
          </cell>
          <cell r="GB33" t="str">
            <v>REPOS</v>
          </cell>
          <cell r="GC33" t="str">
            <v>ENC AM 12H30-19H30</v>
          </cell>
          <cell r="GD33" t="str">
            <v>ENC AM 12H30-19H30</v>
          </cell>
          <cell r="GE33" t="str">
            <v>ENC AM 12H30-19H30</v>
          </cell>
          <cell r="GF33" t="str">
            <v>ENC AM 12H30-19H30</v>
          </cell>
          <cell r="GG33" t="str">
            <v>ENC AM 12H30-19H30</v>
          </cell>
          <cell r="GH33" t="str">
            <v>REPOS</v>
          </cell>
          <cell r="GI33" t="str">
            <v>REPOS</v>
          </cell>
          <cell r="GJ33" t="str">
            <v>Congés</v>
          </cell>
          <cell r="GK33" t="str">
            <v>Congés</v>
          </cell>
          <cell r="GL33" t="str">
            <v>Congés</v>
          </cell>
          <cell r="GM33" t="str">
            <v>Congés</v>
          </cell>
          <cell r="GN33" t="str">
            <v>Congés</v>
          </cell>
          <cell r="GO33" t="str">
            <v>REPOS</v>
          </cell>
          <cell r="GP33" t="str">
            <v>REPOS</v>
          </cell>
          <cell r="GQ33" t="str">
            <v>Congés</v>
          </cell>
          <cell r="GR33" t="str">
            <v>Congés</v>
          </cell>
          <cell r="GS33" t="str">
            <v>Congés</v>
          </cell>
          <cell r="GT33" t="str">
            <v>Congés</v>
          </cell>
          <cell r="GU33" t="str">
            <v>Congés</v>
          </cell>
          <cell r="GV33" t="str">
            <v>REPOS</v>
          </cell>
          <cell r="GW33" t="str">
            <v>REPOS</v>
          </cell>
          <cell r="JU33" t="str">
            <v>REPOS</v>
          </cell>
          <cell r="JV33" t="str">
            <v>REPOS</v>
          </cell>
          <cell r="JW33" t="str">
            <v>Congés</v>
          </cell>
          <cell r="JX33" t="str">
            <v>Congés</v>
          </cell>
          <cell r="JY33" t="str">
            <v>Congés</v>
          </cell>
          <cell r="JZ33" t="str">
            <v>Congés</v>
          </cell>
          <cell r="KA33" t="str">
            <v>Congés</v>
          </cell>
          <cell r="KB33" t="str">
            <v>REPOS</v>
          </cell>
          <cell r="KC33" t="str">
            <v>REPOS</v>
          </cell>
          <cell r="KD33" t="str">
            <v>Congés</v>
          </cell>
          <cell r="KE33" t="str">
            <v>Congés</v>
          </cell>
          <cell r="KF33" t="str">
            <v>Congés</v>
          </cell>
          <cell r="KG33" t="str">
            <v>Congés</v>
          </cell>
          <cell r="KH33" t="str">
            <v>Congés</v>
          </cell>
          <cell r="KI33" t="str">
            <v>REPOS</v>
          </cell>
          <cell r="KJ33" t="str">
            <v>REPOS</v>
          </cell>
        </row>
        <row r="34">
          <cell r="J34" t="str">
            <v>REPOS</v>
          </cell>
          <cell r="K34" t="str">
            <v>ENC AM 12H30-19H30</v>
          </cell>
          <cell r="L34" t="str">
            <v>ENC AM 12H30-19H30</v>
          </cell>
          <cell r="M34" t="str">
            <v>MI-TEMPS REPOS</v>
          </cell>
          <cell r="N34" t="str">
            <v>MI-TEMPS REPOS</v>
          </cell>
          <cell r="O34" t="str">
            <v>REPOS</v>
          </cell>
          <cell r="P34" t="str">
            <v>REPOS</v>
          </cell>
          <cell r="Q34" t="str">
            <v>MI-TEMPS REPOS</v>
          </cell>
          <cell r="R34" t="str">
            <v>MI-TEMPS REPOS</v>
          </cell>
          <cell r="S34" t="str">
            <v>ENC AM 12H30-19H30</v>
          </cell>
          <cell r="T34" t="str">
            <v>ENC AM 12H30-19H30</v>
          </cell>
          <cell r="U34" t="str">
            <v>ENC AM 12H30-19H30</v>
          </cell>
          <cell r="V34" t="str">
            <v>REPOS</v>
          </cell>
          <cell r="W34" t="str">
            <v>REPOS</v>
          </cell>
          <cell r="X34" t="str">
            <v>MI-TEMPS REPOS</v>
          </cell>
          <cell r="Y34" t="str">
            <v>MI-TEMPS REPOS</v>
          </cell>
          <cell r="Z34" t="str">
            <v>MI-TEMPS REPOS</v>
          </cell>
          <cell r="AA34" t="str">
            <v>REPOS</v>
          </cell>
          <cell r="AB34" t="str">
            <v>ENC AM 12H30-19H30</v>
          </cell>
          <cell r="AC34" t="str">
            <v>ENC AM 12H30-19H30</v>
          </cell>
          <cell r="AD34" t="str">
            <v>REPOS</v>
          </cell>
          <cell r="AE34" t="str">
            <v>MI-TEMPS REPOS</v>
          </cell>
          <cell r="AF34" t="str">
            <v>MI-TEMPS REPOS</v>
          </cell>
          <cell r="AG34" t="str">
            <v>ENC AM 12H30-19H30</v>
          </cell>
          <cell r="AH34" t="str">
            <v>ENC AM 12H30-19H30</v>
          </cell>
          <cell r="AI34" t="str">
            <v>ENC AM 12H30-19H30</v>
          </cell>
          <cell r="AJ34" t="str">
            <v>REPOS</v>
          </cell>
          <cell r="AK34" t="str">
            <v>REPOS</v>
          </cell>
          <cell r="AL34" t="str">
            <v>MI-TEMPS REPOS</v>
          </cell>
          <cell r="AM34" t="str">
            <v>MI-TEMPS REPOS</v>
          </cell>
          <cell r="AN34" t="str">
            <v>MI-TEMPS REPOS</v>
          </cell>
          <cell r="AO34" t="str">
            <v>MI-TEMPS REPOS</v>
          </cell>
          <cell r="AP34" t="str">
            <v>ENC AM 12H30-19H30</v>
          </cell>
          <cell r="AQ34" t="str">
            <v>ENC AM 12H30-19H30</v>
          </cell>
          <cell r="AR34" t="str">
            <v>REPOS</v>
          </cell>
          <cell r="AS34" t="str">
            <v>MI-TEMPS REPOS</v>
          </cell>
          <cell r="AT34" t="str">
            <v>MI-TEMPS REPOS</v>
          </cell>
          <cell r="AU34" t="str">
            <v>Congés</v>
          </cell>
          <cell r="AV34" t="str">
            <v>ENC AM 12H30-19H30</v>
          </cell>
          <cell r="AW34" t="str">
            <v>CARTON AP</v>
          </cell>
          <cell r="AX34" t="str">
            <v>REPOS</v>
          </cell>
          <cell r="AY34" t="str">
            <v>REPOS</v>
          </cell>
          <cell r="AZ34" t="str">
            <v>MI-TEMPS REPOS</v>
          </cell>
          <cell r="BA34" t="str">
            <v>MI-TEMPS REPOS</v>
          </cell>
          <cell r="BB34" t="str">
            <v>MI-TEMPS REPOS</v>
          </cell>
          <cell r="BC34" t="str">
            <v>ENC AM 12H30-19H30</v>
          </cell>
          <cell r="BD34" t="str">
            <v>ENC AM 12H30-19H30</v>
          </cell>
          <cell r="BE34" t="str">
            <v>REPOS</v>
          </cell>
          <cell r="BF34" t="str">
            <v>REPOS</v>
          </cell>
          <cell r="BG34" t="str">
            <v>MI-TEMPS REPOS</v>
          </cell>
          <cell r="BH34" t="str">
            <v>MI-TEMPS REPOS</v>
          </cell>
          <cell r="BI34" t="str">
            <v>CARTON AP</v>
          </cell>
          <cell r="BJ34" t="str">
            <v>ENC AM 12H30-19H30</v>
          </cell>
          <cell r="BK34" t="str">
            <v>ENC AM 12H30-19H30</v>
          </cell>
          <cell r="BL34" t="str">
            <v>REPOS</v>
          </cell>
          <cell r="BM34" t="str">
            <v>REPOS</v>
          </cell>
          <cell r="BN34" t="str">
            <v>MI-TEMPS REPOS</v>
          </cell>
          <cell r="BO34" t="str">
            <v>MI-TEMPS REPOS</v>
          </cell>
          <cell r="BP34" t="str">
            <v>CARTON AP</v>
          </cell>
          <cell r="BQ34" t="str">
            <v>ENC AM 12H30-19H30</v>
          </cell>
          <cell r="BR34" t="str">
            <v>MI-TEMPS REPOS</v>
          </cell>
          <cell r="BS34" t="str">
            <v>REPOS</v>
          </cell>
          <cell r="BT34" t="str">
            <v>REPOS</v>
          </cell>
          <cell r="BU34" t="str">
            <v>MI-TEMPS REPOS</v>
          </cell>
          <cell r="BV34" t="str">
            <v>MI-TEMPS REPOS</v>
          </cell>
          <cell r="BW34" t="str">
            <v>ENC AM 12H30-19H30</v>
          </cell>
          <cell r="BX34" t="str">
            <v>ENC AM 12H30-19H30</v>
          </cell>
          <cell r="BY34" t="str">
            <v>ENC AM 12H30-19H30</v>
          </cell>
          <cell r="BZ34" t="str">
            <v>REPOS</v>
          </cell>
          <cell r="CA34" t="str">
            <v>REPOS</v>
          </cell>
          <cell r="CB34" t="str">
            <v>MI-TEMPS REPOS</v>
          </cell>
          <cell r="CC34" t="str">
            <v>MI-TEMPS REPOS</v>
          </cell>
          <cell r="CD34" t="str">
            <v>MI-TEMPS REPOS</v>
          </cell>
          <cell r="CE34" t="str">
            <v>ENC AM 12H30-19H30</v>
          </cell>
          <cell r="CF34" t="str">
            <v>ENC AM 12H30-19H30</v>
          </cell>
          <cell r="CG34" t="str">
            <v>REPOS</v>
          </cell>
          <cell r="CH34" t="str">
            <v>REPOS</v>
          </cell>
          <cell r="CI34" t="str">
            <v>MI-TEMPS REPOS</v>
          </cell>
          <cell r="CJ34" t="str">
            <v>MI-TEMPS REPOS</v>
          </cell>
          <cell r="CK34" t="str">
            <v>ENC AM 12H30-19H30</v>
          </cell>
          <cell r="CL34" t="str">
            <v>ENC AM 12H30-19H30</v>
          </cell>
          <cell r="CM34" t="str">
            <v>ENC AM 12H30-19H30</v>
          </cell>
          <cell r="CN34" t="str">
            <v>REPOS</v>
          </cell>
          <cell r="CO34" t="str">
            <v>REPOS</v>
          </cell>
          <cell r="CP34" t="str">
            <v>MI-TEMPS REPOS</v>
          </cell>
          <cell r="CQ34" t="str">
            <v>MI-TEMPS REPOS</v>
          </cell>
          <cell r="CR34" t="str">
            <v>MI-TEMPS REPOS</v>
          </cell>
          <cell r="CS34" t="str">
            <v>ENC AM 12H30-19H30</v>
          </cell>
          <cell r="CT34" t="str">
            <v>ENC AM 12H30-19H30</v>
          </cell>
          <cell r="CU34" t="str">
            <v>REPOS</v>
          </cell>
          <cell r="CV34" t="str">
            <v>REPOS</v>
          </cell>
          <cell r="CW34" t="str">
            <v>REPOS</v>
          </cell>
          <cell r="CX34" t="str">
            <v>Congés</v>
          </cell>
          <cell r="CY34" t="str">
            <v>Congés</v>
          </cell>
          <cell r="CZ34" t="str">
            <v>Congés</v>
          </cell>
          <cell r="DA34" t="str">
            <v>Congés</v>
          </cell>
          <cell r="DB34" t="str">
            <v>REPOS</v>
          </cell>
          <cell r="DC34" t="str">
            <v>REPOS</v>
          </cell>
          <cell r="DD34" t="str">
            <v>Congés</v>
          </cell>
          <cell r="DE34" t="str">
            <v>Congés</v>
          </cell>
          <cell r="DF34" t="str">
            <v>Congés</v>
          </cell>
          <cell r="DG34" t="str">
            <v>Congés</v>
          </cell>
          <cell r="DH34" t="str">
            <v>Congés</v>
          </cell>
          <cell r="DI34" t="str">
            <v>REPOS</v>
          </cell>
          <cell r="DJ34" t="str">
            <v>REPOS</v>
          </cell>
          <cell r="DK34" t="str">
            <v>MI-TEMPS REPOS</v>
          </cell>
          <cell r="DL34" t="str">
            <v>MI-TEMPS REPOS</v>
          </cell>
          <cell r="DM34" t="str">
            <v>Congés</v>
          </cell>
          <cell r="DN34" t="str">
            <v>Congés</v>
          </cell>
          <cell r="DO34" t="str">
            <v>ENC AM 12H30-19H30</v>
          </cell>
          <cell r="DP34" t="str">
            <v>REPOS</v>
          </cell>
          <cell r="DQ34" t="str">
            <v>REPOS</v>
          </cell>
          <cell r="DR34" t="str">
            <v>MI-TEMPS REPOS</v>
          </cell>
          <cell r="DS34" t="str">
            <v>MI-TEMPS REPOS</v>
          </cell>
          <cell r="DT34" t="str">
            <v>MI-TEMPS REPOS</v>
          </cell>
          <cell r="DU34" t="str">
            <v>ENC AM 12H30-19H30</v>
          </cell>
          <cell r="DV34" t="str">
            <v>ENC AM 12H30-19H30</v>
          </cell>
          <cell r="DW34" t="str">
            <v>REPOS</v>
          </cell>
          <cell r="DX34" t="str">
            <v>REPOS</v>
          </cell>
          <cell r="DY34" t="str">
            <v>MI-TEMPS REPOS</v>
          </cell>
          <cell r="DZ34" t="str">
            <v>REPOS</v>
          </cell>
          <cell r="EA34" t="str">
            <v>ENC AM 12H30-19H30</v>
          </cell>
          <cell r="EB34" t="str">
            <v>ENC AM 12H30-19H30</v>
          </cell>
          <cell r="EC34" t="str">
            <v>ENC AM 12H30-19H30</v>
          </cell>
          <cell r="ED34" t="str">
            <v>REPOS</v>
          </cell>
          <cell r="EE34" t="str">
            <v>REPOS</v>
          </cell>
          <cell r="EF34" t="str">
            <v>MI-TEMPS REPOS</v>
          </cell>
          <cell r="EG34" t="str">
            <v>REPOS</v>
          </cell>
          <cell r="EH34" t="str">
            <v>MI-TEMPS REPOS</v>
          </cell>
          <cell r="EI34" t="str">
            <v>REPOS</v>
          </cell>
          <cell r="EJ34" t="str">
            <v>ENC AM 12H30-19H30</v>
          </cell>
          <cell r="EK34" t="str">
            <v>REPOS</v>
          </cell>
          <cell r="EL34" t="str">
            <v>REPOS</v>
          </cell>
          <cell r="EM34" t="str">
            <v>MI-TEMPS REPOS</v>
          </cell>
          <cell r="EN34" t="str">
            <v>MI-TEMPS REPOS</v>
          </cell>
          <cell r="EO34" t="str">
            <v>MI-TEMPS REPOS</v>
          </cell>
          <cell r="EP34" t="str">
            <v>ENC AM 12H30-19H30</v>
          </cell>
          <cell r="EQ34" t="str">
            <v>ENC AM 12H30-19H30</v>
          </cell>
          <cell r="ER34" t="str">
            <v>REPOS</v>
          </cell>
          <cell r="ES34" t="str">
            <v>REPOS</v>
          </cell>
          <cell r="ET34" t="str">
            <v>MI-TEMPS REPOS</v>
          </cell>
          <cell r="EU34" t="str">
            <v>MI-TEMPS REPOS</v>
          </cell>
          <cell r="EV34" t="str">
            <v>ENC AM 12H30-19H30</v>
          </cell>
          <cell r="EW34" t="str">
            <v>ENC AM 12H30-19H30</v>
          </cell>
          <cell r="EX34" t="str">
            <v>ENC AM 12H30-19H30</v>
          </cell>
          <cell r="EY34" t="str">
            <v>REPOS</v>
          </cell>
          <cell r="EZ34" t="str">
            <v>REPOS</v>
          </cell>
          <cell r="FA34" t="str">
            <v>MI-TEMPS REPOS</v>
          </cell>
          <cell r="FB34" t="str">
            <v>MI-TEMPS REPOS</v>
          </cell>
          <cell r="FC34" t="str">
            <v>MI-TEMPS REPOS</v>
          </cell>
          <cell r="FD34" t="str">
            <v>ENC AM 12H30-19H30</v>
          </cell>
          <cell r="FE34" t="str">
            <v>ENC AM 12H30-19H30</v>
          </cell>
          <cell r="FF34" t="str">
            <v>REPOS</v>
          </cell>
          <cell r="FG34" t="str">
            <v>REPOS</v>
          </cell>
          <cell r="FH34" t="str">
            <v>MI-TEMPS REPOS</v>
          </cell>
          <cell r="FI34" t="str">
            <v>MI-TEMPS REPOS</v>
          </cell>
          <cell r="FJ34" t="str">
            <v>ENC AM 12H30-19H30</v>
          </cell>
          <cell r="FK34" t="str">
            <v>ENC AM 12H30-19H30</v>
          </cell>
          <cell r="FL34" t="str">
            <v>ENC AM 12H30-19H30</v>
          </cell>
          <cell r="FM34" t="str">
            <v>REPOS</v>
          </cell>
          <cell r="FN34" t="str">
            <v>REPOS</v>
          </cell>
          <cell r="FO34" t="str">
            <v>MI-TEMPS REPOS</v>
          </cell>
          <cell r="FP34" t="str">
            <v>MI-TEMPS REPOS</v>
          </cell>
          <cell r="FQ34" t="str">
            <v>MI-TEMPS REPOS</v>
          </cell>
          <cell r="FR34" t="str">
            <v>ENC AM 12H30-19H30</v>
          </cell>
          <cell r="FS34" t="str">
            <v>ENC AM 12H30-19H30</v>
          </cell>
          <cell r="FT34" t="str">
            <v>REPOS</v>
          </cell>
          <cell r="FU34" t="str">
            <v>REPOS</v>
          </cell>
          <cell r="FV34" t="str">
            <v>MI-TEMPS REPOS</v>
          </cell>
          <cell r="FW34" t="str">
            <v>MI-TEMPS REPOS</v>
          </cell>
          <cell r="FX34" t="str">
            <v>ENC AM 12H30-19H30</v>
          </cell>
          <cell r="FY34" t="str">
            <v>ENC AM 12H30-19H30</v>
          </cell>
          <cell r="FZ34" t="str">
            <v>ENC AM 12H30-19H30</v>
          </cell>
          <cell r="GA34" t="str">
            <v>REPOS</v>
          </cell>
          <cell r="GB34" t="str">
            <v>REPOS</v>
          </cell>
          <cell r="GC34" t="str">
            <v>MI-TEMPS REPOS</v>
          </cell>
          <cell r="GD34" t="str">
            <v>MI-TEMPS REPOS</v>
          </cell>
          <cell r="GE34" t="str">
            <v>MI-TEMPS REPOS</v>
          </cell>
          <cell r="GF34" t="str">
            <v>ENC AM 12H30-19H30</v>
          </cell>
          <cell r="GG34" t="str">
            <v>ENC AM 12H30-19H30</v>
          </cell>
          <cell r="GH34" t="str">
            <v>REPOS</v>
          </cell>
          <cell r="GI34" t="str">
            <v>REPOS</v>
          </cell>
          <cell r="IN34" t="str">
            <v>Congés</v>
          </cell>
          <cell r="IO34" t="str">
            <v>Congés</v>
          </cell>
          <cell r="IP34" t="str">
            <v>Congés</v>
          </cell>
          <cell r="IQ34" t="str">
            <v>Congés</v>
          </cell>
          <cell r="IR34" t="str">
            <v>Congés</v>
          </cell>
          <cell r="IS34" t="str">
            <v>REPOS</v>
          </cell>
          <cell r="IT34" t="str">
            <v>REPOS</v>
          </cell>
          <cell r="IU34" t="str">
            <v>Congés</v>
          </cell>
          <cell r="IV34" t="str">
            <v>Congés</v>
          </cell>
          <cell r="IW34" t="str">
            <v>Congés</v>
          </cell>
          <cell r="IX34" t="str">
            <v>Congés</v>
          </cell>
          <cell r="IY34" t="str">
            <v>Congés</v>
          </cell>
          <cell r="IZ34" t="str">
            <v>REPOS</v>
          </cell>
          <cell r="JA34" t="str">
            <v>REPOS</v>
          </cell>
          <cell r="JB34" t="str">
            <v>Congés</v>
          </cell>
          <cell r="JC34" t="str">
            <v>Congés</v>
          </cell>
          <cell r="JD34" t="str">
            <v>Congés</v>
          </cell>
          <cell r="JE34" t="str">
            <v>Congés</v>
          </cell>
          <cell r="JF34" t="str">
            <v>Congés</v>
          </cell>
          <cell r="JG34" t="str">
            <v>REPOS</v>
          </cell>
          <cell r="JH34" t="str">
            <v>REPOS</v>
          </cell>
        </row>
        <row r="35">
          <cell r="DP35" t="str">
            <v>REPOS</v>
          </cell>
          <cell r="DQ35" t="str">
            <v>REPOS</v>
          </cell>
          <cell r="DR35" t="str">
            <v>ENC MATIN 5H-12H</v>
          </cell>
          <cell r="DS35" t="str">
            <v>ENC MATIN 5H-12H</v>
          </cell>
          <cell r="DT35" t="str">
            <v>REPOS</v>
          </cell>
          <cell r="DU35" t="str">
            <v>ENC MATIN 5H-12H</v>
          </cell>
          <cell r="DV35" t="str">
            <v>ENC MATIN 5H-12H</v>
          </cell>
          <cell r="DW35" t="str">
            <v>NICE OUEST</v>
          </cell>
          <cell r="DX35" t="str">
            <v>REPOS</v>
          </cell>
          <cell r="DY35" t="str">
            <v>NICE EST</v>
          </cell>
          <cell r="DZ35" t="str">
            <v>REPOS</v>
          </cell>
          <cell r="EA35" t="str">
            <v>ENC NUIT 20H30-03H30</v>
          </cell>
          <cell r="EB35" t="str">
            <v>ENC NUIT 20H30-03H30</v>
          </cell>
          <cell r="EC35" t="str">
            <v>ENC NUIT 20H30-03H30</v>
          </cell>
          <cell r="ED35" t="str">
            <v>REPOS</v>
          </cell>
          <cell r="EE35" t="str">
            <v>ENC AM DIM</v>
          </cell>
          <cell r="EF35" t="str">
            <v>ENC NUIT 20H30-03H30</v>
          </cell>
          <cell r="EG35" t="str">
            <v>REPOS</v>
          </cell>
          <cell r="EH35" t="str">
            <v>ENC NUIT 20H30-03H30</v>
          </cell>
          <cell r="EI35" t="str">
            <v>REPOS</v>
          </cell>
          <cell r="EJ35" t="str">
            <v>ENC NUIT 20H30-03H30</v>
          </cell>
          <cell r="EK35" t="str">
            <v>REPOS</v>
          </cell>
          <cell r="EL35" t="str">
            <v>NICE EST DIM</v>
          </cell>
          <cell r="EM35" t="str">
            <v>Congés</v>
          </cell>
          <cell r="EN35" t="str">
            <v>Congés</v>
          </cell>
          <cell r="EO35" t="str">
            <v>Congés</v>
          </cell>
          <cell r="EP35" t="str">
            <v>Congés</v>
          </cell>
          <cell r="EQ35" t="str">
            <v>Congés</v>
          </cell>
          <cell r="ER35" t="str">
            <v>REPOS</v>
          </cell>
          <cell r="ES35" t="str">
            <v>REPOS</v>
          </cell>
          <cell r="ET35" t="str">
            <v>ENC MATIN 5H-12H</v>
          </cell>
          <cell r="EU35" t="str">
            <v>ENC MATIN 5H-12H</v>
          </cell>
          <cell r="EV35" t="str">
            <v>ENC MATIN 5H-12H</v>
          </cell>
          <cell r="EW35" t="str">
            <v>B. CARTON</v>
          </cell>
          <cell r="EX35" t="str">
            <v>ENC MATIN 5H-12H</v>
          </cell>
          <cell r="EY35" t="str">
            <v>REPOS</v>
          </cell>
          <cell r="EZ35" t="str">
            <v>REPOS</v>
          </cell>
          <cell r="FA35" t="str">
            <v>ENC MATIN 5H-12H</v>
          </cell>
          <cell r="FB35" t="str">
            <v>ENC MATIN 5H-12H</v>
          </cell>
          <cell r="FC35" t="str">
            <v>ENC MATIN 5H-12H</v>
          </cell>
          <cell r="FD35" t="str">
            <v>REPOS</v>
          </cell>
          <cell r="FE35" t="str">
            <v>B. CARTON</v>
          </cell>
          <cell r="FF35" t="str">
            <v>NICE OUEST</v>
          </cell>
          <cell r="FG35" t="str">
            <v>REPOS</v>
          </cell>
          <cell r="FH35" t="str">
            <v>ENC NUIT 20H30-03H30</v>
          </cell>
          <cell r="FI35" t="str">
            <v>ENC NUIT 20H30-03H30</v>
          </cell>
          <cell r="FJ35" t="str">
            <v>ENC NUIT 20H30-03H30</v>
          </cell>
          <cell r="FK35" t="str">
            <v>ENC NUIT 20H30-03H30</v>
          </cell>
          <cell r="FL35" t="str">
            <v>ENC NUIT 20H30-03H30</v>
          </cell>
          <cell r="FM35" t="str">
            <v>REPOS</v>
          </cell>
          <cell r="FN35" t="str">
            <v>ENC NUIT 20H30-03H30</v>
          </cell>
          <cell r="FO35" t="str">
            <v>ENC NUIT 20H30-03H30</v>
          </cell>
          <cell r="FP35" t="str">
            <v>ENC NUIT 20H30-03H30</v>
          </cell>
          <cell r="FQ35" t="str">
            <v>ENC NUIT 20H30-03H30</v>
          </cell>
          <cell r="FR35" t="str">
            <v>ENC NUIT 20H30-03H30</v>
          </cell>
          <cell r="FS35" t="str">
            <v>REPOS</v>
          </cell>
          <cell r="FT35" t="str">
            <v>REPOS</v>
          </cell>
          <cell r="FU35" t="str">
            <v>V.N Matin DIM</v>
          </cell>
          <cell r="FV35" t="str">
            <v>ENC NUIT 20H30-03H30</v>
          </cell>
          <cell r="FW35" t="str">
            <v>ENC NUIT 20H30-03H30</v>
          </cell>
          <cell r="FX35" t="str">
            <v>ENC NUIT 20H30-03H30</v>
          </cell>
          <cell r="FY35" t="str">
            <v>ENC NUIT 20H30-03H30</v>
          </cell>
          <cell r="FZ35" t="str">
            <v>ENC NUIT 20H30-03H30</v>
          </cell>
          <cell r="GA35" t="str">
            <v>REPOS</v>
          </cell>
          <cell r="GB35" t="str">
            <v>REPOS</v>
          </cell>
          <cell r="GH35" t="str">
            <v>REPOS</v>
          </cell>
          <cell r="GI35" t="str">
            <v>REPOS</v>
          </cell>
        </row>
        <row r="36">
          <cell r="CK36" t="str">
            <v>NICE OUEST</v>
          </cell>
          <cell r="CL36" t="str">
            <v>NICE OUEST</v>
          </cell>
          <cell r="CM36" t="str">
            <v>NICE OUEST</v>
          </cell>
          <cell r="CN36" t="str">
            <v>REPOS</v>
          </cell>
          <cell r="CO36" t="str">
            <v>REPOS</v>
          </cell>
          <cell r="CP36" t="str">
            <v>ENC MATIN 5H-12H</v>
          </cell>
          <cell r="CQ36" t="str">
            <v>ENC MATIN 5H-12H</v>
          </cell>
          <cell r="CR36" t="str">
            <v>ENC MATIN 5H-12H</v>
          </cell>
          <cell r="CS36" t="str">
            <v>ENC MATIN 5H-12H</v>
          </cell>
          <cell r="CT36" t="str">
            <v>ENC MATIN 5H-12H</v>
          </cell>
          <cell r="CU36" t="str">
            <v>REPOS</v>
          </cell>
          <cell r="CV36" t="str">
            <v>REPOS</v>
          </cell>
          <cell r="CW36" t="str">
            <v>REPOS</v>
          </cell>
          <cell r="CX36" t="str">
            <v>REPOS</v>
          </cell>
          <cell r="CY36" t="str">
            <v>ENC MATIN 5H-12H</v>
          </cell>
          <cell r="CZ36" t="str">
            <v>ENC MATIN 5H-12H</v>
          </cell>
          <cell r="DA36" t="str">
            <v>ENC MATIN 5H-12H</v>
          </cell>
          <cell r="DB36" t="str">
            <v>NICE OUEST</v>
          </cell>
          <cell r="DC36" t="str">
            <v>REPOS</v>
          </cell>
          <cell r="DD36" t="str">
            <v>ENC NUIT 20H30-03H30</v>
          </cell>
          <cell r="DE36" t="str">
            <v>ENC NUIT 20H30-03H30</v>
          </cell>
          <cell r="DF36" t="str">
            <v>ENC NUIT 20H30-03H30</v>
          </cell>
          <cell r="DG36" t="str">
            <v>ENC NUIT 20H30-03H30</v>
          </cell>
          <cell r="DH36" t="str">
            <v>ENC NUIT 20H30-03H30</v>
          </cell>
          <cell r="DI36" t="str">
            <v>REPOS</v>
          </cell>
          <cell r="DJ36" t="str">
            <v>ENC NUIT 20H30-03H30</v>
          </cell>
          <cell r="DK36" t="str">
            <v>ENC NUIT 20H30-03H30</v>
          </cell>
          <cell r="DL36" t="str">
            <v>ENC NUIT 20H30-03H30</v>
          </cell>
          <cell r="DM36" t="str">
            <v>ENC NUIT 20H30-03H30</v>
          </cell>
          <cell r="DN36" t="str">
            <v>ENC NUIT 20H30-03H30</v>
          </cell>
          <cell r="DO36" t="str">
            <v>REPOS</v>
          </cell>
          <cell r="DP36" t="str">
            <v>REPOS</v>
          </cell>
          <cell r="DQ36" t="str">
            <v>ENC NUIT 20H30-03H30</v>
          </cell>
          <cell r="DR36" t="str">
            <v>ENC NUIT 20H30-03H30</v>
          </cell>
          <cell r="DS36" t="str">
            <v>ENC NUIT 20H30-03H30</v>
          </cell>
          <cell r="DT36" t="str">
            <v>ENC NUIT 20H30-03H30</v>
          </cell>
          <cell r="DU36" t="str">
            <v>ENC NUIT 20H30-03H30</v>
          </cell>
          <cell r="DV36" t="str">
            <v>REPOS</v>
          </cell>
          <cell r="DW36" t="str">
            <v>REPOS</v>
          </cell>
          <cell r="DX36" t="str">
            <v>REPOS</v>
          </cell>
          <cell r="DY36" t="str">
            <v>ENC MATIN 5H-12H</v>
          </cell>
          <cell r="DZ36" t="str">
            <v>REPOS</v>
          </cell>
          <cell r="EA36" t="str">
            <v>ENC MATIN 5H-12H</v>
          </cell>
          <cell r="EB36" t="str">
            <v>REPOS</v>
          </cell>
          <cell r="EC36" t="str">
            <v>ENC MATIN 5H-12H</v>
          </cell>
          <cell r="ED36" t="str">
            <v>NICE OUEST</v>
          </cell>
          <cell r="EE36" t="str">
            <v>REPOS</v>
          </cell>
          <cell r="EF36" t="str">
            <v>ENC MATIN 5H-12H</v>
          </cell>
          <cell r="EG36" t="str">
            <v>REPOS</v>
          </cell>
          <cell r="EH36" t="str">
            <v>ENC MATIN 5H-12H</v>
          </cell>
          <cell r="EI36" t="str">
            <v>REPOS</v>
          </cell>
          <cell r="EJ36" t="str">
            <v>ENC MATIN 5H-12H</v>
          </cell>
          <cell r="EK36" t="str">
            <v>REPOS</v>
          </cell>
          <cell r="EL36" t="str">
            <v>REPOS</v>
          </cell>
          <cell r="EM36" t="str">
            <v>ENC MATIN 5H-12H</v>
          </cell>
          <cell r="EN36" t="str">
            <v>B. CARTON</v>
          </cell>
          <cell r="EO36" t="str">
            <v>NICE OUEST</v>
          </cell>
          <cell r="EP36" t="str">
            <v>ENC MATIN 5H-12H</v>
          </cell>
          <cell r="EQ36" t="str">
            <v>ENC MATIN 5H-12H</v>
          </cell>
          <cell r="ER36" t="str">
            <v>HS NICE OUEST</v>
          </cell>
          <cell r="ES36" t="str">
            <v>REPOS</v>
          </cell>
          <cell r="ET36" t="str">
            <v>NICE OUEST</v>
          </cell>
          <cell r="EU36" t="str">
            <v>ENC MATIN 5H-12H</v>
          </cell>
          <cell r="EV36" t="str">
            <v>ENC MATIN 5H-12H</v>
          </cell>
          <cell r="EW36" t="str">
            <v>NICE OUEST</v>
          </cell>
          <cell r="EX36" t="str">
            <v>ENC MATIN 5H-12H</v>
          </cell>
          <cell r="EY36" t="str">
            <v>HS NICE OUEST</v>
          </cell>
          <cell r="EZ36" t="str">
            <v>REPOS</v>
          </cell>
          <cell r="FA36" t="str">
            <v>B. CARTON</v>
          </cell>
          <cell r="FB36" t="str">
            <v>REPOS</v>
          </cell>
          <cell r="FC36" t="str">
            <v>B. CARTON</v>
          </cell>
          <cell r="FD36" t="str">
            <v>B. CARTON</v>
          </cell>
          <cell r="FE36" t="str">
            <v>B. CARTON</v>
          </cell>
          <cell r="FF36" t="str">
            <v>NICE OUEST</v>
          </cell>
          <cell r="FG36" t="str">
            <v>REPOS</v>
          </cell>
          <cell r="FH36" t="str">
            <v>ENC MATIN 5H-12H</v>
          </cell>
          <cell r="FI36" t="str">
            <v>ENC MATIN 5H-12H</v>
          </cell>
          <cell r="FJ36" t="str">
            <v>ENC MATIN 5H-12H</v>
          </cell>
          <cell r="FK36" t="str">
            <v>ENC MATIN 5H-12H</v>
          </cell>
          <cell r="FL36" t="str">
            <v>ENC MATIN 5H-12H</v>
          </cell>
          <cell r="FM36" t="str">
            <v>REPOS</v>
          </cell>
          <cell r="FN36" t="str">
            <v>REPOS</v>
          </cell>
          <cell r="FO36" t="str">
            <v>ENC NUIT 20H30-03H30</v>
          </cell>
          <cell r="FP36" t="str">
            <v>ENC NUIT 20H30-03H30</v>
          </cell>
          <cell r="FQ36" t="str">
            <v>ENC NUIT 20H30-03H30</v>
          </cell>
          <cell r="FR36" t="str">
            <v>ENC NUIT 20H30-03H30</v>
          </cell>
          <cell r="FS36" t="str">
            <v>ENC NUIT 20H30-03H30</v>
          </cell>
          <cell r="FT36" t="str">
            <v>REPOS</v>
          </cell>
          <cell r="FU36" t="str">
            <v>REPOS</v>
          </cell>
          <cell r="FV36" t="str">
            <v>Congés</v>
          </cell>
          <cell r="FW36" t="str">
            <v>Congés</v>
          </cell>
          <cell r="FX36" t="str">
            <v>Congés</v>
          </cell>
          <cell r="FY36" t="str">
            <v>Congés</v>
          </cell>
          <cell r="FZ36" t="str">
            <v>Congés</v>
          </cell>
          <cell r="GA36" t="str">
            <v>REPOS</v>
          </cell>
          <cell r="GB36" t="str">
            <v>REPOS</v>
          </cell>
          <cell r="GC36" t="str">
            <v>Congés</v>
          </cell>
          <cell r="GD36" t="str">
            <v>Congés</v>
          </cell>
          <cell r="GE36" t="str">
            <v>Congés</v>
          </cell>
          <cell r="GF36" t="str">
            <v>Congés</v>
          </cell>
          <cell r="GG36" t="str">
            <v>Congés</v>
          </cell>
          <cell r="GH36" t="str">
            <v>REPOS</v>
          </cell>
          <cell r="GI36" t="str">
            <v>REPOS</v>
          </cell>
        </row>
        <row r="37">
          <cell r="J37" t="str">
            <v>REPOS</v>
          </cell>
          <cell r="K37" t="str">
            <v>Maladie</v>
          </cell>
          <cell r="L37" t="str">
            <v>Maladie</v>
          </cell>
          <cell r="M37" t="str">
            <v>Maladie</v>
          </cell>
          <cell r="N37" t="str">
            <v>Maladie</v>
          </cell>
          <cell r="O37" t="str">
            <v>Maladie</v>
          </cell>
          <cell r="P37" t="str">
            <v>Maladie</v>
          </cell>
          <cell r="Q37" t="str">
            <v>Maladie</v>
          </cell>
          <cell r="R37" t="str">
            <v>Maladie</v>
          </cell>
          <cell r="S37" t="str">
            <v>B. CARTON</v>
          </cell>
          <cell r="T37" t="str">
            <v>REPOS</v>
          </cell>
          <cell r="U37" t="str">
            <v>B. CARTON</v>
          </cell>
          <cell r="V37" t="str">
            <v>NICE EST</v>
          </cell>
          <cell r="W37" t="str">
            <v>REPOS</v>
          </cell>
          <cell r="X37" t="str">
            <v>B. CARTON</v>
          </cell>
          <cell r="Y37" t="str">
            <v>B. CARTON</v>
          </cell>
          <cell r="Z37" t="str">
            <v>B. CARTON</v>
          </cell>
          <cell r="AA37" t="str">
            <v>B. CARTON</v>
          </cell>
          <cell r="AB37" t="str">
            <v>B. CARTON</v>
          </cell>
          <cell r="AC37" t="str">
            <v>REPOS</v>
          </cell>
          <cell r="AD37" t="str">
            <v>REPOS</v>
          </cell>
          <cell r="AE37" t="str">
            <v>B. CARTON</v>
          </cell>
          <cell r="AF37" t="str">
            <v>B. CARTON</v>
          </cell>
          <cell r="AG37" t="str">
            <v>B. CARTON</v>
          </cell>
          <cell r="AH37" t="str">
            <v>B. CARTON</v>
          </cell>
          <cell r="AI37" t="str">
            <v>B. CARTON</v>
          </cell>
          <cell r="AJ37" t="str">
            <v>REPOS</v>
          </cell>
          <cell r="AK37" t="str">
            <v>REPOS</v>
          </cell>
          <cell r="AL37" t="str">
            <v>B. CARTON</v>
          </cell>
          <cell r="AM37" t="str">
            <v>B. CARTON | Maladie</v>
          </cell>
          <cell r="AN37" t="str">
            <v>Maladie</v>
          </cell>
          <cell r="AO37" t="str">
            <v>Maladie</v>
          </cell>
          <cell r="AP37" t="str">
            <v>Maladie</v>
          </cell>
          <cell r="AQ37" t="str">
            <v>Maladie</v>
          </cell>
          <cell r="AR37" t="str">
            <v>Maladie</v>
          </cell>
          <cell r="AS37" t="str">
            <v>B. CARTON</v>
          </cell>
          <cell r="AT37" t="str">
            <v>B. CARTON</v>
          </cell>
          <cell r="AU37" t="str">
            <v>B. CARTON</v>
          </cell>
          <cell r="AV37" t="str">
            <v>B. CARTON</v>
          </cell>
          <cell r="AW37" t="str">
            <v>B. CARTON</v>
          </cell>
          <cell r="AX37" t="str">
            <v>HS NICE EST</v>
          </cell>
          <cell r="AY37" t="str">
            <v>REPOS</v>
          </cell>
          <cell r="AZ37" t="str">
            <v>B. CARTON</v>
          </cell>
          <cell r="BA37" t="str">
            <v>B. CARTON</v>
          </cell>
          <cell r="BB37" t="str">
            <v>B. CARTON</v>
          </cell>
          <cell r="BC37" t="str">
            <v>B. CARTON</v>
          </cell>
          <cell r="BD37" t="str">
            <v>B. CARTON</v>
          </cell>
          <cell r="BE37" t="str">
            <v>REPOS</v>
          </cell>
          <cell r="BF37" t="str">
            <v>V.N Matin DIM</v>
          </cell>
          <cell r="BG37" t="str">
            <v>B. CARTON</v>
          </cell>
          <cell r="BH37" t="str">
            <v>B. CARTON</v>
          </cell>
          <cell r="BI37" t="str">
            <v>B. CARTON</v>
          </cell>
          <cell r="BJ37" t="str">
            <v>B. CARTON</v>
          </cell>
          <cell r="BK37" t="str">
            <v>B. CARTON</v>
          </cell>
          <cell r="BL37" t="str">
            <v>REPOS</v>
          </cell>
          <cell r="BM37" t="str">
            <v>REPOS</v>
          </cell>
          <cell r="BN37" t="str">
            <v>B. CARTON</v>
          </cell>
          <cell r="BO37" t="str">
            <v>B. CARTON</v>
          </cell>
          <cell r="BP37" t="str">
            <v>B. CARTON</v>
          </cell>
          <cell r="BQ37" t="str">
            <v>B. CARTON</v>
          </cell>
          <cell r="BR37" t="str">
            <v>B. CARTON</v>
          </cell>
          <cell r="BS37" t="str">
            <v>REPOS</v>
          </cell>
          <cell r="BT37" t="str">
            <v>NICE EST DIM</v>
          </cell>
          <cell r="BU37" t="str">
            <v>B. CARTON</v>
          </cell>
          <cell r="BV37" t="str">
            <v>Maladie</v>
          </cell>
          <cell r="BW37" t="str">
            <v>Maladie</v>
          </cell>
          <cell r="BX37" t="str">
            <v>Maladie</v>
          </cell>
          <cell r="BY37" t="str">
            <v>Maladie</v>
          </cell>
          <cell r="BZ37" t="str">
            <v>Maladie</v>
          </cell>
          <cell r="CA37" t="str">
            <v>Maladie</v>
          </cell>
          <cell r="CB37" t="str">
            <v>Maladie</v>
          </cell>
          <cell r="CC37" t="str">
            <v>Maladie</v>
          </cell>
          <cell r="CD37" t="str">
            <v>Maladie</v>
          </cell>
          <cell r="CE37" t="str">
            <v>Maladie</v>
          </cell>
          <cell r="CF37" t="str">
            <v>B. CARTON</v>
          </cell>
          <cell r="CG37" t="str">
            <v>REPOS</v>
          </cell>
          <cell r="CH37" t="str">
            <v>REPOS</v>
          </cell>
          <cell r="CI37" t="str">
            <v>B. CARTON</v>
          </cell>
          <cell r="CJ37" t="str">
            <v>B. CARTON</v>
          </cell>
          <cell r="CK37" t="str">
            <v>B. CARTON</v>
          </cell>
          <cell r="CL37" t="str">
            <v>B. CARTON</v>
          </cell>
          <cell r="CM37" t="str">
            <v>REPOS</v>
          </cell>
          <cell r="CN37" t="str">
            <v>NICE EST</v>
          </cell>
          <cell r="CO37" t="str">
            <v>REPOS</v>
          </cell>
          <cell r="CP37" t="str">
            <v>B. CARTON</v>
          </cell>
          <cell r="CQ37" t="str">
            <v>B. CARTON</v>
          </cell>
          <cell r="CR37" t="str">
            <v>B. CARTON</v>
          </cell>
          <cell r="CS37" t="str">
            <v>B. CARTON</v>
          </cell>
          <cell r="CT37" t="str">
            <v>B. CARTON</v>
          </cell>
          <cell r="CU37" t="str">
            <v>HS NICE EST</v>
          </cell>
          <cell r="CV37" t="str">
            <v>REPOS</v>
          </cell>
          <cell r="CW37" t="str">
            <v>REPOS</v>
          </cell>
          <cell r="CX37" t="str">
            <v>B. CARTON</v>
          </cell>
          <cell r="CY37" t="str">
            <v>B. CARTON</v>
          </cell>
          <cell r="CZ37" t="str">
            <v>B. CARTON</v>
          </cell>
          <cell r="DA37" t="str">
            <v>B. CARTON</v>
          </cell>
          <cell r="DB37" t="str">
            <v>REPOS</v>
          </cell>
          <cell r="DC37" t="str">
            <v>NICE EST DIM</v>
          </cell>
          <cell r="DD37" t="str">
            <v>B. CARTON</v>
          </cell>
          <cell r="DE37" t="str">
            <v>Congés</v>
          </cell>
          <cell r="DF37" t="str">
            <v>Maladie</v>
          </cell>
          <cell r="DG37" t="str">
            <v>Maladie</v>
          </cell>
          <cell r="DH37" t="str">
            <v>Maladie</v>
          </cell>
          <cell r="DI37" t="str">
            <v>Maladie</v>
          </cell>
          <cell r="DJ37" t="str">
            <v>Maladie</v>
          </cell>
          <cell r="DK37" t="str">
            <v>Maladie</v>
          </cell>
          <cell r="DL37" t="str">
            <v>Maladie</v>
          </cell>
          <cell r="DM37" t="str">
            <v>Maladie</v>
          </cell>
          <cell r="DN37" t="str">
            <v>Maladie</v>
          </cell>
          <cell r="DO37" t="str">
            <v>Maladie</v>
          </cell>
          <cell r="DP37" t="str">
            <v>Maladie</v>
          </cell>
          <cell r="DQ37" t="str">
            <v>Maladie</v>
          </cell>
          <cell r="DR37" t="str">
            <v>Maladie</v>
          </cell>
          <cell r="DS37" t="str">
            <v>B. CARTON</v>
          </cell>
          <cell r="DT37" t="str">
            <v>B. CARTON</v>
          </cell>
          <cell r="DU37" t="str">
            <v>B. CARTON</v>
          </cell>
          <cell r="DV37" t="str">
            <v>Maladie</v>
          </cell>
          <cell r="DW37" t="str">
            <v>Maladie</v>
          </cell>
          <cell r="DX37" t="str">
            <v>Maladie</v>
          </cell>
          <cell r="DY37" t="str">
            <v>Maladie</v>
          </cell>
          <cell r="DZ37" t="str">
            <v>Maladie</v>
          </cell>
          <cell r="EA37" t="str">
            <v>Maladie</v>
          </cell>
          <cell r="EB37" t="str">
            <v>Maladie</v>
          </cell>
          <cell r="EC37" t="str">
            <v>Maladie</v>
          </cell>
          <cell r="ED37" t="str">
            <v>Maladie</v>
          </cell>
          <cell r="EE37" t="str">
            <v>Maladie</v>
          </cell>
          <cell r="EF37" t="str">
            <v>Maladie</v>
          </cell>
          <cell r="EG37" t="str">
            <v>Maladie</v>
          </cell>
          <cell r="EH37" t="str">
            <v>Maladie</v>
          </cell>
          <cell r="EI37" t="str">
            <v>Maladie</v>
          </cell>
          <cell r="EJ37" t="str">
            <v>B. CARTON</v>
          </cell>
          <cell r="EK37" t="str">
            <v>REPOS</v>
          </cell>
          <cell r="EL37" t="str">
            <v>REPOS</v>
          </cell>
          <cell r="EM37" t="str">
            <v>B. CARTON</v>
          </cell>
          <cell r="EN37" t="str">
            <v>B. CARTON</v>
          </cell>
          <cell r="EO37" t="str">
            <v>B. CARTON</v>
          </cell>
          <cell r="EP37" t="str">
            <v>REPOS</v>
          </cell>
          <cell r="EQ37" t="str">
            <v>B. CARTON</v>
          </cell>
          <cell r="ER37" t="str">
            <v>NICE EST</v>
          </cell>
          <cell r="ES37" t="str">
            <v>REPOS</v>
          </cell>
          <cell r="ET37" t="str">
            <v>B. CARTON</v>
          </cell>
          <cell r="EU37" t="str">
            <v>B. CARTON</v>
          </cell>
          <cell r="EV37" t="str">
            <v>B. CARTON</v>
          </cell>
          <cell r="EW37" t="str">
            <v>B. CARTON</v>
          </cell>
          <cell r="EX37" t="str">
            <v>B. CARTON</v>
          </cell>
          <cell r="EY37" t="str">
            <v>REPOS</v>
          </cell>
          <cell r="EZ37" t="str">
            <v>NICE EST DIM</v>
          </cell>
          <cell r="FA37" t="str">
            <v>B. CARTON</v>
          </cell>
          <cell r="FB37" t="str">
            <v>B. CARTON</v>
          </cell>
          <cell r="FC37" t="str">
            <v>B. CARTON</v>
          </cell>
          <cell r="FD37" t="str">
            <v>B. CARTON</v>
          </cell>
          <cell r="FE37" t="str">
            <v>Congés</v>
          </cell>
          <cell r="FF37" t="str">
            <v>REPOS</v>
          </cell>
          <cell r="FG37" t="str">
            <v>REPOS</v>
          </cell>
          <cell r="FH37" t="str">
            <v>B. CARTON</v>
          </cell>
          <cell r="FI37" t="str">
            <v>B. CARTON</v>
          </cell>
          <cell r="FJ37" t="str">
            <v>B. CARTON</v>
          </cell>
          <cell r="FK37" t="str">
            <v>B. CARTON</v>
          </cell>
          <cell r="FL37" t="str">
            <v>B. CARTON</v>
          </cell>
          <cell r="FM37" t="str">
            <v>REPOS</v>
          </cell>
          <cell r="FN37" t="str">
            <v>REPOS</v>
          </cell>
          <cell r="FO37" t="str">
            <v>B. CARTON</v>
          </cell>
          <cell r="FP37" t="str">
            <v>REPOS</v>
          </cell>
          <cell r="FQ37" t="str">
            <v>B. CARTON</v>
          </cell>
          <cell r="FR37" t="str">
            <v>B. CARTON</v>
          </cell>
          <cell r="FS37" t="str">
            <v>B. CARTON</v>
          </cell>
          <cell r="FT37" t="str">
            <v>NICE EST</v>
          </cell>
          <cell r="FU37" t="str">
            <v>REPOS</v>
          </cell>
          <cell r="FV37" t="str">
            <v>B. CARTON</v>
          </cell>
          <cell r="FW37" t="str">
            <v>B. CARTON</v>
          </cell>
          <cell r="FX37" t="str">
            <v>B. CARTON</v>
          </cell>
          <cell r="FY37" t="str">
            <v>B. CARTON</v>
          </cell>
          <cell r="FZ37" t="str">
            <v>B. CARTON</v>
          </cell>
          <cell r="GA37" t="str">
            <v>REPOS</v>
          </cell>
          <cell r="GB37" t="str">
            <v>REPOS</v>
          </cell>
          <cell r="GH37" t="str">
            <v>REPOS</v>
          </cell>
          <cell r="GI37" t="str">
            <v>REPOS</v>
          </cell>
          <cell r="IN37" t="str">
            <v>Congés</v>
          </cell>
          <cell r="IO37" t="str">
            <v>Congés</v>
          </cell>
          <cell r="IP37" t="str">
            <v>Congés</v>
          </cell>
          <cell r="IQ37" t="str">
            <v>Congés</v>
          </cell>
          <cell r="IR37" t="str">
            <v>Congés</v>
          </cell>
          <cell r="IS37" t="str">
            <v>REPOS</v>
          </cell>
          <cell r="IT37" t="str">
            <v>REPOS</v>
          </cell>
          <cell r="IU37" t="str">
            <v>Congés</v>
          </cell>
          <cell r="IV37" t="str">
            <v>Congés</v>
          </cell>
          <cell r="IW37" t="str">
            <v>Congés</v>
          </cell>
          <cell r="IX37" t="str">
            <v>Congés</v>
          </cell>
          <cell r="IY37" t="str">
            <v>Congés</v>
          </cell>
          <cell r="IZ37" t="str">
            <v>REPOS</v>
          </cell>
          <cell r="JA37" t="str">
            <v>REPOS</v>
          </cell>
          <cell r="JB37" t="str">
            <v>Congés</v>
          </cell>
          <cell r="JC37" t="str">
            <v>Congés</v>
          </cell>
          <cell r="JD37" t="str">
            <v>Congés</v>
          </cell>
          <cell r="JE37" t="str">
            <v>Congés</v>
          </cell>
          <cell r="JF37" t="str">
            <v>Congés</v>
          </cell>
          <cell r="JG37" t="str">
            <v>REPOS</v>
          </cell>
          <cell r="JH37" t="str">
            <v>REPOS</v>
          </cell>
        </row>
        <row r="38">
          <cell r="J38" t="str">
            <v>Maladie</v>
          </cell>
          <cell r="K38" t="str">
            <v>Maladie</v>
          </cell>
          <cell r="L38" t="str">
            <v>Maladie</v>
          </cell>
          <cell r="M38" t="str">
            <v>Maladie</v>
          </cell>
          <cell r="N38" t="str">
            <v>Maladie</v>
          </cell>
          <cell r="O38" t="str">
            <v>Maladie</v>
          </cell>
          <cell r="P38" t="str">
            <v>Maladie</v>
          </cell>
          <cell r="Q38" t="str">
            <v>Maladie</v>
          </cell>
          <cell r="R38" t="str">
            <v>Maladie</v>
          </cell>
          <cell r="S38" t="str">
            <v>Maladie</v>
          </cell>
          <cell r="T38" t="str">
            <v>Maladie</v>
          </cell>
          <cell r="U38" t="str">
            <v>Maladie</v>
          </cell>
          <cell r="V38" t="str">
            <v>Maladie</v>
          </cell>
          <cell r="W38" t="str">
            <v>Maladie</v>
          </cell>
          <cell r="X38" t="str">
            <v>Maladie</v>
          </cell>
          <cell r="Y38" t="str">
            <v>Maladie</v>
          </cell>
          <cell r="Z38" t="str">
            <v>Maladie</v>
          </cell>
          <cell r="AA38" t="str">
            <v>Maladie</v>
          </cell>
          <cell r="AB38" t="str">
            <v>Maladie</v>
          </cell>
          <cell r="AC38" t="str">
            <v>Maladie</v>
          </cell>
          <cell r="AD38" t="str">
            <v>Maladie</v>
          </cell>
          <cell r="AE38" t="str">
            <v>Maladie</v>
          </cell>
          <cell r="AF38" t="str">
            <v>Maladie</v>
          </cell>
          <cell r="AG38" t="str">
            <v>Maladie</v>
          </cell>
          <cell r="AH38" t="str">
            <v>Maladie</v>
          </cell>
          <cell r="AI38" t="str">
            <v>Maladie</v>
          </cell>
          <cell r="AJ38" t="str">
            <v>Maladie</v>
          </cell>
          <cell r="AK38" t="str">
            <v>Maladie</v>
          </cell>
          <cell r="AL38" t="str">
            <v>Maladie</v>
          </cell>
          <cell r="AM38" t="str">
            <v>Maladie</v>
          </cell>
          <cell r="AN38" t="str">
            <v>Maladie</v>
          </cell>
          <cell r="AO38" t="str">
            <v>Maladie</v>
          </cell>
          <cell r="AP38" t="str">
            <v>Maladie</v>
          </cell>
          <cell r="AQ38" t="str">
            <v>Maladie</v>
          </cell>
          <cell r="AR38" t="str">
            <v>Maladie</v>
          </cell>
          <cell r="AS38" t="str">
            <v>Maladie</v>
          </cell>
          <cell r="AT38" t="str">
            <v>Maladie</v>
          </cell>
          <cell r="AU38" t="str">
            <v>Maladie</v>
          </cell>
          <cell r="AV38" t="str">
            <v>Maladie</v>
          </cell>
          <cell r="AW38" t="str">
            <v>Maladie</v>
          </cell>
          <cell r="AX38" t="str">
            <v>Maladie</v>
          </cell>
          <cell r="AY38" t="str">
            <v>Maladie</v>
          </cell>
          <cell r="AZ38" t="str">
            <v>Maladie</v>
          </cell>
          <cell r="BA38" t="str">
            <v>Maladie</v>
          </cell>
          <cell r="BB38" t="str">
            <v>Maladie</v>
          </cell>
          <cell r="BC38" t="str">
            <v>Maladie</v>
          </cell>
          <cell r="BD38" t="str">
            <v>Maladie</v>
          </cell>
          <cell r="BE38" t="str">
            <v>Maladie</v>
          </cell>
          <cell r="BF38" t="str">
            <v>Maladie</v>
          </cell>
          <cell r="BG38" t="str">
            <v>Maladie</v>
          </cell>
          <cell r="BH38" t="str">
            <v>Maladie</v>
          </cell>
          <cell r="BI38" t="str">
            <v>Maladie</v>
          </cell>
          <cell r="BJ38" t="str">
            <v>Maladie</v>
          </cell>
          <cell r="BK38" t="str">
            <v>Maladie</v>
          </cell>
          <cell r="BL38" t="str">
            <v>Maladie</v>
          </cell>
          <cell r="BM38" t="str">
            <v>Maladie</v>
          </cell>
          <cell r="BN38" t="str">
            <v>Maladie</v>
          </cell>
          <cell r="BO38" t="str">
            <v>Maladie</v>
          </cell>
          <cell r="BP38" t="str">
            <v>Maladie</v>
          </cell>
          <cell r="BQ38" t="str">
            <v>Maladie</v>
          </cell>
          <cell r="BR38" t="str">
            <v>Maladie</v>
          </cell>
          <cell r="BS38" t="str">
            <v>Maladie</v>
          </cell>
          <cell r="BT38" t="str">
            <v>Maladie</v>
          </cell>
          <cell r="BU38" t="str">
            <v>Maladie</v>
          </cell>
          <cell r="BV38" t="str">
            <v>Maladie</v>
          </cell>
          <cell r="BW38" t="str">
            <v>Maladie</v>
          </cell>
          <cell r="BX38" t="str">
            <v>Maladie</v>
          </cell>
          <cell r="BY38" t="str">
            <v>Maladie</v>
          </cell>
          <cell r="BZ38" t="str">
            <v>Maladie</v>
          </cell>
          <cell r="CA38" t="str">
            <v>Maladie</v>
          </cell>
          <cell r="CB38" t="str">
            <v>Maladie</v>
          </cell>
          <cell r="CC38" t="str">
            <v>Maladie</v>
          </cell>
          <cell r="CD38" t="str">
            <v>Maladie</v>
          </cell>
          <cell r="CE38" t="str">
            <v>Maladie</v>
          </cell>
          <cell r="CF38" t="str">
            <v>Maladie</v>
          </cell>
          <cell r="CG38" t="str">
            <v>Maladie</v>
          </cell>
          <cell r="CH38" t="str">
            <v>Maladie</v>
          </cell>
          <cell r="CI38" t="str">
            <v>Maladie</v>
          </cell>
          <cell r="CJ38" t="str">
            <v>Maladie</v>
          </cell>
          <cell r="CK38" t="str">
            <v>Maladie</v>
          </cell>
          <cell r="CL38" t="str">
            <v>Maladie</v>
          </cell>
          <cell r="CM38" t="str">
            <v>Maladie</v>
          </cell>
          <cell r="CN38" t="str">
            <v>Maladie</v>
          </cell>
          <cell r="CO38" t="str">
            <v>Maladie</v>
          </cell>
          <cell r="CP38" t="str">
            <v>Maladie</v>
          </cell>
          <cell r="CQ38" t="str">
            <v>Maladie</v>
          </cell>
          <cell r="CR38" t="str">
            <v>Maladie</v>
          </cell>
          <cell r="CS38" t="str">
            <v>Maladie</v>
          </cell>
          <cell r="CT38" t="str">
            <v>Maladie</v>
          </cell>
          <cell r="CU38" t="str">
            <v>Maladie</v>
          </cell>
          <cell r="CV38" t="str">
            <v>Maladie</v>
          </cell>
          <cell r="CW38" t="str">
            <v>Maladie</v>
          </cell>
          <cell r="CX38" t="str">
            <v>Maladie</v>
          </cell>
          <cell r="CY38" t="str">
            <v>Maladie</v>
          </cell>
          <cell r="CZ38" t="str">
            <v>Maladie</v>
          </cell>
          <cell r="DA38" t="str">
            <v>Maladie</v>
          </cell>
          <cell r="DB38" t="str">
            <v>Maladie</v>
          </cell>
          <cell r="DC38" t="str">
            <v>Maladie</v>
          </cell>
          <cell r="DD38" t="str">
            <v>Maladie</v>
          </cell>
          <cell r="DE38" t="str">
            <v>Maladie</v>
          </cell>
          <cell r="DF38" t="str">
            <v>Maladie</v>
          </cell>
          <cell r="DG38" t="str">
            <v>Maladie</v>
          </cell>
          <cell r="DH38" t="str">
            <v>Maladie</v>
          </cell>
          <cell r="DI38" t="str">
            <v>Maladie</v>
          </cell>
          <cell r="DJ38" t="str">
            <v>Maladie</v>
          </cell>
          <cell r="DK38" t="str">
            <v>Maladie</v>
          </cell>
          <cell r="DL38" t="str">
            <v>Maladie</v>
          </cell>
          <cell r="DM38" t="str">
            <v>Maladie</v>
          </cell>
          <cell r="DN38" t="str">
            <v>Maladie</v>
          </cell>
          <cell r="DO38" t="str">
            <v>Maladie</v>
          </cell>
          <cell r="DP38" t="str">
            <v>Maladie</v>
          </cell>
          <cell r="DQ38" t="str">
            <v>Maladie</v>
          </cell>
          <cell r="DR38" t="str">
            <v>Maladie</v>
          </cell>
          <cell r="DS38" t="str">
            <v>Maladie</v>
          </cell>
          <cell r="DT38" t="str">
            <v>Maladie</v>
          </cell>
          <cell r="DU38" t="str">
            <v>Maladie</v>
          </cell>
          <cell r="DV38" t="str">
            <v>Maladie</v>
          </cell>
          <cell r="DW38" t="str">
            <v>Maladie</v>
          </cell>
          <cell r="DX38" t="str">
            <v>Maladie</v>
          </cell>
          <cell r="DY38" t="str">
            <v>Maladie</v>
          </cell>
          <cell r="DZ38" t="str">
            <v>Maladie</v>
          </cell>
          <cell r="EA38" t="str">
            <v>Maladie</v>
          </cell>
          <cell r="EB38" t="str">
            <v>Maladie</v>
          </cell>
          <cell r="EC38" t="str">
            <v>Maladie</v>
          </cell>
          <cell r="ED38" t="str">
            <v>Maladie</v>
          </cell>
          <cell r="EE38" t="str">
            <v>Maladie</v>
          </cell>
          <cell r="EF38" t="str">
            <v>Maladie</v>
          </cell>
          <cell r="EG38" t="str">
            <v>Maladie</v>
          </cell>
          <cell r="EH38" t="str">
            <v>Maladie</v>
          </cell>
          <cell r="EI38" t="str">
            <v>Maladie</v>
          </cell>
          <cell r="EJ38" t="str">
            <v>Maladie</v>
          </cell>
          <cell r="EK38" t="str">
            <v>Maladie</v>
          </cell>
          <cell r="EL38" t="str">
            <v>Maladie</v>
          </cell>
          <cell r="EM38" t="str">
            <v>Maladie</v>
          </cell>
          <cell r="EN38" t="str">
            <v>Maladie</v>
          </cell>
          <cell r="EO38" t="str">
            <v>Maladie</v>
          </cell>
          <cell r="EP38" t="str">
            <v>Maladie</v>
          </cell>
          <cell r="EQ38" t="str">
            <v>Maladie</v>
          </cell>
          <cell r="ER38" t="str">
            <v>Maladie</v>
          </cell>
          <cell r="ES38" t="str">
            <v>Maladie</v>
          </cell>
          <cell r="ET38" t="str">
            <v>Maladie</v>
          </cell>
          <cell r="EU38" t="str">
            <v>Maladie</v>
          </cell>
          <cell r="EV38" t="str">
            <v>Maladie</v>
          </cell>
          <cell r="EW38" t="str">
            <v>Maladie</v>
          </cell>
          <cell r="EX38" t="str">
            <v>Maladie</v>
          </cell>
          <cell r="EY38" t="str">
            <v>Maladie</v>
          </cell>
          <cell r="EZ38" t="str">
            <v>Maladie</v>
          </cell>
          <cell r="FA38" t="str">
            <v>Maladie</v>
          </cell>
          <cell r="FB38" t="str">
            <v>Maladie</v>
          </cell>
          <cell r="FC38" t="str">
            <v>Maladie</v>
          </cell>
          <cell r="FD38" t="str">
            <v>Maladie</v>
          </cell>
          <cell r="FE38" t="str">
            <v>Maladie</v>
          </cell>
          <cell r="FF38" t="str">
            <v>Maladie</v>
          </cell>
          <cell r="FG38" t="str">
            <v>Maladie</v>
          </cell>
          <cell r="FH38" t="str">
            <v>Maladie</v>
          </cell>
          <cell r="FI38" t="str">
            <v>Maladie</v>
          </cell>
          <cell r="FJ38" t="str">
            <v>Maladie</v>
          </cell>
          <cell r="FK38" t="str">
            <v>Maladie</v>
          </cell>
          <cell r="FL38" t="str">
            <v>Maladie</v>
          </cell>
          <cell r="FM38" t="str">
            <v>Maladie</v>
          </cell>
          <cell r="FN38" t="str">
            <v>Maladie</v>
          </cell>
          <cell r="FO38" t="str">
            <v>Maladie</v>
          </cell>
          <cell r="FP38" t="str">
            <v>Maladie</v>
          </cell>
          <cell r="FQ38" t="str">
            <v>Maladie</v>
          </cell>
          <cell r="FR38" t="str">
            <v>Maladie</v>
          </cell>
          <cell r="FS38" t="str">
            <v>Maladie</v>
          </cell>
          <cell r="FT38" t="str">
            <v>Maladie</v>
          </cell>
          <cell r="FU38" t="str">
            <v>Maladie</v>
          </cell>
          <cell r="FV38" t="str">
            <v>Maladie</v>
          </cell>
          <cell r="FW38" t="str">
            <v>Maladie</v>
          </cell>
          <cell r="FX38" t="str">
            <v>Maladie</v>
          </cell>
          <cell r="FY38" t="str">
            <v>Maladie</v>
          </cell>
          <cell r="FZ38" t="str">
            <v>Maladie</v>
          </cell>
          <cell r="GA38" t="str">
            <v>Maladie</v>
          </cell>
          <cell r="GB38" t="str">
            <v>Maladie</v>
          </cell>
          <cell r="GC38" t="str">
            <v>Maladie</v>
          </cell>
          <cell r="GD38" t="str">
            <v>Maladie</v>
          </cell>
          <cell r="GE38" t="str">
            <v>Maladie</v>
          </cell>
          <cell r="GF38" t="str">
            <v>Maladie</v>
          </cell>
          <cell r="GG38" t="str">
            <v>Maladie</v>
          </cell>
          <cell r="GH38" t="str">
            <v>REPOS</v>
          </cell>
          <cell r="GI38" t="str">
            <v>REPOS</v>
          </cell>
        </row>
        <row r="39">
          <cell r="J39" t="str">
            <v>REPOS</v>
          </cell>
          <cell r="K39" t="str">
            <v>ENC MATIN 5H-12H</v>
          </cell>
          <cell r="L39" t="str">
            <v>ENC MATIN 5H-12H</v>
          </cell>
          <cell r="M39" t="str">
            <v>ENC MATIN 5H-12H</v>
          </cell>
          <cell r="N39" t="str">
            <v>B. CARTON</v>
          </cell>
          <cell r="O39" t="str">
            <v>HS NICE EST</v>
          </cell>
          <cell r="P39" t="str">
            <v>REPOS</v>
          </cell>
          <cell r="Q39" t="str">
            <v>ENC NUIT 20H30-02H30</v>
          </cell>
          <cell r="R39" t="str">
            <v>ENC NUIT 20H30-02H30</v>
          </cell>
          <cell r="S39" t="str">
            <v>ENC NUIT 20H30-02H30</v>
          </cell>
          <cell r="T39" t="str">
            <v>ENC NUIT 20H30-02H30</v>
          </cell>
          <cell r="U39" t="str">
            <v>ENC NUIT 20H30-02H30</v>
          </cell>
          <cell r="V39" t="str">
            <v>REPOS</v>
          </cell>
          <cell r="W39" t="str">
            <v>REPOS</v>
          </cell>
          <cell r="X39" t="str">
            <v>ENC MATIN 5H-12H</v>
          </cell>
          <cell r="Y39" t="str">
            <v>ENC MATIN 5H-12H</v>
          </cell>
          <cell r="Z39" t="str">
            <v>ENC MATIN 5H-12H</v>
          </cell>
          <cell r="AA39" t="str">
            <v>ENC MATIN 5H-12H</v>
          </cell>
          <cell r="AB39" t="str">
            <v>REPOS</v>
          </cell>
          <cell r="AC39" t="str">
            <v>NICE OUEST</v>
          </cell>
          <cell r="AD39" t="str">
            <v>REPOS</v>
          </cell>
          <cell r="AE39" t="str">
            <v>ENC NUIT 20H30-03H30</v>
          </cell>
          <cell r="AF39" t="str">
            <v>ENC NUIT 20H30-03H30</v>
          </cell>
          <cell r="AG39" t="str">
            <v>ENC NUIT 20H30-03H30</v>
          </cell>
          <cell r="AH39" t="str">
            <v>ENC NUIT 20H30-03H30</v>
          </cell>
          <cell r="AI39" t="str">
            <v>ENC NUIT 20H30-03H30</v>
          </cell>
          <cell r="AJ39" t="str">
            <v>REPOS</v>
          </cell>
          <cell r="AK39" t="str">
            <v>NICE NORD &amp; VIEUX NICE</v>
          </cell>
          <cell r="AL39" t="str">
            <v>REPOS</v>
          </cell>
          <cell r="AM39" t="str">
            <v>ENC MATIN 5H-12H</v>
          </cell>
          <cell r="AN39" t="str">
            <v>ENC MATIN 5H-12H</v>
          </cell>
          <cell r="AO39" t="str">
            <v>ENC MATIN 5H-12H</v>
          </cell>
          <cell r="AP39" t="str">
            <v>ENC MATIN 5H-12H</v>
          </cell>
          <cell r="AQ39" t="str">
            <v>NICE OUEST</v>
          </cell>
          <cell r="AR39" t="str">
            <v>REPOS</v>
          </cell>
          <cell r="AS39" t="str">
            <v>NICE OUEST</v>
          </cell>
          <cell r="AT39" t="str">
            <v>NICE OUEST</v>
          </cell>
          <cell r="AU39" t="str">
            <v>NICE OUEST</v>
          </cell>
          <cell r="AV39" t="str">
            <v>NICE OUEST</v>
          </cell>
          <cell r="AW39" t="str">
            <v>NICE OUEST</v>
          </cell>
          <cell r="AX39" t="str">
            <v>REPOS</v>
          </cell>
          <cell r="AY39" t="str">
            <v>NICE EST DIM</v>
          </cell>
          <cell r="AZ39" t="str">
            <v>NICE OUEST</v>
          </cell>
          <cell r="BA39" t="str">
            <v>NICE OUEST</v>
          </cell>
          <cell r="BB39" t="str">
            <v>NICE OUEST</v>
          </cell>
          <cell r="BC39" t="str">
            <v>NICE OUEST</v>
          </cell>
          <cell r="BD39" t="str">
            <v>NICE EST</v>
          </cell>
          <cell r="BE39" t="str">
            <v>REPOS</v>
          </cell>
          <cell r="BF39" t="str">
            <v>REPOS</v>
          </cell>
          <cell r="BG39" t="str">
            <v>ENC NUIT 20H30-03H30</v>
          </cell>
          <cell r="BH39" t="str">
            <v>ENC NUIT 20H30-03H30</v>
          </cell>
          <cell r="BI39" t="str">
            <v>ENC NUIT 20H30-02H30</v>
          </cell>
          <cell r="BJ39" t="str">
            <v>ENC NUIT 20H30-02H30</v>
          </cell>
          <cell r="BK39" t="str">
            <v>ENC NUIT 20H30-02H30</v>
          </cell>
          <cell r="BL39" t="str">
            <v>HS presta. Except | 17:00-00:00</v>
          </cell>
          <cell r="BM39" t="str">
            <v>REPOS</v>
          </cell>
          <cell r="BN39" t="str">
            <v>ENC NUIT 20H30-02H30</v>
          </cell>
          <cell r="BO39" t="str">
            <v>FORMATION</v>
          </cell>
          <cell r="BP39" t="str">
            <v>ENC NUIT 20H30-02H30</v>
          </cell>
          <cell r="BQ39" t="str">
            <v>ENC NUIT 20H30-02H30</v>
          </cell>
          <cell r="BR39" t="str">
            <v>ENC NUIT 20H30-02H30</v>
          </cell>
          <cell r="BS39" t="str">
            <v>REPOS</v>
          </cell>
          <cell r="BT39" t="str">
            <v>V.N Matin DIM</v>
          </cell>
          <cell r="BU39" t="str">
            <v>ENC NUIT 20H30-02H30</v>
          </cell>
          <cell r="BV39" t="str">
            <v>ENC NUIT 20H30-02H30</v>
          </cell>
          <cell r="BW39" t="str">
            <v>ENC NUIT 20H30-02H30</v>
          </cell>
          <cell r="BX39" t="str">
            <v>ENC NUIT 20H30-02H30</v>
          </cell>
          <cell r="BY39" t="str">
            <v>ENC NUIT 20H30-02H30</v>
          </cell>
          <cell r="BZ39" t="str">
            <v>REPOS</v>
          </cell>
          <cell r="CA39" t="str">
            <v>REPOS</v>
          </cell>
          <cell r="CB39" t="str">
            <v>FORMATION</v>
          </cell>
          <cell r="CC39" t="str">
            <v>FORMATION</v>
          </cell>
          <cell r="CD39" t="str">
            <v>REPOS</v>
          </cell>
          <cell r="CE39" t="str">
            <v>B. CARTON</v>
          </cell>
          <cell r="CF39" t="str">
            <v>B. CARTON</v>
          </cell>
          <cell r="CG39" t="str">
            <v>NICE NORD</v>
          </cell>
          <cell r="CH39" t="str">
            <v>REPOS</v>
          </cell>
          <cell r="CI39" t="str">
            <v>ENC MATIN 5H-12H</v>
          </cell>
          <cell r="CJ39" t="str">
            <v>ENC MATIN 5H-12H</v>
          </cell>
          <cell r="CK39" t="str">
            <v>FORMATION</v>
          </cell>
          <cell r="CL39" t="str">
            <v>FORMATION</v>
          </cell>
          <cell r="CM39" t="str">
            <v>FORMATION</v>
          </cell>
          <cell r="CN39" t="str">
            <v>REPOS</v>
          </cell>
          <cell r="CO39" t="str">
            <v>REPOS</v>
          </cell>
          <cell r="CP39" t="str">
            <v>ENC NUIT 20H30-03H30</v>
          </cell>
          <cell r="CQ39" t="str">
            <v>ENC NUIT 20H30-03H30</v>
          </cell>
          <cell r="CR39" t="str">
            <v>Congés</v>
          </cell>
          <cell r="CS39" t="str">
            <v>ENC NUIT 20H30-03H30</v>
          </cell>
          <cell r="CT39" t="str">
            <v>ENC NUIT 20H30-03H30</v>
          </cell>
          <cell r="CU39" t="str">
            <v>REPOS</v>
          </cell>
          <cell r="CV39" t="str">
            <v>V.N Matin DIM</v>
          </cell>
          <cell r="CW39" t="str">
            <v>REPOS</v>
          </cell>
          <cell r="CX39" t="str">
            <v>REPOS</v>
          </cell>
          <cell r="CY39" t="str">
            <v>ENC MATIN 5H-12H</v>
          </cell>
          <cell r="CZ39" t="str">
            <v>ENC MATIN 5H-12H</v>
          </cell>
          <cell r="DA39" t="str">
            <v>ENC MATIN 5H-12H</v>
          </cell>
          <cell r="DB39" t="str">
            <v>NICE EST</v>
          </cell>
          <cell r="DC39" t="str">
            <v>REPOS</v>
          </cell>
          <cell r="DD39" t="str">
            <v>NICE EST</v>
          </cell>
          <cell r="DE39" t="str">
            <v>CARTON AP</v>
          </cell>
          <cell r="DF39" t="str">
            <v>NICE EST</v>
          </cell>
          <cell r="DG39" t="str">
            <v>CARTON AP</v>
          </cell>
          <cell r="DH39" t="str">
            <v>CARTON AP</v>
          </cell>
          <cell r="DI39" t="str">
            <v>REPOS</v>
          </cell>
          <cell r="DJ39" t="str">
            <v>HS presta. Except | 07:00-14:00</v>
          </cell>
          <cell r="DK39" t="str">
            <v>Congés</v>
          </cell>
          <cell r="DL39" t="str">
            <v>Congés</v>
          </cell>
          <cell r="DM39" t="str">
            <v>Congés</v>
          </cell>
          <cell r="DN39" t="str">
            <v>Congés</v>
          </cell>
          <cell r="DO39" t="str">
            <v>Congés</v>
          </cell>
          <cell r="DP39" t="str">
            <v>REPOS</v>
          </cell>
          <cell r="DQ39" t="str">
            <v>REPOS</v>
          </cell>
          <cell r="DR39" t="str">
            <v>ENC MATIN 5H-12H</v>
          </cell>
          <cell r="DS39" t="str">
            <v>ENC MATIN 5H-12H</v>
          </cell>
          <cell r="DT39" t="str">
            <v>ENC MATIN 5H-12H</v>
          </cell>
          <cell r="DU39" t="str">
            <v>NICE OUEST</v>
          </cell>
          <cell r="DV39" t="str">
            <v>NICE OUEST</v>
          </cell>
          <cell r="DW39" t="str">
            <v>REPOS</v>
          </cell>
          <cell r="DX39" t="str">
            <v>HS ENC AM DIM</v>
          </cell>
          <cell r="DY39" t="str">
            <v>NICE NORD</v>
          </cell>
          <cell r="DZ39" t="str">
            <v>REPOS</v>
          </cell>
          <cell r="EA39" t="str">
            <v>ENC MATIN 5H-12H</v>
          </cell>
          <cell r="EB39" t="str">
            <v>ENC MATIN 5H-12H</v>
          </cell>
          <cell r="EC39" t="str">
            <v>REPOS</v>
          </cell>
          <cell r="ED39" t="str">
            <v>NICE OUEST</v>
          </cell>
          <cell r="EE39" t="str">
            <v>REPOS</v>
          </cell>
          <cell r="EF39" t="str">
            <v>ENC MATIN 5H-12H</v>
          </cell>
          <cell r="EG39" t="str">
            <v>HS ENC AM DIM</v>
          </cell>
          <cell r="EH39" t="str">
            <v>ENC MATIN 5H-12H</v>
          </cell>
          <cell r="EI39" t="str">
            <v>NICE EST DIM</v>
          </cell>
          <cell r="EJ39" t="str">
            <v>ENC MATIN 5H-12H</v>
          </cell>
          <cell r="EK39" t="str">
            <v>HS NICE EST</v>
          </cell>
          <cell r="EL39" t="str">
            <v>REPOS</v>
          </cell>
          <cell r="EM39" t="str">
            <v>ENC NUIT 20H30-03H30</v>
          </cell>
          <cell r="EN39" t="str">
            <v>ENC NUIT 20H30-03H30</v>
          </cell>
          <cell r="EO39" t="str">
            <v>ENC NUIT 20H30-03H30</v>
          </cell>
          <cell r="EP39" t="str">
            <v>ENC NUIT 20H30-03H30</v>
          </cell>
          <cell r="EQ39" t="str">
            <v>ENC NUIT 20H30-03H30</v>
          </cell>
          <cell r="ER39" t="str">
            <v>REPOS</v>
          </cell>
          <cell r="ES39" t="str">
            <v>REPOS</v>
          </cell>
          <cell r="ET39" t="str">
            <v>ENC NUIT 20H30-03H30</v>
          </cell>
          <cell r="EU39" t="str">
            <v>ENC NUIT 20H30-03H30</v>
          </cell>
          <cell r="EV39" t="str">
            <v>ENC NUIT 20H30-03H30</v>
          </cell>
          <cell r="EW39" t="str">
            <v>ENC NUIT 20H30-03H30</v>
          </cell>
          <cell r="EX39" t="str">
            <v>ENC NUIT 20H30-03H30</v>
          </cell>
          <cell r="EY39" t="str">
            <v>REPOS</v>
          </cell>
          <cell r="EZ39" t="str">
            <v>REPOS</v>
          </cell>
          <cell r="FA39" t="str">
            <v>ENC NUIT 20H30-03H30</v>
          </cell>
          <cell r="FB39" t="str">
            <v>ENC NUIT 20H30-03H30</v>
          </cell>
          <cell r="FC39" t="str">
            <v>ENC NUIT 20H30-03H30</v>
          </cell>
          <cell r="FD39" t="str">
            <v>ENC NUIT 20H30-03H30</v>
          </cell>
          <cell r="FE39" t="str">
            <v>RTT</v>
          </cell>
          <cell r="FF39" t="str">
            <v>REPOS</v>
          </cell>
          <cell r="FG39" t="str">
            <v>NICE EST DIM</v>
          </cell>
          <cell r="FH39" t="str">
            <v>ENC MATIN 5H-12H</v>
          </cell>
          <cell r="FI39" t="str">
            <v>REPOS</v>
          </cell>
          <cell r="FJ39" t="str">
            <v>ENC MATIN 5H-12H</v>
          </cell>
          <cell r="FK39" t="str">
            <v>ENC MATIN 5H-12H</v>
          </cell>
          <cell r="FL39" t="str">
            <v>ENC MATIN 5H-12H</v>
          </cell>
          <cell r="FM39" t="str">
            <v>NICE OUEST</v>
          </cell>
          <cell r="FN39" t="str">
            <v>REPOS</v>
          </cell>
          <cell r="FO39" t="str">
            <v>ENC NUIT 20H30-03H30</v>
          </cell>
          <cell r="FP39" t="str">
            <v>ENC NUIT 20H30-03H30</v>
          </cell>
          <cell r="FQ39" t="str">
            <v>ENC NUIT 20H30-03H30</v>
          </cell>
          <cell r="FR39" t="str">
            <v>ENC NUIT 20H30-03H30</v>
          </cell>
          <cell r="FS39" t="str">
            <v>ENC NUIT 20H30-03H30</v>
          </cell>
          <cell r="FT39" t="str">
            <v>REPOS</v>
          </cell>
          <cell r="FU39" t="str">
            <v>REPOS</v>
          </cell>
          <cell r="FV39" t="str">
            <v>ENC NUIT 20H30-03H30</v>
          </cell>
          <cell r="FW39" t="str">
            <v>ENC NUIT 20H30-03H30</v>
          </cell>
          <cell r="FX39" t="str">
            <v>ENC NUIT 20H30-03H30</v>
          </cell>
          <cell r="FY39" t="str">
            <v>ENC NUIT 20H30-03H30</v>
          </cell>
          <cell r="FZ39" t="str">
            <v>ENC NUIT 20H30-03H30</v>
          </cell>
          <cell r="GA39" t="str">
            <v>REPOS</v>
          </cell>
          <cell r="GB39" t="str">
            <v>REPOS</v>
          </cell>
          <cell r="GH39" t="str">
            <v>REPOS</v>
          </cell>
          <cell r="GI39" t="str">
            <v>REPOS</v>
          </cell>
          <cell r="HZ39" t="str">
            <v>Congés</v>
          </cell>
          <cell r="IA39" t="str">
            <v>Congés</v>
          </cell>
          <cell r="IB39" t="str">
            <v>REPOS</v>
          </cell>
          <cell r="IC39" t="str">
            <v>Congés</v>
          </cell>
          <cell r="ID39" t="str">
            <v>Congés</v>
          </cell>
          <cell r="IE39" t="str">
            <v>REPOS</v>
          </cell>
          <cell r="IF39" t="str">
            <v>REPOS</v>
          </cell>
          <cell r="IG39" t="str">
            <v>Congés</v>
          </cell>
          <cell r="IH39" t="str">
            <v>Congés</v>
          </cell>
          <cell r="II39" t="str">
            <v>Congés</v>
          </cell>
          <cell r="IJ39" t="str">
            <v>Congés</v>
          </cell>
          <cell r="IK39" t="str">
            <v>Congés</v>
          </cell>
          <cell r="IL39" t="str">
            <v>REPOS</v>
          </cell>
          <cell r="IM39" t="str">
            <v>REPOS</v>
          </cell>
        </row>
        <row r="40">
          <cell r="J40" t="str">
            <v>REPOS</v>
          </cell>
          <cell r="K40" t="str">
            <v>POLY 4H-12H + CP</v>
          </cell>
          <cell r="L40" t="str">
            <v>POLY 4H-12H + CP</v>
          </cell>
          <cell r="M40" t="str">
            <v>POLY 4H-12H + CP</v>
          </cell>
          <cell r="N40" t="str">
            <v>POLY 4H-12H + CP</v>
          </cell>
          <cell r="O40" t="str">
            <v>HS CP 4H-7H</v>
          </cell>
          <cell r="P40" t="str">
            <v>REPOS</v>
          </cell>
          <cell r="Q40" t="str">
            <v>POLY 12H-19H</v>
          </cell>
          <cell r="R40" t="str">
            <v>Congés</v>
          </cell>
          <cell r="S40" t="str">
            <v>Congés</v>
          </cell>
          <cell r="T40" t="str">
            <v>Congés</v>
          </cell>
          <cell r="U40" t="str">
            <v>Congés</v>
          </cell>
          <cell r="V40" t="str">
            <v>REPOS</v>
          </cell>
          <cell r="W40" t="str">
            <v>REPOS</v>
          </cell>
          <cell r="X40" t="str">
            <v>POLY 5H-12H</v>
          </cell>
          <cell r="Y40" t="str">
            <v>POLY 5H-12H</v>
          </cell>
          <cell r="Z40" t="str">
            <v>POLY 5H-12H</v>
          </cell>
          <cell r="AA40" t="str">
            <v>POLY 5H-12H</v>
          </cell>
          <cell r="AB40" t="str">
            <v>POLY 4H-12H + CP</v>
          </cell>
          <cell r="AC40" t="str">
            <v>HS CP 4H-7H</v>
          </cell>
          <cell r="AD40" t="str">
            <v>REPOS</v>
          </cell>
          <cell r="AE40" t="str">
            <v>POLY 7H-14H</v>
          </cell>
          <cell r="AF40" t="str">
            <v>POLY 7H-14H</v>
          </cell>
          <cell r="AG40" t="str">
            <v>B. CARTON</v>
          </cell>
          <cell r="AH40" t="str">
            <v>POLY 7H-14H</v>
          </cell>
          <cell r="AI40" t="str">
            <v>POLY 7H-14H</v>
          </cell>
          <cell r="AJ40" t="str">
            <v>REPOS</v>
          </cell>
          <cell r="AK40" t="str">
            <v>REPOS</v>
          </cell>
          <cell r="AL40" t="str">
            <v>POLY 4H-12H + CP</v>
          </cell>
          <cell r="AM40" t="str">
            <v>POLY 4H-12H + CP</v>
          </cell>
          <cell r="AN40" t="str">
            <v>POLY 4H-12H + CP</v>
          </cell>
          <cell r="AO40" t="str">
            <v>POLY 4H-12H + CP</v>
          </cell>
          <cell r="AP40" t="str">
            <v>POLY 4H-12H + CP</v>
          </cell>
          <cell r="AQ40" t="str">
            <v>REPOS</v>
          </cell>
          <cell r="AR40" t="str">
            <v>POLY 7H-12H + CP</v>
          </cell>
          <cell r="AS40" t="str">
            <v>POLY 5H-12H</v>
          </cell>
          <cell r="AT40" t="str">
            <v>Congés</v>
          </cell>
          <cell r="AU40" t="str">
            <v>POLY 7H-14H</v>
          </cell>
          <cell r="AV40" t="str">
            <v>POLY 12H-19H</v>
          </cell>
          <cell r="AW40" t="str">
            <v>POLY 5H-12H</v>
          </cell>
          <cell r="AX40" t="str">
            <v>HS POLY 7H-12H / 14H-18H</v>
          </cell>
          <cell r="AY40" t="str">
            <v>POLY 7H-12H</v>
          </cell>
          <cell r="AZ40" t="str">
            <v>RTT</v>
          </cell>
          <cell r="BA40" t="str">
            <v>RTT</v>
          </cell>
          <cell r="BB40" t="str">
            <v>RTT</v>
          </cell>
          <cell r="BC40" t="str">
            <v>RTT</v>
          </cell>
          <cell r="BD40" t="str">
            <v>RTT</v>
          </cell>
          <cell r="BE40" t="str">
            <v>REPOS</v>
          </cell>
          <cell r="BF40" t="str">
            <v>REPOS</v>
          </cell>
          <cell r="BG40" t="str">
            <v>Congés</v>
          </cell>
          <cell r="BH40" t="str">
            <v>Congés</v>
          </cell>
          <cell r="BI40" t="str">
            <v>Congés</v>
          </cell>
          <cell r="BJ40" t="str">
            <v>Congés</v>
          </cell>
          <cell r="BK40" t="str">
            <v>Congés</v>
          </cell>
          <cell r="BL40" t="str">
            <v>REPOS</v>
          </cell>
          <cell r="BM40" t="str">
            <v>REPOS</v>
          </cell>
          <cell r="BN40" t="str">
            <v>Congés</v>
          </cell>
          <cell r="BO40" t="str">
            <v>Congés</v>
          </cell>
          <cell r="BP40" t="str">
            <v>Congés</v>
          </cell>
          <cell r="BQ40" t="str">
            <v>Congés</v>
          </cell>
          <cell r="BR40" t="str">
            <v>RTT</v>
          </cell>
          <cell r="BS40" t="str">
            <v>REPOS</v>
          </cell>
          <cell r="BT40" t="str">
            <v>REPOS</v>
          </cell>
          <cell r="BU40" t="str">
            <v>POLY 9H-16H</v>
          </cell>
          <cell r="BV40" t="str">
            <v>POLY 7H-14H</v>
          </cell>
          <cell r="BW40" t="str">
            <v>POLY 5H-12H</v>
          </cell>
          <cell r="BX40" t="str">
            <v>Maladie</v>
          </cell>
          <cell r="BY40" t="str">
            <v>Maladie</v>
          </cell>
          <cell r="BZ40" t="str">
            <v>Maladie</v>
          </cell>
          <cell r="CA40" t="str">
            <v>Maladie</v>
          </cell>
          <cell r="CB40" t="str">
            <v>Maladie</v>
          </cell>
          <cell r="CC40" t="str">
            <v>Maladie</v>
          </cell>
          <cell r="CD40" t="str">
            <v>Maladie</v>
          </cell>
          <cell r="CE40" t="str">
            <v>Maladie</v>
          </cell>
          <cell r="CF40" t="str">
            <v>Maladie</v>
          </cell>
          <cell r="CG40" t="str">
            <v>Maladie</v>
          </cell>
          <cell r="CH40" t="str">
            <v>Maladie</v>
          </cell>
          <cell r="CI40" t="str">
            <v>Maladie</v>
          </cell>
          <cell r="CJ40" t="str">
            <v>Maladie</v>
          </cell>
          <cell r="CK40" t="str">
            <v>Maladie</v>
          </cell>
          <cell r="CL40" t="str">
            <v>Maladie</v>
          </cell>
          <cell r="CM40" t="str">
            <v>Maladie</v>
          </cell>
          <cell r="CN40" t="str">
            <v>Maladie</v>
          </cell>
          <cell r="CO40" t="str">
            <v>Maladie</v>
          </cell>
          <cell r="CP40" t="str">
            <v>POLY 5H-12H</v>
          </cell>
          <cell r="CQ40" t="str">
            <v>POLY 5H-12H</v>
          </cell>
          <cell r="CR40" t="str">
            <v>POLY 5H-12H</v>
          </cell>
          <cell r="CS40" t="str">
            <v>POLY 5H-12H</v>
          </cell>
          <cell r="CT40" t="str">
            <v>POLY 4H-12H + CP</v>
          </cell>
          <cell r="CU40" t="str">
            <v>HS CP 4H-7H</v>
          </cell>
          <cell r="CV40" t="str">
            <v>REPOS</v>
          </cell>
          <cell r="CW40" t="str">
            <v>POLY 7H-12H</v>
          </cell>
          <cell r="CX40" t="str">
            <v>POLY 7H-14H</v>
          </cell>
          <cell r="CY40" t="str">
            <v>POLY 7H-14H</v>
          </cell>
          <cell r="CZ40" t="str">
            <v>POLY 7H-14H</v>
          </cell>
          <cell r="DA40" t="str">
            <v>POLY 4H-12H + CP</v>
          </cell>
          <cell r="DB40" t="str">
            <v>HS CP 4H-7H</v>
          </cell>
          <cell r="DC40" t="str">
            <v>REPOS</v>
          </cell>
          <cell r="DD40" t="str">
            <v>POLY 9H-16H</v>
          </cell>
          <cell r="DE40" t="str">
            <v>POLY 9H-16H</v>
          </cell>
          <cell r="DF40" t="str">
            <v>POLY 9H-16H</v>
          </cell>
          <cell r="DG40" t="str">
            <v>POLY 9H-16H</v>
          </cell>
          <cell r="DH40" t="str">
            <v>POLY 9H-16H</v>
          </cell>
          <cell r="DI40" t="str">
            <v>REPOS</v>
          </cell>
          <cell r="DJ40" t="str">
            <v>POLY 7H-12H</v>
          </cell>
          <cell r="DK40" t="str">
            <v>REPOS</v>
          </cell>
          <cell r="DL40" t="str">
            <v>Congés</v>
          </cell>
          <cell r="DM40" t="str">
            <v>POLY 9H-16H</v>
          </cell>
          <cell r="DN40" t="str">
            <v>POLY 9H-16H</v>
          </cell>
          <cell r="DO40" t="str">
            <v>POLY 9H-16H</v>
          </cell>
          <cell r="DP40" t="str">
            <v>POLY 7H-12H / 14H-18H</v>
          </cell>
          <cell r="DQ40" t="str">
            <v>REPOS</v>
          </cell>
          <cell r="DR40" t="str">
            <v>POLY 9H-16H</v>
          </cell>
          <cell r="DS40" t="str">
            <v>POLY 9H-16H</v>
          </cell>
          <cell r="DT40" t="str">
            <v>POLY 7H-14H</v>
          </cell>
          <cell r="DU40" t="str">
            <v>POLY 9H-16H</v>
          </cell>
          <cell r="DV40" t="str">
            <v>Congés</v>
          </cell>
          <cell r="DW40" t="str">
            <v>REPOS</v>
          </cell>
          <cell r="DX40" t="str">
            <v>POLY 7H-12H + CP</v>
          </cell>
          <cell r="DY40" t="str">
            <v>Congés</v>
          </cell>
          <cell r="DZ40" t="str">
            <v>REPOS</v>
          </cell>
          <cell r="EA40" t="str">
            <v>Congés</v>
          </cell>
          <cell r="EB40" t="str">
            <v>Congés</v>
          </cell>
          <cell r="EC40" t="str">
            <v>Congés</v>
          </cell>
          <cell r="ED40" t="str">
            <v>REPOS</v>
          </cell>
          <cell r="EE40" t="str">
            <v>REPOS</v>
          </cell>
          <cell r="EF40" t="str">
            <v>Congés</v>
          </cell>
          <cell r="EG40" t="str">
            <v>POLY 7H-12H</v>
          </cell>
          <cell r="EH40" t="str">
            <v>POLY 7H-14H</v>
          </cell>
          <cell r="EI40" t="str">
            <v>POLY 7H-12H</v>
          </cell>
          <cell r="EJ40" t="str">
            <v>POLY 5H-12H</v>
          </cell>
          <cell r="EK40" t="str">
            <v>REPOS</v>
          </cell>
          <cell r="EL40" t="str">
            <v>REPOS</v>
          </cell>
          <cell r="EM40" t="str">
            <v>ENC MATIN 5H-12H</v>
          </cell>
          <cell r="EN40" t="str">
            <v>POLY 9H-16H</v>
          </cell>
          <cell r="EO40" t="str">
            <v>POLY 7H-14H</v>
          </cell>
          <cell r="EP40" t="str">
            <v>POLY 5H-12H</v>
          </cell>
          <cell r="EQ40" t="str">
            <v>POLY 7H-14H</v>
          </cell>
          <cell r="ER40" t="str">
            <v>REPOS</v>
          </cell>
          <cell r="ES40" t="str">
            <v>REPOS</v>
          </cell>
          <cell r="ET40" t="str">
            <v>POLY 7H-14H</v>
          </cell>
          <cell r="EU40" t="str">
            <v>POLY 7H-14H</v>
          </cell>
          <cell r="EV40" t="str">
            <v>Congés</v>
          </cell>
          <cell r="EW40" t="str">
            <v>POLY 4H-12H + CP</v>
          </cell>
          <cell r="EX40" t="str">
            <v>POLY 4H-12H + CP</v>
          </cell>
          <cell r="EY40" t="str">
            <v>REPOS</v>
          </cell>
          <cell r="EZ40" t="str">
            <v>POLY 7H-12H + CP</v>
          </cell>
          <cell r="FA40" t="str">
            <v>POLY 12H-19H</v>
          </cell>
          <cell r="FB40" t="str">
            <v>POLY 9H-16H</v>
          </cell>
          <cell r="FC40" t="str">
            <v>POLY 12H-19H</v>
          </cell>
          <cell r="FD40" t="str">
            <v>POLY 9H-16H</v>
          </cell>
          <cell r="FE40" t="str">
            <v>POLY 9H-16H</v>
          </cell>
          <cell r="FF40" t="str">
            <v>REPOS</v>
          </cell>
          <cell r="FG40" t="str">
            <v>REPOS</v>
          </cell>
          <cell r="FH40" t="str">
            <v>POLY 9H-16H</v>
          </cell>
          <cell r="FI40" t="str">
            <v>POLY 9H-16H</v>
          </cell>
          <cell r="FJ40" t="str">
            <v>POLY 7H-14H</v>
          </cell>
          <cell r="FK40" t="str">
            <v>Congés</v>
          </cell>
          <cell r="FL40" t="str">
            <v>POLY 7H-14H</v>
          </cell>
          <cell r="FM40" t="str">
            <v>REPOS</v>
          </cell>
          <cell r="FN40" t="str">
            <v>POLY 7H-12H + CP</v>
          </cell>
          <cell r="FO40" t="str">
            <v>POLY 12H-19H</v>
          </cell>
          <cell r="FP40" t="str">
            <v>POLY 9H-16H</v>
          </cell>
          <cell r="FQ40" t="str">
            <v>POLY 9H-16H</v>
          </cell>
          <cell r="FR40" t="str">
            <v>POLY 9H-16H</v>
          </cell>
          <cell r="FS40" t="str">
            <v>POLY 9H-16H</v>
          </cell>
          <cell r="FT40" t="str">
            <v>REPOS</v>
          </cell>
          <cell r="FU40" t="str">
            <v>REPOS</v>
          </cell>
          <cell r="FV40" t="str">
            <v>POLY 9H-16H</v>
          </cell>
          <cell r="FW40" t="str">
            <v>POLY 9H-16H</v>
          </cell>
          <cell r="FX40" t="str">
            <v>POLY 9H-16H</v>
          </cell>
          <cell r="FY40" t="str">
            <v>POLY 9H-16H</v>
          </cell>
          <cell r="FZ40" t="str">
            <v>POLY 7H-14H</v>
          </cell>
          <cell r="GA40" t="str">
            <v>REPOS</v>
          </cell>
          <cell r="GB40" t="str">
            <v>REPOS</v>
          </cell>
          <cell r="GC40" t="str">
            <v>POLY 7H-14H</v>
          </cell>
          <cell r="GD40" t="str">
            <v>POLY 7H-14H</v>
          </cell>
          <cell r="GE40" t="str">
            <v>B. CARTON</v>
          </cell>
          <cell r="GF40" t="str">
            <v>POLY 7H-14H</v>
          </cell>
          <cell r="GG40" t="str">
            <v>POLY 7H-14H</v>
          </cell>
          <cell r="GX40" t="str">
            <v>Congés</v>
          </cell>
          <cell r="GY40" t="str">
            <v>Congés</v>
          </cell>
          <cell r="GZ40" t="str">
            <v>Congés</v>
          </cell>
          <cell r="HA40" t="str">
            <v>Congés</v>
          </cell>
          <cell r="HB40" t="str">
            <v>Congés</v>
          </cell>
          <cell r="HC40" t="str">
            <v>REPOS</v>
          </cell>
          <cell r="HD40" t="str">
            <v>REPOS</v>
          </cell>
          <cell r="HE40" t="str">
            <v>Congés</v>
          </cell>
          <cell r="HF40" t="str">
            <v>Congés</v>
          </cell>
          <cell r="HG40" t="str">
            <v>Congés</v>
          </cell>
          <cell r="HH40" t="str">
            <v>Congés</v>
          </cell>
          <cell r="HI40" t="str">
            <v>Congés</v>
          </cell>
          <cell r="HJ40" t="str">
            <v>REPOS</v>
          </cell>
          <cell r="HK40" t="str">
            <v>REPOS</v>
          </cell>
          <cell r="HL40" t="str">
            <v>Congés</v>
          </cell>
          <cell r="HM40" t="str">
            <v>Congés</v>
          </cell>
          <cell r="HN40" t="str">
            <v>Congés</v>
          </cell>
          <cell r="HO40" t="str">
            <v>Congés</v>
          </cell>
          <cell r="HP40" t="str">
            <v>Congés</v>
          </cell>
          <cell r="HQ40" t="str">
            <v>REPOS</v>
          </cell>
          <cell r="HR40" t="str">
            <v>REPOS</v>
          </cell>
        </row>
        <row r="41">
          <cell r="J41" t="str">
            <v>REPOS</v>
          </cell>
          <cell r="K41" t="str">
            <v>REPOS</v>
          </cell>
          <cell r="L41" t="str">
            <v>Congés</v>
          </cell>
          <cell r="M41" t="str">
            <v>RTT</v>
          </cell>
          <cell r="N41" t="str">
            <v>POLY 12H-19H</v>
          </cell>
          <cell r="O41" t="str">
            <v>POLY 7H-12H / 14H-18H</v>
          </cell>
          <cell r="P41" t="str">
            <v>POLY 7H-12H</v>
          </cell>
          <cell r="Q41" t="str">
            <v>REPOS</v>
          </cell>
          <cell r="R41" t="str">
            <v>Maladie</v>
          </cell>
          <cell r="S41" t="str">
            <v>Maladie</v>
          </cell>
          <cell r="T41" t="str">
            <v>Maladie</v>
          </cell>
          <cell r="U41" t="str">
            <v>POLY 12H-19H</v>
          </cell>
          <cell r="V41" t="str">
            <v>POLY 7H-12H / 14H-18H</v>
          </cell>
          <cell r="W41" t="str">
            <v>POLY 7H-12H</v>
          </cell>
          <cell r="X41" t="str">
            <v>REPOS</v>
          </cell>
          <cell r="Y41" t="str">
            <v>RTT</v>
          </cell>
          <cell r="Z41" t="str">
            <v>RTT</v>
          </cell>
          <cell r="AA41" t="str">
            <v>Congés</v>
          </cell>
          <cell r="AB41" t="str">
            <v>POLY 12H-19H</v>
          </cell>
          <cell r="AC41" t="str">
            <v>POLY 7H-12H / 14H-18H</v>
          </cell>
          <cell r="AD41" t="str">
            <v>POLY 7H-12H</v>
          </cell>
          <cell r="AE41" t="str">
            <v>REPOS</v>
          </cell>
          <cell r="AF41" t="str">
            <v>Congés</v>
          </cell>
          <cell r="AG41" t="str">
            <v>POLY 12H-19H</v>
          </cell>
          <cell r="AH41" t="str">
            <v>Congés</v>
          </cell>
          <cell r="AI41" t="str">
            <v>POLY 12H-19H</v>
          </cell>
          <cell r="AJ41" t="str">
            <v>POLY 7H-12H / 14H-18H</v>
          </cell>
          <cell r="AK41" t="str">
            <v>POLY 7H-12H</v>
          </cell>
          <cell r="AL41" t="str">
            <v>REPOS</v>
          </cell>
          <cell r="AM41" t="str">
            <v>Congés</v>
          </cell>
          <cell r="AN41" t="str">
            <v>Maladie</v>
          </cell>
          <cell r="AO41" t="str">
            <v>Maladie</v>
          </cell>
          <cell r="AP41" t="str">
            <v>Maladie</v>
          </cell>
          <cell r="AQ41" t="str">
            <v>Maladie</v>
          </cell>
          <cell r="AR41" t="str">
            <v>Maladie</v>
          </cell>
          <cell r="AS41" t="str">
            <v>Maladie</v>
          </cell>
          <cell r="AT41" t="str">
            <v>Maladie</v>
          </cell>
          <cell r="AU41" t="str">
            <v>Maladie</v>
          </cell>
          <cell r="AV41" t="str">
            <v>Maladie</v>
          </cell>
          <cell r="AW41" t="str">
            <v>Maladie</v>
          </cell>
          <cell r="AX41" t="str">
            <v>REPOS</v>
          </cell>
          <cell r="AY41" t="str">
            <v>REPOS</v>
          </cell>
          <cell r="AZ41" t="str">
            <v>REPOS</v>
          </cell>
          <cell r="BA41" t="str">
            <v>POLY 12H-19H</v>
          </cell>
          <cell r="BB41" t="str">
            <v>POLY 12H-19H</v>
          </cell>
          <cell r="BC41" t="str">
            <v>POLY 12H-19H</v>
          </cell>
          <cell r="BD41" t="str">
            <v>POLY 12H-19H</v>
          </cell>
          <cell r="BE41" t="str">
            <v>POLY 7H-12H / 14H-18H</v>
          </cell>
          <cell r="BF41" t="str">
            <v>POLY 7H-12H</v>
          </cell>
          <cell r="BG41" t="str">
            <v>REPOS</v>
          </cell>
          <cell r="BH41" t="str">
            <v>Congés</v>
          </cell>
          <cell r="BI41" t="str">
            <v>POLY 12H-19H</v>
          </cell>
          <cell r="BJ41" t="str">
            <v>Congés</v>
          </cell>
          <cell r="BK41" t="str">
            <v>POLY 12H-19H</v>
          </cell>
          <cell r="BL41" t="str">
            <v>POLY 7H-12H / 14H-18H</v>
          </cell>
          <cell r="BM41" t="str">
            <v>POLY 7H-12H</v>
          </cell>
          <cell r="BN41" t="str">
            <v>REPOS</v>
          </cell>
          <cell r="BO41" t="str">
            <v>POLY 12H-19H</v>
          </cell>
          <cell r="BP41" t="str">
            <v>POLY 12H-19H</v>
          </cell>
          <cell r="BQ41" t="str">
            <v>POLY 12H-19H</v>
          </cell>
          <cell r="BR41" t="str">
            <v>POLY 12H-19H</v>
          </cell>
          <cell r="BS41" t="str">
            <v>POLY 7H-12H / 14H-18H</v>
          </cell>
          <cell r="BT41" t="str">
            <v>POLY 7H-12H</v>
          </cell>
          <cell r="BU41" t="str">
            <v>REPOS</v>
          </cell>
          <cell r="BV41" t="str">
            <v>Congés</v>
          </cell>
          <cell r="BW41" t="str">
            <v>Congés</v>
          </cell>
          <cell r="BX41" t="str">
            <v>Congés</v>
          </cell>
          <cell r="BY41" t="str">
            <v>POLY 12H-19H</v>
          </cell>
          <cell r="BZ41" t="str">
            <v>POLY 7H-12H / 14H-18H</v>
          </cell>
          <cell r="CA41" t="str">
            <v>POLY 7H-12H</v>
          </cell>
          <cell r="CB41" t="str">
            <v>REPOS</v>
          </cell>
          <cell r="CC41" t="str">
            <v>Congés</v>
          </cell>
          <cell r="CD41" t="str">
            <v>Congés</v>
          </cell>
          <cell r="CE41" t="str">
            <v>Congés</v>
          </cell>
          <cell r="CF41" t="str">
            <v>POLY 12H-19H</v>
          </cell>
          <cell r="CG41" t="str">
            <v>POLY 7H-12H / 14H-18H</v>
          </cell>
          <cell r="CH41" t="str">
            <v>POLY 7H-12H</v>
          </cell>
          <cell r="CI41" t="str">
            <v>REPOS</v>
          </cell>
          <cell r="CJ41" t="str">
            <v>POLY 12H-19H</v>
          </cell>
          <cell r="CK41" t="str">
            <v>POLY 12H-19H</v>
          </cell>
          <cell r="CL41" t="str">
            <v>POLY 12H-19H</v>
          </cell>
          <cell r="CM41" t="str">
            <v>POLY 12H-19H</v>
          </cell>
          <cell r="CN41" t="str">
            <v>POLY 7H-12H / 14H-18H</v>
          </cell>
          <cell r="CO41" t="str">
            <v>POLY 7H-12H + CP</v>
          </cell>
          <cell r="CP41" t="str">
            <v>REPOS</v>
          </cell>
          <cell r="CQ41" t="str">
            <v>POLY 12H-19H</v>
          </cell>
          <cell r="CR41" t="str">
            <v>POLY 12H-19H</v>
          </cell>
          <cell r="CS41" t="str">
            <v>POLY 12H-19H</v>
          </cell>
          <cell r="CT41" t="str">
            <v>POLY 12H-19H</v>
          </cell>
          <cell r="CU41" t="str">
            <v>POLY 7H-12H / 14H-18H</v>
          </cell>
          <cell r="CV41" t="str">
            <v>POLY 7H-12H</v>
          </cell>
          <cell r="CW41" t="str">
            <v>REPOS</v>
          </cell>
          <cell r="CX41" t="str">
            <v>POLY 12H-19H</v>
          </cell>
          <cell r="CY41" t="str">
            <v>REPOS</v>
          </cell>
          <cell r="CZ41" t="str">
            <v>POLY 12H-19H</v>
          </cell>
          <cell r="DA41" t="str">
            <v>POLY 12H-19H</v>
          </cell>
          <cell r="DB41" t="str">
            <v>POLY 7H-12H / 14H-18H</v>
          </cell>
          <cell r="DC41" t="str">
            <v>POLY 7H-12H</v>
          </cell>
          <cell r="DD41" t="str">
            <v>REPOS</v>
          </cell>
          <cell r="DE41" t="str">
            <v>POLY 12H-19H</v>
          </cell>
          <cell r="DF41" t="str">
            <v>POLY 12H-19H</v>
          </cell>
          <cell r="DG41" t="str">
            <v>POLY 12H-19H</v>
          </cell>
          <cell r="DH41" t="str">
            <v>POLY 12H-19H</v>
          </cell>
          <cell r="DI41" t="str">
            <v>POLY 7H-12H / 14H-18H</v>
          </cell>
          <cell r="DJ41" t="str">
            <v>REPOS</v>
          </cell>
          <cell r="DK41" t="str">
            <v>FORMATION</v>
          </cell>
          <cell r="DL41" t="str">
            <v>FORMATION</v>
          </cell>
          <cell r="DM41" t="str">
            <v>FORMATION</v>
          </cell>
          <cell r="DN41" t="str">
            <v>FORMATION</v>
          </cell>
          <cell r="DO41" t="str">
            <v>FORMATION</v>
          </cell>
          <cell r="DP41" t="str">
            <v>REPOS</v>
          </cell>
          <cell r="DQ41" t="str">
            <v>POLY 7H-12H</v>
          </cell>
          <cell r="DR41" t="str">
            <v>REPOS</v>
          </cell>
          <cell r="DS41" t="str">
            <v>Congés</v>
          </cell>
          <cell r="DT41" t="str">
            <v>Congés</v>
          </cell>
          <cell r="DU41" t="str">
            <v>Congés</v>
          </cell>
          <cell r="DV41" t="str">
            <v>POLY 12H-19H</v>
          </cell>
          <cell r="DW41" t="str">
            <v>POLY 7H-12H / 14H-18H</v>
          </cell>
          <cell r="DX41" t="str">
            <v>POLY 7H-12H</v>
          </cell>
          <cell r="DY41" t="str">
            <v>REPOS</v>
          </cell>
          <cell r="DZ41" t="str">
            <v>REPOS</v>
          </cell>
          <cell r="EA41" t="str">
            <v>POLY 12H-19H</v>
          </cell>
          <cell r="EB41" t="str">
            <v>POLY 12H-19H</v>
          </cell>
          <cell r="EC41" t="str">
            <v>POLY 12H-19H</v>
          </cell>
          <cell r="ED41" t="str">
            <v>POLY 7H-12H / 14H-18H</v>
          </cell>
          <cell r="EE41" t="str">
            <v>POLY 7H-12H</v>
          </cell>
          <cell r="EF41" t="str">
            <v>REPOS</v>
          </cell>
          <cell r="EG41" t="str">
            <v>REPOS</v>
          </cell>
          <cell r="EH41" t="str">
            <v>POLY 12H-19H</v>
          </cell>
          <cell r="EI41" t="str">
            <v>REPOS</v>
          </cell>
          <cell r="EJ41" t="str">
            <v>POLY 12H-19H</v>
          </cell>
          <cell r="EK41" t="str">
            <v>POLY 7H-12H / 14H-18H</v>
          </cell>
          <cell r="EL41" t="str">
            <v>POLY 7H-12H</v>
          </cell>
          <cell r="EM41" t="str">
            <v>REPOS</v>
          </cell>
          <cell r="EN41" t="str">
            <v>Congés</v>
          </cell>
          <cell r="EO41" t="str">
            <v>POLY 12H-19H</v>
          </cell>
          <cell r="EP41" t="str">
            <v>POLY 12H-19H</v>
          </cell>
          <cell r="EQ41" t="str">
            <v>POLY 12H-19H</v>
          </cell>
          <cell r="ER41" t="str">
            <v>POLY 7H-12H / 14H-18H</v>
          </cell>
          <cell r="ES41" t="str">
            <v>POLY 7H-12H</v>
          </cell>
          <cell r="ET41" t="str">
            <v>REPOS</v>
          </cell>
          <cell r="EU41" t="str">
            <v>RTT</v>
          </cell>
          <cell r="EV41" t="str">
            <v>POLY 12H-19H</v>
          </cell>
          <cell r="EW41" t="str">
            <v>POLY 12H-19H</v>
          </cell>
          <cell r="EX41" t="str">
            <v>POLY 12H-19H</v>
          </cell>
          <cell r="EY41" t="str">
            <v>POLY 7H-12H / 14H-18H</v>
          </cell>
          <cell r="EZ41" t="str">
            <v>POLY 7H-12H</v>
          </cell>
          <cell r="FA41" t="str">
            <v>REPOS</v>
          </cell>
          <cell r="FB41" t="str">
            <v>POLY 12H-19H</v>
          </cell>
          <cell r="FC41" t="str">
            <v>RTT</v>
          </cell>
          <cell r="FD41" t="str">
            <v>POLY 12H-19H</v>
          </cell>
          <cell r="FE41" t="str">
            <v>POLY 12H-19H</v>
          </cell>
          <cell r="FF41" t="str">
            <v>POLY 7H-12H / 14H-18H</v>
          </cell>
          <cell r="FG41" t="str">
            <v>POLY 7H-12H</v>
          </cell>
          <cell r="FH41" t="str">
            <v>REPOS</v>
          </cell>
          <cell r="FI41" t="str">
            <v>Congés</v>
          </cell>
          <cell r="FJ41" t="str">
            <v>POLY 12H-19H</v>
          </cell>
          <cell r="FK41" t="str">
            <v>POLY 12H-19H</v>
          </cell>
          <cell r="FL41" t="str">
            <v>POLY 12H-19H</v>
          </cell>
          <cell r="FM41" t="str">
            <v>POLY 7H-12H / 14H-18H</v>
          </cell>
          <cell r="FN41" t="str">
            <v>POLY 7H-12H</v>
          </cell>
          <cell r="FO41" t="str">
            <v>REPOS</v>
          </cell>
          <cell r="FP41" t="str">
            <v>Congés</v>
          </cell>
          <cell r="FQ41" t="str">
            <v>POLY 12H-19H</v>
          </cell>
          <cell r="FR41" t="str">
            <v>POLY 12H-19H</v>
          </cell>
          <cell r="FS41" t="str">
            <v>POLY 12H-19H</v>
          </cell>
          <cell r="FT41" t="str">
            <v>POLY 7H-12H / 14H-18H</v>
          </cell>
          <cell r="FU41" t="str">
            <v>POLY 7H-12H</v>
          </cell>
          <cell r="FV41" t="str">
            <v>REPOS</v>
          </cell>
          <cell r="FW41" t="str">
            <v>Congés</v>
          </cell>
          <cell r="FX41" t="str">
            <v>POLY 12H-19H</v>
          </cell>
          <cell r="FY41" t="str">
            <v>POLY 12H-19H</v>
          </cell>
          <cell r="FZ41" t="str">
            <v>POLY 12H-19H</v>
          </cell>
          <cell r="GA41" t="str">
            <v>POLY 7H-12H / 14H-18H</v>
          </cell>
          <cell r="GB41" t="str">
            <v>POLY 7H-12H</v>
          </cell>
          <cell r="GC41" t="str">
            <v>REPOS</v>
          </cell>
          <cell r="GD41" t="str">
            <v>POLY 12H-19H</v>
          </cell>
          <cell r="GE41" t="str">
            <v>POLY 12H-19H</v>
          </cell>
          <cell r="GF41" t="str">
            <v>POLY 12H-19H</v>
          </cell>
          <cell r="GG41" t="str">
            <v>POLY 12H-19H</v>
          </cell>
          <cell r="GH41" t="str">
            <v>POLY 7H-12H / 14H-18H</v>
          </cell>
          <cell r="GI41" t="str">
            <v>POLY 7H-12H</v>
          </cell>
        </row>
        <row r="42">
          <cell r="J42" t="str">
            <v>REPOS</v>
          </cell>
          <cell r="K42" t="str">
            <v>POLY 5H-12H</v>
          </cell>
          <cell r="L42" t="str">
            <v>B. CARTON</v>
          </cell>
          <cell r="M42" t="str">
            <v>POLY 9H-16H</v>
          </cell>
          <cell r="N42" t="str">
            <v>REPOS</v>
          </cell>
          <cell r="O42" t="str">
            <v>POLY 7H-12H / 14H-18H</v>
          </cell>
          <cell r="P42" t="str">
            <v>REPOS</v>
          </cell>
          <cell r="Q42" t="str">
            <v>POLY 7H-14H</v>
          </cell>
          <cell r="R42" t="str">
            <v>POLY 7H-14H</v>
          </cell>
          <cell r="S42" t="str">
            <v>POLY 9H-16H</v>
          </cell>
          <cell r="T42" t="str">
            <v>POLY 7H-14H</v>
          </cell>
          <cell r="U42" t="str">
            <v>POLY 7H-14H</v>
          </cell>
          <cell r="V42" t="str">
            <v>REPOS</v>
          </cell>
          <cell r="W42" t="str">
            <v>REPOS</v>
          </cell>
          <cell r="X42" t="str">
            <v>POLY 7H-14H</v>
          </cell>
          <cell r="Y42" t="str">
            <v>POLY 7H-14H</v>
          </cell>
          <cell r="Z42" t="str">
            <v>B. CARTON</v>
          </cell>
          <cell r="AA42" t="str">
            <v>POLY 7H-14H</v>
          </cell>
          <cell r="AB42" t="str">
            <v>POLY 5H-12H</v>
          </cell>
          <cell r="AC42" t="str">
            <v>REPOS</v>
          </cell>
          <cell r="AD42" t="str">
            <v>REPOS</v>
          </cell>
          <cell r="AE42" t="str">
            <v>RTT</v>
          </cell>
          <cell r="AF42" t="str">
            <v>RTT</v>
          </cell>
          <cell r="AG42" t="str">
            <v>RTT</v>
          </cell>
          <cell r="AH42" t="str">
            <v>RTT</v>
          </cell>
          <cell r="AI42" t="str">
            <v>Congés</v>
          </cell>
          <cell r="AJ42" t="str">
            <v>REPOS</v>
          </cell>
          <cell r="AK42" t="str">
            <v>REPOS</v>
          </cell>
          <cell r="AL42" t="str">
            <v>POLY 7H-14H</v>
          </cell>
          <cell r="AM42" t="str">
            <v>POLY 7H-14H</v>
          </cell>
          <cell r="AN42" t="str">
            <v>B. CARTON</v>
          </cell>
          <cell r="AO42" t="str">
            <v>POLY 7H-14H</v>
          </cell>
          <cell r="AP42" t="str">
            <v>REPOS</v>
          </cell>
          <cell r="AQ42" t="str">
            <v>POLY 7H-12H / 14H-18H</v>
          </cell>
          <cell r="AR42" t="str">
            <v>REPOS</v>
          </cell>
          <cell r="AS42" t="str">
            <v>B. CARTON</v>
          </cell>
          <cell r="AT42" t="str">
            <v>B. CARTON</v>
          </cell>
          <cell r="AU42" t="str">
            <v>B. CARTON</v>
          </cell>
          <cell r="AV42" t="str">
            <v>B. CARTON</v>
          </cell>
          <cell r="AW42" t="str">
            <v>B. CARTON</v>
          </cell>
          <cell r="AX42" t="str">
            <v>REPOS</v>
          </cell>
          <cell r="AY42" t="str">
            <v>REPOS</v>
          </cell>
          <cell r="AZ42" t="str">
            <v>POLY 7H-14H</v>
          </cell>
          <cell r="BA42" t="str">
            <v>POLY 7H-14H</v>
          </cell>
          <cell r="BB42" t="str">
            <v>POLY 7H-14H</v>
          </cell>
          <cell r="BC42" t="str">
            <v>B. CARTON</v>
          </cell>
          <cell r="BD42" t="str">
            <v>POLY 7H-14H</v>
          </cell>
          <cell r="BE42" t="str">
            <v>REPOS</v>
          </cell>
          <cell r="BF42" t="str">
            <v>REPOS</v>
          </cell>
          <cell r="BG42" t="str">
            <v>POLY 7H-14H</v>
          </cell>
          <cell r="BH42" t="str">
            <v>POLY 7H-14H</v>
          </cell>
          <cell r="BI42" t="str">
            <v>B. CARTON</v>
          </cell>
          <cell r="BJ42" t="str">
            <v>POLY 7H-14H</v>
          </cell>
          <cell r="BK42" t="str">
            <v>POLY 5H-12H</v>
          </cell>
          <cell r="BL42" t="str">
            <v>REPOS</v>
          </cell>
          <cell r="BM42" t="str">
            <v>REPOS</v>
          </cell>
          <cell r="BN42" t="str">
            <v>POLY 7H-14H</v>
          </cell>
          <cell r="BO42" t="str">
            <v>POLY 7H-14H</v>
          </cell>
          <cell r="BP42" t="str">
            <v>B. CARTON</v>
          </cell>
          <cell r="BQ42" t="str">
            <v>POLY 7H-14H</v>
          </cell>
          <cell r="BR42" t="str">
            <v>POLY 5H-12H</v>
          </cell>
          <cell r="BS42" t="str">
            <v>REPOS</v>
          </cell>
          <cell r="BT42" t="str">
            <v>REPOS</v>
          </cell>
          <cell r="BU42" t="str">
            <v>B. CARTON</v>
          </cell>
          <cell r="BV42" t="str">
            <v>B. CARTON</v>
          </cell>
          <cell r="BW42" t="str">
            <v>B. CARTON</v>
          </cell>
          <cell r="BX42" t="str">
            <v>B. CARTON</v>
          </cell>
          <cell r="BY42" t="str">
            <v>B. CARTON</v>
          </cell>
          <cell r="BZ42" t="str">
            <v>REPOS</v>
          </cell>
          <cell r="CA42" t="str">
            <v>REPOS</v>
          </cell>
          <cell r="CB42" t="str">
            <v>POLY 7H-14H</v>
          </cell>
          <cell r="CC42" t="str">
            <v>POLY 7H-14H</v>
          </cell>
          <cell r="CD42" t="str">
            <v>B. CARTON</v>
          </cell>
          <cell r="CE42" t="str">
            <v>POLY 7H-14H</v>
          </cell>
          <cell r="CF42" t="str">
            <v>REPOS</v>
          </cell>
          <cell r="CG42" t="str">
            <v>POLY 7H-12H / 14H-18H</v>
          </cell>
          <cell r="CH42" t="str">
            <v>REPOS</v>
          </cell>
          <cell r="CI42" t="str">
            <v>RTT</v>
          </cell>
          <cell r="CJ42" t="str">
            <v>RTT</v>
          </cell>
          <cell r="CK42" t="str">
            <v>RTT</v>
          </cell>
          <cell r="CL42" t="str">
            <v>RTT</v>
          </cell>
          <cell r="CM42" t="str">
            <v>Congés</v>
          </cell>
          <cell r="CN42" t="str">
            <v>REPOS</v>
          </cell>
          <cell r="CO42" t="str">
            <v>REPOS</v>
          </cell>
          <cell r="CP42" t="str">
            <v>POLY 7H-14H</v>
          </cell>
          <cell r="CQ42" t="str">
            <v>POLY 7H-14H</v>
          </cell>
          <cell r="CR42" t="str">
            <v>B. CARTON</v>
          </cell>
          <cell r="CS42" t="str">
            <v>POLY 7H-14H</v>
          </cell>
          <cell r="CT42" t="str">
            <v>POLY 5H-12H</v>
          </cell>
          <cell r="CU42" t="str">
            <v>REPOS</v>
          </cell>
          <cell r="CV42" t="str">
            <v>REPOS</v>
          </cell>
          <cell r="CW42" t="str">
            <v>REPOS</v>
          </cell>
          <cell r="CX42" t="str">
            <v>B. CARTON</v>
          </cell>
          <cell r="CY42" t="str">
            <v>B. CARTON</v>
          </cell>
          <cell r="CZ42" t="str">
            <v>B. CARTON</v>
          </cell>
          <cell r="DA42" t="str">
            <v>B. CARTON</v>
          </cell>
          <cell r="DB42" t="str">
            <v>REPOS</v>
          </cell>
          <cell r="DC42" t="str">
            <v>REPOS</v>
          </cell>
          <cell r="DD42" t="str">
            <v>POLY 7H-14H</v>
          </cell>
          <cell r="DE42" t="str">
            <v>POLY 7H-14H</v>
          </cell>
          <cell r="DF42" t="str">
            <v>B. CARTON</v>
          </cell>
          <cell r="DG42" t="str">
            <v>POLY 7H-14H</v>
          </cell>
          <cell r="DH42" t="str">
            <v>REPOS</v>
          </cell>
          <cell r="DI42" t="str">
            <v>POLY 7H-12H / 14H-18H</v>
          </cell>
          <cell r="DJ42" t="str">
            <v>REPOS</v>
          </cell>
          <cell r="DK42" t="str">
            <v>POLY 7H-14H</v>
          </cell>
          <cell r="DL42" t="str">
            <v>POLY 7H-14H</v>
          </cell>
          <cell r="DM42" t="str">
            <v>B. CARTON</v>
          </cell>
          <cell r="DN42" t="str">
            <v>POLY 7H-14H</v>
          </cell>
          <cell r="DO42" t="str">
            <v>POLY 7H-14H</v>
          </cell>
          <cell r="DP42" t="str">
            <v>REPOS</v>
          </cell>
          <cell r="DQ42" t="str">
            <v>REPOS</v>
          </cell>
          <cell r="DR42" t="str">
            <v>POLY 7H-14H</v>
          </cell>
          <cell r="DS42" t="str">
            <v>POLY 7H-14H</v>
          </cell>
          <cell r="DT42" t="str">
            <v>B. CARTON</v>
          </cell>
          <cell r="DU42" t="str">
            <v>POLY 7H-14H</v>
          </cell>
          <cell r="DV42" t="str">
            <v>RTT</v>
          </cell>
          <cell r="DW42" t="str">
            <v>REPOS</v>
          </cell>
          <cell r="DX42" t="str">
            <v>REPOS</v>
          </cell>
          <cell r="DY42" t="str">
            <v>POLY 7H-14H</v>
          </cell>
          <cell r="DZ42" t="str">
            <v>REPOS</v>
          </cell>
          <cell r="EA42" t="str">
            <v>REPOS</v>
          </cell>
          <cell r="EB42" t="str">
            <v>POLY 7H-14H</v>
          </cell>
          <cell r="EC42" t="str">
            <v>POLY 7H-14H</v>
          </cell>
          <cell r="ED42" t="str">
            <v>POLY 7H-12H / 14H-18H</v>
          </cell>
          <cell r="EE42" t="str">
            <v>REPOS</v>
          </cell>
          <cell r="EF42" t="str">
            <v>Congés</v>
          </cell>
          <cell r="EG42" t="str">
            <v>REPOS</v>
          </cell>
          <cell r="EH42" t="str">
            <v>Congés</v>
          </cell>
          <cell r="EI42" t="str">
            <v>REPOS</v>
          </cell>
          <cell r="EJ42" t="str">
            <v>Congés</v>
          </cell>
          <cell r="EK42" t="str">
            <v>REPOS</v>
          </cell>
          <cell r="EL42" t="str">
            <v>REPOS</v>
          </cell>
          <cell r="EM42" t="str">
            <v>Congés</v>
          </cell>
          <cell r="EN42" t="str">
            <v>Congés</v>
          </cell>
          <cell r="EO42" t="str">
            <v>Congés</v>
          </cell>
          <cell r="EP42" t="str">
            <v>Congés</v>
          </cell>
          <cell r="EQ42" t="str">
            <v>Congés</v>
          </cell>
          <cell r="ER42" t="str">
            <v>REPOS</v>
          </cell>
          <cell r="ES42" t="str">
            <v>REPOS</v>
          </cell>
          <cell r="ET42" t="str">
            <v>B. CARTON</v>
          </cell>
          <cell r="EU42" t="str">
            <v>POLY 7H-14H</v>
          </cell>
          <cell r="EV42" t="str">
            <v>POLY 5H-12H</v>
          </cell>
          <cell r="EW42" t="str">
            <v>POLY 7H-14H</v>
          </cell>
          <cell r="EX42" t="str">
            <v>POLY 7H-14H</v>
          </cell>
          <cell r="EY42" t="str">
            <v>REPOS</v>
          </cell>
          <cell r="EZ42" t="str">
            <v>REPOS</v>
          </cell>
          <cell r="FA42" t="str">
            <v>POLY 7H-14H</v>
          </cell>
          <cell r="FB42" t="str">
            <v>POLY 7H-14H</v>
          </cell>
          <cell r="FC42" t="str">
            <v>B. CARTON</v>
          </cell>
          <cell r="FD42" t="str">
            <v>POLY 7H-14H</v>
          </cell>
          <cell r="FE42" t="str">
            <v>POLY 7H-14H</v>
          </cell>
          <cell r="FF42" t="str">
            <v>REPOS</v>
          </cell>
          <cell r="FG42" t="str">
            <v>REPOS</v>
          </cell>
          <cell r="FH42" t="str">
            <v>POLY 7H-14H</v>
          </cell>
          <cell r="FI42" t="str">
            <v>POLY 7H-14H</v>
          </cell>
          <cell r="FJ42" t="str">
            <v>B. CARTON</v>
          </cell>
          <cell r="FK42" t="str">
            <v>POLY 7H-14H</v>
          </cell>
          <cell r="FL42" t="str">
            <v>Congés</v>
          </cell>
          <cell r="FM42" t="str">
            <v>REPOS</v>
          </cell>
          <cell r="FN42" t="str">
            <v>REPOS</v>
          </cell>
          <cell r="FO42" t="str">
            <v>POLY 7H-14H</v>
          </cell>
          <cell r="FP42" t="str">
            <v>POLY 7H-14H</v>
          </cell>
          <cell r="FQ42" t="str">
            <v>B. CARTON</v>
          </cell>
          <cell r="FR42" t="str">
            <v>POLY 7H-14H</v>
          </cell>
          <cell r="FS42" t="str">
            <v>POLY 7H-14H</v>
          </cell>
          <cell r="FT42" t="str">
            <v>REPOS</v>
          </cell>
          <cell r="FU42" t="str">
            <v>REPOS</v>
          </cell>
          <cell r="FV42" t="str">
            <v>POLY 7H-14H</v>
          </cell>
          <cell r="FW42" t="str">
            <v>POLY 7H-14H</v>
          </cell>
          <cell r="FX42" t="str">
            <v>POLY 7H-14H</v>
          </cell>
          <cell r="FY42" t="str">
            <v>POLY 7H-14H</v>
          </cell>
          <cell r="FZ42" t="str">
            <v>REPOS</v>
          </cell>
          <cell r="GA42" t="str">
            <v>POLY 7H-12H / 14H-18H</v>
          </cell>
          <cell r="GB42" t="str">
            <v>REPOS</v>
          </cell>
          <cell r="GC42" t="str">
            <v>Congés</v>
          </cell>
          <cell r="GD42" t="str">
            <v>Congés</v>
          </cell>
          <cell r="GE42" t="str">
            <v>Congés</v>
          </cell>
          <cell r="GF42" t="str">
            <v>Congés</v>
          </cell>
          <cell r="GG42" t="str">
            <v>Congés</v>
          </cell>
          <cell r="GH42" t="str">
            <v>REPOS</v>
          </cell>
          <cell r="GI42" t="str">
            <v>REPOS</v>
          </cell>
          <cell r="GJ42" t="str">
            <v>Congés</v>
          </cell>
          <cell r="GK42" t="str">
            <v>Congés</v>
          </cell>
          <cell r="GL42" t="str">
            <v>Congés</v>
          </cell>
          <cell r="GM42" t="str">
            <v>Congés</v>
          </cell>
          <cell r="GN42" t="str">
            <v>Congés</v>
          </cell>
          <cell r="GO42" t="str">
            <v>REPOS</v>
          </cell>
          <cell r="GP42" t="str">
            <v>REPOS</v>
          </cell>
          <cell r="GQ42" t="str">
            <v>Congés</v>
          </cell>
          <cell r="GR42" t="str">
            <v>Congés</v>
          </cell>
          <cell r="GS42" t="str">
            <v>Congés</v>
          </cell>
          <cell r="GT42" t="str">
            <v>Congés</v>
          </cell>
          <cell r="GU42" t="str">
            <v>Congés</v>
          </cell>
          <cell r="GV42" t="str">
            <v>REPOS</v>
          </cell>
          <cell r="GW42" t="str">
            <v>REPOS</v>
          </cell>
        </row>
        <row r="43">
          <cell r="CK43" t="str">
            <v>REPOS</v>
          </cell>
          <cell r="CL43" t="str">
            <v>Congés</v>
          </cell>
          <cell r="CM43" t="str">
            <v>Congés</v>
          </cell>
          <cell r="CN43" t="str">
            <v>REPOS</v>
          </cell>
          <cell r="CO43" t="str">
            <v>REPOS</v>
          </cell>
          <cell r="CP43" t="str">
            <v>POLY 9H-16H</v>
          </cell>
          <cell r="CQ43" t="str">
            <v>POLY 4H-12H + CP</v>
          </cell>
          <cell r="CR43" t="str">
            <v>POLY 4H-12H + CP</v>
          </cell>
          <cell r="CS43" t="str">
            <v>POLY 4H-12H + CP</v>
          </cell>
          <cell r="CT43" t="str">
            <v>POLY 4H-12H + CP</v>
          </cell>
          <cell r="CU43" t="str">
            <v>REPOS</v>
          </cell>
          <cell r="CV43" t="str">
            <v>REPOS</v>
          </cell>
          <cell r="CW43" t="str">
            <v>REPOS</v>
          </cell>
          <cell r="CX43" t="str">
            <v>POLY 12H-19H</v>
          </cell>
          <cell r="CY43" t="str">
            <v>POLY 9H-16H</v>
          </cell>
          <cell r="CZ43" t="str">
            <v>POLY 9H-16H</v>
          </cell>
          <cell r="DA43" t="str">
            <v>MOUVEMENT</v>
          </cell>
          <cell r="DB43" t="str">
            <v>REPOS</v>
          </cell>
          <cell r="DC43" t="str">
            <v>REPOS</v>
          </cell>
          <cell r="DD43" t="str">
            <v>POLY 12H-19H</v>
          </cell>
          <cell r="DE43" t="str">
            <v>POLY 12H-19H</v>
          </cell>
          <cell r="DF43" t="str">
            <v>POLY 12H-19H</v>
          </cell>
          <cell r="DG43" t="str">
            <v>POLY 12H-19H</v>
          </cell>
          <cell r="DH43" t="str">
            <v>POLY 12H-19H</v>
          </cell>
          <cell r="DI43" t="str">
            <v>REPOS</v>
          </cell>
          <cell r="DJ43" t="str">
            <v>REPOS</v>
          </cell>
          <cell r="DK43" t="str">
            <v>POLY 12H-19H</v>
          </cell>
          <cell r="DL43" t="str">
            <v>POLY 12H-19H</v>
          </cell>
          <cell r="DM43" t="str">
            <v>POLY 12H-19H</v>
          </cell>
          <cell r="DN43" t="str">
            <v>POLY 12H-19H</v>
          </cell>
          <cell r="DO43" t="str">
            <v>POLY 12H-19H</v>
          </cell>
          <cell r="DP43" t="str">
            <v>REPOS</v>
          </cell>
          <cell r="DQ43" t="str">
            <v>REPOS</v>
          </cell>
          <cell r="DR43" t="str">
            <v>POLY 12H-19H</v>
          </cell>
          <cell r="DS43" t="str">
            <v>POLY 12H-19H</v>
          </cell>
          <cell r="DT43" t="str">
            <v>POLY 12H-19H</v>
          </cell>
          <cell r="DU43" t="str">
            <v>POLY 12H-19H</v>
          </cell>
          <cell r="DV43" t="str">
            <v>POLY 12H-19H</v>
          </cell>
          <cell r="DW43" t="str">
            <v>REPOS</v>
          </cell>
          <cell r="DX43" t="str">
            <v>REPOS</v>
          </cell>
          <cell r="DY43" t="str">
            <v>B. CARTON</v>
          </cell>
          <cell r="DZ43" t="str">
            <v>REPOS</v>
          </cell>
          <cell r="EA43" t="str">
            <v>B. CARTON</v>
          </cell>
          <cell r="EB43" t="str">
            <v>B. CARTON</v>
          </cell>
          <cell r="EC43" t="str">
            <v>B. CARTON</v>
          </cell>
          <cell r="ED43" t="str">
            <v>REPOS</v>
          </cell>
          <cell r="EE43" t="str">
            <v>POLY 7H-12H + CP</v>
          </cell>
          <cell r="EF43" t="str">
            <v>B. CARTON</v>
          </cell>
          <cell r="EG43" t="str">
            <v>REPOS</v>
          </cell>
          <cell r="EH43" t="str">
            <v>REPOS</v>
          </cell>
          <cell r="EI43" t="str">
            <v>REPOS</v>
          </cell>
          <cell r="EJ43" t="str">
            <v>B. CARTON</v>
          </cell>
          <cell r="EK43" t="str">
            <v>POLY 7H-12H / 14H-18H</v>
          </cell>
          <cell r="EL43" t="str">
            <v>REPOS</v>
          </cell>
          <cell r="EM43" t="str">
            <v>POLY 12H-19H</v>
          </cell>
          <cell r="EN43" t="str">
            <v>POLY 12H-19H</v>
          </cell>
          <cell r="EO43" t="str">
            <v>B. CARTON</v>
          </cell>
          <cell r="EP43" t="str">
            <v>POLY 12H-19H</v>
          </cell>
          <cell r="EQ43" t="str">
            <v>POLY 12H-19H</v>
          </cell>
          <cell r="ER43" t="str">
            <v>HS ENC AM | 13:00-20:00</v>
          </cell>
          <cell r="ES43" t="str">
            <v>REPOS</v>
          </cell>
          <cell r="ET43" t="str">
            <v>POLY 12H-19H</v>
          </cell>
          <cell r="EU43" t="str">
            <v>POLY 12H-19H</v>
          </cell>
          <cell r="EV43" t="str">
            <v>B. CARTON</v>
          </cell>
          <cell r="EW43" t="str">
            <v>REPOS</v>
          </cell>
          <cell r="EX43" t="str">
            <v>POLY 12H-19H</v>
          </cell>
          <cell r="EY43" t="str">
            <v>POLY 7H-12H / 14H-18H</v>
          </cell>
          <cell r="EZ43" t="str">
            <v>REPOS</v>
          </cell>
          <cell r="FA43" t="str">
            <v>RTT</v>
          </cell>
          <cell r="FB43" t="str">
            <v>RTT</v>
          </cell>
          <cell r="FC43" t="str">
            <v>RTT</v>
          </cell>
          <cell r="FD43" t="str">
            <v>Congés</v>
          </cell>
          <cell r="FE43" t="str">
            <v>Congés</v>
          </cell>
          <cell r="FF43" t="str">
            <v>REPOS</v>
          </cell>
          <cell r="FG43" t="str">
            <v>REPOS</v>
          </cell>
          <cell r="FH43" t="str">
            <v>Congés</v>
          </cell>
          <cell r="FI43" t="str">
            <v>Congés</v>
          </cell>
          <cell r="FJ43" t="str">
            <v>Congés</v>
          </cell>
          <cell r="FK43" t="str">
            <v>Congés</v>
          </cell>
          <cell r="FL43" t="str">
            <v>Congés</v>
          </cell>
          <cell r="FM43" t="str">
            <v>REPOS</v>
          </cell>
          <cell r="FN43" t="str">
            <v>REPOS</v>
          </cell>
          <cell r="FO43" t="str">
            <v>Congés</v>
          </cell>
          <cell r="FP43" t="str">
            <v>Congés</v>
          </cell>
          <cell r="FQ43" t="str">
            <v>Congés</v>
          </cell>
          <cell r="FR43" t="str">
            <v>Congés</v>
          </cell>
          <cell r="FS43" t="str">
            <v>Congés</v>
          </cell>
          <cell r="FT43" t="str">
            <v>REPOS</v>
          </cell>
          <cell r="FU43" t="str">
            <v>REPOS</v>
          </cell>
          <cell r="FV43" t="str">
            <v>POLY 12H-19H</v>
          </cell>
          <cell r="FW43" t="str">
            <v>POLY 12H-19H</v>
          </cell>
          <cell r="FX43" t="str">
            <v>B. CARTON</v>
          </cell>
          <cell r="FY43" t="str">
            <v>POLY 12H-19H</v>
          </cell>
          <cell r="FZ43" t="str">
            <v>POLY 9H-16H</v>
          </cell>
          <cell r="GA43" t="str">
            <v>REPOS</v>
          </cell>
          <cell r="GB43" t="str">
            <v>REPOS</v>
          </cell>
          <cell r="GC43" t="str">
            <v>POLY 12H-19H</v>
          </cell>
          <cell r="GD43" t="str">
            <v>POLY 12H-19H</v>
          </cell>
          <cell r="GE43" t="str">
            <v>POLY 12H-19H</v>
          </cell>
          <cell r="GF43" t="str">
            <v>POLY 12H-19H</v>
          </cell>
          <cell r="GG43" t="str">
            <v>POLY 12H-19H</v>
          </cell>
        </row>
        <row r="44">
          <cell r="J44" t="str">
            <v>REPOS</v>
          </cell>
          <cell r="K44" t="str">
            <v>POLY 12H-19H</v>
          </cell>
          <cell r="L44" t="str">
            <v>POLY 12H-19H</v>
          </cell>
          <cell r="M44" t="str">
            <v>POLY 12H-19H</v>
          </cell>
          <cell r="N44" t="str">
            <v>POLY 12H-19H</v>
          </cell>
          <cell r="O44" t="str">
            <v>REPOS</v>
          </cell>
          <cell r="P44" t="str">
            <v>REPOS</v>
          </cell>
          <cell r="Q44" t="str">
            <v>POLY 12H-19H</v>
          </cell>
          <cell r="R44" t="str">
            <v>POLY 12H-19H</v>
          </cell>
          <cell r="S44" t="str">
            <v>POLY 12H-19H</v>
          </cell>
          <cell r="T44" t="str">
            <v>POLY 12H-19H</v>
          </cell>
          <cell r="U44" t="str">
            <v>POLY 12H-19H</v>
          </cell>
          <cell r="V44" t="str">
            <v>REPOS</v>
          </cell>
          <cell r="W44" t="str">
            <v>POLY 7H-12H + CP</v>
          </cell>
          <cell r="X44" t="str">
            <v>POLY 12H-19H</v>
          </cell>
          <cell r="Y44" t="str">
            <v>POLY 12H-19H</v>
          </cell>
          <cell r="Z44" t="str">
            <v>POLY 12H-19H</v>
          </cell>
          <cell r="AA44" t="str">
            <v>POLY 12H-19H</v>
          </cell>
          <cell r="AB44" t="str">
            <v>POLY 12H-19H</v>
          </cell>
          <cell r="AC44" t="str">
            <v>REPOS</v>
          </cell>
          <cell r="AD44" t="str">
            <v>REPOS</v>
          </cell>
          <cell r="AE44" t="str">
            <v>POLY 12H-19H</v>
          </cell>
          <cell r="AF44" t="str">
            <v>POLY 12H-19H</v>
          </cell>
          <cell r="AG44" t="str">
            <v>POLY 12H-19H</v>
          </cell>
          <cell r="AH44" t="str">
            <v>POLY 12H-19H</v>
          </cell>
          <cell r="AI44" t="str">
            <v>REPOS</v>
          </cell>
          <cell r="AJ44" t="str">
            <v>POLY 7H-12H / 14H-18H</v>
          </cell>
          <cell r="AK44" t="str">
            <v>REPOS</v>
          </cell>
          <cell r="AL44" t="str">
            <v>POLY 12H-19H</v>
          </cell>
          <cell r="AM44" t="str">
            <v>POLY 12H-19H</v>
          </cell>
          <cell r="AN44" t="str">
            <v>POLY 12H-19H</v>
          </cell>
          <cell r="AO44" t="str">
            <v>POLY 12H-19H</v>
          </cell>
          <cell r="AP44" t="str">
            <v>POLY 12H-19H</v>
          </cell>
          <cell r="AQ44" t="str">
            <v>REPOS</v>
          </cell>
          <cell r="AR44" t="str">
            <v>REPOS</v>
          </cell>
          <cell r="AS44" t="str">
            <v>POLY 12H-19H</v>
          </cell>
          <cell r="AT44" t="str">
            <v>POLY 12H-19H</v>
          </cell>
          <cell r="AU44" t="str">
            <v>POLY 12H-19H</v>
          </cell>
          <cell r="AV44" t="str">
            <v>POLY 12H-19H</v>
          </cell>
          <cell r="AW44" t="str">
            <v>POLY 12H-19H</v>
          </cell>
          <cell r="AX44" t="str">
            <v>REPOS</v>
          </cell>
          <cell r="AY44" t="str">
            <v>REPOS</v>
          </cell>
          <cell r="AZ44" t="str">
            <v>POLY 12H-19H</v>
          </cell>
          <cell r="BA44" t="str">
            <v>POLY 12H-19H</v>
          </cell>
          <cell r="BB44" t="str">
            <v>POLY 12H-19H</v>
          </cell>
          <cell r="BC44" t="str">
            <v>Congés</v>
          </cell>
          <cell r="BD44" t="str">
            <v>POLY 12H-19H</v>
          </cell>
          <cell r="BE44" t="str">
            <v>REPOS</v>
          </cell>
          <cell r="BF44" t="str">
            <v>POLY 7H-12H + CP</v>
          </cell>
          <cell r="BG44" t="str">
            <v>POLY 12H-19H</v>
          </cell>
          <cell r="BH44" t="str">
            <v>POLY 12H-19H</v>
          </cell>
          <cell r="BI44" t="str">
            <v>POLY 12H-19H</v>
          </cell>
          <cell r="BJ44" t="str">
            <v>POLY 12H-19H</v>
          </cell>
          <cell r="BK44" t="str">
            <v>POLY 12H-19H</v>
          </cell>
          <cell r="BL44" t="str">
            <v>REPOS</v>
          </cell>
          <cell r="BM44" t="str">
            <v>REPOS</v>
          </cell>
          <cell r="BN44" t="str">
            <v>POLY 12H-19H</v>
          </cell>
          <cell r="BO44" t="str">
            <v>POLY 12H-19H</v>
          </cell>
          <cell r="BP44" t="str">
            <v>POLY 12H-19H</v>
          </cell>
          <cell r="BQ44" t="str">
            <v>POLY 12H-19H</v>
          </cell>
          <cell r="BR44" t="str">
            <v>POLY 12H-19H</v>
          </cell>
          <cell r="BS44" t="str">
            <v>REPOS</v>
          </cell>
          <cell r="BT44" t="str">
            <v>POLY 7H-12H + CP</v>
          </cell>
          <cell r="BU44" t="str">
            <v>POLY 12H-19H</v>
          </cell>
          <cell r="BV44" t="str">
            <v>POLY 12H-19H</v>
          </cell>
          <cell r="BW44" t="str">
            <v>POLY 12H-19H</v>
          </cell>
          <cell r="BX44" t="str">
            <v>POLY 12H-19H</v>
          </cell>
          <cell r="BY44" t="str">
            <v>REPOS</v>
          </cell>
          <cell r="BZ44" t="str">
            <v>POLY 7H-12H / 14H-18H</v>
          </cell>
          <cell r="CA44" t="str">
            <v>REPOS</v>
          </cell>
          <cell r="CB44" t="str">
            <v>POLY 12H-19H</v>
          </cell>
          <cell r="CC44" t="str">
            <v>POLY 12H-19H</v>
          </cell>
          <cell r="CD44" t="str">
            <v>POLY 12H-19H</v>
          </cell>
          <cell r="CE44" t="str">
            <v>POLY 12H-19H</v>
          </cell>
          <cell r="CF44" t="str">
            <v>POLY 12H-19H</v>
          </cell>
          <cell r="CG44" t="str">
            <v>REPOS</v>
          </cell>
          <cell r="CH44" t="str">
            <v>REPOS</v>
          </cell>
          <cell r="CI44" t="str">
            <v>POLY 12H-19H</v>
          </cell>
          <cell r="CJ44" t="str">
            <v>POLY 12H-19H</v>
          </cell>
          <cell r="CK44" t="str">
            <v>POLY 12H-19H</v>
          </cell>
          <cell r="CL44" t="str">
            <v>REPOS</v>
          </cell>
          <cell r="CM44" t="str">
            <v>POLY 12H-19H</v>
          </cell>
          <cell r="CN44" t="str">
            <v>POLY 7H-12H / 14H-18H</v>
          </cell>
          <cell r="CO44" t="str">
            <v>REPOS</v>
          </cell>
          <cell r="CP44" t="str">
            <v>POLY 12H-19H</v>
          </cell>
          <cell r="CQ44" t="str">
            <v>POLY 12H-19H</v>
          </cell>
          <cell r="CR44" t="str">
            <v>POLY 12H-19H</v>
          </cell>
          <cell r="CS44" t="str">
            <v>Congés</v>
          </cell>
          <cell r="CT44" t="str">
            <v>POLY 12H-19H</v>
          </cell>
          <cell r="CU44" t="str">
            <v>REPOS</v>
          </cell>
          <cell r="CV44" t="str">
            <v>POLY 7H-12H + CP</v>
          </cell>
          <cell r="CW44" t="str">
            <v>REPOS</v>
          </cell>
          <cell r="CX44" t="str">
            <v>POLY 12H-19H</v>
          </cell>
          <cell r="CY44" t="str">
            <v>POLY 12H-19H</v>
          </cell>
          <cell r="CZ44" t="str">
            <v>POLY 12H-19H</v>
          </cell>
          <cell r="DA44" t="str">
            <v>POLY 12H-19H</v>
          </cell>
          <cell r="DB44" t="str">
            <v>REPOS</v>
          </cell>
          <cell r="DC44" t="str">
            <v>REPOS</v>
          </cell>
          <cell r="DD44" t="str">
            <v>Congés</v>
          </cell>
          <cell r="DE44" t="str">
            <v>Congés</v>
          </cell>
          <cell r="DF44" t="str">
            <v>Congés</v>
          </cell>
          <cell r="DG44" t="str">
            <v>Congés</v>
          </cell>
          <cell r="DH44" t="str">
            <v>Congés</v>
          </cell>
          <cell r="DI44" t="str">
            <v>REPOS</v>
          </cell>
          <cell r="DJ44" t="str">
            <v>REPOS</v>
          </cell>
          <cell r="DK44" t="str">
            <v>Congés</v>
          </cell>
          <cell r="DL44" t="str">
            <v>Congés</v>
          </cell>
          <cell r="DM44" t="str">
            <v>Congés</v>
          </cell>
          <cell r="DN44" t="str">
            <v>Congés</v>
          </cell>
          <cell r="DO44" t="str">
            <v>Congés</v>
          </cell>
          <cell r="DP44" t="str">
            <v>REPOS</v>
          </cell>
          <cell r="DQ44" t="str">
            <v>REPOS</v>
          </cell>
          <cell r="DR44" t="str">
            <v>POLY 12H-19H</v>
          </cell>
          <cell r="DS44" t="str">
            <v>POLY 12H-19H</v>
          </cell>
          <cell r="DT44" t="str">
            <v>POLY 12H-19H</v>
          </cell>
          <cell r="DU44" t="str">
            <v>POLY 12H-19H</v>
          </cell>
          <cell r="DV44" t="str">
            <v>POLY 12H-19H</v>
          </cell>
          <cell r="DW44" t="str">
            <v>REPOS</v>
          </cell>
          <cell r="DX44" t="str">
            <v>REPOS</v>
          </cell>
          <cell r="DY44" t="str">
            <v>POLY 12H-19H</v>
          </cell>
          <cell r="DZ44" t="str">
            <v>REPOS</v>
          </cell>
          <cell r="EA44" t="str">
            <v>POLY 12H-19H</v>
          </cell>
          <cell r="EB44" t="str">
            <v>REPOS</v>
          </cell>
          <cell r="EC44" t="str">
            <v>POLY 12H-19H</v>
          </cell>
          <cell r="ED44" t="str">
            <v>POLY 7H-12H / 14H-18H</v>
          </cell>
          <cell r="EE44" t="str">
            <v>REPOS</v>
          </cell>
          <cell r="EF44" t="str">
            <v>POLY 12H-19H</v>
          </cell>
          <cell r="EG44" t="str">
            <v>REPOS</v>
          </cell>
          <cell r="EH44" t="str">
            <v>POLY 12H-19H</v>
          </cell>
          <cell r="EI44" t="str">
            <v>REPOS</v>
          </cell>
          <cell r="EJ44" t="str">
            <v>POLY 12H-19H</v>
          </cell>
          <cell r="EK44" t="str">
            <v>REPOS</v>
          </cell>
          <cell r="EL44" t="str">
            <v>REPOS</v>
          </cell>
          <cell r="EM44" t="str">
            <v>POLY 12H-19H</v>
          </cell>
          <cell r="EN44" t="str">
            <v>POLY 12H-19H</v>
          </cell>
          <cell r="EO44" t="str">
            <v>POLY 12H-19H</v>
          </cell>
          <cell r="EP44" t="str">
            <v>POLY 12H-19H</v>
          </cell>
          <cell r="EQ44" t="str">
            <v>POLY 12H-19H</v>
          </cell>
          <cell r="ER44" t="str">
            <v>REPOS</v>
          </cell>
          <cell r="ES44" t="str">
            <v>POLY 7H-12H + CP</v>
          </cell>
          <cell r="ET44" t="str">
            <v>POLY 12H-19H</v>
          </cell>
          <cell r="EU44" t="str">
            <v>POLY 12H-19H</v>
          </cell>
          <cell r="EV44" t="str">
            <v>POLY 12H-19H</v>
          </cell>
          <cell r="EW44" t="str">
            <v>POLY 12H-19H</v>
          </cell>
          <cell r="EX44" t="str">
            <v>RTT</v>
          </cell>
          <cell r="EY44" t="str">
            <v>REPOS</v>
          </cell>
          <cell r="EZ44" t="str">
            <v>REPOS</v>
          </cell>
          <cell r="FA44" t="str">
            <v>POLY 12H-19H</v>
          </cell>
          <cell r="FB44" t="str">
            <v>POLY 12H-19H</v>
          </cell>
          <cell r="FC44" t="str">
            <v>POLY 12H-19H</v>
          </cell>
          <cell r="FD44" t="str">
            <v>POLY 12H-19H</v>
          </cell>
          <cell r="FE44" t="str">
            <v>POLY 12H-19H</v>
          </cell>
          <cell r="FF44" t="str">
            <v>REPOS</v>
          </cell>
          <cell r="FG44" t="str">
            <v>POLY 7H-12H</v>
          </cell>
          <cell r="FH44" t="str">
            <v>POLY 12H-19H</v>
          </cell>
          <cell r="FI44" t="str">
            <v>POLY 12H-19H</v>
          </cell>
          <cell r="FJ44" t="str">
            <v>POLY 12H-19H</v>
          </cell>
          <cell r="FK44" t="str">
            <v>POLY 12H-19H</v>
          </cell>
          <cell r="FL44" t="str">
            <v>POLY 12H-19H</v>
          </cell>
          <cell r="FM44" t="str">
            <v>REPOS</v>
          </cell>
          <cell r="FN44" t="str">
            <v>REPOS</v>
          </cell>
          <cell r="FO44" t="str">
            <v>Congés</v>
          </cell>
          <cell r="FP44" t="str">
            <v>POLY 12H-19H</v>
          </cell>
          <cell r="FQ44" t="str">
            <v>POLY 12H-19H</v>
          </cell>
          <cell r="FR44" t="str">
            <v>POLY 12H-19H</v>
          </cell>
          <cell r="FS44" t="str">
            <v>REPOS</v>
          </cell>
          <cell r="FT44" t="str">
            <v>POLY 7H-12H / 14H-18H</v>
          </cell>
          <cell r="FU44" t="str">
            <v>REPOS</v>
          </cell>
          <cell r="FV44" t="str">
            <v>POLY 12H-19H</v>
          </cell>
          <cell r="FW44" t="str">
            <v>POLY 12H-19H</v>
          </cell>
          <cell r="FX44" t="str">
            <v>POLY 12H-19H</v>
          </cell>
          <cell r="FY44" t="str">
            <v>POLY 12H-19H</v>
          </cell>
          <cell r="FZ44" t="str">
            <v>POLY 12H-19H</v>
          </cell>
          <cell r="GA44" t="str">
            <v>REPOS</v>
          </cell>
          <cell r="GB44" t="str">
            <v>REPOS</v>
          </cell>
          <cell r="GC44" t="str">
            <v>POLY 12H-19H</v>
          </cell>
          <cell r="GD44" t="str">
            <v>POLY 12H-19H</v>
          </cell>
          <cell r="GE44" t="str">
            <v>POLY 12H-19H</v>
          </cell>
          <cell r="GF44" t="str">
            <v>POLY 12H-19H</v>
          </cell>
          <cell r="GG44" t="str">
            <v>POLY 12H-19H</v>
          </cell>
          <cell r="HS44" t="str">
            <v>Congés</v>
          </cell>
          <cell r="HT44" t="str">
            <v>Congés</v>
          </cell>
          <cell r="HU44" t="str">
            <v>Congés</v>
          </cell>
          <cell r="HV44" t="str">
            <v>Congés</v>
          </cell>
          <cell r="HW44" t="str">
            <v>Congés</v>
          </cell>
          <cell r="HX44" t="str">
            <v>REPOS</v>
          </cell>
          <cell r="HY44" t="str">
            <v>REPOS</v>
          </cell>
          <cell r="HZ44" t="str">
            <v>Congés</v>
          </cell>
          <cell r="IA44" t="str">
            <v>Congés</v>
          </cell>
          <cell r="IB44" t="str">
            <v>REPOS</v>
          </cell>
          <cell r="IC44" t="str">
            <v>Congés</v>
          </cell>
          <cell r="ID44" t="str">
            <v>Congés</v>
          </cell>
          <cell r="IE44" t="str">
            <v>REPOS</v>
          </cell>
          <cell r="IF44" t="str">
            <v>REPOS</v>
          </cell>
          <cell r="IG44" t="str">
            <v>Congés</v>
          </cell>
          <cell r="IH44" t="str">
            <v>Congés</v>
          </cell>
          <cell r="II44" t="str">
            <v>Congés</v>
          </cell>
          <cell r="IJ44" t="str">
            <v>Congés</v>
          </cell>
          <cell r="IK44" t="str">
            <v>Congés</v>
          </cell>
          <cell r="IL44" t="str">
            <v>REPOS</v>
          </cell>
          <cell r="IM44" t="str">
            <v>REPOS</v>
          </cell>
        </row>
        <row r="45">
          <cell r="J45" t="str">
            <v>REPOS</v>
          </cell>
          <cell r="K45" t="str">
            <v>B. CARTON</v>
          </cell>
          <cell r="L45" t="str">
            <v>REPOS</v>
          </cell>
          <cell r="M45" t="str">
            <v>B. CARTON</v>
          </cell>
          <cell r="N45" t="str">
            <v>B. CARTON</v>
          </cell>
          <cell r="O45" t="str">
            <v>POLY 7H-12H / 14H-18H</v>
          </cell>
          <cell r="P45" t="str">
            <v>POLY 7H-12H + CP</v>
          </cell>
          <cell r="Q45" t="str">
            <v>B. CARTON</v>
          </cell>
          <cell r="R45" t="str">
            <v>Maladie</v>
          </cell>
          <cell r="S45" t="str">
            <v>ABSENT</v>
          </cell>
          <cell r="T45" t="str">
            <v>POLY 9H-16H</v>
          </cell>
          <cell r="U45" t="str">
            <v>B. CARTON</v>
          </cell>
          <cell r="V45" t="str">
            <v>POLY 7H-12H / 14H-18H</v>
          </cell>
          <cell r="W45" t="str">
            <v>REPOS</v>
          </cell>
          <cell r="X45" t="str">
            <v>B. CARTON</v>
          </cell>
          <cell r="Y45" t="str">
            <v>B. CARTON</v>
          </cell>
          <cell r="Z45" t="str">
            <v>REPOS</v>
          </cell>
          <cell r="AA45" t="str">
            <v>B. CARTON</v>
          </cell>
          <cell r="AB45" t="str">
            <v>B. CARTON</v>
          </cell>
          <cell r="AC45" t="str">
            <v>POLY 7H-12H / 14H-18H</v>
          </cell>
          <cell r="AD45" t="str">
            <v>REPOS</v>
          </cell>
          <cell r="AE45" t="str">
            <v>B. CARTON</v>
          </cell>
          <cell r="AF45" t="str">
            <v>B. CARTON</v>
          </cell>
          <cell r="AG45" t="str">
            <v>REPOS</v>
          </cell>
          <cell r="AH45" t="str">
            <v>B. CARTON</v>
          </cell>
          <cell r="AI45" t="str">
            <v>B. CARTON</v>
          </cell>
          <cell r="AJ45" t="str">
            <v>POLY 7H-12H / 14H-18H</v>
          </cell>
          <cell r="AK45" t="str">
            <v>POLY 7H-12H + CP</v>
          </cell>
          <cell r="AL45" t="str">
            <v>B. CARTON</v>
          </cell>
          <cell r="AM45" t="str">
            <v>B. CARTON</v>
          </cell>
          <cell r="AN45" t="str">
            <v>REPOS</v>
          </cell>
          <cell r="AO45" t="str">
            <v>B. CARTON</v>
          </cell>
          <cell r="AP45" t="str">
            <v>B. CARTON</v>
          </cell>
          <cell r="AQ45" t="str">
            <v>POLY 7H-12H / 14H-18H</v>
          </cell>
          <cell r="AR45" t="str">
            <v>REPOS</v>
          </cell>
          <cell r="AS45" t="str">
            <v>Congés</v>
          </cell>
          <cell r="AT45" t="str">
            <v>Congés</v>
          </cell>
          <cell r="AU45" t="str">
            <v>Congés</v>
          </cell>
          <cell r="AV45" t="str">
            <v>Congés</v>
          </cell>
          <cell r="AW45" t="str">
            <v>Congés</v>
          </cell>
          <cell r="AX45" t="str">
            <v>REPOS</v>
          </cell>
          <cell r="AY45" t="str">
            <v>REPOS</v>
          </cell>
          <cell r="AZ45" t="str">
            <v>B. CARTON</v>
          </cell>
          <cell r="BA45" t="str">
            <v>B. CARTON</v>
          </cell>
          <cell r="BB45" t="str">
            <v>B. CARTON</v>
          </cell>
          <cell r="BC45" t="str">
            <v>REPOS</v>
          </cell>
          <cell r="BD45" t="str">
            <v>B. CARTON</v>
          </cell>
          <cell r="BE45" t="str">
            <v>POLY 7H-12H / 14H-18H</v>
          </cell>
          <cell r="BF45" t="str">
            <v>REPOS</v>
          </cell>
          <cell r="BG45" t="str">
            <v>B. CARTON</v>
          </cell>
          <cell r="BH45" t="str">
            <v>B. CARTON</v>
          </cell>
          <cell r="BI45" t="str">
            <v>REPOS</v>
          </cell>
          <cell r="BJ45" t="str">
            <v>B. CARTON</v>
          </cell>
          <cell r="BK45" t="str">
            <v>B. CARTON</v>
          </cell>
          <cell r="BL45" t="str">
            <v>POLY 7H-12H / 14H-18H</v>
          </cell>
          <cell r="BM45" t="str">
            <v>REPOS</v>
          </cell>
          <cell r="BN45" t="str">
            <v>B. CARTON</v>
          </cell>
          <cell r="BO45" t="str">
            <v>B. CARTON</v>
          </cell>
          <cell r="BP45" t="str">
            <v>REPOS</v>
          </cell>
          <cell r="BQ45" t="str">
            <v>Congés</v>
          </cell>
          <cell r="BR45" t="str">
            <v>B. CARTON</v>
          </cell>
          <cell r="BS45" t="str">
            <v>POLY 7H-12H / 14H-18H</v>
          </cell>
          <cell r="BT45" t="str">
            <v>REPOS</v>
          </cell>
          <cell r="BU45" t="str">
            <v>Congés</v>
          </cell>
          <cell r="BV45" t="str">
            <v>Congés</v>
          </cell>
          <cell r="BW45" t="str">
            <v>Congés</v>
          </cell>
          <cell r="BX45" t="str">
            <v>Congés</v>
          </cell>
          <cell r="BY45" t="str">
            <v>Congés</v>
          </cell>
          <cell r="BZ45" t="str">
            <v>REPOS</v>
          </cell>
          <cell r="CA45" t="str">
            <v>REPOS</v>
          </cell>
          <cell r="CB45" t="str">
            <v>B. CARTON</v>
          </cell>
          <cell r="CC45" t="str">
            <v>B. CARTON</v>
          </cell>
          <cell r="CD45" t="str">
            <v>REPOS</v>
          </cell>
          <cell r="CE45" t="str">
            <v>B. CARTON</v>
          </cell>
          <cell r="CF45" t="str">
            <v>B. CARTON</v>
          </cell>
          <cell r="CG45" t="str">
            <v>POLY 7H-12H / 14H-18H</v>
          </cell>
          <cell r="CH45" t="str">
            <v>REPOS</v>
          </cell>
          <cell r="CI45" t="str">
            <v>B. CARTON</v>
          </cell>
          <cell r="CJ45" t="str">
            <v>B. CARTON</v>
          </cell>
          <cell r="CK45" t="str">
            <v>REPOS</v>
          </cell>
          <cell r="CL45" t="str">
            <v>B. CARTON</v>
          </cell>
          <cell r="CM45" t="str">
            <v>B. CARTON</v>
          </cell>
          <cell r="CN45" t="str">
            <v>POLY 7H-12H / 14H-18H</v>
          </cell>
          <cell r="CO45" t="str">
            <v>REPOS</v>
          </cell>
          <cell r="CP45" t="str">
            <v>B. CARTON</v>
          </cell>
          <cell r="CQ45" t="str">
            <v>B. CARTON</v>
          </cell>
          <cell r="CR45" t="str">
            <v>REPOS</v>
          </cell>
          <cell r="CS45" t="str">
            <v>B. CARTON</v>
          </cell>
          <cell r="CT45" t="str">
            <v>B. CARTON</v>
          </cell>
          <cell r="CU45" t="str">
            <v>POLY 7H-12H / 14H-18H</v>
          </cell>
          <cell r="CV45" t="str">
            <v>REPOS</v>
          </cell>
          <cell r="CW45" t="str">
            <v>REPOS</v>
          </cell>
          <cell r="CX45" t="str">
            <v>Congés</v>
          </cell>
          <cell r="CY45" t="str">
            <v>Congés</v>
          </cell>
          <cell r="CZ45" t="str">
            <v>Congés</v>
          </cell>
          <cell r="DA45" t="str">
            <v>Congés</v>
          </cell>
          <cell r="DB45" t="str">
            <v>REPOS</v>
          </cell>
          <cell r="DC45" t="str">
            <v>REPOS</v>
          </cell>
          <cell r="DD45" t="str">
            <v>B. CARTON</v>
          </cell>
          <cell r="DE45" t="str">
            <v>B. CARTON</v>
          </cell>
          <cell r="DF45" t="str">
            <v>REPOS</v>
          </cell>
          <cell r="DG45" t="str">
            <v>B. CARTON</v>
          </cell>
          <cell r="DH45" t="str">
            <v>B. CARTON</v>
          </cell>
          <cell r="DI45" t="str">
            <v>POLY 7H-12H / 14H-18H</v>
          </cell>
          <cell r="DJ45" t="str">
            <v>HS presta. Except | 07:00-14:00</v>
          </cell>
          <cell r="DK45" t="str">
            <v>B. CARTON</v>
          </cell>
          <cell r="DL45" t="str">
            <v>B. CARTON</v>
          </cell>
          <cell r="DM45" t="str">
            <v>REPOS</v>
          </cell>
          <cell r="DN45" t="str">
            <v>B. CARTON</v>
          </cell>
          <cell r="DO45" t="str">
            <v>B. CARTON</v>
          </cell>
          <cell r="DP45" t="str">
            <v>POLY 7H-12H / 14H-18H</v>
          </cell>
          <cell r="DQ45" t="str">
            <v>REPOS</v>
          </cell>
          <cell r="DR45" t="str">
            <v>B. CARTON</v>
          </cell>
          <cell r="DS45" t="str">
            <v>B. CARTON</v>
          </cell>
          <cell r="DT45" t="str">
            <v>REPOS</v>
          </cell>
          <cell r="DU45" t="str">
            <v>B. CARTON</v>
          </cell>
          <cell r="DV45" t="str">
            <v>B. CARTON</v>
          </cell>
          <cell r="DW45" t="str">
            <v>POLY 7H-12H / 14H-18H</v>
          </cell>
          <cell r="DX45" t="str">
            <v>REPOS</v>
          </cell>
          <cell r="DY45" t="str">
            <v>Congés</v>
          </cell>
          <cell r="DZ45" t="str">
            <v>REPOS</v>
          </cell>
          <cell r="EA45" t="str">
            <v>Congés</v>
          </cell>
          <cell r="EB45" t="str">
            <v>Congés</v>
          </cell>
          <cell r="EC45" t="str">
            <v>Congés</v>
          </cell>
          <cell r="ED45" t="str">
            <v>REPOS</v>
          </cell>
          <cell r="EE45" t="str">
            <v>REPOS</v>
          </cell>
          <cell r="EF45" t="str">
            <v>Congés</v>
          </cell>
          <cell r="EG45" t="str">
            <v>REPOS</v>
          </cell>
          <cell r="EH45" t="str">
            <v>Congés</v>
          </cell>
          <cell r="EI45" t="str">
            <v>REPOS</v>
          </cell>
          <cell r="EJ45" t="str">
            <v>Congés</v>
          </cell>
          <cell r="EK45" t="str">
            <v>REPOS</v>
          </cell>
          <cell r="EL45" t="str">
            <v>REPOS</v>
          </cell>
          <cell r="EM45" t="str">
            <v>B. CARTON</v>
          </cell>
          <cell r="EN45" t="str">
            <v>B. CARTON</v>
          </cell>
          <cell r="EO45" t="str">
            <v>REPOS</v>
          </cell>
          <cell r="EP45" t="str">
            <v>B. CARTON</v>
          </cell>
          <cell r="EQ45" t="str">
            <v>B. CARTON</v>
          </cell>
          <cell r="ER45" t="str">
            <v>POLY 7H-12H / 14H-18H</v>
          </cell>
          <cell r="ES45" t="str">
            <v>REPOS</v>
          </cell>
          <cell r="ET45" t="str">
            <v>RTT</v>
          </cell>
          <cell r="EU45" t="str">
            <v>B. CARTON</v>
          </cell>
          <cell r="EV45" t="str">
            <v>REPOS</v>
          </cell>
          <cell r="EW45" t="str">
            <v>B. CARTON</v>
          </cell>
          <cell r="EX45" t="str">
            <v>B. CARTON</v>
          </cell>
          <cell r="EY45" t="str">
            <v>POLY 7H-12H / 14H-18H</v>
          </cell>
          <cell r="EZ45" t="str">
            <v>REPOS</v>
          </cell>
          <cell r="FA45" t="str">
            <v>B. CARTON</v>
          </cell>
          <cell r="FB45" t="str">
            <v>B. CARTON</v>
          </cell>
          <cell r="FC45" t="str">
            <v>REPOS</v>
          </cell>
          <cell r="FD45" t="str">
            <v>B. CARTON</v>
          </cell>
          <cell r="FE45" t="str">
            <v>B. CARTON</v>
          </cell>
          <cell r="FF45" t="str">
            <v>POLY 7H-12H / 14H-18H</v>
          </cell>
          <cell r="FG45" t="str">
            <v>REPOS</v>
          </cell>
          <cell r="FH45" t="str">
            <v>B. CARTON</v>
          </cell>
          <cell r="FI45" t="str">
            <v>B. CARTON</v>
          </cell>
          <cell r="FJ45" t="str">
            <v>REPOS</v>
          </cell>
          <cell r="FK45" t="str">
            <v>B. CARTON</v>
          </cell>
          <cell r="FL45" t="str">
            <v>B. CARTON</v>
          </cell>
          <cell r="FM45" t="str">
            <v>POLY 7H-12H / 14H-18H</v>
          </cell>
          <cell r="FN45" t="str">
            <v>REPOS</v>
          </cell>
          <cell r="FO45" t="str">
            <v>B. CARTON</v>
          </cell>
          <cell r="FP45" t="str">
            <v>B. CARTON</v>
          </cell>
          <cell r="FQ45" t="str">
            <v>REPOS</v>
          </cell>
          <cell r="FR45" t="str">
            <v>B. CARTON</v>
          </cell>
          <cell r="FS45" t="str">
            <v>B. CARTON</v>
          </cell>
          <cell r="FT45" t="str">
            <v>POLY 7H-12H / 14H-18H</v>
          </cell>
          <cell r="FU45" t="str">
            <v>POLY 7H-12H + CP</v>
          </cell>
          <cell r="FV45" t="str">
            <v>B. CARTON</v>
          </cell>
          <cell r="FW45" t="str">
            <v>B. CARTON</v>
          </cell>
          <cell r="FX45" t="str">
            <v>REPOS</v>
          </cell>
          <cell r="FY45" t="str">
            <v>B. CARTON</v>
          </cell>
          <cell r="FZ45" t="str">
            <v>B. CARTON</v>
          </cell>
          <cell r="GA45" t="str">
            <v>POLY 7H-12H / 14H-18H</v>
          </cell>
          <cell r="GB45" t="str">
            <v>REPOS</v>
          </cell>
          <cell r="GC45" t="str">
            <v>B. CARTON</v>
          </cell>
          <cell r="GD45" t="str">
            <v>B. CARTON</v>
          </cell>
          <cell r="GE45" t="str">
            <v>REPOS</v>
          </cell>
          <cell r="GF45" t="str">
            <v>B. CARTON</v>
          </cell>
          <cell r="GG45" t="str">
            <v>B. CARTON</v>
          </cell>
          <cell r="GH45" t="str">
            <v>POLY 7H-12H / 14H-18H</v>
          </cell>
          <cell r="IL45" t="str">
            <v>REPOS</v>
          </cell>
          <cell r="IM45" t="str">
            <v>REPOS</v>
          </cell>
          <cell r="IN45" t="str">
            <v>Congés</v>
          </cell>
          <cell r="IO45" t="str">
            <v>Congés</v>
          </cell>
          <cell r="IP45" t="str">
            <v>Congés</v>
          </cell>
          <cell r="IQ45" t="str">
            <v>Congés</v>
          </cell>
          <cell r="IR45" t="str">
            <v>Congés</v>
          </cell>
          <cell r="IS45" t="str">
            <v>REPOS</v>
          </cell>
          <cell r="IT45" t="str">
            <v>REPOS</v>
          </cell>
          <cell r="IU45" t="str">
            <v>Congés</v>
          </cell>
          <cell r="IV45" t="str">
            <v>Congés</v>
          </cell>
          <cell r="IW45" t="str">
            <v>Congés</v>
          </cell>
          <cell r="IX45" t="str">
            <v>Congés</v>
          </cell>
          <cell r="IY45" t="str">
            <v>Congés</v>
          </cell>
          <cell r="IZ45" t="str">
            <v>REPOS</v>
          </cell>
          <cell r="JA45" t="str">
            <v>REPOS</v>
          </cell>
          <cell r="JB45" t="str">
            <v>Congés</v>
          </cell>
          <cell r="JC45" t="str">
            <v>Congés</v>
          </cell>
          <cell r="JD45" t="str">
            <v>Congés</v>
          </cell>
          <cell r="JE45" t="str">
            <v>Congés</v>
          </cell>
          <cell r="JF45" t="str">
            <v>Congés</v>
          </cell>
          <cell r="JG45" t="str">
            <v>REPOS</v>
          </cell>
          <cell r="JH45" t="str">
            <v>REPOS</v>
          </cell>
        </row>
        <row r="46">
          <cell r="J46" t="str">
            <v>REPOS</v>
          </cell>
          <cell r="K46" t="str">
            <v>Congés</v>
          </cell>
          <cell r="L46" t="str">
            <v>POLY 5H-12H</v>
          </cell>
          <cell r="M46" t="str">
            <v>Maladie</v>
          </cell>
          <cell r="N46" t="str">
            <v>Maladie</v>
          </cell>
          <cell r="O46" t="str">
            <v>Maladie</v>
          </cell>
          <cell r="P46" t="str">
            <v>Maladie</v>
          </cell>
          <cell r="Q46" t="str">
            <v>POLY 4H-12H + CP</v>
          </cell>
          <cell r="R46" t="str">
            <v>POLY 4H-12H + CP</v>
          </cell>
          <cell r="S46" t="str">
            <v>POLY 4H-12H + CP</v>
          </cell>
          <cell r="T46" t="str">
            <v>POLY 4H-12H + CP</v>
          </cell>
          <cell r="U46" t="str">
            <v>POLY 5H-12H</v>
          </cell>
          <cell r="V46" t="str">
            <v>HS POLY 7H-12H / 14H-18H</v>
          </cell>
          <cell r="W46" t="str">
            <v>REPOS</v>
          </cell>
          <cell r="X46" t="str">
            <v>Congés</v>
          </cell>
          <cell r="Y46" t="str">
            <v>Congés</v>
          </cell>
          <cell r="Z46" t="str">
            <v>Congés</v>
          </cell>
          <cell r="AA46" t="str">
            <v>Congés</v>
          </cell>
          <cell r="AB46" t="str">
            <v>Congés</v>
          </cell>
          <cell r="AC46" t="str">
            <v>REPOS</v>
          </cell>
          <cell r="AD46" t="str">
            <v>REPOS</v>
          </cell>
          <cell r="AE46" t="str">
            <v>POLY 4H-12H + CP</v>
          </cell>
          <cell r="AF46" t="str">
            <v>POLY 4H-12H + CP</v>
          </cell>
          <cell r="AG46" t="str">
            <v>POLY 4H-12H + CP</v>
          </cell>
          <cell r="AH46" t="str">
            <v>POLY 4H-12H + CP</v>
          </cell>
          <cell r="AI46" t="str">
            <v>POLY 4H-12H + CP</v>
          </cell>
          <cell r="AJ46" t="str">
            <v>REPOS</v>
          </cell>
          <cell r="AK46" t="str">
            <v>REPOS</v>
          </cell>
          <cell r="AL46" t="str">
            <v>POLY 5H-12H</v>
          </cell>
          <cell r="AM46" t="str">
            <v>POLY 5H-12H</v>
          </cell>
          <cell r="AN46" t="str">
            <v>POLY 5H-12H</v>
          </cell>
          <cell r="AO46" t="str">
            <v>POLY 5H-12H</v>
          </cell>
          <cell r="AP46" t="str">
            <v>POLY 5H-12H</v>
          </cell>
          <cell r="AQ46" t="str">
            <v>HS POLY 7H-12H / 14H-18H</v>
          </cell>
          <cell r="AR46" t="str">
            <v>REPOS</v>
          </cell>
          <cell r="AS46" t="str">
            <v>POLY 4H-12H + CP</v>
          </cell>
          <cell r="AT46" t="str">
            <v>POLY 4H-12H + CP</v>
          </cell>
          <cell r="AU46" t="str">
            <v>POLY 4H-12H + CP</v>
          </cell>
          <cell r="AV46" t="str">
            <v>POLY 4H-12H + CP</v>
          </cell>
          <cell r="AW46" t="str">
            <v>POLY 4H-12H + CP</v>
          </cell>
          <cell r="AX46" t="str">
            <v>REPOS</v>
          </cell>
          <cell r="AY46" t="str">
            <v>POLY 7H-12H + CP</v>
          </cell>
          <cell r="AZ46" t="str">
            <v>POLY 5H-12H</v>
          </cell>
          <cell r="BA46" t="str">
            <v>POLY 5H-12H</v>
          </cell>
          <cell r="BB46" t="str">
            <v>POLY 5H-12H</v>
          </cell>
          <cell r="BC46" t="str">
            <v>POLY 5H-12H</v>
          </cell>
          <cell r="BD46" t="str">
            <v>REPOS</v>
          </cell>
          <cell r="BE46" t="str">
            <v>POLY 7H-12H / 14H-18H</v>
          </cell>
          <cell r="BF46" t="str">
            <v>REPOS</v>
          </cell>
          <cell r="BG46" t="str">
            <v>POLY 4H-12H + CP</v>
          </cell>
          <cell r="BH46" t="str">
            <v>POLY 4H-12H + CP</v>
          </cell>
          <cell r="BI46" t="str">
            <v>POLY 4H-12H + CP</v>
          </cell>
          <cell r="BJ46" t="str">
            <v>POLY 4H-12H + CP</v>
          </cell>
          <cell r="BK46" t="str">
            <v>POLY 4H-12H + CP</v>
          </cell>
          <cell r="BL46" t="str">
            <v>REPOS</v>
          </cell>
          <cell r="BM46" t="str">
            <v>REPOS</v>
          </cell>
          <cell r="BN46" t="str">
            <v>POLY 5H-12H</v>
          </cell>
          <cell r="BO46" t="str">
            <v>Congés</v>
          </cell>
          <cell r="BP46" t="str">
            <v>POLY 5H-12H</v>
          </cell>
          <cell r="BQ46" t="str">
            <v>REPOS</v>
          </cell>
          <cell r="BR46" t="str">
            <v>POLY 5H-12H</v>
          </cell>
          <cell r="BS46" t="str">
            <v>POLY 7H-12H / 14H-18H</v>
          </cell>
          <cell r="BT46" t="str">
            <v>REPOS</v>
          </cell>
          <cell r="BU46" t="str">
            <v>POLY 4H-12H + CP</v>
          </cell>
          <cell r="BV46" t="str">
            <v>POLY 4H-12H + CP</v>
          </cell>
          <cell r="BW46" t="str">
            <v>POLY 4H-12H + CP</v>
          </cell>
          <cell r="BX46" t="str">
            <v>POLY 4H-12H + CP</v>
          </cell>
          <cell r="BY46" t="str">
            <v>POLY 4H-12H + CP</v>
          </cell>
          <cell r="BZ46" t="str">
            <v>HS CP 4H-7H</v>
          </cell>
          <cell r="CA46" t="str">
            <v>REPOS</v>
          </cell>
          <cell r="CB46" t="str">
            <v>POLY 5H-12H</v>
          </cell>
          <cell r="CC46" t="str">
            <v>POLY 5H-12H</v>
          </cell>
          <cell r="CD46" t="str">
            <v>POLY 5H-12H</v>
          </cell>
          <cell r="CE46" t="str">
            <v>POLY 5H-12H</v>
          </cell>
          <cell r="CF46" t="str">
            <v>POLY 5H-12H</v>
          </cell>
          <cell r="CG46" t="str">
            <v>HS CP 4H-7H</v>
          </cell>
          <cell r="CH46" t="str">
            <v>REPOS</v>
          </cell>
          <cell r="CI46" t="str">
            <v>POLY 4H-12H + CP</v>
          </cell>
          <cell r="CJ46" t="str">
            <v>POLY 4H-12H + CP</v>
          </cell>
          <cell r="CK46" t="str">
            <v>POLY 4H-12H + CP</v>
          </cell>
          <cell r="CL46" t="str">
            <v>POLY 4H-12H + CP</v>
          </cell>
          <cell r="CM46" t="str">
            <v>POLY 4H-12H + CP</v>
          </cell>
          <cell r="CN46" t="str">
            <v>HS CP 4H-7H</v>
          </cell>
          <cell r="CO46" t="str">
            <v>REPOS</v>
          </cell>
          <cell r="CP46" t="str">
            <v>POLY 4H-12H + CP</v>
          </cell>
          <cell r="CQ46" t="str">
            <v>POLY 4H-12H + CP</v>
          </cell>
          <cell r="CR46" t="str">
            <v>POLY 4H-12H + CP</v>
          </cell>
          <cell r="CS46" t="str">
            <v>POLY 4H-12H + CP</v>
          </cell>
          <cell r="CT46" t="str">
            <v>REPOS</v>
          </cell>
          <cell r="CU46" t="str">
            <v>POLY 7H-12H / 14H-18H</v>
          </cell>
          <cell r="CV46" t="str">
            <v>REPOS</v>
          </cell>
          <cell r="CW46" t="str">
            <v>POLY 7H-12H + CP</v>
          </cell>
          <cell r="CX46" t="str">
            <v>POLY 5H-12H</v>
          </cell>
          <cell r="CY46" t="str">
            <v>POLY 5H-12H</v>
          </cell>
          <cell r="CZ46" t="str">
            <v>POLY 5H-12H</v>
          </cell>
          <cell r="DA46" t="str">
            <v>POLY 5H-12H</v>
          </cell>
          <cell r="DB46" t="str">
            <v>REPOS</v>
          </cell>
          <cell r="DC46" t="str">
            <v>POLY 7H-12H + CP</v>
          </cell>
          <cell r="DD46" t="str">
            <v>POLY 4H-12H + CP</v>
          </cell>
          <cell r="DE46" t="str">
            <v>POLY 4H-12H + CP</v>
          </cell>
          <cell r="DF46" t="str">
            <v>POLY 4H-12H + CP</v>
          </cell>
          <cell r="DG46" t="str">
            <v>POLY 4H-12H + CP</v>
          </cell>
          <cell r="DH46" t="str">
            <v>POLY 4H-12H + CP</v>
          </cell>
          <cell r="DI46" t="str">
            <v>REPOS</v>
          </cell>
          <cell r="DJ46" t="str">
            <v>REPOS</v>
          </cell>
          <cell r="DK46" t="str">
            <v>POLY 5H-12H</v>
          </cell>
          <cell r="DL46" t="str">
            <v>POLY 5H-12H</v>
          </cell>
          <cell r="DM46" t="str">
            <v>POLY 5H-12H</v>
          </cell>
          <cell r="DN46" t="str">
            <v>POLY 5H-12H</v>
          </cell>
          <cell r="DO46" t="str">
            <v>POLY 5H-12H</v>
          </cell>
          <cell r="DP46" t="str">
            <v>HS POLY 7H-12H / 14H-18H</v>
          </cell>
          <cell r="DQ46" t="str">
            <v>REPOS</v>
          </cell>
          <cell r="DR46" t="str">
            <v>POLY 4H-12H + CP</v>
          </cell>
          <cell r="DS46" t="str">
            <v>POLY 4H-12H + CP</v>
          </cell>
          <cell r="DT46" t="str">
            <v>POLY 4H-12H + CP</v>
          </cell>
          <cell r="DU46" t="str">
            <v>POLY 4H-12H + CP</v>
          </cell>
          <cell r="DV46" t="str">
            <v>POLY 4H-12H + CP</v>
          </cell>
          <cell r="DW46" t="str">
            <v>HS CP 4H-7H</v>
          </cell>
          <cell r="DX46" t="str">
            <v>REPOS</v>
          </cell>
          <cell r="DY46" t="str">
            <v>POLY 5H-12H</v>
          </cell>
          <cell r="DZ46" t="str">
            <v>REPOS</v>
          </cell>
          <cell r="EA46" t="str">
            <v>POLY 5H-12H</v>
          </cell>
          <cell r="EB46" t="str">
            <v>POLY 5H-12H</v>
          </cell>
          <cell r="EC46" t="str">
            <v>POLY 5H-12H</v>
          </cell>
          <cell r="ED46" t="str">
            <v>REPOS</v>
          </cell>
          <cell r="EE46" t="str">
            <v>REPOS</v>
          </cell>
          <cell r="EF46" t="str">
            <v>POLY 4H-12H + CP</v>
          </cell>
          <cell r="EG46" t="str">
            <v>REPOS</v>
          </cell>
          <cell r="EH46" t="str">
            <v>POLY 4H-12H + CP</v>
          </cell>
          <cell r="EI46" t="str">
            <v>POLY 4H-12H + CP</v>
          </cell>
          <cell r="EJ46" t="str">
            <v>POLY 4H-12H + CP</v>
          </cell>
          <cell r="EK46" t="str">
            <v>HS CP 4H-7H</v>
          </cell>
          <cell r="EL46" t="str">
            <v>REPOS</v>
          </cell>
          <cell r="EM46" t="str">
            <v>POLY 5H-12H</v>
          </cell>
          <cell r="EN46" t="str">
            <v>POLY 5H-12H</v>
          </cell>
          <cell r="EO46" t="str">
            <v>POLY 5H-12H</v>
          </cell>
          <cell r="EP46" t="str">
            <v>POLY 5H-12H</v>
          </cell>
          <cell r="EQ46" t="str">
            <v>POLY 5H-12H</v>
          </cell>
          <cell r="ER46" t="str">
            <v>REPOS</v>
          </cell>
          <cell r="ES46" t="str">
            <v>REPOS</v>
          </cell>
          <cell r="ET46" t="str">
            <v>POLY 4H-12H + CP</v>
          </cell>
          <cell r="EU46" t="str">
            <v>POLY 4H-12H + CP</v>
          </cell>
          <cell r="EV46" t="str">
            <v>RTT</v>
          </cell>
          <cell r="EW46" t="str">
            <v>RTT</v>
          </cell>
          <cell r="EX46" t="str">
            <v>Congés</v>
          </cell>
          <cell r="EY46" t="str">
            <v>REPOS</v>
          </cell>
          <cell r="EZ46" t="str">
            <v>REPOS</v>
          </cell>
          <cell r="FA46" t="str">
            <v>POLY 5H-12H</v>
          </cell>
          <cell r="FB46" t="str">
            <v>POLY 5H-12H</v>
          </cell>
          <cell r="FC46" t="str">
            <v>POLY 5H-12H</v>
          </cell>
          <cell r="FD46" t="str">
            <v>POLY 5H-12H</v>
          </cell>
          <cell r="FE46" t="str">
            <v>POLY 5H-12H</v>
          </cell>
          <cell r="FF46" t="str">
            <v>REPOS</v>
          </cell>
          <cell r="FG46" t="str">
            <v>REPOS</v>
          </cell>
          <cell r="FH46" t="str">
            <v>POLY 4H-12H + CP</v>
          </cell>
          <cell r="FI46" t="str">
            <v>POLY 4H-12H + CP</v>
          </cell>
          <cell r="FJ46" t="str">
            <v>POLY 4H-12H + CP</v>
          </cell>
          <cell r="FK46" t="str">
            <v>POLY 4H-12H + CP</v>
          </cell>
          <cell r="FL46" t="str">
            <v>POLY 4H-12H + CP</v>
          </cell>
          <cell r="FM46" t="str">
            <v>HS CP 4H-7H</v>
          </cell>
          <cell r="FN46" t="str">
            <v>REPOS</v>
          </cell>
          <cell r="FO46" t="str">
            <v>POLY 5H-12H</v>
          </cell>
          <cell r="FP46" t="str">
            <v>POLY 5H-12H</v>
          </cell>
          <cell r="FQ46" t="str">
            <v>POLY 5H-12H</v>
          </cell>
          <cell r="FR46" t="str">
            <v>POLY 5H-12H</v>
          </cell>
          <cell r="FS46" t="str">
            <v>POLY 5H-12H</v>
          </cell>
          <cell r="FT46" t="str">
            <v>REPOS</v>
          </cell>
          <cell r="FU46" t="str">
            <v>REPOS</v>
          </cell>
          <cell r="FV46" t="str">
            <v>POLY 4H-12H + CP</v>
          </cell>
          <cell r="FW46" t="str">
            <v>POLY 4H-12H + CP</v>
          </cell>
          <cell r="FX46" t="str">
            <v>POLY 4H-12H + CP</v>
          </cell>
          <cell r="FY46" t="str">
            <v>POLY 4H-12H + CP</v>
          </cell>
          <cell r="FZ46" t="str">
            <v>POLY 4H-12H + CP</v>
          </cell>
          <cell r="GA46" t="str">
            <v>HS CP 4H-7H</v>
          </cell>
          <cell r="GB46" t="str">
            <v>REPOS</v>
          </cell>
          <cell r="GC46" t="str">
            <v>POLY 5H-12H</v>
          </cell>
          <cell r="GD46" t="str">
            <v>POLY 5H-12H</v>
          </cell>
          <cell r="GE46" t="str">
            <v>POLY 5H-12H</v>
          </cell>
          <cell r="GF46" t="str">
            <v>POLY 5H-12H</v>
          </cell>
          <cell r="GG46" t="str">
            <v>POLY 5H-12H</v>
          </cell>
          <cell r="HS46" t="str">
            <v>Congés</v>
          </cell>
          <cell r="HT46" t="str">
            <v>Congés</v>
          </cell>
          <cell r="HU46" t="str">
            <v>Congés</v>
          </cell>
          <cell r="HV46" t="str">
            <v>Congés</v>
          </cell>
          <cell r="HW46" t="str">
            <v>Congés</v>
          </cell>
          <cell r="HX46" t="str">
            <v>REPOS</v>
          </cell>
          <cell r="HY46" t="str">
            <v>REPOS</v>
          </cell>
          <cell r="HZ46" t="str">
            <v>Congés</v>
          </cell>
          <cell r="IA46" t="str">
            <v>Congés</v>
          </cell>
          <cell r="IB46" t="str">
            <v>REPOS</v>
          </cell>
          <cell r="IC46" t="str">
            <v>Congés</v>
          </cell>
          <cell r="ID46" t="str">
            <v>Congés</v>
          </cell>
          <cell r="IE46" t="str">
            <v>REPOS</v>
          </cell>
          <cell r="IF46" t="str">
            <v>REPOS</v>
          </cell>
          <cell r="IG46" t="str">
            <v>Congés</v>
          </cell>
          <cell r="IH46" t="str">
            <v>Congés</v>
          </cell>
          <cell r="II46" t="str">
            <v>Congés</v>
          </cell>
          <cell r="IJ46" t="str">
            <v>Congés</v>
          </cell>
          <cell r="IK46" t="str">
            <v>Congés</v>
          </cell>
          <cell r="IL46" t="str">
            <v>REPOS</v>
          </cell>
          <cell r="IM46" t="str">
            <v>REPOS</v>
          </cell>
        </row>
        <row r="47">
          <cell r="J47" t="str">
            <v>REPOS</v>
          </cell>
          <cell r="K47" t="str">
            <v>Congés</v>
          </cell>
          <cell r="L47" t="str">
            <v>Congés</v>
          </cell>
          <cell r="M47" t="str">
            <v>Congés</v>
          </cell>
          <cell r="N47" t="str">
            <v>Congés</v>
          </cell>
          <cell r="O47" t="str">
            <v>REPOS</v>
          </cell>
          <cell r="P47" t="str">
            <v>REPOS</v>
          </cell>
          <cell r="Q47" t="str">
            <v>POLY 5H-12H</v>
          </cell>
          <cell r="R47" t="str">
            <v>POLY 5H-12H</v>
          </cell>
          <cell r="S47" t="str">
            <v>POLY 5H-12H</v>
          </cell>
          <cell r="T47" t="str">
            <v>POLY 5H-12H</v>
          </cell>
          <cell r="U47" t="str">
            <v>POLY 4H-12H + CP</v>
          </cell>
          <cell r="V47" t="str">
            <v>HS CP 4H-7H</v>
          </cell>
          <cell r="W47" t="str">
            <v>REPOS</v>
          </cell>
          <cell r="X47" t="str">
            <v>POLY 4H-12H + CP</v>
          </cell>
          <cell r="Y47" t="str">
            <v>POLY 4H-12H + CP</v>
          </cell>
          <cell r="Z47" t="str">
            <v>POLY 4H-12H + CP</v>
          </cell>
          <cell r="AA47" t="str">
            <v>POLY 4H-12H + CP</v>
          </cell>
          <cell r="AB47" t="str">
            <v>REPOS</v>
          </cell>
          <cell r="AC47" t="str">
            <v>POLY 7H-12H / 14H-18H</v>
          </cell>
          <cell r="AD47" t="str">
            <v>REPOS</v>
          </cell>
          <cell r="AE47" t="str">
            <v>POLY 5H-12H</v>
          </cell>
          <cell r="AF47" t="str">
            <v>POLY 5H-12H</v>
          </cell>
          <cell r="AG47" t="str">
            <v>POLY 5H-12H</v>
          </cell>
          <cell r="AH47" t="str">
            <v>POLY 5H-12H</v>
          </cell>
          <cell r="AI47" t="str">
            <v>POLY 5H-12H</v>
          </cell>
          <cell r="AJ47" t="str">
            <v>HS CP 4H-7H</v>
          </cell>
          <cell r="AK47" t="str">
            <v>REPOS</v>
          </cell>
          <cell r="AL47" t="str">
            <v>Congés</v>
          </cell>
          <cell r="AM47" t="str">
            <v>Congés</v>
          </cell>
          <cell r="AN47" t="str">
            <v>Congés</v>
          </cell>
          <cell r="AO47" t="str">
            <v>Congés</v>
          </cell>
          <cell r="AP47" t="str">
            <v>Congés</v>
          </cell>
          <cell r="AQ47" t="str">
            <v>REPOS</v>
          </cell>
          <cell r="AR47" t="str">
            <v>REPOS</v>
          </cell>
          <cell r="AS47" t="str">
            <v>POLY 5H-12H</v>
          </cell>
          <cell r="AT47" t="str">
            <v>POLY 5H-12H</v>
          </cell>
          <cell r="AU47" t="str">
            <v>POLY 5H-12H</v>
          </cell>
          <cell r="AV47" t="str">
            <v>POLY 5H-12H</v>
          </cell>
          <cell r="AW47" t="str">
            <v>REPOS</v>
          </cell>
          <cell r="AX47" t="str">
            <v>POLY 7H-12H / 14H-18H</v>
          </cell>
          <cell r="AY47" t="str">
            <v>REPOS</v>
          </cell>
          <cell r="AZ47" t="str">
            <v>POLY 4H-12H + CP</v>
          </cell>
          <cell r="BA47" t="str">
            <v>POLY 4H-12H + CP</v>
          </cell>
          <cell r="BB47" t="str">
            <v>POLY 4H-12H + CP</v>
          </cell>
          <cell r="BC47" t="str">
            <v>POLY 4H-12H + CP</v>
          </cell>
          <cell r="BD47" t="str">
            <v>POLY 4H-12H + CP</v>
          </cell>
          <cell r="BE47" t="str">
            <v>HS CP 4H-7H</v>
          </cell>
          <cell r="BF47" t="str">
            <v>REPOS</v>
          </cell>
          <cell r="BG47" t="str">
            <v>POLY 5H-12H</v>
          </cell>
          <cell r="BH47" t="str">
            <v>POLY 5H-12H</v>
          </cell>
          <cell r="BI47" t="str">
            <v>POLY 5H-12H</v>
          </cell>
          <cell r="BJ47" t="str">
            <v>POLY 5H-12H</v>
          </cell>
          <cell r="BK47" t="str">
            <v>REPOS</v>
          </cell>
          <cell r="BL47" t="str">
            <v>POLY 7H-12H / 14H-18H</v>
          </cell>
          <cell r="BM47" t="str">
            <v>REPOS</v>
          </cell>
          <cell r="BN47" t="str">
            <v>POLY 4H-12H + CP</v>
          </cell>
          <cell r="BO47" t="str">
            <v>POLY 4H-12H + CP</v>
          </cell>
          <cell r="BP47" t="str">
            <v>POLY 4H-12H + CP</v>
          </cell>
          <cell r="BQ47" t="str">
            <v>POLY 4H-12H + CP</v>
          </cell>
          <cell r="BR47" t="str">
            <v>POLY 4H-12H + CP</v>
          </cell>
          <cell r="BS47" t="str">
            <v>HS CP 4H-7H</v>
          </cell>
          <cell r="BT47" t="str">
            <v>REPOS</v>
          </cell>
          <cell r="BU47" t="str">
            <v>POLY 5H-12H</v>
          </cell>
          <cell r="BV47" t="str">
            <v>POLY 5H-12H</v>
          </cell>
          <cell r="BW47" t="str">
            <v>POLY 5H-12H</v>
          </cell>
          <cell r="BX47" t="str">
            <v>POLY 5H-12H</v>
          </cell>
          <cell r="BY47" t="str">
            <v>POLY 5H-12H</v>
          </cell>
          <cell r="BZ47" t="str">
            <v>REPOS</v>
          </cell>
          <cell r="CA47" t="str">
            <v>POLY 7H-12H + CP</v>
          </cell>
          <cell r="CB47" t="str">
            <v>POLY 4H-12H + CP</v>
          </cell>
          <cell r="CC47" t="str">
            <v>POLY 4H-12H + CP</v>
          </cell>
          <cell r="CD47" t="str">
            <v>POLY 4H-12H + CP</v>
          </cell>
          <cell r="CE47" t="str">
            <v>POLY 4H-12H + CP</v>
          </cell>
          <cell r="CF47" t="str">
            <v>POLY 4H-12H + CP</v>
          </cell>
          <cell r="CG47" t="str">
            <v>REPOS</v>
          </cell>
          <cell r="CH47" t="str">
            <v>REPOS</v>
          </cell>
          <cell r="CI47" t="str">
            <v>POLY 5H-12H</v>
          </cell>
          <cell r="CJ47" t="str">
            <v>POLY 5H-12H</v>
          </cell>
          <cell r="CK47" t="str">
            <v>POLY 5H-12H</v>
          </cell>
          <cell r="CL47" t="str">
            <v>POLY 5H-12H</v>
          </cell>
          <cell r="CM47" t="str">
            <v>POLY 5H-12H</v>
          </cell>
          <cell r="CN47" t="str">
            <v>REPOS</v>
          </cell>
          <cell r="CO47" t="str">
            <v>REPOS</v>
          </cell>
          <cell r="CP47" t="str">
            <v>Congés</v>
          </cell>
          <cell r="CQ47" t="str">
            <v>Congés</v>
          </cell>
          <cell r="CR47" t="str">
            <v>Congés</v>
          </cell>
          <cell r="CS47" t="str">
            <v>Congés</v>
          </cell>
          <cell r="CT47" t="str">
            <v>Congés</v>
          </cell>
          <cell r="CU47" t="str">
            <v>REPOS</v>
          </cell>
          <cell r="CV47" t="str">
            <v>REPOS</v>
          </cell>
          <cell r="CW47" t="str">
            <v>REPOS</v>
          </cell>
          <cell r="CX47" t="str">
            <v>POLY 4H-12H + CP</v>
          </cell>
          <cell r="CY47" t="str">
            <v>POLY 4H-12H + CP</v>
          </cell>
          <cell r="CZ47" t="str">
            <v>POLY 4H-12H + CP</v>
          </cell>
          <cell r="DA47" t="str">
            <v>REPOS</v>
          </cell>
          <cell r="DB47" t="str">
            <v>POLY 7H-12H / 14H-18H</v>
          </cell>
          <cell r="DC47" t="str">
            <v>REPOS</v>
          </cell>
          <cell r="DD47" t="str">
            <v>POLY 5H-12H</v>
          </cell>
          <cell r="DE47" t="str">
            <v>POLY 5H-12H</v>
          </cell>
          <cell r="DF47" t="str">
            <v>POLY 5H-12H</v>
          </cell>
          <cell r="DG47" t="str">
            <v>POLY 5H-12H</v>
          </cell>
          <cell r="DH47" t="str">
            <v>POLY 5H-12H</v>
          </cell>
          <cell r="DI47" t="str">
            <v>HS CP 4H-7H</v>
          </cell>
          <cell r="DJ47" t="str">
            <v>REPOS</v>
          </cell>
          <cell r="DK47" t="str">
            <v>POLY 4H-12H + CP</v>
          </cell>
          <cell r="DL47" t="str">
            <v>POLY 4H-12H + CP</v>
          </cell>
          <cell r="DM47" t="str">
            <v>POLY 4H-12H + CP</v>
          </cell>
          <cell r="DN47" t="str">
            <v>POLY 4H-12H + CP</v>
          </cell>
          <cell r="DO47" t="str">
            <v>POLY 4H-12H + CP</v>
          </cell>
          <cell r="DP47" t="str">
            <v>REPOS</v>
          </cell>
          <cell r="DQ47" t="str">
            <v>REPOS</v>
          </cell>
          <cell r="DR47" t="str">
            <v>POLY 5H-12H</v>
          </cell>
          <cell r="DS47" t="str">
            <v>POLY 5H-12H</v>
          </cell>
          <cell r="DT47" t="str">
            <v>POLY 5H-12H</v>
          </cell>
          <cell r="DU47" t="str">
            <v>POLY 5H-12H</v>
          </cell>
          <cell r="DV47" t="str">
            <v>POLY 5H-12H</v>
          </cell>
          <cell r="DW47" t="str">
            <v>REPOS</v>
          </cell>
          <cell r="DX47" t="str">
            <v>REPOS</v>
          </cell>
          <cell r="DY47" t="str">
            <v>POLY 4H-12H + CP</v>
          </cell>
          <cell r="DZ47" t="str">
            <v>REPOS</v>
          </cell>
          <cell r="EA47" t="str">
            <v>POLY 4H-12H + CP</v>
          </cell>
          <cell r="EB47" t="str">
            <v>POLY 4H-12H + CP</v>
          </cell>
          <cell r="EC47" t="str">
            <v>POLY 4H-12H + CP</v>
          </cell>
          <cell r="ED47" t="str">
            <v>HS CP 4H-7H</v>
          </cell>
          <cell r="EE47" t="str">
            <v>REPOS</v>
          </cell>
          <cell r="EF47" t="str">
            <v>POLY 5H-12H</v>
          </cell>
          <cell r="EG47" t="str">
            <v>POLY 7H-12H + CP</v>
          </cell>
          <cell r="EH47" t="str">
            <v>POLY 5H-12H</v>
          </cell>
          <cell r="EI47" t="str">
            <v>REPOS</v>
          </cell>
          <cell r="EJ47" t="str">
            <v>REPOS</v>
          </cell>
          <cell r="EK47" t="str">
            <v>POLY 7H-12H / 14H-18H</v>
          </cell>
          <cell r="EL47" t="str">
            <v>REPOS</v>
          </cell>
          <cell r="EM47" t="str">
            <v>POLY 4H-12H + CP</v>
          </cell>
          <cell r="EN47" t="str">
            <v>POLY 4H-12H + CP</v>
          </cell>
          <cell r="EO47" t="str">
            <v>POLY 4H-12H + CP</v>
          </cell>
          <cell r="EP47" t="str">
            <v>POLY 4H-12H + CP</v>
          </cell>
          <cell r="EQ47" t="str">
            <v>POLY 4H-12H + CP</v>
          </cell>
          <cell r="ER47" t="str">
            <v>HS CP 4H-7H</v>
          </cell>
          <cell r="ES47" t="str">
            <v>REPOS</v>
          </cell>
          <cell r="ET47" t="str">
            <v>POLY 5H-12H</v>
          </cell>
          <cell r="EU47" t="str">
            <v>POLY 5H-12H</v>
          </cell>
          <cell r="EV47" t="str">
            <v>POLY 5H-12H</v>
          </cell>
          <cell r="EW47" t="str">
            <v>POLY 5H-12H</v>
          </cell>
          <cell r="EX47" t="str">
            <v>POLY 5H-12H</v>
          </cell>
          <cell r="EY47" t="str">
            <v>HS CP 4H-7H</v>
          </cell>
          <cell r="EZ47" t="str">
            <v>REPOS</v>
          </cell>
          <cell r="FA47" t="str">
            <v>POLY 4H-12H + CP</v>
          </cell>
          <cell r="FB47" t="str">
            <v>POLY 4H-12H + CP</v>
          </cell>
          <cell r="FC47" t="str">
            <v>POLY 4H-12H + CP</v>
          </cell>
          <cell r="FD47" t="str">
            <v>POLY 4H-12H + CP</v>
          </cell>
          <cell r="FE47" t="str">
            <v>POLY 4H-12H + CP</v>
          </cell>
          <cell r="FF47" t="str">
            <v>HS CP 4H-7H</v>
          </cell>
          <cell r="FG47" t="str">
            <v>REPOS</v>
          </cell>
          <cell r="FH47" t="str">
            <v>POLY 5H-12H</v>
          </cell>
          <cell r="FI47" t="str">
            <v>POLY 5H-12H</v>
          </cell>
          <cell r="FJ47" t="str">
            <v>POLY 5H-12H</v>
          </cell>
          <cell r="FK47" t="str">
            <v>POLY 5H-12H</v>
          </cell>
          <cell r="FL47" t="str">
            <v>POLY 5H-12H</v>
          </cell>
          <cell r="FM47" t="str">
            <v>REPOS</v>
          </cell>
          <cell r="FN47" t="str">
            <v>REPOS</v>
          </cell>
          <cell r="FO47" t="str">
            <v>POLY 4H-12H + CP</v>
          </cell>
          <cell r="FP47" t="str">
            <v>POLY 4H-12H + CP</v>
          </cell>
          <cell r="FQ47" t="str">
            <v>POLY 4H-12H + CP</v>
          </cell>
          <cell r="FR47" t="str">
            <v>POLY 4H-12H + CP</v>
          </cell>
          <cell r="FS47" t="str">
            <v>POLY 4H-12H + CP</v>
          </cell>
          <cell r="FT47" t="str">
            <v>HS CP 4H-7H</v>
          </cell>
          <cell r="FU47" t="str">
            <v>REPOS</v>
          </cell>
          <cell r="FV47" t="str">
            <v>POLY 5H-12H</v>
          </cell>
          <cell r="FW47" t="str">
            <v>POLY 5H-12H</v>
          </cell>
          <cell r="FX47" t="str">
            <v>POLY 5H-12H</v>
          </cell>
          <cell r="FY47" t="str">
            <v>POLY 5H-12H</v>
          </cell>
          <cell r="FZ47" t="str">
            <v>POLY 5H-12H</v>
          </cell>
          <cell r="GA47" t="str">
            <v>REPOS</v>
          </cell>
          <cell r="GB47" t="str">
            <v>REPOS</v>
          </cell>
          <cell r="GC47" t="str">
            <v>POLY 4H-12H + CP</v>
          </cell>
          <cell r="GD47" t="str">
            <v>POLY 4H-12H + CP</v>
          </cell>
          <cell r="GE47" t="str">
            <v>POLY 4H-12H + CP</v>
          </cell>
          <cell r="GF47" t="str">
            <v>POLY 4H-12H + CP</v>
          </cell>
          <cell r="GG47" t="str">
            <v>POLY 4H-12H + CP</v>
          </cell>
          <cell r="GH47" t="str">
            <v>HS CP 4H-7H</v>
          </cell>
          <cell r="GX47" t="str">
            <v>Congés</v>
          </cell>
          <cell r="GY47" t="str">
            <v>Congés</v>
          </cell>
          <cell r="GZ47" t="str">
            <v>Congés</v>
          </cell>
          <cell r="HA47" t="str">
            <v>Congés</v>
          </cell>
          <cell r="HB47" t="str">
            <v>Congés</v>
          </cell>
          <cell r="HC47" t="str">
            <v>REPOS</v>
          </cell>
          <cell r="HD47" t="str">
            <v>REPOS</v>
          </cell>
          <cell r="HE47" t="str">
            <v>Congés</v>
          </cell>
          <cell r="HF47" t="str">
            <v>Congés</v>
          </cell>
          <cell r="HG47" t="str">
            <v>Congés</v>
          </cell>
          <cell r="HH47" t="str">
            <v>Congés</v>
          </cell>
          <cell r="HI47" t="str">
            <v>Congés</v>
          </cell>
          <cell r="HJ47" t="str">
            <v>REPOS</v>
          </cell>
          <cell r="HK47" t="str">
            <v>REPOS</v>
          </cell>
          <cell r="HL47" t="str">
            <v>Congés</v>
          </cell>
          <cell r="HM47" t="str">
            <v>Congés</v>
          </cell>
          <cell r="HN47" t="str">
            <v>Congés</v>
          </cell>
          <cell r="HO47" t="str">
            <v>Congés</v>
          </cell>
          <cell r="HP47" t="str">
            <v>Congés</v>
          </cell>
          <cell r="HQ47" t="str">
            <v>REPOS</v>
          </cell>
          <cell r="HR47" t="str">
            <v>REPOS</v>
          </cell>
        </row>
        <row r="48">
          <cell r="J48" t="str">
            <v>REPOS</v>
          </cell>
          <cell r="K48" t="str">
            <v>NICE EST</v>
          </cell>
          <cell r="L48" t="str">
            <v>NICE EST</v>
          </cell>
          <cell r="M48" t="str">
            <v>NICE EST</v>
          </cell>
          <cell r="N48" t="str">
            <v>NICE EST</v>
          </cell>
          <cell r="O48" t="str">
            <v>REPOS</v>
          </cell>
          <cell r="P48" t="str">
            <v>REPOS</v>
          </cell>
          <cell r="Q48" t="str">
            <v>Congés</v>
          </cell>
          <cell r="R48" t="str">
            <v>Congés</v>
          </cell>
          <cell r="S48" t="str">
            <v>Congés</v>
          </cell>
          <cell r="T48" t="str">
            <v>Congés</v>
          </cell>
          <cell r="U48" t="str">
            <v>Congés</v>
          </cell>
          <cell r="V48" t="str">
            <v>REPOS</v>
          </cell>
          <cell r="W48" t="str">
            <v>REPOS</v>
          </cell>
          <cell r="X48" t="str">
            <v>NICE EST</v>
          </cell>
          <cell r="Y48" t="str">
            <v>Congés AM</v>
          </cell>
          <cell r="Z48" t="str">
            <v>Maladie</v>
          </cell>
          <cell r="AA48" t="str">
            <v>Maladie</v>
          </cell>
          <cell r="AB48" t="str">
            <v>Maladie</v>
          </cell>
          <cell r="AC48" t="str">
            <v>Maladie</v>
          </cell>
          <cell r="AD48" t="str">
            <v>Maladie</v>
          </cell>
          <cell r="AE48" t="str">
            <v>NICE EST</v>
          </cell>
          <cell r="AF48" t="str">
            <v>NICE EST</v>
          </cell>
          <cell r="AG48" t="str">
            <v>NICE EST</v>
          </cell>
          <cell r="AH48" t="str">
            <v>NICE EST</v>
          </cell>
          <cell r="AI48" t="str">
            <v>NICE EST</v>
          </cell>
          <cell r="AJ48" t="str">
            <v>REPOS</v>
          </cell>
          <cell r="AK48" t="str">
            <v>REPOS</v>
          </cell>
          <cell r="AL48" t="str">
            <v>REPOS</v>
          </cell>
          <cell r="AM48" t="str">
            <v>NICE EST</v>
          </cell>
          <cell r="AN48" t="str">
            <v>NICE EST</v>
          </cell>
          <cell r="AO48" t="str">
            <v>NICE EST</v>
          </cell>
          <cell r="AP48" t="str">
            <v>NICE EST</v>
          </cell>
          <cell r="AQ48" t="str">
            <v>NICE EST</v>
          </cell>
          <cell r="AR48" t="str">
            <v>REPOS</v>
          </cell>
          <cell r="AS48" t="str">
            <v>NICE EST</v>
          </cell>
          <cell r="AT48" t="str">
            <v>NICE EST</v>
          </cell>
          <cell r="AU48" t="str">
            <v>NICE EST</v>
          </cell>
          <cell r="AV48" t="str">
            <v>NICE EST</v>
          </cell>
          <cell r="AW48" t="str">
            <v>NICE EST</v>
          </cell>
          <cell r="AX48" t="str">
            <v>REPOS</v>
          </cell>
          <cell r="AY48" t="str">
            <v>REPOS</v>
          </cell>
          <cell r="AZ48" t="str">
            <v>NICE EST</v>
          </cell>
          <cell r="BA48" t="str">
            <v>Congés</v>
          </cell>
          <cell r="BB48" t="str">
            <v>Congés</v>
          </cell>
          <cell r="BC48" t="str">
            <v>Congés</v>
          </cell>
          <cell r="BD48" t="str">
            <v>Congés</v>
          </cell>
          <cell r="BE48" t="str">
            <v>REPOS</v>
          </cell>
          <cell r="BF48" t="str">
            <v>REPOS</v>
          </cell>
          <cell r="BG48" t="str">
            <v>Congés</v>
          </cell>
          <cell r="BH48" t="str">
            <v>Congés</v>
          </cell>
          <cell r="BI48" t="str">
            <v>Congés</v>
          </cell>
          <cell r="BJ48" t="str">
            <v>Congés</v>
          </cell>
          <cell r="BK48" t="str">
            <v>Congés</v>
          </cell>
          <cell r="BL48" t="str">
            <v>REPOS</v>
          </cell>
          <cell r="BM48" t="str">
            <v>REPOS</v>
          </cell>
          <cell r="BN48" t="str">
            <v>Congés</v>
          </cell>
          <cell r="BO48" t="str">
            <v>Congés</v>
          </cell>
          <cell r="BP48" t="str">
            <v>Congés</v>
          </cell>
          <cell r="BQ48" t="str">
            <v>Congés</v>
          </cell>
          <cell r="BR48" t="str">
            <v>Congés</v>
          </cell>
          <cell r="BS48" t="str">
            <v>REPOS</v>
          </cell>
          <cell r="BT48" t="str">
            <v>REPOS</v>
          </cell>
          <cell r="BU48" t="str">
            <v>NICE EST</v>
          </cell>
          <cell r="BV48" t="str">
            <v>NICE EST</v>
          </cell>
          <cell r="BW48" t="str">
            <v>NICE EST</v>
          </cell>
          <cell r="BX48" t="str">
            <v>REPOS</v>
          </cell>
          <cell r="BY48" t="str">
            <v>NICE EST</v>
          </cell>
          <cell r="BZ48" t="str">
            <v>NICE EST</v>
          </cell>
          <cell r="CA48" t="str">
            <v>REPOS</v>
          </cell>
          <cell r="CB48" t="str">
            <v>NICE EST</v>
          </cell>
          <cell r="CC48" t="str">
            <v>NICE EST</v>
          </cell>
          <cell r="CD48" t="str">
            <v>NICE EST</v>
          </cell>
          <cell r="CE48" t="str">
            <v>NICE EST</v>
          </cell>
          <cell r="CF48" t="str">
            <v>NICE EST</v>
          </cell>
          <cell r="CG48" t="str">
            <v>REPOS</v>
          </cell>
          <cell r="CH48" t="str">
            <v>REPOS</v>
          </cell>
          <cell r="CI48" t="str">
            <v>Congés</v>
          </cell>
          <cell r="CJ48" t="str">
            <v>Congés</v>
          </cell>
          <cell r="CK48" t="str">
            <v>Congés</v>
          </cell>
          <cell r="CL48" t="str">
            <v>Congés</v>
          </cell>
          <cell r="CM48" t="str">
            <v>Congés</v>
          </cell>
          <cell r="CN48" t="str">
            <v>REPOS</v>
          </cell>
          <cell r="CO48" t="str">
            <v>REPOS</v>
          </cell>
          <cell r="CP48" t="str">
            <v>NICE EST</v>
          </cell>
          <cell r="CQ48" t="str">
            <v>NICE EST</v>
          </cell>
          <cell r="CR48" t="str">
            <v>NICE EST</v>
          </cell>
          <cell r="CS48" t="str">
            <v>NICE EST</v>
          </cell>
          <cell r="CT48" t="str">
            <v>NICE EST</v>
          </cell>
          <cell r="CU48" t="str">
            <v>REPOS</v>
          </cell>
          <cell r="CV48" t="str">
            <v>REPOS</v>
          </cell>
          <cell r="CW48" t="str">
            <v>REPOS</v>
          </cell>
          <cell r="CX48" t="str">
            <v>NICE EST</v>
          </cell>
          <cell r="CY48" t="str">
            <v>NICE EST</v>
          </cell>
          <cell r="CZ48" t="str">
            <v>NICE EST</v>
          </cell>
          <cell r="DA48" t="str">
            <v>NICE EST</v>
          </cell>
          <cell r="DB48" t="str">
            <v>REPOS</v>
          </cell>
          <cell r="DC48" t="str">
            <v>REPOS</v>
          </cell>
          <cell r="DD48" t="str">
            <v>FORMATION</v>
          </cell>
          <cell r="DE48" t="str">
            <v>FORMATION</v>
          </cell>
          <cell r="DF48" t="str">
            <v>FORMATION</v>
          </cell>
          <cell r="DG48" t="str">
            <v>FORMATION</v>
          </cell>
          <cell r="DH48" t="str">
            <v>FORMATION</v>
          </cell>
          <cell r="DI48" t="str">
            <v>REPOS</v>
          </cell>
          <cell r="DJ48" t="str">
            <v>REPOS</v>
          </cell>
          <cell r="DK48" t="str">
            <v>NICE EST</v>
          </cell>
          <cell r="DL48" t="str">
            <v>NICE NORD</v>
          </cell>
          <cell r="DM48" t="str">
            <v>NICE EST</v>
          </cell>
          <cell r="DN48" t="str">
            <v>NICE EST</v>
          </cell>
          <cell r="DO48" t="str">
            <v>NICE EST</v>
          </cell>
          <cell r="DP48" t="str">
            <v>REPOS</v>
          </cell>
          <cell r="DQ48" t="str">
            <v>REPOS</v>
          </cell>
          <cell r="DR48" t="str">
            <v>Congés</v>
          </cell>
          <cell r="DS48" t="str">
            <v>Congés</v>
          </cell>
          <cell r="DT48" t="str">
            <v>Congés</v>
          </cell>
          <cell r="DU48" t="str">
            <v>Congés</v>
          </cell>
          <cell r="DV48" t="str">
            <v>Congés</v>
          </cell>
          <cell r="DW48" t="str">
            <v>REPOS</v>
          </cell>
          <cell r="DX48" t="str">
            <v>REPOS</v>
          </cell>
          <cell r="DY48" t="str">
            <v>NICE EST</v>
          </cell>
          <cell r="DZ48" t="str">
            <v>REPOS</v>
          </cell>
          <cell r="EA48" t="str">
            <v>NICE EST</v>
          </cell>
          <cell r="EB48" t="str">
            <v>NICE EST</v>
          </cell>
          <cell r="EC48" t="str">
            <v>NICE EST</v>
          </cell>
          <cell r="ED48" t="str">
            <v>REPOS</v>
          </cell>
          <cell r="EE48" t="str">
            <v>REPOS</v>
          </cell>
          <cell r="EF48" t="str">
            <v>POLY 9H-16H</v>
          </cell>
          <cell r="EG48" t="str">
            <v>REPOS</v>
          </cell>
          <cell r="EH48" t="str">
            <v>POLY 9H-16H</v>
          </cell>
          <cell r="EI48" t="str">
            <v>REPOS</v>
          </cell>
          <cell r="EJ48" t="str">
            <v>POLY 9H-16H</v>
          </cell>
          <cell r="EK48" t="str">
            <v>REPOS</v>
          </cell>
          <cell r="EL48" t="str">
            <v>REPOS</v>
          </cell>
          <cell r="EM48" t="str">
            <v>POLY 9H-16H</v>
          </cell>
          <cell r="EN48" t="str">
            <v>POLY 9H-16H</v>
          </cell>
          <cell r="EO48" t="str">
            <v>POLY 9H-16H</v>
          </cell>
          <cell r="EP48" t="str">
            <v>POLY 9H-16H</v>
          </cell>
          <cell r="EQ48" t="str">
            <v>REPOS</v>
          </cell>
          <cell r="ER48" t="str">
            <v>POLY 7H-12H / 14H-18H</v>
          </cell>
          <cell r="ES48" t="str">
            <v>REPOS</v>
          </cell>
          <cell r="ET48" t="str">
            <v>NICE EST</v>
          </cell>
          <cell r="EU48" t="str">
            <v>NICE EST</v>
          </cell>
          <cell r="EV48" t="str">
            <v>POLY 9H-16H</v>
          </cell>
          <cell r="EW48" t="str">
            <v>RTT</v>
          </cell>
          <cell r="EX48" t="str">
            <v>RTT</v>
          </cell>
          <cell r="EY48" t="str">
            <v>REPOS</v>
          </cell>
          <cell r="EZ48" t="str">
            <v>REPOS</v>
          </cell>
          <cell r="FA48" t="str">
            <v>POLY 9H-16H</v>
          </cell>
          <cell r="FB48" t="str">
            <v>NICE EST</v>
          </cell>
          <cell r="FC48" t="str">
            <v>POLY 9H-16H</v>
          </cell>
          <cell r="FD48" t="str">
            <v>NICE EST</v>
          </cell>
          <cell r="FE48" t="str">
            <v>REPOS</v>
          </cell>
          <cell r="FF48" t="str">
            <v>POLY 7H-12H / 14H-18H</v>
          </cell>
          <cell r="FG48" t="str">
            <v>REPOS</v>
          </cell>
          <cell r="FH48" t="str">
            <v>NICE EST</v>
          </cell>
          <cell r="FI48" t="str">
            <v>NICE EST</v>
          </cell>
          <cell r="FJ48" t="str">
            <v>NICE EST</v>
          </cell>
          <cell r="FK48" t="str">
            <v>NICE EST</v>
          </cell>
          <cell r="FL48" t="str">
            <v>NICE EST</v>
          </cell>
          <cell r="FM48" t="str">
            <v>REPOS</v>
          </cell>
          <cell r="FN48" t="str">
            <v>REPOS</v>
          </cell>
          <cell r="FO48" t="str">
            <v>POLY 9H-16H</v>
          </cell>
          <cell r="FP48" t="str">
            <v>NICE EST</v>
          </cell>
          <cell r="FQ48" t="str">
            <v>NICE EST</v>
          </cell>
          <cell r="FR48" t="str">
            <v>NICE EST</v>
          </cell>
          <cell r="FS48" t="str">
            <v>NICE EST</v>
          </cell>
          <cell r="FT48" t="str">
            <v>REPOS</v>
          </cell>
          <cell r="FU48" t="str">
            <v>REPOS</v>
          </cell>
          <cell r="FV48" t="str">
            <v>NICE EST</v>
          </cell>
          <cell r="FW48" t="str">
            <v>NICE EST</v>
          </cell>
          <cell r="FX48" t="str">
            <v>NICE EST</v>
          </cell>
          <cell r="FY48" t="str">
            <v>NICE EST</v>
          </cell>
          <cell r="FZ48" t="str">
            <v>NICE EST</v>
          </cell>
          <cell r="GA48" t="str">
            <v>REPOS</v>
          </cell>
          <cell r="GB48" t="str">
            <v>REPOS</v>
          </cell>
          <cell r="GC48" t="str">
            <v>Congés</v>
          </cell>
          <cell r="GD48" t="str">
            <v>Congés</v>
          </cell>
          <cell r="GE48" t="str">
            <v>Congés</v>
          </cell>
          <cell r="GF48" t="str">
            <v>Congés</v>
          </cell>
          <cell r="GG48" t="str">
            <v>Congés</v>
          </cell>
          <cell r="GH48" t="str">
            <v>REPOS</v>
          </cell>
          <cell r="GI48" t="str">
            <v>REPOS</v>
          </cell>
          <cell r="GJ48" t="str">
            <v>Congés</v>
          </cell>
          <cell r="GK48" t="str">
            <v>Congés</v>
          </cell>
          <cell r="GL48" t="str">
            <v>Congés</v>
          </cell>
          <cell r="GM48" t="str">
            <v>Congés</v>
          </cell>
          <cell r="GN48" t="str">
            <v>Congés</v>
          </cell>
          <cell r="GO48" t="str">
            <v>REPOS</v>
          </cell>
          <cell r="GP48" t="str">
            <v>REPOS</v>
          </cell>
          <cell r="GQ48" t="str">
            <v>Congés</v>
          </cell>
          <cell r="GR48" t="str">
            <v>Congés</v>
          </cell>
          <cell r="GS48" t="str">
            <v>Congés</v>
          </cell>
          <cell r="GT48" t="str">
            <v>Congés</v>
          </cell>
          <cell r="GU48" t="str">
            <v>Congés</v>
          </cell>
          <cell r="GV48" t="str">
            <v>REPOS</v>
          </cell>
          <cell r="GW48" t="str">
            <v>REPOS</v>
          </cell>
        </row>
        <row r="49">
          <cell r="J49" t="str">
            <v>Maladie</v>
          </cell>
          <cell r="K49" t="str">
            <v>Maladie</v>
          </cell>
          <cell r="L49" t="str">
            <v>Maladie</v>
          </cell>
          <cell r="M49" t="str">
            <v>Maladie</v>
          </cell>
          <cell r="N49" t="str">
            <v>Maladie</v>
          </cell>
          <cell r="O49" t="str">
            <v>Maladie</v>
          </cell>
          <cell r="P49" t="str">
            <v>Maladie</v>
          </cell>
          <cell r="Q49" t="str">
            <v>Maladie</v>
          </cell>
          <cell r="R49" t="str">
            <v>Maladie</v>
          </cell>
          <cell r="S49" t="str">
            <v>Maladie</v>
          </cell>
          <cell r="T49" t="str">
            <v>Maladie</v>
          </cell>
          <cell r="U49" t="str">
            <v>Maladie</v>
          </cell>
          <cell r="V49" t="str">
            <v>Maladie</v>
          </cell>
          <cell r="W49" t="str">
            <v>Maladie</v>
          </cell>
          <cell r="X49" t="str">
            <v>Maladie</v>
          </cell>
          <cell r="Y49" t="str">
            <v>Maladie</v>
          </cell>
          <cell r="Z49" t="str">
            <v>Maladie</v>
          </cell>
          <cell r="AA49" t="str">
            <v>Maladie</v>
          </cell>
          <cell r="AB49" t="str">
            <v>Maladie</v>
          </cell>
          <cell r="AC49" t="str">
            <v>Maladie</v>
          </cell>
          <cell r="AD49" t="str">
            <v>Maladie</v>
          </cell>
          <cell r="AE49" t="str">
            <v>Maladie</v>
          </cell>
          <cell r="AF49" t="str">
            <v>Maladie</v>
          </cell>
          <cell r="AG49" t="str">
            <v>Maladie</v>
          </cell>
          <cell r="AH49" t="str">
            <v>Maladie</v>
          </cell>
          <cell r="AI49" t="str">
            <v>Maladie</v>
          </cell>
          <cell r="AJ49" t="str">
            <v>Maladie</v>
          </cell>
          <cell r="AK49" t="str">
            <v>Maladie</v>
          </cell>
          <cell r="AL49" t="str">
            <v>Maladie</v>
          </cell>
          <cell r="AM49" t="str">
            <v>Maladie</v>
          </cell>
          <cell r="AN49" t="str">
            <v>Maladie</v>
          </cell>
          <cell r="AO49" t="str">
            <v>Maladie</v>
          </cell>
          <cell r="AP49" t="str">
            <v>Maladie</v>
          </cell>
          <cell r="AQ49" t="str">
            <v>Maladie</v>
          </cell>
          <cell r="AR49" t="str">
            <v>Maladie</v>
          </cell>
          <cell r="AS49" t="str">
            <v>Maladie</v>
          </cell>
          <cell r="AT49" t="str">
            <v>Maladie</v>
          </cell>
          <cell r="AU49" t="str">
            <v>Maladie</v>
          </cell>
          <cell r="AV49" t="str">
            <v>Maladie</v>
          </cell>
          <cell r="AW49" t="str">
            <v>Maladie</v>
          </cell>
          <cell r="AX49" t="str">
            <v>Maladie</v>
          </cell>
          <cell r="AY49" t="str">
            <v>Maladie</v>
          </cell>
          <cell r="AZ49" t="str">
            <v>Maladie</v>
          </cell>
          <cell r="BA49" t="str">
            <v>Maladie</v>
          </cell>
          <cell r="BB49" t="str">
            <v>Maladie</v>
          </cell>
          <cell r="BC49" t="str">
            <v>Maladie</v>
          </cell>
          <cell r="BD49" t="str">
            <v>Maladie</v>
          </cell>
          <cell r="BE49" t="str">
            <v>Maladie</v>
          </cell>
          <cell r="BF49" t="str">
            <v>Maladie</v>
          </cell>
          <cell r="BG49" t="str">
            <v>Maladie</v>
          </cell>
          <cell r="BH49" t="str">
            <v>Maladie</v>
          </cell>
          <cell r="BI49" t="str">
            <v>Maladie</v>
          </cell>
          <cell r="BJ49" t="str">
            <v>Maladie</v>
          </cell>
          <cell r="BK49" t="str">
            <v>Maladie</v>
          </cell>
          <cell r="BL49" t="str">
            <v>Maladie</v>
          </cell>
          <cell r="BM49" t="str">
            <v>Maladie</v>
          </cell>
          <cell r="BN49" t="str">
            <v>Maladie</v>
          </cell>
          <cell r="BO49" t="str">
            <v>Maladie</v>
          </cell>
          <cell r="BP49" t="str">
            <v>Maladie</v>
          </cell>
          <cell r="BQ49" t="str">
            <v>Maladie</v>
          </cell>
          <cell r="BR49" t="str">
            <v>Maladie</v>
          </cell>
          <cell r="BS49" t="str">
            <v>Maladie</v>
          </cell>
          <cell r="BT49" t="str">
            <v>Maladie</v>
          </cell>
          <cell r="BU49" t="str">
            <v>Maladie</v>
          </cell>
          <cell r="BV49" t="str">
            <v>Maladie</v>
          </cell>
          <cell r="BW49" t="str">
            <v>Maladie</v>
          </cell>
          <cell r="BX49" t="str">
            <v>Maladie</v>
          </cell>
          <cell r="BY49" t="str">
            <v>Maladie</v>
          </cell>
          <cell r="BZ49" t="str">
            <v>Maladie</v>
          </cell>
          <cell r="CA49" t="str">
            <v>Maladie</v>
          </cell>
          <cell r="CB49" t="str">
            <v>Maladie</v>
          </cell>
          <cell r="CC49" t="str">
            <v>Maladie</v>
          </cell>
          <cell r="CD49" t="str">
            <v>Maladie</v>
          </cell>
          <cell r="CE49" t="str">
            <v>Maladie</v>
          </cell>
          <cell r="CF49" t="str">
            <v>Maladie</v>
          </cell>
          <cell r="CG49" t="str">
            <v>Maladie</v>
          </cell>
          <cell r="CH49" t="str">
            <v>Maladie</v>
          </cell>
          <cell r="CI49" t="str">
            <v>Maladie</v>
          </cell>
          <cell r="CJ49" t="str">
            <v>Maladie</v>
          </cell>
          <cell r="CK49" t="str">
            <v>Maladie</v>
          </cell>
          <cell r="CL49" t="str">
            <v>Maladie</v>
          </cell>
          <cell r="CM49" t="str">
            <v>Maladie</v>
          </cell>
          <cell r="CN49" t="str">
            <v>Maladie</v>
          </cell>
          <cell r="CO49" t="str">
            <v>Maladie</v>
          </cell>
          <cell r="CP49" t="str">
            <v>Maladie</v>
          </cell>
          <cell r="CQ49" t="str">
            <v>Maladie</v>
          </cell>
          <cell r="CR49" t="str">
            <v>Maladie</v>
          </cell>
          <cell r="CS49" t="str">
            <v>Maladie</v>
          </cell>
          <cell r="CT49" t="str">
            <v>Maladie</v>
          </cell>
          <cell r="CU49" t="str">
            <v>Maladie</v>
          </cell>
          <cell r="CV49" t="str">
            <v>Maladie</v>
          </cell>
          <cell r="CW49" t="str">
            <v>Maladie</v>
          </cell>
          <cell r="CX49" t="str">
            <v>Maladie</v>
          </cell>
          <cell r="CY49" t="str">
            <v>Maladie</v>
          </cell>
          <cell r="CZ49" t="str">
            <v>Maladie</v>
          </cell>
          <cell r="DA49" t="str">
            <v>Maladie</v>
          </cell>
          <cell r="DB49" t="str">
            <v>Maladie</v>
          </cell>
          <cell r="DC49" t="str">
            <v>Maladie</v>
          </cell>
          <cell r="DD49" t="str">
            <v>Maladie</v>
          </cell>
          <cell r="DE49" t="str">
            <v>Maladie</v>
          </cell>
          <cell r="DF49" t="str">
            <v>Maladie</v>
          </cell>
          <cell r="DG49" t="str">
            <v>Maladie</v>
          </cell>
          <cell r="DH49" t="str">
            <v>Maladie</v>
          </cell>
          <cell r="DI49" t="str">
            <v>Maladie</v>
          </cell>
          <cell r="DJ49" t="str">
            <v>Maladie</v>
          </cell>
          <cell r="DK49" t="str">
            <v>Maladie</v>
          </cell>
          <cell r="DL49" t="str">
            <v>Maladie</v>
          </cell>
          <cell r="DM49" t="str">
            <v>Maladie</v>
          </cell>
          <cell r="DN49" t="str">
            <v>Maladie</v>
          </cell>
          <cell r="DO49" t="str">
            <v>Maladie</v>
          </cell>
          <cell r="DP49" t="str">
            <v>Maladie</v>
          </cell>
          <cell r="DQ49" t="str">
            <v>Maladie</v>
          </cell>
          <cell r="DR49" t="str">
            <v>Maladie</v>
          </cell>
          <cell r="DS49" t="str">
            <v>Maladie</v>
          </cell>
          <cell r="DT49" t="str">
            <v>Maladie</v>
          </cell>
          <cell r="DU49" t="str">
            <v>Maladie</v>
          </cell>
          <cell r="DV49" t="str">
            <v>Maladie</v>
          </cell>
          <cell r="DW49" t="str">
            <v>Maladie</v>
          </cell>
          <cell r="DX49" t="str">
            <v>Maladie</v>
          </cell>
          <cell r="DY49" t="str">
            <v>Maladie</v>
          </cell>
          <cell r="DZ49" t="str">
            <v>Maladie</v>
          </cell>
          <cell r="EA49" t="str">
            <v>Maladie</v>
          </cell>
          <cell r="EB49" t="str">
            <v>Maladie</v>
          </cell>
          <cell r="EC49" t="str">
            <v>Maladie</v>
          </cell>
          <cell r="ED49" t="str">
            <v>Maladie</v>
          </cell>
          <cell r="EE49" t="str">
            <v>Maladie</v>
          </cell>
          <cell r="EF49" t="str">
            <v>Maladie</v>
          </cell>
          <cell r="EG49" t="str">
            <v>Maladie</v>
          </cell>
          <cell r="EH49" t="str">
            <v>Maladie</v>
          </cell>
          <cell r="EI49" t="str">
            <v>Maladie</v>
          </cell>
          <cell r="EJ49" t="str">
            <v>Maladie</v>
          </cell>
          <cell r="EK49" t="str">
            <v>Maladie</v>
          </cell>
          <cell r="EL49" t="str">
            <v>Maladie</v>
          </cell>
          <cell r="EM49" t="str">
            <v>Maladie</v>
          </cell>
          <cell r="EN49" t="str">
            <v>Maladie</v>
          </cell>
          <cell r="EO49" t="str">
            <v>Maladie</v>
          </cell>
          <cell r="EP49" t="str">
            <v>Maladie</v>
          </cell>
          <cell r="EQ49" t="str">
            <v>Maladie</v>
          </cell>
          <cell r="ER49" t="str">
            <v>Maladie</v>
          </cell>
          <cell r="ES49" t="str">
            <v>Maladie</v>
          </cell>
          <cell r="ET49" t="str">
            <v>Maladie</v>
          </cell>
          <cell r="EU49" t="str">
            <v>Maladie</v>
          </cell>
          <cell r="EV49" t="str">
            <v>Maladie</v>
          </cell>
          <cell r="EW49" t="str">
            <v>Maladie</v>
          </cell>
          <cell r="EX49" t="str">
            <v>Maladie</v>
          </cell>
          <cell r="EY49" t="str">
            <v>Maladie</v>
          </cell>
          <cell r="EZ49" t="str">
            <v>Maladie</v>
          </cell>
          <cell r="FA49" t="str">
            <v>Maladie</v>
          </cell>
          <cell r="FB49" t="str">
            <v>Maladie</v>
          </cell>
          <cell r="FC49" t="str">
            <v>Maladie</v>
          </cell>
          <cell r="FD49" t="str">
            <v>Maladie</v>
          </cell>
          <cell r="FE49" t="str">
            <v>Maladie</v>
          </cell>
          <cell r="FF49" t="str">
            <v>Maladie</v>
          </cell>
          <cell r="FG49" t="str">
            <v>Maladie</v>
          </cell>
          <cell r="FH49" t="str">
            <v>Maladie</v>
          </cell>
          <cell r="FI49" t="str">
            <v>Maladie</v>
          </cell>
          <cell r="FJ49" t="str">
            <v>Maladie</v>
          </cell>
          <cell r="FK49" t="str">
            <v>Maladie</v>
          </cell>
          <cell r="FL49" t="str">
            <v>Maladie</v>
          </cell>
          <cell r="FM49" t="str">
            <v>Maladie</v>
          </cell>
          <cell r="FN49" t="str">
            <v>Maladie</v>
          </cell>
          <cell r="FO49" t="str">
            <v>Maladie</v>
          </cell>
          <cell r="FP49" t="str">
            <v>Maladie</v>
          </cell>
          <cell r="FQ49" t="str">
            <v>Maladie</v>
          </cell>
          <cell r="FR49" t="str">
            <v>Maladie</v>
          </cell>
          <cell r="FS49" t="str">
            <v>Maladie</v>
          </cell>
          <cell r="FT49" t="str">
            <v>Maladie</v>
          </cell>
          <cell r="FU49" t="str">
            <v>Maladie</v>
          </cell>
          <cell r="FV49" t="str">
            <v>Maladie</v>
          </cell>
          <cell r="FW49" t="str">
            <v>Maladie</v>
          </cell>
          <cell r="FX49" t="str">
            <v>Maladie</v>
          </cell>
          <cell r="FY49" t="str">
            <v>Maladie</v>
          </cell>
          <cell r="FZ49" t="str">
            <v>Maladie</v>
          </cell>
          <cell r="GA49" t="str">
            <v>Maladie</v>
          </cell>
          <cell r="GB49" t="str">
            <v>Maladie</v>
          </cell>
          <cell r="GC49" t="str">
            <v>Maladie</v>
          </cell>
          <cell r="GD49" t="str">
            <v>Maladie</v>
          </cell>
          <cell r="GE49" t="str">
            <v>Maladie</v>
          </cell>
          <cell r="GF49" t="str">
            <v>Maladie</v>
          </cell>
          <cell r="GG49" t="str">
            <v>Maladie</v>
          </cell>
          <cell r="GH49" t="str">
            <v>Maladie</v>
          </cell>
          <cell r="GI49" t="str">
            <v>Maladie</v>
          </cell>
          <cell r="GJ49" t="str">
            <v>Maladie</v>
          </cell>
          <cell r="GK49" t="str">
            <v>Maladie</v>
          </cell>
          <cell r="GL49" t="str">
            <v>Maladie</v>
          </cell>
          <cell r="GM49" t="str">
            <v>Maladie</v>
          </cell>
          <cell r="GN49" t="str">
            <v>Maladie</v>
          </cell>
          <cell r="GO49" t="str">
            <v>Maladie</v>
          </cell>
          <cell r="GP49" t="str">
            <v>Maladie</v>
          </cell>
          <cell r="GQ49" t="str">
            <v>Maladie</v>
          </cell>
          <cell r="GR49" t="str">
            <v>Maladie</v>
          </cell>
          <cell r="GS49" t="str">
            <v>Maladie</v>
          </cell>
          <cell r="GT49" t="str">
            <v>Maladie</v>
          </cell>
          <cell r="GU49" t="str">
            <v>Maladie</v>
          </cell>
          <cell r="GV49" t="str">
            <v>Maladie</v>
          </cell>
          <cell r="GW49" t="str">
            <v>Maladie</v>
          </cell>
          <cell r="GX49" t="str">
            <v>Maladie</v>
          </cell>
          <cell r="GY49" t="str">
            <v>Maladie</v>
          </cell>
          <cell r="GZ49" t="str">
            <v>Maladie</v>
          </cell>
          <cell r="HA49" t="str">
            <v>Maladie</v>
          </cell>
          <cell r="HB49" t="str">
            <v>Maladie</v>
          </cell>
          <cell r="HC49" t="str">
            <v>Maladie</v>
          </cell>
          <cell r="HD49" t="str">
            <v>Maladie</v>
          </cell>
          <cell r="HE49" t="str">
            <v>Maladie</v>
          </cell>
          <cell r="HF49" t="str">
            <v>Maladie</v>
          </cell>
          <cell r="HG49" t="str">
            <v>Maladie</v>
          </cell>
          <cell r="HH49" t="str">
            <v>Maladie</v>
          </cell>
          <cell r="HI49" t="str">
            <v>Maladie</v>
          </cell>
        </row>
        <row r="50">
          <cell r="J50" t="str">
            <v>REPOS</v>
          </cell>
          <cell r="K50" t="str">
            <v>Maladie</v>
          </cell>
          <cell r="L50" t="str">
            <v>Maladie</v>
          </cell>
          <cell r="M50" t="str">
            <v>Maladie</v>
          </cell>
          <cell r="N50" t="str">
            <v>POLY 7H-14H</v>
          </cell>
          <cell r="O50" t="str">
            <v>REPOS</v>
          </cell>
          <cell r="P50" t="str">
            <v>REPOS</v>
          </cell>
          <cell r="Q50" t="str">
            <v>Congés</v>
          </cell>
          <cell r="R50" t="str">
            <v>Congés</v>
          </cell>
          <cell r="S50" t="str">
            <v>Congés</v>
          </cell>
          <cell r="T50" t="str">
            <v>Congés</v>
          </cell>
          <cell r="U50" t="str">
            <v>Congés</v>
          </cell>
          <cell r="V50" t="str">
            <v>REPOS</v>
          </cell>
          <cell r="W50" t="str">
            <v>REPOS</v>
          </cell>
          <cell r="X50" t="str">
            <v>POLY 12H-19H</v>
          </cell>
          <cell r="Y50" t="str">
            <v>POLY 12H-19H</v>
          </cell>
          <cell r="Z50" t="str">
            <v>POLY 12H-19H</v>
          </cell>
          <cell r="AA50" t="str">
            <v>POLY 12H-19H</v>
          </cell>
          <cell r="AB50" t="str">
            <v>POLY 7H-14H</v>
          </cell>
          <cell r="AC50" t="str">
            <v>REPOS</v>
          </cell>
          <cell r="AD50" t="str">
            <v>POLY 7H-12H + CP</v>
          </cell>
          <cell r="AE50" t="str">
            <v>POLY 12H-19H</v>
          </cell>
          <cell r="AF50" t="str">
            <v>POLY 12H-19H</v>
          </cell>
          <cell r="AG50" t="str">
            <v>POLY 12H-19H</v>
          </cell>
          <cell r="AH50" t="str">
            <v>POLY 12H-19H</v>
          </cell>
          <cell r="AI50" t="str">
            <v>POLY 12H-19H</v>
          </cell>
          <cell r="AJ50" t="str">
            <v>REPOS</v>
          </cell>
          <cell r="AK50" t="str">
            <v>REPOS</v>
          </cell>
          <cell r="AL50" t="str">
            <v>POLY 12H-19H</v>
          </cell>
          <cell r="AM50" t="str">
            <v>POLY 12H-19H</v>
          </cell>
          <cell r="AN50" t="str">
            <v>POLY 12H-19H</v>
          </cell>
          <cell r="AO50" t="str">
            <v>POLY 12H-19H</v>
          </cell>
          <cell r="AP50" t="str">
            <v>POLY 12H-19H</v>
          </cell>
          <cell r="AQ50" t="str">
            <v>REPOS</v>
          </cell>
          <cell r="AR50" t="str">
            <v>POLY 7H-12H</v>
          </cell>
          <cell r="AS50" t="str">
            <v>POLY 12H-19H</v>
          </cell>
          <cell r="AT50" t="str">
            <v>POLY 12H-19H</v>
          </cell>
          <cell r="AU50" t="str">
            <v>POLY 12H-19H</v>
          </cell>
          <cell r="AV50" t="str">
            <v>REPOS</v>
          </cell>
          <cell r="AW50" t="str">
            <v>POLY 12H-19H</v>
          </cell>
          <cell r="AX50" t="str">
            <v>POLY 7H-12H / 14H-18H</v>
          </cell>
          <cell r="AY50" t="str">
            <v>REPOS</v>
          </cell>
          <cell r="AZ50" t="str">
            <v>POLY 12H-19H</v>
          </cell>
          <cell r="BA50" t="str">
            <v>POLY 12H-19H</v>
          </cell>
          <cell r="BB50" t="str">
            <v>POLY 12H-19H</v>
          </cell>
          <cell r="BC50" t="str">
            <v>POLY 12H-19H</v>
          </cell>
          <cell r="BD50" t="str">
            <v>POLY 5H-12H</v>
          </cell>
          <cell r="BE50" t="str">
            <v>HS presta. Except | 17:00-00:00</v>
          </cell>
          <cell r="BF50" t="str">
            <v>REPOS</v>
          </cell>
          <cell r="BG50" t="str">
            <v>POLY 12H-19H</v>
          </cell>
          <cell r="BH50" t="str">
            <v>POLY 12H-19H</v>
          </cell>
          <cell r="BI50" t="str">
            <v>POLY 12H-19H</v>
          </cell>
          <cell r="BJ50" t="str">
            <v>POLY 12H-19H</v>
          </cell>
          <cell r="BK50" t="str">
            <v>POLY 12H-19H</v>
          </cell>
          <cell r="BL50" t="str">
            <v>REPOS</v>
          </cell>
          <cell r="BM50" t="str">
            <v>POLY 7H-12H + CP</v>
          </cell>
          <cell r="BN50" t="str">
            <v>POLY 12H-19H</v>
          </cell>
          <cell r="BO50" t="str">
            <v>POLY 12H-19H</v>
          </cell>
          <cell r="BP50" t="str">
            <v>POLY 12H-19H</v>
          </cell>
          <cell r="BQ50" t="str">
            <v>POLY 12H-19H</v>
          </cell>
          <cell r="BR50" t="str">
            <v>POLY 12H-19H</v>
          </cell>
          <cell r="BS50" t="str">
            <v>REPOS</v>
          </cell>
          <cell r="BT50" t="str">
            <v>REPOS</v>
          </cell>
          <cell r="BU50" t="str">
            <v>POLY 12H-19H</v>
          </cell>
          <cell r="BV50" t="str">
            <v>POLY 12H-19H</v>
          </cell>
          <cell r="BW50" t="str">
            <v>POLY 12H-19H</v>
          </cell>
          <cell r="BX50" t="str">
            <v>POLY 12H-19H</v>
          </cell>
          <cell r="BY50" t="str">
            <v>POLY 12H-19H</v>
          </cell>
          <cell r="BZ50" t="str">
            <v>REPOS</v>
          </cell>
          <cell r="CA50" t="str">
            <v>HS presta. Except | 07:30-18:30</v>
          </cell>
          <cell r="CB50" t="str">
            <v>POLY 12H-19H</v>
          </cell>
          <cell r="CC50" t="str">
            <v>POLY 12H-19H</v>
          </cell>
          <cell r="CD50" t="str">
            <v>POLY 12H-19H</v>
          </cell>
          <cell r="CE50" t="str">
            <v>POLY 12H-19H</v>
          </cell>
          <cell r="CF50" t="str">
            <v>Congés</v>
          </cell>
          <cell r="CG50" t="str">
            <v>REPOS</v>
          </cell>
          <cell r="CH50" t="str">
            <v>REPOS</v>
          </cell>
          <cell r="CI50" t="str">
            <v>POLY 12H-19H</v>
          </cell>
          <cell r="CJ50" t="str">
            <v>POLY 12H-19H</v>
          </cell>
          <cell r="CK50" t="str">
            <v>POLY 12H-19H</v>
          </cell>
          <cell r="CL50" t="str">
            <v>POLY 12H-19H</v>
          </cell>
          <cell r="CM50" t="str">
            <v>POLY 12H-19H</v>
          </cell>
          <cell r="CN50" t="str">
            <v>REPOS</v>
          </cell>
          <cell r="CO50" t="str">
            <v>POLY 7H-12H</v>
          </cell>
          <cell r="CP50" t="str">
            <v>POLY 12H-19H</v>
          </cell>
          <cell r="CQ50" t="str">
            <v>POLY 12H-19H</v>
          </cell>
          <cell r="CR50" t="str">
            <v>POLY 12H-19H</v>
          </cell>
          <cell r="CS50" t="str">
            <v>POLY 12H-19H</v>
          </cell>
          <cell r="CT50" t="str">
            <v>POLY 12H-19H</v>
          </cell>
          <cell r="CU50" t="str">
            <v>REPOS</v>
          </cell>
          <cell r="CV50" t="str">
            <v>REPOS</v>
          </cell>
          <cell r="CW50" t="str">
            <v>REPOS</v>
          </cell>
          <cell r="CX50" t="str">
            <v>REPOS</v>
          </cell>
          <cell r="CY50" t="str">
            <v>POLY 12H-19H</v>
          </cell>
          <cell r="CZ50" t="str">
            <v>POLY 12H-19H</v>
          </cell>
          <cell r="DA50" t="str">
            <v>POLY 12H-19H</v>
          </cell>
          <cell r="DB50" t="str">
            <v>POLY 7H-12H / 14H-18H</v>
          </cell>
          <cell r="DC50" t="str">
            <v>REPOS</v>
          </cell>
          <cell r="DD50" t="str">
            <v>POLY 12H-19H</v>
          </cell>
          <cell r="DE50" t="str">
            <v>POLY 12H-19H</v>
          </cell>
          <cell r="DF50" t="str">
            <v>POLY 12H-19H</v>
          </cell>
          <cell r="DG50" t="str">
            <v>POLY 12H-19H</v>
          </cell>
          <cell r="DH50" t="str">
            <v>POLY 12H-19H</v>
          </cell>
          <cell r="DI50" t="str">
            <v>REPOS</v>
          </cell>
          <cell r="DJ50" t="str">
            <v>POLY 7H-12H + CP</v>
          </cell>
          <cell r="DK50" t="str">
            <v>POLY 12H-19H</v>
          </cell>
          <cell r="DL50" t="str">
            <v>POLY 12H-19H</v>
          </cell>
          <cell r="DM50" t="str">
            <v>POLY 12H-19H</v>
          </cell>
          <cell r="DN50" t="str">
            <v>POLY 12H-19H</v>
          </cell>
          <cell r="DO50" t="str">
            <v>POLY 12H-19H</v>
          </cell>
          <cell r="DP50" t="str">
            <v>REPOS</v>
          </cell>
          <cell r="DQ50" t="str">
            <v>REPOS</v>
          </cell>
          <cell r="DR50" t="str">
            <v>POLY 12H-19H</v>
          </cell>
          <cell r="DS50" t="str">
            <v>POLY 12H-19H</v>
          </cell>
          <cell r="DT50" t="str">
            <v>POLY 12H-19H</v>
          </cell>
          <cell r="DU50" t="str">
            <v>POLY 12H-19H</v>
          </cell>
          <cell r="DV50" t="str">
            <v>REPOS</v>
          </cell>
          <cell r="DW50" t="str">
            <v>POLY 7H-12H / 14H-18H</v>
          </cell>
          <cell r="DX50" t="str">
            <v>REPOS</v>
          </cell>
          <cell r="DY50" t="str">
            <v>POLY 12H-19H</v>
          </cell>
          <cell r="DZ50" t="str">
            <v>REPOS</v>
          </cell>
          <cell r="EA50" t="str">
            <v>POLY 12H-19H</v>
          </cell>
          <cell r="EB50" t="str">
            <v>POLY 12H-19H</v>
          </cell>
          <cell r="EC50" t="str">
            <v>POLY 12H-19H</v>
          </cell>
          <cell r="ED50" t="str">
            <v>REPOS</v>
          </cell>
          <cell r="EE50" t="str">
            <v>REPOS</v>
          </cell>
          <cell r="EF50" t="str">
            <v>POLY 12H-19H</v>
          </cell>
          <cell r="EG50" t="str">
            <v>REPOS</v>
          </cell>
          <cell r="EH50" t="str">
            <v>B. CARTON</v>
          </cell>
          <cell r="EI50" t="str">
            <v>REPOS</v>
          </cell>
          <cell r="EJ50" t="str">
            <v>POLY 12H-19H</v>
          </cell>
          <cell r="EK50" t="str">
            <v>REPOS</v>
          </cell>
          <cell r="EL50" t="str">
            <v>POLY 7H-12H + CP</v>
          </cell>
          <cell r="EM50" t="str">
            <v>Congés</v>
          </cell>
          <cell r="EN50" t="str">
            <v>Congés</v>
          </cell>
          <cell r="EO50" t="str">
            <v>Congés</v>
          </cell>
          <cell r="EP50" t="str">
            <v>Congés</v>
          </cell>
          <cell r="EQ50" t="str">
            <v>Congés</v>
          </cell>
          <cell r="ER50" t="str">
            <v>REPOS</v>
          </cell>
          <cell r="ES50" t="str">
            <v>REPOS</v>
          </cell>
          <cell r="ET50" t="str">
            <v>POLY 12H-19H</v>
          </cell>
          <cell r="EU50" t="str">
            <v>POLY 12H-19H</v>
          </cell>
          <cell r="EV50" t="str">
            <v>POLY 12H-19H</v>
          </cell>
          <cell r="EW50" t="str">
            <v>POLY 12H-19H</v>
          </cell>
          <cell r="EX50" t="str">
            <v>POLY 12H-19H</v>
          </cell>
          <cell r="EY50" t="str">
            <v>REPOS</v>
          </cell>
          <cell r="EZ50" t="str">
            <v>REPOS</v>
          </cell>
          <cell r="FA50" t="str">
            <v>RTT</v>
          </cell>
          <cell r="FB50" t="str">
            <v>RTT</v>
          </cell>
          <cell r="FC50" t="str">
            <v>RTT</v>
          </cell>
          <cell r="FD50" t="str">
            <v>Congés</v>
          </cell>
          <cell r="FE50" t="str">
            <v>Congés</v>
          </cell>
          <cell r="FF50" t="str">
            <v>REPOS</v>
          </cell>
          <cell r="FG50" t="str">
            <v>REPOS</v>
          </cell>
          <cell r="FH50" t="str">
            <v>POLY 12H-19H</v>
          </cell>
          <cell r="FI50" t="str">
            <v>POLY 12H-19H</v>
          </cell>
          <cell r="FJ50" t="str">
            <v>POLY 12H-19H</v>
          </cell>
          <cell r="FK50" t="str">
            <v>REPOS</v>
          </cell>
          <cell r="FL50" t="str">
            <v>POLY 12H-19H</v>
          </cell>
          <cell r="FM50" t="str">
            <v>POLY 7H-12H / 14H-18H</v>
          </cell>
          <cell r="FN50" t="str">
            <v>REPOS</v>
          </cell>
          <cell r="FO50" t="str">
            <v>POLY 12H-19H</v>
          </cell>
          <cell r="FP50" t="str">
            <v>POLY 12H-19H</v>
          </cell>
          <cell r="FQ50" t="str">
            <v>POLY 12H-19H</v>
          </cell>
          <cell r="FR50" t="str">
            <v>POLY 12H-19H</v>
          </cell>
          <cell r="FS50" t="str">
            <v>POLY 12H-19H</v>
          </cell>
          <cell r="FT50" t="str">
            <v>REPOS</v>
          </cell>
          <cell r="FU50" t="str">
            <v>REPOS</v>
          </cell>
          <cell r="FV50" t="str">
            <v>POLY 12H-19H</v>
          </cell>
          <cell r="FW50" t="str">
            <v>POLY 12H-19H</v>
          </cell>
          <cell r="FX50" t="str">
            <v>POLY 12H-19H</v>
          </cell>
          <cell r="FY50" t="str">
            <v>POLY 12H-19H</v>
          </cell>
          <cell r="FZ50" t="str">
            <v>POLY 12H-19H</v>
          </cell>
          <cell r="GA50" t="str">
            <v>REPOS</v>
          </cell>
          <cell r="GB50" t="str">
            <v>REPOS</v>
          </cell>
          <cell r="GC50" t="str">
            <v>POLY 12H-19H</v>
          </cell>
          <cell r="GD50" t="str">
            <v>POLY 12H-19H</v>
          </cell>
          <cell r="GE50" t="str">
            <v>POLY 12H-19H</v>
          </cell>
          <cell r="GF50" t="str">
            <v>POLY 12H-19H</v>
          </cell>
          <cell r="GG50" t="str">
            <v>POLY 12H-19H</v>
          </cell>
          <cell r="IN50" t="str">
            <v>Congés</v>
          </cell>
          <cell r="IO50" t="str">
            <v>Congés</v>
          </cell>
          <cell r="IP50" t="str">
            <v>Congés</v>
          </cell>
          <cell r="IQ50" t="str">
            <v>Congés</v>
          </cell>
          <cell r="IR50" t="str">
            <v>Congés</v>
          </cell>
          <cell r="IS50" t="str">
            <v>REPOS</v>
          </cell>
          <cell r="IT50" t="str">
            <v>REPOS</v>
          </cell>
          <cell r="IU50" t="str">
            <v>Congés</v>
          </cell>
          <cell r="IV50" t="str">
            <v>Congés</v>
          </cell>
          <cell r="IW50" t="str">
            <v>Congés</v>
          </cell>
          <cell r="IX50" t="str">
            <v>Congés</v>
          </cell>
          <cell r="IY50" t="str">
            <v>Congés</v>
          </cell>
          <cell r="IZ50" t="str">
            <v>REPOS</v>
          </cell>
          <cell r="JA50" t="str">
            <v>REPOS</v>
          </cell>
          <cell r="JB50" t="str">
            <v>Congés</v>
          </cell>
          <cell r="JC50" t="str">
            <v>Congés</v>
          </cell>
          <cell r="JD50" t="str">
            <v>Congés</v>
          </cell>
          <cell r="JE50" t="str">
            <v>Congés</v>
          </cell>
          <cell r="JF50" t="str">
            <v>Congés</v>
          </cell>
          <cell r="JG50" t="str">
            <v>REPOS</v>
          </cell>
          <cell r="JH50" t="str">
            <v>REPOS</v>
          </cell>
        </row>
      </sheetData>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GENTS_CS"/>
      <sheetName val="CPL"/>
      <sheetName val="PERIODES"/>
      <sheetName val="Agents"/>
      <sheetName val="HEURES"/>
      <sheetName val="JFériés"/>
    </sheetNames>
    <sheetDataSet>
      <sheetData sheetId="0"/>
      <sheetData sheetId="1"/>
      <sheetData sheetId="2"/>
      <sheetData sheetId="3">
        <row r="1">
          <cell r="A1" t="str">
            <v>Addario Grégory |N0133037</v>
          </cell>
          <cell r="C1" t="str">
            <v>Atarsia Kamel |N0123300</v>
          </cell>
        </row>
        <row r="2">
          <cell r="A2" t="str">
            <v>Addario Jean-Baptiste |N0140432</v>
          </cell>
          <cell r="C2" t="str">
            <v>Bour Yvon |N0122107</v>
          </cell>
        </row>
        <row r="3">
          <cell r="A3" t="str">
            <v>Alliouane Saïd |N0133886</v>
          </cell>
          <cell r="C3" t="str">
            <v>Dalmasso Yves |N0122279</v>
          </cell>
        </row>
        <row r="4">
          <cell r="A4" t="str">
            <v>Arnaud Fabrice |N0134784</v>
          </cell>
          <cell r="C4" t="str">
            <v>Garros Carolane |N0140595</v>
          </cell>
        </row>
        <row r="5">
          <cell r="A5" t="str">
            <v>Audibert Michel |N0122024</v>
          </cell>
          <cell r="C5" t="str">
            <v>Féralis Cécile |N0122309</v>
          </cell>
        </row>
        <row r="6">
          <cell r="A6" t="str">
            <v>Ben Bouzid Bourhane |N0123074</v>
          </cell>
          <cell r="C6" t="str">
            <v>Landrieux Nathalie |N0123368</v>
          </cell>
        </row>
        <row r="7">
          <cell r="A7" t="str">
            <v>Burle Yann |N0122892</v>
          </cell>
          <cell r="C7" t="str">
            <v>Moliner David |N0122749</v>
          </cell>
        </row>
        <row r="8">
          <cell r="A8" t="str">
            <v>Cantelli Thomas |N0137063</v>
          </cell>
          <cell r="C8" t="str">
            <v>Piombino Jean-Marc |N0122657</v>
          </cell>
        </row>
        <row r="9">
          <cell r="A9" t="str">
            <v>Cardinale Jean-Claude |N0122246</v>
          </cell>
          <cell r="C9" t="str">
            <v>Rateau Laurent |N0122934</v>
          </cell>
        </row>
        <row r="10">
          <cell r="A10" t="str">
            <v>Chauvin Nicolas |N0140957</v>
          </cell>
          <cell r="C10" t="str">
            <v>Rosso Dominique |N0122634</v>
          </cell>
        </row>
        <row r="11">
          <cell r="A11" t="str">
            <v>Dhouimer Yassine |N0136834</v>
          </cell>
          <cell r="C11" t="str">
            <v>Selsis Bruno |N0136550</v>
          </cell>
        </row>
        <row r="12">
          <cell r="A12" t="str">
            <v>Ellena Thomas |N0137095</v>
          </cell>
          <cell r="C12" t="str">
            <v/>
          </cell>
        </row>
        <row r="13">
          <cell r="A13" t="str">
            <v>Frendo Mathieu |N0123075</v>
          </cell>
          <cell r="C13" t="str">
            <v/>
          </cell>
        </row>
        <row r="14">
          <cell r="A14" t="str">
            <v>Gandolin Adrien |N0132761</v>
          </cell>
          <cell r="C14" t="str">
            <v/>
          </cell>
        </row>
        <row r="15">
          <cell r="A15" t="str">
            <v>Glaskoff Hervé |N0131051</v>
          </cell>
          <cell r="C15" t="str">
            <v/>
          </cell>
        </row>
        <row r="16">
          <cell r="A16" t="str">
            <v>Guizani Samy |N0123610</v>
          </cell>
          <cell r="C16" t="str">
            <v/>
          </cell>
        </row>
        <row r="17">
          <cell r="A17" t="str">
            <v>Isoard Nicolas |N0123758</v>
          </cell>
          <cell r="C17" t="str">
            <v/>
          </cell>
        </row>
        <row r="18">
          <cell r="A18" t="str">
            <v>Mallo Alfred |N0122577</v>
          </cell>
          <cell r="C18" t="str">
            <v/>
          </cell>
        </row>
        <row r="19">
          <cell r="A19" t="str">
            <v>Mandrea Thierry |N0122349</v>
          </cell>
          <cell r="C19" t="str">
            <v/>
          </cell>
        </row>
        <row r="20">
          <cell r="A20" t="str">
            <v>Mangiarotti Tony |N0124279</v>
          </cell>
          <cell r="C20" t="str">
            <v/>
          </cell>
        </row>
        <row r="21">
          <cell r="A21" t="str">
            <v>Marcelli Alain |N0122389</v>
          </cell>
          <cell r="C21" t="str">
            <v/>
          </cell>
        </row>
        <row r="22">
          <cell r="A22" t="str">
            <v>Marzarro Christopher |N0123069</v>
          </cell>
          <cell r="C22" t="str">
            <v/>
          </cell>
        </row>
        <row r="23">
          <cell r="A23" t="str">
            <v>Moraldo Adrien |N0128551</v>
          </cell>
          <cell r="C23" t="str">
            <v/>
          </cell>
        </row>
        <row r="24">
          <cell r="A24" t="str">
            <v>Outili Yassin |N0128554</v>
          </cell>
          <cell r="C24" t="str">
            <v/>
          </cell>
        </row>
        <row r="25">
          <cell r="A25" t="str">
            <v>Perez Yann |N0128555</v>
          </cell>
          <cell r="C25" t="str">
            <v/>
          </cell>
        </row>
        <row r="26">
          <cell r="A26" t="str">
            <v>Perrone Lucas |N0133403</v>
          </cell>
          <cell r="C26" t="str">
            <v/>
          </cell>
        </row>
        <row r="27">
          <cell r="A27" t="str">
            <v>Rini Romain |N0132724</v>
          </cell>
          <cell r="C27" t="str">
            <v/>
          </cell>
        </row>
        <row r="28">
          <cell r="A28" t="str">
            <v>Rodriguez Franck |N0108913</v>
          </cell>
          <cell r="C28" t="str">
            <v/>
          </cell>
        </row>
        <row r="29">
          <cell r="A29" t="str">
            <v>Spadaccini Steve |N0134783</v>
          </cell>
          <cell r="C29" t="str">
            <v/>
          </cell>
        </row>
        <row r="30">
          <cell r="A30" t="str">
            <v>Terranova Pierre |N0140951</v>
          </cell>
          <cell r="C30" t="str">
            <v/>
          </cell>
        </row>
        <row r="31">
          <cell r="A31" t="str">
            <v>Torre Jean-Marie |N0122603</v>
          </cell>
          <cell r="C31" t="str">
            <v/>
          </cell>
        </row>
        <row r="32">
          <cell r="A32" t="str">
            <v>Vanini Kévin |N0137014</v>
          </cell>
          <cell r="C32" t="str">
            <v/>
          </cell>
        </row>
        <row r="33">
          <cell r="A33" t="str">
            <v>Viale Jonathan |N0131234</v>
          </cell>
          <cell r="C33" t="str">
            <v/>
          </cell>
        </row>
        <row r="34">
          <cell r="A34" t="str">
            <v/>
          </cell>
          <cell r="C34" t="str">
            <v/>
          </cell>
        </row>
        <row r="35">
          <cell r="A35" t="str">
            <v/>
          </cell>
          <cell r="C35" t="str">
            <v/>
          </cell>
        </row>
        <row r="36">
          <cell r="A36" t="str">
            <v/>
          </cell>
          <cell r="C36" t="str">
            <v/>
          </cell>
        </row>
        <row r="37">
          <cell r="A37" t="str">
            <v/>
          </cell>
          <cell r="C37" t="str">
            <v/>
          </cell>
        </row>
        <row r="38">
          <cell r="A38" t="str">
            <v/>
          </cell>
          <cell r="C38" t="str">
            <v/>
          </cell>
        </row>
        <row r="39">
          <cell r="A39" t="str">
            <v/>
          </cell>
          <cell r="C39" t="str">
            <v/>
          </cell>
        </row>
        <row r="40">
          <cell r="A40" t="str">
            <v/>
          </cell>
          <cell r="C40" t="str">
            <v/>
          </cell>
        </row>
        <row r="41">
          <cell r="A41" t="str">
            <v/>
          </cell>
          <cell r="C41" t="str">
            <v/>
          </cell>
        </row>
        <row r="42">
          <cell r="A42" t="str">
            <v/>
          </cell>
          <cell r="C42" t="str">
            <v/>
          </cell>
        </row>
        <row r="43">
          <cell r="A43" t="str">
            <v/>
          </cell>
          <cell r="C43" t="str">
            <v/>
          </cell>
        </row>
        <row r="44">
          <cell r="A44" t="str">
            <v/>
          </cell>
          <cell r="C44" t="str">
            <v/>
          </cell>
        </row>
        <row r="45">
          <cell r="A45" t="str">
            <v/>
          </cell>
          <cell r="C45" t="str">
            <v/>
          </cell>
        </row>
        <row r="46">
          <cell r="A46" t="str">
            <v/>
          </cell>
          <cell r="C46" t="str">
            <v/>
          </cell>
        </row>
        <row r="47">
          <cell r="A47" t="str">
            <v/>
          </cell>
          <cell r="C47" t="str">
            <v/>
          </cell>
        </row>
        <row r="48">
          <cell r="A48" t="str">
            <v/>
          </cell>
          <cell r="C48" t="str">
            <v/>
          </cell>
        </row>
        <row r="49">
          <cell r="A49" t="str">
            <v/>
          </cell>
          <cell r="C49" t="str">
            <v/>
          </cell>
        </row>
        <row r="50">
          <cell r="A50" t="str">
            <v/>
          </cell>
          <cell r="C50" t="str">
            <v/>
          </cell>
        </row>
        <row r="51">
          <cell r="A51" t="str">
            <v/>
          </cell>
          <cell r="C51" t="str">
            <v/>
          </cell>
        </row>
        <row r="52">
          <cell r="A52" t="str">
            <v/>
          </cell>
          <cell r="C52" t="str">
            <v/>
          </cell>
        </row>
        <row r="53">
          <cell r="A53" t="str">
            <v/>
          </cell>
          <cell r="C53" t="str">
            <v/>
          </cell>
        </row>
        <row r="54">
          <cell r="A54" t="str">
            <v/>
          </cell>
          <cell r="C54" t="str">
            <v/>
          </cell>
        </row>
        <row r="55">
          <cell r="A55" t="str">
            <v/>
          </cell>
          <cell r="C55" t="str">
            <v/>
          </cell>
        </row>
        <row r="56">
          <cell r="A56" t="str">
            <v/>
          </cell>
          <cell r="C56" t="str">
            <v/>
          </cell>
        </row>
        <row r="57">
          <cell r="A57" t="str">
            <v/>
          </cell>
          <cell r="C57" t="str">
            <v/>
          </cell>
        </row>
        <row r="58">
          <cell r="A58" t="str">
            <v/>
          </cell>
          <cell r="C58" t="str">
            <v/>
          </cell>
        </row>
        <row r="59">
          <cell r="A59" t="str">
            <v/>
          </cell>
          <cell r="C59" t="str">
            <v/>
          </cell>
        </row>
        <row r="60">
          <cell r="A60" t="str">
            <v/>
          </cell>
          <cell r="C60" t="str">
            <v/>
          </cell>
        </row>
        <row r="61">
          <cell r="A61" t="str">
            <v/>
          </cell>
          <cell r="C61" t="str">
            <v/>
          </cell>
        </row>
        <row r="62">
          <cell r="A62" t="str">
            <v/>
          </cell>
          <cell r="C62" t="str">
            <v/>
          </cell>
        </row>
        <row r="63">
          <cell r="A63" t="str">
            <v/>
          </cell>
          <cell r="C63" t="str">
            <v/>
          </cell>
        </row>
        <row r="64">
          <cell r="A64" t="str">
            <v/>
          </cell>
          <cell r="C64" t="str">
            <v/>
          </cell>
        </row>
        <row r="65">
          <cell r="A65" t="str">
            <v/>
          </cell>
          <cell r="C65" t="str">
            <v/>
          </cell>
        </row>
        <row r="66">
          <cell r="A66" t="str">
            <v/>
          </cell>
          <cell r="C66" t="str">
            <v/>
          </cell>
        </row>
        <row r="67">
          <cell r="A67" t="str">
            <v/>
          </cell>
          <cell r="C67" t="str">
            <v/>
          </cell>
        </row>
        <row r="68">
          <cell r="A68" t="str">
            <v/>
          </cell>
          <cell r="C68" t="str">
            <v/>
          </cell>
        </row>
        <row r="69">
          <cell r="A69" t="str">
            <v/>
          </cell>
          <cell r="C69" t="str">
            <v/>
          </cell>
        </row>
        <row r="70">
          <cell r="A70" t="str">
            <v/>
          </cell>
          <cell r="C70" t="str">
            <v/>
          </cell>
        </row>
        <row r="71">
          <cell r="A71" t="str">
            <v/>
          </cell>
          <cell r="C71" t="str">
            <v/>
          </cell>
        </row>
        <row r="72">
          <cell r="A72" t="str">
            <v/>
          </cell>
          <cell r="C72" t="str">
            <v/>
          </cell>
        </row>
        <row r="73">
          <cell r="A73" t="str">
            <v/>
          </cell>
          <cell r="C73" t="str">
            <v/>
          </cell>
        </row>
        <row r="74">
          <cell r="A74" t="str">
            <v/>
          </cell>
          <cell r="C74" t="str">
            <v/>
          </cell>
        </row>
        <row r="75">
          <cell r="A75" t="str">
            <v/>
          </cell>
          <cell r="C75" t="str">
            <v/>
          </cell>
        </row>
        <row r="76">
          <cell r="A76" t="str">
            <v/>
          </cell>
          <cell r="C76" t="str">
            <v/>
          </cell>
        </row>
        <row r="77">
          <cell r="A77" t="str">
            <v/>
          </cell>
          <cell r="C77" t="str">
            <v/>
          </cell>
        </row>
        <row r="78">
          <cell r="A78" t="str">
            <v/>
          </cell>
          <cell r="C78" t="str">
            <v/>
          </cell>
        </row>
        <row r="79">
          <cell r="A79" t="str">
            <v/>
          </cell>
          <cell r="C79" t="str">
            <v/>
          </cell>
        </row>
        <row r="80">
          <cell r="A80" t="str">
            <v/>
          </cell>
          <cell r="C80" t="str">
            <v/>
          </cell>
        </row>
        <row r="81">
          <cell r="A81" t="str">
            <v/>
          </cell>
          <cell r="C81" t="str">
            <v/>
          </cell>
        </row>
        <row r="82">
          <cell r="A82" t="str">
            <v/>
          </cell>
          <cell r="C82" t="str">
            <v/>
          </cell>
        </row>
        <row r="83">
          <cell r="A83" t="str">
            <v/>
          </cell>
          <cell r="C83" t="str">
            <v/>
          </cell>
        </row>
        <row r="84">
          <cell r="A84" t="str">
            <v/>
          </cell>
          <cell r="C84" t="str">
            <v/>
          </cell>
        </row>
        <row r="85">
          <cell r="A85" t="str">
            <v/>
          </cell>
          <cell r="C85" t="str">
            <v/>
          </cell>
        </row>
        <row r="86">
          <cell r="A86" t="str">
            <v/>
          </cell>
          <cell r="C86" t="str">
            <v/>
          </cell>
        </row>
        <row r="87">
          <cell r="A87" t="str">
            <v/>
          </cell>
          <cell r="C87" t="str">
            <v/>
          </cell>
        </row>
        <row r="88">
          <cell r="A88" t="str">
            <v/>
          </cell>
          <cell r="C88" t="str">
            <v/>
          </cell>
        </row>
        <row r="89">
          <cell r="A89" t="str">
            <v/>
          </cell>
          <cell r="C89" t="str">
            <v/>
          </cell>
        </row>
        <row r="90">
          <cell r="A90" t="str">
            <v/>
          </cell>
          <cell r="C90" t="str">
            <v/>
          </cell>
        </row>
        <row r="91">
          <cell r="A91" t="str">
            <v/>
          </cell>
          <cell r="C91" t="str">
            <v/>
          </cell>
        </row>
        <row r="92">
          <cell r="A92" t="str">
            <v/>
          </cell>
          <cell r="C92" t="str">
            <v/>
          </cell>
        </row>
        <row r="93">
          <cell r="A93" t="str">
            <v/>
          </cell>
          <cell r="C93" t="str">
            <v/>
          </cell>
        </row>
        <row r="94">
          <cell r="A94" t="str">
            <v/>
          </cell>
          <cell r="C94" t="str">
            <v/>
          </cell>
        </row>
        <row r="95">
          <cell r="A95" t="str">
            <v/>
          </cell>
          <cell r="C95" t="str">
            <v/>
          </cell>
        </row>
        <row r="96">
          <cell r="A96" t="str">
            <v/>
          </cell>
          <cell r="C96" t="str">
            <v/>
          </cell>
        </row>
        <row r="97">
          <cell r="A97" t="str">
            <v/>
          </cell>
          <cell r="C97" t="str">
            <v/>
          </cell>
        </row>
        <row r="98">
          <cell r="A98" t="str">
            <v/>
          </cell>
          <cell r="C98" t="str">
            <v/>
          </cell>
        </row>
        <row r="99">
          <cell r="A99" t="str">
            <v/>
          </cell>
          <cell r="C99" t="str">
            <v/>
          </cell>
        </row>
        <row r="100">
          <cell r="A100" t="str">
            <v/>
          </cell>
          <cell r="C100" t="str">
            <v/>
          </cell>
        </row>
      </sheetData>
      <sheetData sheetId="4">
        <row r="1">
          <cell r="B1">
            <v>0.29166666666666669</v>
          </cell>
          <cell r="C1">
            <v>0.91666666666666663</v>
          </cell>
        </row>
        <row r="2">
          <cell r="B2">
            <v>0.91666666666666663</v>
          </cell>
          <cell r="C2">
            <v>0.29166666666666669</v>
          </cell>
        </row>
        <row r="3">
          <cell r="B3">
            <v>0.875</v>
          </cell>
          <cell r="C3">
            <v>0.25</v>
          </cell>
        </row>
      </sheetData>
      <sheetData sheetId="5"/>
    </sheetDataSet>
  </externalBook>
</externalLink>
</file>

<file path=xl/tables/table1.xml><?xml version="1.0" encoding="utf-8"?>
<table xmlns="http://schemas.openxmlformats.org/spreadsheetml/2006/main" id="5" name="Janvier" displayName="Janvier" ref="B7:AV56" totalsRowShown="0">
  <tableColumns count="47">
    <tableColumn id="1" name="Noms" dataDxfId="709"/>
    <tableColumn id="38" name="Prénoms" dataDxfId="708"/>
    <tableColumn id="37" name="Nom de l’employé" dataDxfId="707"/>
    <tableColumn id="35" name="inactif" dataDxfId="706"/>
    <tableColumn id="2" name="1" dataDxfId="705">
      <calculatedColumnFormula>Global!F8</calculatedColumnFormula>
    </tableColumn>
    <tableColumn id="3" name="2" dataDxfId="704">
      <calculatedColumnFormula>Global!G8</calculatedColumnFormula>
    </tableColumn>
    <tableColumn id="4" name="3" dataDxfId="703">
      <calculatedColumnFormula>Global!H8</calculatedColumnFormula>
    </tableColumn>
    <tableColumn id="5" name="4" dataDxfId="702">
      <calculatedColumnFormula>Global!I8</calculatedColumnFormula>
    </tableColumn>
    <tableColumn id="6" name="5" dataDxfId="701">
      <calculatedColumnFormula>Global!J8</calculatedColumnFormula>
    </tableColumn>
    <tableColumn id="7" name="6" dataDxfId="700">
      <calculatedColumnFormula>Global!K8</calculatedColumnFormula>
    </tableColumn>
    <tableColumn id="8" name="7" dataDxfId="699">
      <calculatedColumnFormula>Global!L8</calculatedColumnFormula>
    </tableColumn>
    <tableColumn id="9" name="8" dataDxfId="698">
      <calculatedColumnFormula>Global!M8</calculatedColumnFormula>
    </tableColumn>
    <tableColumn id="10" name="9" dataDxfId="697">
      <calculatedColumnFormula>Global!N8</calculatedColumnFormula>
    </tableColumn>
    <tableColumn id="11" name="10" dataDxfId="696">
      <calculatedColumnFormula>Global!O8</calculatedColumnFormula>
    </tableColumn>
    <tableColumn id="12" name="11" dataDxfId="695">
      <calculatedColumnFormula>Global!P8</calculatedColumnFormula>
    </tableColumn>
    <tableColumn id="13" name="12" dataDxfId="694">
      <calculatedColumnFormula>Global!Q8</calculatedColumnFormula>
    </tableColumn>
    <tableColumn id="14" name="13" dataDxfId="693">
      <calculatedColumnFormula>Global!R8</calculatedColumnFormula>
    </tableColumn>
    <tableColumn id="15" name="14" dataDxfId="692">
      <calculatedColumnFormula>Global!S8</calculatedColumnFormula>
    </tableColumn>
    <tableColumn id="16" name="15" dataDxfId="691">
      <calculatedColumnFormula>Global!T8</calculatedColumnFormula>
    </tableColumn>
    <tableColumn id="17" name="16" dataDxfId="690">
      <calculatedColumnFormula>Global!U8</calculatedColumnFormula>
    </tableColumn>
    <tableColumn id="18" name="17" dataDxfId="689">
      <calculatedColumnFormula>Global!V8</calculatedColumnFormula>
    </tableColumn>
    <tableColumn id="19" name="18" dataDxfId="688">
      <calculatedColumnFormula>Global!W8</calculatedColumnFormula>
    </tableColumn>
    <tableColumn id="20" name="19" dataDxfId="687">
      <calculatedColumnFormula>Global!X8</calculatedColumnFormula>
    </tableColumn>
    <tableColumn id="21" name="20" dataDxfId="686">
      <calculatedColumnFormula>Global!Y8</calculatedColumnFormula>
    </tableColumn>
    <tableColumn id="22" name="21" dataDxfId="685">
      <calculatedColumnFormula>Global!Z8</calculatedColumnFormula>
    </tableColumn>
    <tableColumn id="23" name="22" dataDxfId="684">
      <calculatedColumnFormula>Global!AA8</calculatedColumnFormula>
    </tableColumn>
    <tableColumn id="24" name="23" dataDxfId="683">
      <calculatedColumnFormula>Global!AB8</calculatedColumnFormula>
    </tableColumn>
    <tableColumn id="25" name="24" dataDxfId="682">
      <calculatedColumnFormula>Global!AC8</calculatedColumnFormula>
    </tableColumn>
    <tableColumn id="26" name="25" dataDxfId="681">
      <calculatedColumnFormula>Global!AD8</calculatedColumnFormula>
    </tableColumn>
    <tableColumn id="27" name="26" dataDxfId="680">
      <calculatedColumnFormula>Global!AE8</calculatedColumnFormula>
    </tableColumn>
    <tableColumn id="28" name="27" dataDxfId="679">
      <calculatedColumnFormula>Global!AF8</calculatedColumnFormula>
    </tableColumn>
    <tableColumn id="29" name="28" dataDxfId="678">
      <calculatedColumnFormula>Global!AG8</calculatedColumnFormula>
    </tableColumn>
    <tableColumn id="30" name="29" dataDxfId="677">
      <calculatedColumnFormula>Global!AH8</calculatedColumnFormula>
    </tableColumn>
    <tableColumn id="31" name="30" dataDxfId="676">
      <calculatedColumnFormula>Global!AI8</calculatedColumnFormula>
    </tableColumn>
    <tableColumn id="32" name="31" dataDxfId="675">
      <calculatedColumnFormula>Global!AJ8</calculatedColumnFormula>
    </tableColumn>
    <tableColumn id="33" name="RTT Pris" dataDxfId="674">
      <calculatedColumnFormula>COUNTIF(Janvier[[#This Row],[1]:[31]],"RTT")+(COUNTIF(Janvier[[#This Row],[1]:[31]],"dRTT")/2)</calculatedColumnFormula>
    </tableColumn>
    <tableColumn id="34" name="CP Pris" dataDxfId="673">
      <calculatedColumnFormula>COUNTIF(Janvier[[#This Row],[1]:[31]],"C")+(COUNTIF(Janvier[[#This Row],[1]:[31]],"DC")/2)</calculatedColumnFormula>
    </tableColumn>
    <tableColumn id="36" name="Maladie" dataDxfId="672">
      <calculatedColumnFormula>COUNTIF(Janvier[[#This Row],[1]:[31]],"M")</calculatedColumnFormula>
    </tableColumn>
    <tableColumn id="39" name="AT" dataDxfId="671">
      <calculatedColumnFormula>COUNTIF(Janvier[[#This Row],[1]:[31]],"AT")</calculatedColumnFormula>
    </tableColumn>
    <tableColumn id="40" name="RTT Acquises" dataDxfId="670">
      <calculatedColumnFormula>IF(AND(Janvier[[#This Row],[Maladie]]=0,Janvier[[#This Row],[AT]]=0),((10*(_xlfn.DAYS("31/01/2018","01/01/2018")+1))/365),((_xlfn.DAYS("31/01/2018","01/01/2018")+1-(Janvier[[#This Row],[Maladie]]+Janvier[[#This Row],[AT]]))*((10*(_xlfn.DAYS("31/01/2018","01/01/2018")+1))/365))/(_xlfn.DAYS("31/01/2018","01/01/2018")+1))</calculatedColumnFormula>
    </tableColumn>
    <tableColumn id="41" name="Titres Restaurant" dataDxfId="212">
      <calculatedColumnFormula>$E$5-(COUNTIF(Janvier[[#This Row],[1]:[31]],"C")+COUNTIF(Janvier[[#This Row],[1]:[31]],"RTT")+Janvier[[#This Row],[Maladie]]+Janvier[[#This Row],[AT]])</calculatedColumnFormula>
    </tableColumn>
    <tableColumn id="43" name="Colonne1" dataDxfId="5">
      <calculatedColumnFormula>SUMPRODUCT((F8:AJ8="")*(WEEKDAY($F$1:$AJ$1)&lt;6)*(COUNTIF(JFériés!$D$2:$D$11,$F$1:$AJ$1)=0))</calculatedColumnFormula>
    </tableColumn>
    <tableColumn id="44" name="Colonne2" dataDxfId="2">
      <calculatedColumnFormula>SUMPRODUCT(IF(Janvier[[#This Row],[RTT Pris]]+Janvier[[#This Row],[CP Pris]]+Janvier[[#This Row],[Maladie]]+Janvier[[#This Row],[AT]]=0,0,Janvier[[#This Row],[RTT Pris]]+Janvier[[#This Row],[CP Pris]]+Janvier[[#This Row],[Maladie]]+Janvier[[#This Row],[AT]])*(WEEKDAY($F$1:$AJ$1)&lt;6)*(COUNTIF(JFériés!$D$2:$D$11,$F$1:$AJ$1)=0))</calculatedColumnFormula>
    </tableColumn>
    <tableColumn id="45" name="Colonne3" dataDxfId="3">
      <calculatedColumnFormula>IF(Janvier[[#This Row],[RTT Pris]]+Janvier[[#This Row],[CP Pris]]+Janvier[[#This Row],[Maladie]]+Janvier[[#This Row],[AT]]=0,0,Janvier[[#This Row],[RTT Pris]]+Janvier[[#This Row],[CP Pris]]+Janvier[[#This Row],[Maladie]]+Janvier[[#This Row],[AT]])</calculatedColumnFormula>
    </tableColumn>
    <tableColumn id="46" name="Colonne4" dataDxfId="4">
      <calculatedColumnFormula>$E$5-Janvier[[#This Row],[Colonne3]]</calculatedColumnFormula>
    </tableColumn>
    <tableColumn id="47" name="Colonne5" dataDxfId="0">
      <calculatedColumnFormula>WEEKDAY(F1:AJ1,1)</calculatedColumnFormula>
    </tableColumn>
    <tableColumn id="48" name="Colonne6" dataDxfId="1">
      <calculatedColumnFormula>IF(WEEKDAY(K1,1)="M",0,"")</calculatedColumnFormula>
    </tableColumn>
  </tableColumns>
  <tableStyleInfo showFirstColumn="0" showLastColumn="0" showRowStripes="1" showColumnStripes="0"/>
</table>
</file>

<file path=xl/tables/table2.xml><?xml version="1.0" encoding="utf-8"?>
<table xmlns="http://schemas.openxmlformats.org/spreadsheetml/2006/main" id="4" name="Février" displayName="Février" ref="B7:AN56" totalsRowShown="0">
  <tableColumns count="39">
    <tableColumn id="1" name="Noms" dataDxfId="669"/>
    <tableColumn id="36" name="Prénoms" dataDxfId="668"/>
    <tableColumn id="35" name="Nom de l’employé" dataDxfId="667"/>
    <tableColumn id="37" name="inactif" dataDxfId="666"/>
    <tableColumn id="2" name="1" dataDxfId="665">
      <calculatedColumnFormula>Global!AK8</calculatedColumnFormula>
    </tableColumn>
    <tableColumn id="3" name="2" dataDxfId="664">
      <calculatedColumnFormula>Global!AL8</calculatedColumnFormula>
    </tableColumn>
    <tableColumn id="4" name="3" dataDxfId="663">
      <calculatedColumnFormula>Global!AM8</calculatedColumnFormula>
    </tableColumn>
    <tableColumn id="5" name="4" dataDxfId="662">
      <calculatedColumnFormula>Global!AN8</calculatedColumnFormula>
    </tableColumn>
    <tableColumn id="6" name="5" dataDxfId="661">
      <calculatedColumnFormula>Global!AO8</calculatedColumnFormula>
    </tableColumn>
    <tableColumn id="7" name="6" dataDxfId="660">
      <calculatedColumnFormula>Global!AP8</calculatedColumnFormula>
    </tableColumn>
    <tableColumn id="8" name="7" dataDxfId="659">
      <calculatedColumnFormula>Global!AQ8</calculatedColumnFormula>
    </tableColumn>
    <tableColumn id="9" name="8" dataDxfId="658">
      <calculatedColumnFormula>Global!AR8</calculatedColumnFormula>
    </tableColumn>
    <tableColumn id="10" name="9" dataDxfId="657">
      <calculatedColumnFormula>Global!AS8</calculatedColumnFormula>
    </tableColumn>
    <tableColumn id="11" name="10" dataDxfId="656">
      <calculatedColumnFormula>Global!AT8</calculatedColumnFormula>
    </tableColumn>
    <tableColumn id="12" name="11" dataDxfId="655">
      <calculatedColumnFormula>Global!AU8</calculatedColumnFormula>
    </tableColumn>
    <tableColumn id="13" name="12" dataDxfId="654">
      <calculatedColumnFormula>Global!AV8</calculatedColumnFormula>
    </tableColumn>
    <tableColumn id="14" name="13" dataDxfId="653">
      <calculatedColumnFormula>Global!AW8</calculatedColumnFormula>
    </tableColumn>
    <tableColumn id="15" name="14" dataDxfId="652">
      <calculatedColumnFormula>Global!AX8</calculatedColumnFormula>
    </tableColumn>
    <tableColumn id="16" name="15" dataDxfId="651">
      <calculatedColumnFormula>Global!AY8</calculatedColumnFormula>
    </tableColumn>
    <tableColumn id="17" name="16" dataDxfId="650">
      <calculatedColumnFormula>Global!AZ8</calculatedColumnFormula>
    </tableColumn>
    <tableColumn id="18" name="17" dataDxfId="649">
      <calculatedColumnFormula>Global!BA8</calculatedColumnFormula>
    </tableColumn>
    <tableColumn id="19" name="18" dataDxfId="648">
      <calculatedColumnFormula>Global!BB8</calculatedColumnFormula>
    </tableColumn>
    <tableColumn id="20" name="19" dataDxfId="647">
      <calculatedColumnFormula>Global!BC8</calculatedColumnFormula>
    </tableColumn>
    <tableColumn id="21" name="20" dataDxfId="646">
      <calculatedColumnFormula>Global!BD8</calculatedColumnFormula>
    </tableColumn>
    <tableColumn id="22" name="21" dataDxfId="645">
      <calculatedColumnFormula>Global!BE8</calculatedColumnFormula>
    </tableColumn>
    <tableColumn id="23" name="22" dataDxfId="644">
      <calculatedColumnFormula>Global!BF8</calculatedColumnFormula>
    </tableColumn>
    <tableColumn id="24" name="23" dataDxfId="643">
      <calculatedColumnFormula>Global!BG8</calculatedColumnFormula>
    </tableColumn>
    <tableColumn id="25" name="24" dataDxfId="642">
      <calculatedColumnFormula>Global!BH8</calculatedColumnFormula>
    </tableColumn>
    <tableColumn id="26" name="25" dataDxfId="641">
      <calculatedColumnFormula>Global!BI8</calculatedColumnFormula>
    </tableColumn>
    <tableColumn id="27" name="26" dataDxfId="640">
      <calculatedColumnFormula>Global!BJ8</calculatedColumnFormula>
    </tableColumn>
    <tableColumn id="28" name="27" dataDxfId="639">
      <calculatedColumnFormula>Global!BK8</calculatedColumnFormula>
    </tableColumn>
    <tableColumn id="29" name="28" dataDxfId="638">
      <calculatedColumnFormula>Global!BL8</calculatedColumnFormula>
    </tableColumn>
    <tableColumn id="30" name="29" dataDxfId="637"/>
    <tableColumn id="31" name=" " dataDxfId="636">
      <calculatedColumnFormula>IFERROR(VLOOKUP(#REF!,Feuil1!$A:$B,2,FALSE),"")</calculatedColumnFormula>
    </tableColumn>
    <tableColumn id="33" name="RTT Pris" dataDxfId="635">
      <calculatedColumnFormula>COUNTIF(Février[[#This Row],[1]:[29]],"RTT")+(COUNTIF(Février[[#This Row],[1]:[29]],"dRTT")/2)</calculatedColumnFormula>
    </tableColumn>
    <tableColumn id="34" name="CP Pris" dataDxfId="634">
      <calculatedColumnFormula>COUNTIF(Février[[#This Row],[1]:[29]],"C")+(COUNTIF(Février[[#This Row],[1]:[29]],"DC")/2)</calculatedColumnFormula>
    </tableColumn>
    <tableColumn id="38" name="Maladie" dataDxfId="633">
      <calculatedColumnFormula>COUNTIF(Février[[#This Row],[1]:[29]],"M")</calculatedColumnFormula>
    </tableColumn>
    <tableColumn id="39" name="AT" dataDxfId="632">
      <calculatedColumnFormula>COUNTIF(Février[[#This Row],[1]:[29]],"AT")</calculatedColumnFormula>
    </tableColumn>
    <tableColumn id="40" name="RTT Acquises" dataDxfId="631">
      <calculatedColumnFormula>IF(AND(Février[[#This Row],[Maladie]]=0,Février[[#This Row],[AT]]=0),((10*(_xlfn.DAYS("28/02/2018","01/02/2018")+1))/365),((_xlfn.DAYS("28/02/2018","01/02/2018")+1-(Février[[#This Row],[Maladie]]+Février[[#This Row],[AT]]))*((10*(_xlfn.DAYS("28/02/2018","01/02/2018")+1))/365))/(_xlfn.DAYS("28/02/2018","01/02/2018")+1))</calculatedColumnFormula>
    </tableColumn>
  </tableColumns>
  <tableStyleInfo showFirstColumn="0" showLastColumn="0" showRowStripes="1" showColumnStripes="0"/>
</table>
</file>

<file path=xl/tables/table3.xml><?xml version="1.0" encoding="utf-8"?>
<table xmlns="http://schemas.openxmlformats.org/spreadsheetml/2006/main" id="9" name="Mars" displayName="Mars" ref="B7:AO56" totalsRowShown="0">
  <tableColumns count="40">
    <tableColumn id="1" name="Noms" dataDxfId="630"/>
    <tableColumn id="37" name="Prénoms" dataDxfId="629"/>
    <tableColumn id="36" name="Nom de l’employé" dataDxfId="628"/>
    <tableColumn id="34" name="inactif" dataDxfId="627"/>
    <tableColumn id="2" name="1" dataDxfId="626">
      <calculatedColumnFormula>IFERROR(VLOOKUP(#REF!,Feuil1!$A:$B,2,FALSE),"")</calculatedColumnFormula>
    </tableColumn>
    <tableColumn id="3" name="2" dataDxfId="625">
      <calculatedColumnFormula>IFERROR(VLOOKUP(#REF!,Feuil1!$A:$B,2,FALSE),"")</calculatedColumnFormula>
    </tableColumn>
    <tableColumn id="4" name="3" dataDxfId="624">
      <calculatedColumnFormula>IFERROR(VLOOKUP(#REF!,Feuil1!$A:$B,2,FALSE),"")</calculatedColumnFormula>
    </tableColumn>
    <tableColumn id="5" name="4" dataDxfId="623">
      <calculatedColumnFormula>IFERROR(VLOOKUP(#REF!,Feuil1!$A:$B,2,FALSE),"")</calculatedColumnFormula>
    </tableColumn>
    <tableColumn id="6" name="5" dataDxfId="622">
      <calculatedColumnFormula>IFERROR(VLOOKUP(#REF!,Feuil1!$A:$B,2,FALSE),"")</calculatedColumnFormula>
    </tableColumn>
    <tableColumn id="7" name="6" dataDxfId="621">
      <calculatedColumnFormula>IFERROR(VLOOKUP(#REF!,Feuil1!$A:$B,2,FALSE),"")</calculatedColumnFormula>
    </tableColumn>
    <tableColumn id="8" name="7" dataDxfId="620">
      <calculatedColumnFormula>IFERROR(VLOOKUP(#REF!,Feuil1!$A:$B,2,FALSE),"")</calculatedColumnFormula>
    </tableColumn>
    <tableColumn id="9" name="8" dataDxfId="619">
      <calculatedColumnFormula>IFERROR(VLOOKUP(#REF!,Feuil1!$A:$B,2,FALSE),"")</calculatedColumnFormula>
    </tableColumn>
    <tableColumn id="10" name="9" dataDxfId="618">
      <calculatedColumnFormula>IFERROR(VLOOKUP(#REF!,Feuil1!$A:$B,2,FALSE),"")</calculatedColumnFormula>
    </tableColumn>
    <tableColumn id="11" name="10" dataDxfId="617">
      <calculatedColumnFormula>IFERROR(VLOOKUP(#REF!,Feuil1!$A:$B,2,FALSE),"")</calculatedColumnFormula>
    </tableColumn>
    <tableColumn id="12" name="11" dataDxfId="616">
      <calculatedColumnFormula>IFERROR(VLOOKUP(#REF!,Feuil1!$A:$B,2,FALSE),"")</calculatedColumnFormula>
    </tableColumn>
    <tableColumn id="13" name="12" dataDxfId="615">
      <calculatedColumnFormula>IFERROR(VLOOKUP(#REF!,Feuil1!$A:$B,2,FALSE),"")</calculatedColumnFormula>
    </tableColumn>
    <tableColumn id="14" name="13" dataDxfId="614">
      <calculatedColumnFormula>IFERROR(VLOOKUP(#REF!,Feuil1!$A:$B,2,FALSE),"")</calculatedColumnFormula>
    </tableColumn>
    <tableColumn id="15" name="14" dataDxfId="613">
      <calculatedColumnFormula>IFERROR(VLOOKUP(#REF!,Feuil1!$A:$B,2,FALSE),"")</calculatedColumnFormula>
    </tableColumn>
    <tableColumn id="16" name="15" dataDxfId="612">
      <calculatedColumnFormula>IFERROR(VLOOKUP(#REF!,Feuil1!$A:$B,2,FALSE),"")</calculatedColumnFormula>
    </tableColumn>
    <tableColumn id="17" name="16" dataDxfId="611">
      <calculatedColumnFormula>IFERROR(VLOOKUP(#REF!,Feuil1!$A:$B,2,FALSE),"")</calculatedColumnFormula>
    </tableColumn>
    <tableColumn id="18" name="17" dataDxfId="610">
      <calculatedColumnFormula>IFERROR(VLOOKUP(#REF!,Feuil1!$A:$B,2,FALSE),"")</calculatedColumnFormula>
    </tableColumn>
    <tableColumn id="19" name="18" dataDxfId="609">
      <calculatedColumnFormula>IFERROR(VLOOKUP(#REF!,Feuil1!$A:$B,2,FALSE),"")</calculatedColumnFormula>
    </tableColumn>
    <tableColumn id="20" name="19" dataDxfId="608">
      <calculatedColumnFormula>IFERROR(VLOOKUP(#REF!,Feuil1!$A:$B,2,FALSE),"")</calculatedColumnFormula>
    </tableColumn>
    <tableColumn id="21" name="20" dataDxfId="607">
      <calculatedColumnFormula>IFERROR(VLOOKUP(#REF!,Feuil1!$A:$B,2,FALSE),"")</calculatedColumnFormula>
    </tableColumn>
    <tableColumn id="22" name="21" dataDxfId="606">
      <calculatedColumnFormula>IFERROR(VLOOKUP(#REF!,Feuil1!$A:$B,2,FALSE),"")</calculatedColumnFormula>
    </tableColumn>
    <tableColumn id="23" name="22" dataDxfId="605">
      <calculatedColumnFormula>IFERROR(VLOOKUP(#REF!,Feuil1!$A:$B,2,FALSE),"")</calculatedColumnFormula>
    </tableColumn>
    <tableColumn id="24" name="23" dataDxfId="604">
      <calculatedColumnFormula>IFERROR(VLOOKUP(#REF!,Feuil1!$A:$B,2,FALSE),"")</calculatedColumnFormula>
    </tableColumn>
    <tableColumn id="25" name="24" dataDxfId="603">
      <calculatedColumnFormula>IFERROR(VLOOKUP(#REF!,Feuil1!$A:$B,2,FALSE),"")</calculatedColumnFormula>
    </tableColumn>
    <tableColumn id="26" name="25" dataDxfId="602">
      <calculatedColumnFormula>IFERROR(VLOOKUP(#REF!,Feuil1!$A:$B,2,FALSE),"")</calculatedColumnFormula>
    </tableColumn>
    <tableColumn id="27" name="26" dataDxfId="601">
      <calculatedColumnFormula>IFERROR(VLOOKUP(#REF!,Feuil1!$A:$B,2,FALSE),"")</calculatedColumnFormula>
    </tableColumn>
    <tableColumn id="28" name="27" dataDxfId="600">
      <calculatedColumnFormula>IFERROR(VLOOKUP(#REF!,Feuil1!$A:$B,2,FALSE),"")</calculatedColumnFormula>
    </tableColumn>
    <tableColumn id="29" name="28" dataDxfId="599">
      <calculatedColumnFormula>IFERROR(VLOOKUP(#REF!,Feuil1!$A:$B,2,FALSE),"")</calculatedColumnFormula>
    </tableColumn>
    <tableColumn id="30" name="29" dataDxfId="598">
      <calculatedColumnFormula>IFERROR(VLOOKUP(#REF!,Feuil1!$A:$B,2,FALSE),"")</calculatedColumnFormula>
    </tableColumn>
    <tableColumn id="31" name="30" dataDxfId="597">
      <calculatedColumnFormula>IFERROR(VLOOKUP(#REF!,Feuil1!$A:$B,2,FALSE),"")</calculatedColumnFormula>
    </tableColumn>
    <tableColumn id="32" name="31" dataDxfId="596">
      <calculatedColumnFormula>IFERROR(VLOOKUP(#REF!,Feuil1!$A:$B,2,FALSE),"")</calculatedColumnFormula>
    </tableColumn>
    <tableColumn id="33" name="RTT Pris" dataDxfId="595">
      <calculatedColumnFormula>COUNTIF(Mars[[#This Row],[1]:[31]],"RTT")+(COUNTIF(Mars[[#This Row],[1]:[31]],"dRTT")/2)</calculatedColumnFormula>
    </tableColumn>
    <tableColumn id="35" name="CP Pris" dataDxfId="594">
      <calculatedColumnFormula>COUNTIF(Mars[[#This Row],[1]:[31]],"C")+(COUNTIF(Mars[[#This Row],[1]:[31]],"DC")/2)</calculatedColumnFormula>
    </tableColumn>
    <tableColumn id="38" name="Maladie" dataDxfId="593">
      <calculatedColumnFormula>COUNTIF(Mars[[#This Row],[1]:[31]],"M")</calculatedColumnFormula>
    </tableColumn>
    <tableColumn id="39" name="AT" dataDxfId="592">
      <calculatedColumnFormula>COUNTIF(Mars[[#This Row],[1]:[31]],"AT")</calculatedColumnFormula>
    </tableColumn>
    <tableColumn id="40" name="RTT Acquises" dataDxfId="591">
      <calculatedColumnFormula>IF(AND(Mars[[#This Row],[Maladie]]=0,Mars[[#This Row],[AT]]=0),((10*(_xlfn.DAYS("31/03/2018","01/03/2018")+1))/365),((_xlfn.DAYS("31/03/2018","01/03/2018")+1-(Mars[[#This Row],[Maladie]]+Mars[[#This Row],[AT]]))*((10*(_xlfn.DAYS("31/03/2018","01/03/2018")+1))/365))/(_xlfn.DAYS("31/03/2018","01/03/2018")+1))</calculatedColumnFormula>
    </tableColumn>
  </tableColumns>
  <tableStyleInfo showFirstColumn="0" showLastColumn="0" showRowStripes="1" showColumnStripes="0"/>
</table>
</file>

<file path=xl/tables/table4.xml><?xml version="1.0" encoding="utf-8"?>
<table xmlns="http://schemas.openxmlformats.org/spreadsheetml/2006/main" id="2" name="Avril" displayName="Avril" ref="B7:AO56" totalsRowShown="0">
  <tableColumns count="40">
    <tableColumn id="1" name="Noms" dataDxfId="590"/>
    <tableColumn id="37" name="Prénoms" dataDxfId="589"/>
    <tableColumn id="36" name="Nom de l’employé" dataDxfId="588"/>
    <tableColumn id="34" name="inactif" dataDxfId="587"/>
    <tableColumn id="2" name="1" dataDxfId="586">
      <calculatedColumnFormula>Global!CR8</calculatedColumnFormula>
    </tableColumn>
    <tableColumn id="3" name="2" dataDxfId="585">
      <calculatedColumnFormula>Global!CS8</calculatedColumnFormula>
    </tableColumn>
    <tableColumn id="4" name="3" dataDxfId="584">
      <calculatedColumnFormula>Global!CT8</calculatedColumnFormula>
    </tableColumn>
    <tableColumn id="5" name="4" dataDxfId="583">
      <calculatedColumnFormula>Global!CU8</calculatedColumnFormula>
    </tableColumn>
    <tableColumn id="6" name="5" dataDxfId="582">
      <calculatedColumnFormula>Global!CV8</calculatedColumnFormula>
    </tableColumn>
    <tableColumn id="7" name="6" dataDxfId="581">
      <calculatedColumnFormula>Global!CW8</calculatedColumnFormula>
    </tableColumn>
    <tableColumn id="8" name="7" dataDxfId="580">
      <calculatedColumnFormula>Global!CX8</calculatedColumnFormula>
    </tableColumn>
    <tableColumn id="9" name="8" dataDxfId="579">
      <calculatedColumnFormula>Global!CY8</calculatedColumnFormula>
    </tableColumn>
    <tableColumn id="10" name="9" dataDxfId="578">
      <calculatedColumnFormula>Global!CZ8</calculatedColumnFormula>
    </tableColumn>
    <tableColumn id="11" name="10" dataDxfId="577">
      <calculatedColumnFormula>Global!DA8</calculatedColumnFormula>
    </tableColumn>
    <tableColumn id="12" name="11" dataDxfId="576">
      <calculatedColumnFormula>Global!DB8</calculatedColumnFormula>
    </tableColumn>
    <tableColumn id="13" name="12" dataDxfId="575">
      <calculatedColumnFormula>Global!DC8</calculatedColumnFormula>
    </tableColumn>
    <tableColumn id="14" name="13" dataDxfId="574">
      <calculatedColumnFormula>Global!DD8</calculatedColumnFormula>
    </tableColumn>
    <tableColumn id="15" name="14" dataDxfId="573">
      <calculatedColumnFormula>Global!DE8</calculatedColumnFormula>
    </tableColumn>
    <tableColumn id="16" name="15" dataDxfId="572">
      <calculatedColumnFormula>Global!DF8</calculatedColumnFormula>
    </tableColumn>
    <tableColumn id="17" name="16" dataDxfId="571">
      <calculatedColumnFormula>Global!DG8</calculatedColumnFormula>
    </tableColumn>
    <tableColumn id="18" name="17" dataDxfId="570">
      <calculatedColumnFormula>Global!DH8</calculatedColumnFormula>
    </tableColumn>
    <tableColumn id="19" name="18" dataDxfId="569">
      <calculatedColumnFormula>Global!DI8</calculatedColumnFormula>
    </tableColumn>
    <tableColumn id="20" name="19" dataDxfId="568">
      <calculatedColumnFormula>Global!DJ8</calculatedColumnFormula>
    </tableColumn>
    <tableColumn id="21" name="20" dataDxfId="567">
      <calculatedColumnFormula>Global!DK8</calculatedColumnFormula>
    </tableColumn>
    <tableColumn id="22" name="21" dataDxfId="566">
      <calculatedColumnFormula>Global!DL8</calculatedColumnFormula>
    </tableColumn>
    <tableColumn id="23" name="22" dataDxfId="565">
      <calculatedColumnFormula>Global!DM8</calculatedColumnFormula>
    </tableColumn>
    <tableColumn id="24" name="23" dataDxfId="564">
      <calculatedColumnFormula>Global!DN8</calculatedColumnFormula>
    </tableColumn>
    <tableColumn id="25" name="24" dataDxfId="563">
      <calculatedColumnFormula>Global!DO8</calculatedColumnFormula>
    </tableColumn>
    <tableColumn id="26" name="25" dataDxfId="562">
      <calculatedColumnFormula>Global!DP8</calculatedColumnFormula>
    </tableColumn>
    <tableColumn id="27" name="26" dataDxfId="561">
      <calculatedColumnFormula>Global!DQ8</calculatedColumnFormula>
    </tableColumn>
    <tableColumn id="28" name="27" dataDxfId="560">
      <calculatedColumnFormula>Global!DR8</calculatedColumnFormula>
    </tableColumn>
    <tableColumn id="29" name="28" dataDxfId="559">
      <calculatedColumnFormula>Global!DS8</calculatedColumnFormula>
    </tableColumn>
    <tableColumn id="30" name="29" dataDxfId="558">
      <calculatedColumnFormula>Global!DT8</calculatedColumnFormula>
    </tableColumn>
    <tableColumn id="31" name="30" dataDxfId="557">
      <calculatedColumnFormula>Global!DU8</calculatedColumnFormula>
    </tableColumn>
    <tableColumn id="32" name="31" dataDxfId="556"/>
    <tableColumn id="33" name="RTT Pris" dataDxfId="555" dataCellStyle="Texte explicatif">
      <calculatedColumnFormula>COUNTIF(Avril[[#This Row],[1]:[30]],"RTT")+(COUNTIF(Avril[[#This Row],[1]:[30]],"dRTT")/2)</calculatedColumnFormula>
    </tableColumn>
    <tableColumn id="35" name="CP Pris" dataDxfId="554" dataCellStyle="Texte explicatif">
      <calculatedColumnFormula>COUNTIF(Avril[[#This Row],[1]:[30]],"C")+(COUNTIF(Avril[[#This Row],[1]:[30]],"DC")/2)</calculatedColumnFormula>
    </tableColumn>
    <tableColumn id="38" name="Maladie" dataDxfId="553">
      <calculatedColumnFormula>COUNTIF(Avril[[#This Row],[1]:[30]],"M")</calculatedColumnFormula>
    </tableColumn>
    <tableColumn id="39" name="AT" dataDxfId="552">
      <calculatedColumnFormula>COUNTIF(Avril[[#This Row],[1]:[30]],"AT")</calculatedColumnFormula>
    </tableColumn>
    <tableColumn id="40" name="RTT Acquises" dataDxfId="551">
      <calculatedColumnFormula>IF(AND(AM8=0,AN8=0),((10*(_xlfn.DAYS("30/04/2018","01/04/2018")+1))/365),((_xlfn.DAYS("30/04/2018","01/04/2018")+1-(AM8+AN8))*((10*(_xlfn.DAYS("30/04/2018","01/04/2018")+1))/365))/(_xlfn.DAYS("30/04/2018","01/04/2018")+1))</calculatedColumnFormula>
    </tableColumn>
  </tableColumns>
  <tableStyleInfo showFirstColumn="0" showLastColumn="0" showRowStripes="1" showColumnStripes="0"/>
</table>
</file>

<file path=xl/tables/table5.xml><?xml version="1.0" encoding="utf-8"?>
<table xmlns="http://schemas.openxmlformats.org/spreadsheetml/2006/main" id="8" name="Mai" displayName="Mai" ref="B7:AO56" totalsRowShown="0">
  <tableColumns count="40">
    <tableColumn id="1" name="Noms" dataDxfId="550"/>
    <tableColumn id="37" name="Prénoms" dataDxfId="549"/>
    <tableColumn id="36" name="Nom de l’employé" dataDxfId="548"/>
    <tableColumn id="34" name="inactif" dataDxfId="547"/>
    <tableColumn id="2" name="1" dataDxfId="546">
      <calculatedColumnFormula>Global!DV8</calculatedColumnFormula>
    </tableColumn>
    <tableColumn id="3" name="2" dataDxfId="545">
      <calculatedColumnFormula>Global!DW8</calculatedColumnFormula>
    </tableColumn>
    <tableColumn id="4" name="3" dataDxfId="544">
      <calculatedColumnFormula>Global!DX8</calculatedColumnFormula>
    </tableColumn>
    <tableColumn id="5" name="4" dataDxfId="543">
      <calculatedColumnFormula>Global!DY8</calculatedColumnFormula>
    </tableColumn>
    <tableColumn id="6" name="5" dataDxfId="542">
      <calculatedColumnFormula>Global!DZ8</calculatedColumnFormula>
    </tableColumn>
    <tableColumn id="7" name="6" dataDxfId="541">
      <calculatedColumnFormula>Global!EA8</calculatedColumnFormula>
    </tableColumn>
    <tableColumn id="8" name="7" dataDxfId="540">
      <calculatedColumnFormula>Global!EB8</calculatedColumnFormula>
    </tableColumn>
    <tableColumn id="9" name="8" dataDxfId="539">
      <calculatedColumnFormula>Global!EC8</calculatedColumnFormula>
    </tableColumn>
    <tableColumn id="10" name="9" dataDxfId="538">
      <calculatedColumnFormula>Global!ED8</calculatedColumnFormula>
    </tableColumn>
    <tableColumn id="11" name="10" dataDxfId="537">
      <calculatedColumnFormula>Global!EE8</calculatedColumnFormula>
    </tableColumn>
    <tableColumn id="12" name="11" dataDxfId="536">
      <calculatedColumnFormula>Global!EF8</calculatedColumnFormula>
    </tableColumn>
    <tableColumn id="13" name="12" dataDxfId="535">
      <calculatedColumnFormula>Global!EG8</calculatedColumnFormula>
    </tableColumn>
    <tableColumn id="14" name="13" dataDxfId="534">
      <calculatedColumnFormula>Global!EH8</calculatedColumnFormula>
    </tableColumn>
    <tableColumn id="15" name="14" dataDxfId="533">
      <calculatedColumnFormula>Global!EI8</calculatedColumnFormula>
    </tableColumn>
    <tableColumn id="16" name="15" dataDxfId="532">
      <calculatedColumnFormula>Global!EJ8</calculatedColumnFormula>
    </tableColumn>
    <tableColumn id="17" name="16" dataDxfId="531">
      <calculatedColumnFormula>Global!EK8</calculatedColumnFormula>
    </tableColumn>
    <tableColumn id="18" name="17" dataDxfId="530">
      <calculatedColumnFormula>Global!EL8</calculatedColumnFormula>
    </tableColumn>
    <tableColumn id="19" name="18" dataDxfId="529">
      <calculatedColumnFormula>Global!EM8</calculatedColumnFormula>
    </tableColumn>
    <tableColumn id="20" name="19" dataDxfId="528">
      <calculatedColumnFormula>Global!EN8</calculatedColumnFormula>
    </tableColumn>
    <tableColumn id="21" name="20" dataDxfId="527">
      <calculatedColumnFormula>Global!EO8</calculatedColumnFormula>
    </tableColumn>
    <tableColumn id="22" name="21" dataDxfId="526">
      <calculatedColumnFormula>Global!EP8</calculatedColumnFormula>
    </tableColumn>
    <tableColumn id="23" name="22" dataDxfId="525">
      <calculatedColumnFormula>Global!EQ8</calculatedColumnFormula>
    </tableColumn>
    <tableColumn id="24" name="23" dataDxfId="524">
      <calculatedColumnFormula>Global!ER8</calculatedColumnFormula>
    </tableColumn>
    <tableColumn id="25" name="24" dataDxfId="523">
      <calculatedColumnFormula>Global!ES8</calculatedColumnFormula>
    </tableColumn>
    <tableColumn id="26" name="25" dataDxfId="522">
      <calculatedColumnFormula>Global!ET8</calculatedColumnFormula>
    </tableColumn>
    <tableColumn id="27" name="26" dataDxfId="521">
      <calculatedColumnFormula>Global!EU8</calculatedColumnFormula>
    </tableColumn>
    <tableColumn id="28" name="27" dataDxfId="520">
      <calculatedColumnFormula>Global!EV8</calculatedColumnFormula>
    </tableColumn>
    <tableColumn id="29" name="28" dataDxfId="519">
      <calculatedColumnFormula>Global!EW8</calculatedColumnFormula>
    </tableColumn>
    <tableColumn id="30" name="29" dataDxfId="518">
      <calculatedColumnFormula>Global!EX8</calculatedColumnFormula>
    </tableColumn>
    <tableColumn id="31" name="30" dataDxfId="517">
      <calculatedColumnFormula>Global!EY8</calculatedColumnFormula>
    </tableColumn>
    <tableColumn id="32" name="31" dataDxfId="516">
      <calculatedColumnFormula>Global!EZ8</calculatedColumnFormula>
    </tableColumn>
    <tableColumn id="33" name="RTT Pris" dataDxfId="515" dataCellStyle="Texte explicatif">
      <calculatedColumnFormula>COUNTIF(Mai[[#This Row],[1]:[31]],"RTT")+(COUNTIF(Mai[[#This Row],[1]:[31]],"dRTT")/2)</calculatedColumnFormula>
    </tableColumn>
    <tableColumn id="35" name="CP Pris" dataDxfId="514" dataCellStyle="Texte explicatif">
      <calculatedColumnFormula>COUNTIF(Mai[[#This Row],[1]:[31]],"C")+(COUNTIF(Mai[[#This Row],[1]:[31]],"DC")/2)</calculatedColumnFormula>
    </tableColumn>
    <tableColumn id="38" name="Maladie" dataDxfId="513">
      <calculatedColumnFormula>COUNTIF(Mai[[#This Row],[1]:[31]],"M")</calculatedColumnFormula>
    </tableColumn>
    <tableColumn id="39" name="AT" dataDxfId="512">
      <calculatedColumnFormula>COUNTIF(Mai[[#This Row],[1]:[31]],"AT")</calculatedColumnFormula>
    </tableColumn>
    <tableColumn id="40" name="RTT Acquises" dataDxfId="511">
      <calculatedColumnFormula>IF(AND(Mai[[#This Row],[Maladie]]=0,Mai[[#This Row],[AT]]=0),((10*(_xlfn.DAYS("31/05/2018","01/05/2018")+1))/365),((_xlfn.DAYS("31/05/2018","01/05/2018")+1-(Mai[[#This Row],[Maladie]]+Mai[[#This Row],[AT]]))*((10*(_xlfn.DAYS("31/05/2018","01/05/2018")+1))/365))/(_xlfn.DAYS("31/05/2018","01/05/2018")+1))</calculatedColumnFormula>
    </tableColumn>
  </tableColumns>
  <tableStyleInfo showFirstColumn="0" showLastColumn="0" showRowStripes="1" showColumnStripes="0"/>
</table>
</file>

<file path=xl/tables/table6.xml><?xml version="1.0" encoding="utf-8"?>
<table xmlns="http://schemas.openxmlformats.org/spreadsheetml/2006/main" id="7" name="Juin" displayName="Juin" ref="B7:AO56" totalsRowShown="0">
  <tableColumns count="40">
    <tableColumn id="1" name="Noms" dataDxfId="510"/>
    <tableColumn id="37" name="Prénoms" dataDxfId="509"/>
    <tableColumn id="36" name="Nom de l’employé" dataDxfId="508"/>
    <tableColumn id="34" name="inactif" dataDxfId="507"/>
    <tableColumn id="2" name="1" dataDxfId="506">
      <calculatedColumnFormula>Global!FA8</calculatedColumnFormula>
    </tableColumn>
    <tableColumn id="3" name="2" dataDxfId="505">
      <calculatedColumnFormula>Global!FB8</calculatedColumnFormula>
    </tableColumn>
    <tableColumn id="4" name="3" dataDxfId="504">
      <calculatedColumnFormula>Global!FC8</calculatedColumnFormula>
    </tableColumn>
    <tableColumn id="5" name="4" dataDxfId="503">
      <calculatedColumnFormula>Global!FD8</calculatedColumnFormula>
    </tableColumn>
    <tableColumn id="6" name="5" dataDxfId="502">
      <calculatedColumnFormula>Global!FE8</calculatedColumnFormula>
    </tableColumn>
    <tableColumn id="7" name="6" dataDxfId="501">
      <calculatedColumnFormula>Global!FF8</calculatedColumnFormula>
    </tableColumn>
    <tableColumn id="8" name="7" dataDxfId="500">
      <calculatedColumnFormula>Global!FG8</calculatedColumnFormula>
    </tableColumn>
    <tableColumn id="9" name="8" dataDxfId="499">
      <calculatedColumnFormula>Global!FH8</calculatedColumnFormula>
    </tableColumn>
    <tableColumn id="10" name="9" dataDxfId="498">
      <calculatedColumnFormula>Global!FI8</calculatedColumnFormula>
    </tableColumn>
    <tableColumn id="11" name="10" dataDxfId="497">
      <calculatedColumnFormula>Global!FJ8</calculatedColumnFormula>
    </tableColumn>
    <tableColumn id="12" name="11" dataDxfId="496">
      <calculatedColumnFormula>Global!FK8</calculatedColumnFormula>
    </tableColumn>
    <tableColumn id="13" name="12" dataDxfId="495">
      <calculatedColumnFormula>Global!FL8</calculatedColumnFormula>
    </tableColumn>
    <tableColumn id="14" name="13" dataDxfId="494">
      <calculatedColumnFormula>Global!FM8</calculatedColumnFormula>
    </tableColumn>
    <tableColumn id="15" name="14" dataDxfId="493">
      <calculatedColumnFormula>Global!FN8</calculatedColumnFormula>
    </tableColumn>
    <tableColumn id="16" name="15" dataDxfId="492">
      <calculatedColumnFormula>Global!FO8</calculatedColumnFormula>
    </tableColumn>
    <tableColumn id="17" name="16" dataDxfId="491">
      <calculatedColumnFormula>Global!FP8</calculatedColumnFormula>
    </tableColumn>
    <tableColumn id="18" name="17" dataDxfId="490">
      <calculatedColumnFormula>Global!FQ8</calculatedColumnFormula>
    </tableColumn>
    <tableColumn id="19" name="18" dataDxfId="489">
      <calculatedColumnFormula>Global!FR8</calculatedColumnFormula>
    </tableColumn>
    <tableColumn id="20" name="19" dataDxfId="488">
      <calculatedColumnFormula>Global!FS8</calculatedColumnFormula>
    </tableColumn>
    <tableColumn id="21" name="20" dataDxfId="487">
      <calculatedColumnFormula>Global!FT8</calculatedColumnFormula>
    </tableColumn>
    <tableColumn id="22" name="21" dataDxfId="486">
      <calculatedColumnFormula>Global!FU8</calculatedColumnFormula>
    </tableColumn>
    <tableColumn id="23" name="22" dataDxfId="485">
      <calculatedColumnFormula>Global!FV8</calculatedColumnFormula>
    </tableColumn>
    <tableColumn id="24" name="23" dataDxfId="484">
      <calculatedColumnFormula>Global!FW8</calculatedColumnFormula>
    </tableColumn>
    <tableColumn id="25" name="24" dataDxfId="483">
      <calculatedColumnFormula>Global!FX8</calculatedColumnFormula>
    </tableColumn>
    <tableColumn id="26" name="25" dataDxfId="482">
      <calculatedColumnFormula>Global!FY8</calculatedColumnFormula>
    </tableColumn>
    <tableColumn id="27" name="26" dataDxfId="481">
      <calculatedColumnFormula>Global!FZ8</calculatedColumnFormula>
    </tableColumn>
    <tableColumn id="28" name="27" dataDxfId="480">
      <calculatedColumnFormula>Global!GA8</calculatedColumnFormula>
    </tableColumn>
    <tableColumn id="29" name="28" dataDxfId="479">
      <calculatedColumnFormula>Global!GB8</calculatedColumnFormula>
    </tableColumn>
    <tableColumn id="30" name="29" dataDxfId="478">
      <calculatedColumnFormula>Global!GC8</calculatedColumnFormula>
    </tableColumn>
    <tableColumn id="31" name="30" dataDxfId="477">
      <calculatedColumnFormula>Global!GD8</calculatedColumnFormula>
    </tableColumn>
    <tableColumn id="32" name="31" dataDxfId="476"/>
    <tableColumn id="33" name="RTT Pris" dataDxfId="475" dataCellStyle="Texte explicatif">
      <calculatedColumnFormula>COUNTIF(Juin[[#This Row],[1]:[30]],"RTT")+(COUNTIF(Juin[[#This Row],[1]:[31]],"dRTT")/2)</calculatedColumnFormula>
    </tableColumn>
    <tableColumn id="35" name="CP Pris" dataDxfId="474" dataCellStyle="Texte explicatif">
      <calculatedColumnFormula>COUNTIF(Juin[[#This Row],[1]:[30]],"C")+(COUNTIF(Juin[[#This Row],[1]:[30]],"DC")/2)</calculatedColumnFormula>
    </tableColumn>
    <tableColumn id="38" name="Maladie" dataDxfId="473">
      <calculatedColumnFormula>COUNTIF(Juin[[#This Row],[1]:[30]],"M")</calculatedColumnFormula>
    </tableColumn>
    <tableColumn id="39" name="AT" dataDxfId="472">
      <calculatedColumnFormula>COUNTIF(Juin[[#This Row],[1]:[30]],"AT")</calculatedColumnFormula>
    </tableColumn>
    <tableColumn id="40" name="RTT Acquises" dataDxfId="471">
      <calculatedColumnFormula>IF(AND(AM8=0,AN8=0),((10*(_xlfn.DAYS("30/06/2018","01/06/2018")+1))/365),((_xlfn.DAYS("30/06/2018","01/06/2018")+1-(AM8+AN8))*((10*(_xlfn.DAYS("30/06/2018","01/06/2018")+1))/365))/(_xlfn.DAYS("30/06/2018","01/06/2018")+1))</calculatedColumnFormula>
    </tableColumn>
  </tableColumns>
  <tableStyleInfo showFirstColumn="0" showLastColumn="0" showRowStripes="1" showColumnStripes="0"/>
</table>
</file>

<file path=xl/tables/table7.xml><?xml version="1.0" encoding="utf-8"?>
<table xmlns="http://schemas.openxmlformats.org/spreadsheetml/2006/main" id="6" name="Juillet" displayName="Juillet" ref="B7:AO56" totalsRowShown="0">
  <tableColumns count="40">
    <tableColumn id="1" name="Noms" dataDxfId="470"/>
    <tableColumn id="37" name="Prénoms" dataDxfId="469"/>
    <tableColumn id="36" name="Nom de l’employé" dataDxfId="468"/>
    <tableColumn id="34" name="inactif" dataDxfId="467"/>
    <tableColumn id="2" name="1" dataDxfId="466">
      <calculatedColumnFormula>Global!GE8</calculatedColumnFormula>
    </tableColumn>
    <tableColumn id="3" name="2" dataDxfId="465">
      <calculatedColumnFormula>Global!GF8</calculatedColumnFormula>
    </tableColumn>
    <tableColumn id="4" name="3" dataDxfId="464">
      <calculatedColumnFormula>Global!GG8</calculatedColumnFormula>
    </tableColumn>
    <tableColumn id="5" name="4" dataDxfId="463">
      <calculatedColumnFormula>Global!GH8</calculatedColumnFormula>
    </tableColumn>
    <tableColumn id="6" name="5" dataDxfId="462">
      <calculatedColumnFormula>Global!GI8</calculatedColumnFormula>
    </tableColumn>
    <tableColumn id="7" name="6" dataDxfId="461">
      <calculatedColumnFormula>Global!GJ8</calculatedColumnFormula>
    </tableColumn>
    <tableColumn id="8" name="7" dataDxfId="460">
      <calculatedColumnFormula>Global!GK8</calculatedColumnFormula>
    </tableColumn>
    <tableColumn id="9" name="8" dataDxfId="459">
      <calculatedColumnFormula>Global!GL8</calculatedColumnFormula>
    </tableColumn>
    <tableColumn id="10" name="9" dataDxfId="458">
      <calculatedColumnFormula>Global!GM8</calculatedColumnFormula>
    </tableColumn>
    <tableColumn id="11" name="10" dataDxfId="457">
      <calculatedColumnFormula>Global!GN8</calculatedColumnFormula>
    </tableColumn>
    <tableColumn id="12" name="11" dataDxfId="456">
      <calculatedColumnFormula>Global!GO8</calculatedColumnFormula>
    </tableColumn>
    <tableColumn id="13" name="12" dataDxfId="455">
      <calculatedColumnFormula>Global!GP8</calculatedColumnFormula>
    </tableColumn>
    <tableColumn id="14" name="13" dataDxfId="454">
      <calculatedColumnFormula>Global!GQ8</calculatedColumnFormula>
    </tableColumn>
    <tableColumn id="15" name="14" dataDxfId="453">
      <calculatedColumnFormula>Global!GR8</calculatedColumnFormula>
    </tableColumn>
    <tableColumn id="16" name="15" dataDxfId="452">
      <calculatedColumnFormula>Global!GS8</calculatedColumnFormula>
    </tableColumn>
    <tableColumn id="17" name="16" dataDxfId="451">
      <calculatedColumnFormula>Global!GT8</calculatedColumnFormula>
    </tableColumn>
    <tableColumn id="18" name="17" dataDxfId="450">
      <calculatedColumnFormula>Global!GU8</calculatedColumnFormula>
    </tableColumn>
    <tableColumn id="19" name="18" dataDxfId="449">
      <calculatedColumnFormula>Global!GV8</calculatedColumnFormula>
    </tableColumn>
    <tableColumn id="20" name="19" dataDxfId="448">
      <calculatedColumnFormula>Global!GW8</calculatedColumnFormula>
    </tableColumn>
    <tableColumn id="21" name="20" dataDxfId="447">
      <calculatedColumnFormula>Global!GX8</calculatedColumnFormula>
    </tableColumn>
    <tableColumn id="22" name="21" dataDxfId="446">
      <calculatedColumnFormula>Global!GY8</calculatedColumnFormula>
    </tableColumn>
    <tableColumn id="23" name="22" dataDxfId="445">
      <calculatedColumnFormula>Global!GZ8</calculatedColumnFormula>
    </tableColumn>
    <tableColumn id="24" name="23" dataDxfId="444">
      <calculatedColumnFormula>Global!HA8</calculatedColumnFormula>
    </tableColumn>
    <tableColumn id="25" name="24" dataDxfId="443">
      <calculatedColumnFormula>Global!HB8</calculatedColumnFormula>
    </tableColumn>
    <tableColumn id="26" name="25" dataDxfId="442">
      <calculatedColumnFormula>Global!HC8</calculatedColumnFormula>
    </tableColumn>
    <tableColumn id="27" name="26" dataDxfId="441">
      <calculatedColumnFormula>Global!HD8</calculatedColumnFormula>
    </tableColumn>
    <tableColumn id="28" name="27" dataDxfId="440">
      <calculatedColumnFormula>Global!HE8</calculatedColumnFormula>
    </tableColumn>
    <tableColumn id="29" name="28" dataDxfId="439">
      <calculatedColumnFormula>Global!HF8</calculatedColumnFormula>
    </tableColumn>
    <tableColumn id="30" name="29" dataDxfId="438">
      <calculatedColumnFormula>Global!HG8</calculatedColumnFormula>
    </tableColumn>
    <tableColumn id="31" name="30" dataDxfId="437">
      <calculatedColumnFormula>Global!HH8</calculatedColumnFormula>
    </tableColumn>
    <tableColumn id="32" name="31" dataDxfId="436">
      <calculatedColumnFormula>Global!HI8</calculatedColumnFormula>
    </tableColumn>
    <tableColumn id="33" name="RTT Pris" dataDxfId="435" dataCellStyle="Texte explicatif">
      <calculatedColumnFormula>COUNTIF(Juillet[[#This Row],[1]:[31]],"RTT")+(COUNTIF(Juillet[[#This Row],[1]:[31]],"dRTT")/2)</calculatedColumnFormula>
    </tableColumn>
    <tableColumn id="35" name="CP Pris" dataDxfId="434" dataCellStyle="Texte explicatif">
      <calculatedColumnFormula>COUNTIF(Juillet[[#This Row],[1]:[31]],"C")+(COUNTIF(Juillet[[#This Row],[1]:[31]],"DC")/2)</calculatedColumnFormula>
    </tableColumn>
    <tableColumn id="38" name="Maladie" dataDxfId="433">
      <calculatedColumnFormula>COUNTIF(Juillet[[#This Row],[1]:[31]],"M")</calculatedColumnFormula>
    </tableColumn>
    <tableColumn id="39" name="AT" dataDxfId="432">
      <calculatedColumnFormula>COUNTIF(Juillet[[#This Row],[1]:[31]],"AT")</calculatedColumnFormula>
    </tableColumn>
    <tableColumn id="40" name="RTT Acquises" dataDxfId="431">
      <calculatedColumnFormula>IF(AND(Juillet[[#This Row],[Maladie]]=0,Juillet[[#This Row],[AT]]=0),((10*(_xlfn.DAYS("31/07/2018","01/07/2018")+1))/365),((_xlfn.DAYS("31/07/2018","01/07/2018")+1-(Juillet[[#This Row],[Maladie]]+Juillet[[#This Row],[AT]]))*((10*(_xlfn.DAYS("31/07/2018","01/07/2018")+1))/365))/(_xlfn.DAYS("31/07/2018","01/07/2018")+1))</calculatedColumnFormula>
    </tableColumn>
  </tableColumns>
  <tableStyleInfo showFirstColumn="0" showLastColumn="0" showRowStripes="1" showColumnStripes="0"/>
</table>
</file>

<file path=xl/tables/table8.xml><?xml version="1.0" encoding="utf-8"?>
<table xmlns="http://schemas.openxmlformats.org/spreadsheetml/2006/main" id="1" name="Août" displayName="Août" ref="B7:AO56" totalsRowShown="0">
  <tableColumns count="40">
    <tableColumn id="1" name="Noms" dataDxfId="430"/>
    <tableColumn id="37" name="Prénoms" dataDxfId="429"/>
    <tableColumn id="36" name="Nom de l’employé" dataDxfId="428"/>
    <tableColumn id="34" name="inactif" dataDxfId="427"/>
    <tableColumn id="2" name="1" dataDxfId="426">
      <calculatedColumnFormula>Global!HJ8</calculatedColumnFormula>
    </tableColumn>
    <tableColumn id="3" name="2" dataDxfId="425">
      <calculatedColumnFormula>Global!HK8</calculatedColumnFormula>
    </tableColumn>
    <tableColumn id="4" name="3" dataDxfId="424">
      <calculatedColumnFormula>Global!HL8</calculatedColumnFormula>
    </tableColumn>
    <tableColumn id="5" name="4" dataDxfId="423">
      <calculatedColumnFormula>Global!HM8</calculatedColumnFormula>
    </tableColumn>
    <tableColumn id="6" name="5" dataDxfId="422">
      <calculatedColumnFormula>Global!HN8</calculatedColumnFormula>
    </tableColumn>
    <tableColumn id="7" name="6" dataDxfId="421">
      <calculatedColumnFormula>Global!HO8</calculatedColumnFormula>
    </tableColumn>
    <tableColumn id="8" name="7" dataDxfId="420">
      <calculatedColumnFormula>Global!HP8</calculatedColumnFormula>
    </tableColumn>
    <tableColumn id="9" name="8" dataDxfId="419">
      <calculatedColumnFormula>Global!HQ8</calculatedColumnFormula>
    </tableColumn>
    <tableColumn id="10" name="9" dataDxfId="418">
      <calculatedColumnFormula>Global!HR8</calculatedColumnFormula>
    </tableColumn>
    <tableColumn id="11" name="10" dataDxfId="417">
      <calculatedColumnFormula>Global!HS8</calculatedColumnFormula>
    </tableColumn>
    <tableColumn id="12" name="11" dataDxfId="416">
      <calculatedColumnFormula>Global!HT8</calculatedColumnFormula>
    </tableColumn>
    <tableColumn id="13" name="12" dataDxfId="415">
      <calculatedColumnFormula>Global!HU8</calculatedColumnFormula>
    </tableColumn>
    <tableColumn id="14" name="13" dataDxfId="414">
      <calculatedColumnFormula>Global!HV8</calculatedColumnFormula>
    </tableColumn>
    <tableColumn id="15" name="14" dataDxfId="413">
      <calculatedColumnFormula>Global!HW8</calculatedColumnFormula>
    </tableColumn>
    <tableColumn id="16" name="15" dataDxfId="412">
      <calculatedColumnFormula>Global!HX8</calculatedColumnFormula>
    </tableColumn>
    <tableColumn id="17" name="16" dataDxfId="411">
      <calculatedColumnFormula>Global!HY8</calculatedColumnFormula>
    </tableColumn>
    <tableColumn id="18" name="17" dataDxfId="410">
      <calculatedColumnFormula>Global!HZ8</calculatedColumnFormula>
    </tableColumn>
    <tableColumn id="19" name="18" dataDxfId="409">
      <calculatedColumnFormula>Global!IA8</calculatedColumnFormula>
    </tableColumn>
    <tableColumn id="20" name="19" dataDxfId="408">
      <calculatedColumnFormula>Global!IB8</calculatedColumnFormula>
    </tableColumn>
    <tableColumn id="21" name="20" dataDxfId="407">
      <calculatedColumnFormula>Global!IC8</calculatedColumnFormula>
    </tableColumn>
    <tableColumn id="22" name="21" dataDxfId="406">
      <calculatedColumnFormula>Global!ID8</calculatedColumnFormula>
    </tableColumn>
    <tableColumn id="23" name="22" dataDxfId="405">
      <calculatedColumnFormula>Global!IE8</calculatedColumnFormula>
    </tableColumn>
    <tableColumn id="24" name="23" dataDxfId="404">
      <calculatedColumnFormula>Global!IF8</calculatedColumnFormula>
    </tableColumn>
    <tableColumn id="25" name="24" dataDxfId="403">
      <calculatedColumnFormula>Global!IG8</calculatedColumnFormula>
    </tableColumn>
    <tableColumn id="26" name="25" dataDxfId="402">
      <calculatedColumnFormula>Global!IH8</calculatedColumnFormula>
    </tableColumn>
    <tableColumn id="27" name="26" dataDxfId="401">
      <calculatedColumnFormula>Global!II8</calculatedColumnFormula>
    </tableColumn>
    <tableColumn id="28" name="27" dataDxfId="400">
      <calculatedColumnFormula>Global!IJ8</calculatedColumnFormula>
    </tableColumn>
    <tableColumn id="29" name="28" dataDxfId="399">
      <calculatedColumnFormula>Global!IK8</calculatedColumnFormula>
    </tableColumn>
    <tableColumn id="30" name="29" dataDxfId="398">
      <calculatedColumnFormula>Global!IL8</calculatedColumnFormula>
    </tableColumn>
    <tableColumn id="31" name="30" dataDxfId="397">
      <calculatedColumnFormula>Global!IM8</calculatedColumnFormula>
    </tableColumn>
    <tableColumn id="32" name="31" dataDxfId="396">
      <calculatedColumnFormula>Global!IN8</calculatedColumnFormula>
    </tableColumn>
    <tableColumn id="33" name="RTT Pris" dataDxfId="395" dataCellStyle="Texte explicatif">
      <calculatedColumnFormula>COUNTIF(Août[[#This Row],[1]:[31]],"RTT")+(COUNTIF(Août[[#This Row],[1]:[31]],"dRTT")/2)</calculatedColumnFormula>
    </tableColumn>
    <tableColumn id="35" name="CP Pris" dataDxfId="394" dataCellStyle="Texte explicatif">
      <calculatedColumnFormula>COUNTIF(Août[[#This Row],[1]:[31]],"C")+(COUNTIF(Août[[#This Row],[1]:[31]],"DC")/2)</calculatedColumnFormula>
    </tableColumn>
    <tableColumn id="38" name="Maladie" dataDxfId="393">
      <calculatedColumnFormula>COUNTIF(Août[[#This Row],[1]:[31]],"M")</calculatedColumnFormula>
    </tableColumn>
    <tableColumn id="39" name="AT" dataDxfId="392">
      <calculatedColumnFormula>COUNTIF(Août[[#This Row],[1]:[31]],"AT")</calculatedColumnFormula>
    </tableColumn>
    <tableColumn id="40" name="RTT Acquises" dataDxfId="391">
      <calculatedColumnFormula>IF(AND(Août[[#This Row],[Maladie]]=0,Août[[#This Row],[AT]]=0),((10*(_xlfn.DAYS("31/08/2018","01/08/2018")+1))/365),((_xlfn.DAYS("31/08/2018","01/08/2018")+1-(Août[[#This Row],[Maladie]]+Août[[#This Row],[AT]]))*((10*(_xlfn.DAYS("31/08/2018","01/08/2018")+1))/365))/(_xlfn.DAYS("31/08/2018","01/08/2018")+1))</calculatedColumnFormula>
    </tableColumn>
  </tableColumns>
  <tableStyleInfo showFirstColumn="0" showLastColumn="0" showRowStripes="1" showColumnStripes="0"/>
</table>
</file>

<file path=xl/tables/table9.xml><?xml version="1.0" encoding="utf-8"?>
<table xmlns="http://schemas.openxmlformats.org/spreadsheetml/2006/main" id="13" name="Septembre" displayName="Septembre" ref="B7:AO56" totalsRowShown="0">
  <tableColumns count="40">
    <tableColumn id="1" name="Noms" dataDxfId="390"/>
    <tableColumn id="37" name="Prénoms" dataDxfId="389"/>
    <tableColumn id="36" name="Nom de l’employé" dataDxfId="388"/>
    <tableColumn id="34" name="inactif" dataDxfId="387"/>
    <tableColumn id="2" name="1" dataDxfId="386">
      <calculatedColumnFormula>Global!IO8</calculatedColumnFormula>
    </tableColumn>
    <tableColumn id="3" name="2" dataDxfId="385">
      <calculatedColumnFormula>Global!IP8</calculatedColumnFormula>
    </tableColumn>
    <tableColumn id="4" name="3" dataDxfId="384">
      <calculatedColumnFormula>Global!IQ8</calculatedColumnFormula>
    </tableColumn>
    <tableColumn id="5" name="4" dataDxfId="383">
      <calculatedColumnFormula>Global!IR8</calculatedColumnFormula>
    </tableColumn>
    <tableColumn id="6" name="5" dataDxfId="382">
      <calculatedColumnFormula>Global!IS8</calculatedColumnFormula>
    </tableColumn>
    <tableColumn id="7" name="6" dataDxfId="381">
      <calculatedColumnFormula>Global!IT8</calculatedColumnFormula>
    </tableColumn>
    <tableColumn id="8" name="7" dataDxfId="380">
      <calculatedColumnFormula>Global!IU8</calculatedColumnFormula>
    </tableColumn>
    <tableColumn id="9" name="8" dataDxfId="379">
      <calculatedColumnFormula>Global!IV8</calculatedColumnFormula>
    </tableColumn>
    <tableColumn id="10" name="9" dataDxfId="378">
      <calculatedColumnFormula>Global!IW8</calculatedColumnFormula>
    </tableColumn>
    <tableColumn id="11" name="10" dataDxfId="377">
      <calculatedColumnFormula>Global!IX8</calculatedColumnFormula>
    </tableColumn>
    <tableColumn id="12" name="11" dataDxfId="376">
      <calculatedColumnFormula>Global!IY8</calculatedColumnFormula>
    </tableColumn>
    <tableColumn id="13" name="12" dataDxfId="375">
      <calculatedColumnFormula>Global!IZ8</calculatedColumnFormula>
    </tableColumn>
    <tableColumn id="14" name="13" dataDxfId="374">
      <calculatedColumnFormula>Global!JA8</calculatedColumnFormula>
    </tableColumn>
    <tableColumn id="15" name="14" dataDxfId="373">
      <calculatedColumnFormula>Global!JB8</calculatedColumnFormula>
    </tableColumn>
    <tableColumn id="16" name="15" dataDxfId="372">
      <calculatedColumnFormula>Global!JC8</calculatedColumnFormula>
    </tableColumn>
    <tableColumn id="17" name="16" dataDxfId="371">
      <calculatedColumnFormula>Global!JD8</calculatedColumnFormula>
    </tableColumn>
    <tableColumn id="18" name="17" dataDxfId="370">
      <calculatedColumnFormula>Global!JE8</calculatedColumnFormula>
    </tableColumn>
    <tableColumn id="19" name="18" dataDxfId="369">
      <calculatedColumnFormula>Global!JF8</calculatedColumnFormula>
    </tableColumn>
    <tableColumn id="20" name="19" dataDxfId="368">
      <calculatedColumnFormula>Global!JG8</calculatedColumnFormula>
    </tableColumn>
    <tableColumn id="21" name="20" dataDxfId="367">
      <calculatedColumnFormula>Global!JH8</calculatedColumnFormula>
    </tableColumn>
    <tableColumn id="22" name="21" dataDxfId="366">
      <calculatedColumnFormula>Global!JI8</calculatedColumnFormula>
    </tableColumn>
    <tableColumn id="23" name="22" dataDxfId="365">
      <calculatedColumnFormula>Global!JJ8</calculatedColumnFormula>
    </tableColumn>
    <tableColumn id="24" name="23" dataDxfId="364">
      <calculatedColumnFormula>Global!JK8</calculatedColumnFormula>
    </tableColumn>
    <tableColumn id="25" name="24" dataDxfId="363">
      <calculatedColumnFormula>Global!JL8</calculatedColumnFormula>
    </tableColumn>
    <tableColumn id="26" name="25" dataDxfId="362">
      <calculatedColumnFormula>Global!JM8</calculatedColumnFormula>
    </tableColumn>
    <tableColumn id="27" name="26" dataDxfId="361">
      <calculatedColumnFormula>Global!JN8</calculatedColumnFormula>
    </tableColumn>
    <tableColumn id="28" name="27" dataDxfId="360">
      <calculatedColumnFormula>Global!JO8</calculatedColumnFormula>
    </tableColumn>
    <tableColumn id="29" name="28" dataDxfId="359">
      <calculatedColumnFormula>Global!JP8</calculatedColumnFormula>
    </tableColumn>
    <tableColumn id="30" name="29" dataDxfId="358">
      <calculatedColumnFormula>Global!JQ8</calculatedColumnFormula>
    </tableColumn>
    <tableColumn id="31" name="30" dataDxfId="357">
      <calculatedColumnFormula>Global!JR8</calculatedColumnFormula>
    </tableColumn>
    <tableColumn id="32" name="31" dataDxfId="356"/>
    <tableColumn id="33" name="RTT Pris" dataDxfId="355" dataCellStyle="Texte explicatif">
      <calculatedColumnFormula>COUNTIF(Septembre[[#This Row],[1]:[30]],"RTT")+(COUNTIF(Septembre[[#This Row],[1]:[30]],"dRTT")/2)</calculatedColumnFormula>
    </tableColumn>
    <tableColumn id="35" name="CP Pris" dataDxfId="354" dataCellStyle="Texte explicatif">
      <calculatedColumnFormula>COUNTIF(Septembre[[#This Row],[1]:[30]],"C")+(COUNTIF(Septembre[[#This Row],[1]:[30]],"DC")/2)</calculatedColumnFormula>
    </tableColumn>
    <tableColumn id="38" name="Maladie" dataDxfId="353">
      <calculatedColumnFormula>COUNTIF(Septembre[[#This Row],[1]:[30]],"M")</calculatedColumnFormula>
    </tableColumn>
    <tableColumn id="39" name="AT" dataDxfId="352">
      <calculatedColumnFormula>COUNTIF(Septembre[[#This Row],[1]:[30]],"AT")</calculatedColumnFormula>
    </tableColumn>
    <tableColumn id="40" name="RTT Acquises" dataDxfId="351">
      <calculatedColumnFormula>IF(AND(AM8=0,AN8=0),((10*(_xlfn.DAYS("30/09/2018","01/09/2018")+1))/365),((_xlfn.DAYS("30/09/2018","01/09/2018")+1-(AM8+AN8))*((10*(_xlfn.DAYS("30/09/2018","01/09/2018")+1))/365))/(_xlfn.DAYS("30/09/2018","01/09/2018")+1))</calculatedColumnFormula>
    </tableColumn>
  </tableColumns>
  <tableStyleInfo showFirstColumn="0" showLastColumn="0" showRowStripes="1" showColumnStripes="0"/>
</table>
</file>

<file path=xl/tables/table10.xml><?xml version="1.0" encoding="utf-8"?>
<table xmlns="http://schemas.openxmlformats.org/spreadsheetml/2006/main" id="12" name="Octobre" displayName="Octobre" ref="B7:AO56" totalsRowShown="0">
  <tableColumns count="40">
    <tableColumn id="1" name="Noms" dataDxfId="350"/>
    <tableColumn id="37" name="Prénoms" dataDxfId="349"/>
    <tableColumn id="36" name="Nom de l’employé" dataDxfId="348"/>
    <tableColumn id="34" name="inactif" dataDxfId="347"/>
    <tableColumn id="2" name="1" dataDxfId="346">
      <calculatedColumnFormula>Global!JS8</calculatedColumnFormula>
    </tableColumn>
    <tableColumn id="3" name="2" dataDxfId="345">
      <calculatedColumnFormula>Global!JT8</calculatedColumnFormula>
    </tableColumn>
    <tableColumn id="4" name="3" dataDxfId="344">
      <calculatedColumnFormula>Global!JU8</calculatedColumnFormula>
    </tableColumn>
    <tableColumn id="5" name="4" dataDxfId="343">
      <calculatedColumnFormula>Global!JV8</calculatedColumnFormula>
    </tableColumn>
    <tableColumn id="6" name="5" dataDxfId="342">
      <calculatedColumnFormula>Global!JW8</calculatedColumnFormula>
    </tableColumn>
    <tableColumn id="7" name="6" dataDxfId="341">
      <calculatedColumnFormula>Global!JX8</calculatedColumnFormula>
    </tableColumn>
    <tableColumn id="8" name="7" dataDxfId="340">
      <calculatedColumnFormula>Global!JY8</calculatedColumnFormula>
    </tableColumn>
    <tableColumn id="9" name="8" dataDxfId="339">
      <calculatedColumnFormula>Global!JZ8</calculatedColumnFormula>
    </tableColumn>
    <tableColumn id="10" name="9" dataDxfId="338">
      <calculatedColumnFormula>Global!KA8</calculatedColumnFormula>
    </tableColumn>
    <tableColumn id="11" name="10" dataDxfId="337">
      <calculatedColumnFormula>Global!KB8</calculatedColumnFormula>
    </tableColumn>
    <tableColumn id="12" name="11" dataDxfId="336">
      <calculatedColumnFormula>Global!KC8</calculatedColumnFormula>
    </tableColumn>
    <tableColumn id="13" name="12" dataDxfId="335">
      <calculatedColumnFormula>Global!KD8</calculatedColumnFormula>
    </tableColumn>
    <tableColumn id="14" name="13" dataDxfId="334">
      <calculatedColumnFormula>Global!KE8</calculatedColumnFormula>
    </tableColumn>
    <tableColumn id="15" name="14" dataDxfId="333">
      <calculatedColumnFormula>Global!KF8</calculatedColumnFormula>
    </tableColumn>
    <tableColumn id="16" name="15" dataDxfId="332">
      <calculatedColumnFormula>Global!KG8</calculatedColumnFormula>
    </tableColumn>
    <tableColumn id="17" name="16" dataDxfId="331">
      <calculatedColumnFormula>Global!KH8</calculatedColumnFormula>
    </tableColumn>
    <tableColumn id="18" name="17" dataDxfId="330">
      <calculatedColumnFormula>Global!KI8</calculatedColumnFormula>
    </tableColumn>
    <tableColumn id="19" name="18" dataDxfId="329">
      <calculatedColumnFormula>Global!KJ8</calculatedColumnFormula>
    </tableColumn>
    <tableColumn id="20" name="19" dataDxfId="328">
      <calculatedColumnFormula>Global!KK8</calculatedColumnFormula>
    </tableColumn>
    <tableColumn id="21" name="20" dataDxfId="327">
      <calculatedColumnFormula>Global!KL8</calculatedColumnFormula>
    </tableColumn>
    <tableColumn id="22" name="21" dataDxfId="326">
      <calculatedColumnFormula>Global!KM8</calculatedColumnFormula>
    </tableColumn>
    <tableColumn id="23" name="22" dataDxfId="325">
      <calculatedColumnFormula>Global!KN8</calculatedColumnFormula>
    </tableColumn>
    <tableColumn id="24" name="23" dataDxfId="324">
      <calculatedColumnFormula>Global!KO8</calculatedColumnFormula>
    </tableColumn>
    <tableColumn id="25" name="24" dataDxfId="323">
      <calculatedColumnFormula>Global!KP8</calculatedColumnFormula>
    </tableColumn>
    <tableColumn id="26" name="25" dataDxfId="322">
      <calculatedColumnFormula>Global!KQ8</calculatedColumnFormula>
    </tableColumn>
    <tableColumn id="27" name="26" dataDxfId="321">
      <calculatedColumnFormula>Global!KR8</calculatedColumnFormula>
    </tableColumn>
    <tableColumn id="28" name="27" dataDxfId="320">
      <calculatedColumnFormula>Global!KS8</calculatedColumnFormula>
    </tableColumn>
    <tableColumn id="29" name="28" dataDxfId="319">
      <calculatedColumnFormula>Global!KT8</calculatedColumnFormula>
    </tableColumn>
    <tableColumn id="30" name="29" dataDxfId="318">
      <calculatedColumnFormula>Global!KU8</calculatedColumnFormula>
    </tableColumn>
    <tableColumn id="31" name="30" dataDxfId="317">
      <calculatedColumnFormula>Global!KV8</calculatedColumnFormula>
    </tableColumn>
    <tableColumn id="32" name="31" dataDxfId="316">
      <calculatedColumnFormula>Global!KW8</calculatedColumnFormula>
    </tableColumn>
    <tableColumn id="33" name="RTT Pris" dataDxfId="315" dataCellStyle="Texte explicatif">
      <calculatedColumnFormula>COUNTIF(Octobre[[#This Row],[1]:[31]],"RTT")+(COUNTIF(Octobre[[#This Row],[1]:[31]],"dRTT")/2)</calculatedColumnFormula>
    </tableColumn>
    <tableColumn id="35" name="CP Pris" dataDxfId="314" dataCellStyle="Texte explicatif">
      <calculatedColumnFormula>COUNTIF(Octobre[[#This Row],[1]:[31]],"C")+(COUNTIF(Octobre[[#This Row],[1]:[31]],"DC")/2)</calculatedColumnFormula>
    </tableColumn>
    <tableColumn id="38" name="Maladie" dataDxfId="313">
      <calculatedColumnFormula>COUNTIF(Octobre[[#This Row],[1]:[31]],"M")</calculatedColumnFormula>
    </tableColumn>
    <tableColumn id="39" name="AT" dataDxfId="312">
      <calculatedColumnFormula>COUNTIF(Octobre[[#This Row],[1]:[31]],"AT")</calculatedColumnFormula>
    </tableColumn>
    <tableColumn id="40" name="RTT Acquises" dataDxfId="311">
      <calculatedColumnFormula>IF(AND(Octobre[[#This Row],[Maladie]]=0,Octobre[[#This Row],[AT]]=0),((10*(_xlfn.DAYS("31/10/2018","01/10/2018")+1))/365),((_xlfn.DAYS("31/10/2018","01/10/2018")+1-(Octobre[[#This Row],[Maladie]]+Octobre[[#This Row],[AT]]))*((10*(_xlfn.DAYS("31/10/2018","01/10/2018")+1))/365))/(_xlfn.DAYS("31/10/2018","01/10/2018")+1))</calculatedColumnFormula>
    </tableColumn>
  </tableColumns>
  <tableStyleInfo showFirstColumn="0" showLastColumn="0" showRowStripes="1" showColumnStripes="0"/>
</table>
</file>

<file path=xl/tables/table11.xml><?xml version="1.0" encoding="utf-8"?>
<table xmlns="http://schemas.openxmlformats.org/spreadsheetml/2006/main" id="11" name="Novembre" displayName="Novembre" ref="B7:AO56" totalsRowShown="0">
  <tableColumns count="40">
    <tableColumn id="1" name="Noms" dataDxfId="310"/>
    <tableColumn id="37" name="Prénoms" dataDxfId="309"/>
    <tableColumn id="36" name="Nom de l’employé" dataDxfId="308"/>
    <tableColumn id="34" name="inactif" dataDxfId="307"/>
    <tableColumn id="2" name="1" dataDxfId="306">
      <calculatedColumnFormula>Global!KX8</calculatedColumnFormula>
    </tableColumn>
    <tableColumn id="3" name="2" dataDxfId="305">
      <calculatedColumnFormula>Global!KY8</calculatedColumnFormula>
    </tableColumn>
    <tableColumn id="4" name="3" dataDxfId="304">
      <calculatedColumnFormula>Global!KZ8</calculatedColumnFormula>
    </tableColumn>
    <tableColumn id="5" name="4" dataDxfId="303">
      <calculatedColumnFormula>Global!LA8</calculatedColumnFormula>
    </tableColumn>
    <tableColumn id="6" name="5" dataDxfId="302">
      <calculatedColumnFormula>Global!LB8</calculatedColumnFormula>
    </tableColumn>
    <tableColumn id="7" name="6" dataDxfId="301">
      <calculatedColumnFormula>Global!LC8</calculatedColumnFormula>
    </tableColumn>
    <tableColumn id="8" name="7" dataDxfId="300">
      <calculatedColumnFormula>Global!LD8</calculatedColumnFormula>
    </tableColumn>
    <tableColumn id="9" name="8" dataDxfId="299">
      <calculatedColumnFormula>Global!LE8</calculatedColumnFormula>
    </tableColumn>
    <tableColumn id="10" name="9" dataDxfId="298">
      <calculatedColumnFormula>Global!LF8</calculatedColumnFormula>
    </tableColumn>
    <tableColumn id="11" name="10" dataDxfId="297">
      <calculatedColumnFormula>Global!LG8</calculatedColumnFormula>
    </tableColumn>
    <tableColumn id="12" name="11" dataDxfId="296">
      <calculatedColumnFormula>Global!LH8</calculatedColumnFormula>
    </tableColumn>
    <tableColumn id="13" name="12" dataDxfId="295">
      <calculatedColumnFormula>Global!LI8</calculatedColumnFormula>
    </tableColumn>
    <tableColumn id="14" name="13" dataDxfId="294">
      <calculatedColumnFormula>Global!LJ8</calculatedColumnFormula>
    </tableColumn>
    <tableColumn id="15" name="14" dataDxfId="293">
      <calculatedColumnFormula>Global!LK8</calculatedColumnFormula>
    </tableColumn>
    <tableColumn id="16" name="15" dataDxfId="292">
      <calculatedColumnFormula>Global!LL8</calculatedColumnFormula>
    </tableColumn>
    <tableColumn id="17" name="16" dataDxfId="291">
      <calculatedColumnFormula>Global!LM8</calculatedColumnFormula>
    </tableColumn>
    <tableColumn id="18" name="17" dataDxfId="290">
      <calculatedColumnFormula>Global!LN8</calculatedColumnFormula>
    </tableColumn>
    <tableColumn id="19" name="18" dataDxfId="289">
      <calculatedColumnFormula>Global!LO8</calculatedColumnFormula>
    </tableColumn>
    <tableColumn id="20" name="19" dataDxfId="288">
      <calculatedColumnFormula>Global!LP8</calculatedColumnFormula>
    </tableColumn>
    <tableColumn id="21" name="20" dataDxfId="287">
      <calculatedColumnFormula>Global!LQ8</calculatedColumnFormula>
    </tableColumn>
    <tableColumn id="22" name="21" dataDxfId="286">
      <calculatedColumnFormula>Global!LR8</calculatedColumnFormula>
    </tableColumn>
    <tableColumn id="23" name="22" dataDxfId="285">
      <calculatedColumnFormula>Global!LS8</calculatedColumnFormula>
    </tableColumn>
    <tableColumn id="24" name="23" dataDxfId="284">
      <calculatedColumnFormula>Global!LT8</calculatedColumnFormula>
    </tableColumn>
    <tableColumn id="25" name="24" dataDxfId="283">
      <calculatedColumnFormula>Global!LU8</calculatedColumnFormula>
    </tableColumn>
    <tableColumn id="26" name="25" dataDxfId="282">
      <calculatedColumnFormula>Global!LV8</calculatedColumnFormula>
    </tableColumn>
    <tableColumn id="27" name="26" dataDxfId="281">
      <calculatedColumnFormula>Global!LW8</calculatedColumnFormula>
    </tableColumn>
    <tableColumn id="28" name="27" dataDxfId="280">
      <calculatedColumnFormula>Global!LX8</calculatedColumnFormula>
    </tableColumn>
    <tableColumn id="29" name="28" dataDxfId="279">
      <calculatedColumnFormula>Global!LY8</calculatedColumnFormula>
    </tableColumn>
    <tableColumn id="30" name="29" dataDxfId="278">
      <calculatedColumnFormula>Global!LZ8</calculatedColumnFormula>
    </tableColumn>
    <tableColumn id="31" name="30" dataDxfId="277">
      <calculatedColumnFormula>Global!MA8</calculatedColumnFormula>
    </tableColumn>
    <tableColumn id="32" name="31" dataDxfId="276"/>
    <tableColumn id="33" name="RTT Pris" dataDxfId="275" dataCellStyle="Texte explicatif">
      <calculatedColumnFormula>COUNTIF(Novembre[[#This Row],[1]:[30]],"RTT")+(COUNTIF(Novembre[[#This Row],[1]:[30]],"dRTT")/2)</calculatedColumnFormula>
    </tableColumn>
    <tableColumn id="35" name="CP Pris" dataDxfId="274" dataCellStyle="Texte explicatif">
      <calculatedColumnFormula>COUNTIF(Novembre[[#This Row],[1]:[30]],"C")+(COUNTIF(Novembre[[#This Row],[1]:[30]],"DC")/2)</calculatedColumnFormula>
    </tableColumn>
    <tableColumn id="38" name="Maladie" dataDxfId="273">
      <calculatedColumnFormula>COUNTIF(Novembre[[#This Row],[1]:[30]],"M")</calculatedColumnFormula>
    </tableColumn>
    <tableColumn id="39" name="AT" dataDxfId="272">
      <calculatedColumnFormula>COUNTIF(Novembre[[#This Row],[1]:[30]],"AT")</calculatedColumnFormula>
    </tableColumn>
    <tableColumn id="40" name="RTT Acquises" dataDxfId="271">
      <calculatedColumnFormula>IF(AND(Novembre[[#This Row],[Maladie]]=0,Novembre[[#This Row],[AT]]=0),((10*(_xlfn.DAYS("30/11/2018","01/11/2018")+1))/365),((_xlfn.DAYS("30/11/2018","01/11/2018")+1-(Novembre[[#This Row],[Maladie]]+Novembre[[#This Row],[AT]]))*((10*(_xlfn.DAYS("30/11/2018","01/11/2018")+1))/365))/(_xlfn.DAYS("30/11/2018","01/11/2018")+1))</calculatedColumnFormula>
    </tableColumn>
  </tableColumns>
  <tableStyleInfo showFirstColumn="0" showLastColumn="0" showRowStripes="1" showColumnStripes="0"/>
</table>
</file>

<file path=xl/tables/table12.xml><?xml version="1.0" encoding="utf-8"?>
<table xmlns="http://schemas.openxmlformats.org/spreadsheetml/2006/main" id="3" name="Décembre" displayName="Décembre" ref="B7:AO56" totalsRowShown="0">
  <tableColumns count="40">
    <tableColumn id="1" name="Noms" dataDxfId="270"/>
    <tableColumn id="37" name="Prénoms" dataDxfId="269"/>
    <tableColumn id="36" name="Nom de l’employé" dataDxfId="268"/>
    <tableColumn id="34" name="inactif" dataDxfId="267"/>
    <tableColumn id="2" name="1" dataDxfId="266">
      <calculatedColumnFormula>Global!MB8</calculatedColumnFormula>
    </tableColumn>
    <tableColumn id="3" name="2" dataDxfId="265">
      <calculatedColumnFormula>Global!MC8</calculatedColumnFormula>
    </tableColumn>
    <tableColumn id="4" name="3" dataDxfId="264">
      <calculatedColumnFormula>Global!MD8</calculatedColumnFormula>
    </tableColumn>
    <tableColumn id="5" name="4" dataDxfId="263">
      <calculatedColumnFormula>Global!ME8</calculatedColumnFormula>
    </tableColumn>
    <tableColumn id="6" name="5" dataDxfId="262">
      <calculatedColumnFormula>Global!MF8</calculatedColumnFormula>
    </tableColumn>
    <tableColumn id="7" name="6" dataDxfId="261">
      <calculatedColumnFormula>Global!MG8</calculatedColumnFormula>
    </tableColumn>
    <tableColumn id="8" name="7" dataDxfId="260">
      <calculatedColumnFormula>Global!MH8</calculatedColumnFormula>
    </tableColumn>
    <tableColumn id="9" name="8" dataDxfId="259">
      <calculatedColumnFormula>Global!MI8</calculatedColumnFormula>
    </tableColumn>
    <tableColumn id="10" name="9" dataDxfId="258">
      <calculatedColumnFormula>Global!MJ8</calculatedColumnFormula>
    </tableColumn>
    <tableColumn id="11" name="10" dataDxfId="257">
      <calculatedColumnFormula>Global!MK8</calculatedColumnFormula>
    </tableColumn>
    <tableColumn id="12" name="11" dataDxfId="256">
      <calculatedColumnFormula>Global!ML8</calculatedColumnFormula>
    </tableColumn>
    <tableColumn id="13" name="12" dataDxfId="255">
      <calculatedColumnFormula>Global!MM8</calculatedColumnFormula>
    </tableColumn>
    <tableColumn id="14" name="13" dataDxfId="254">
      <calculatedColumnFormula>Global!MN8</calculatedColumnFormula>
    </tableColumn>
    <tableColumn id="15" name="14" dataDxfId="253">
      <calculatedColumnFormula>Global!MO8</calculatedColumnFormula>
    </tableColumn>
    <tableColumn id="16" name="15" dataDxfId="252">
      <calculatedColumnFormula>Global!MP8</calculatedColumnFormula>
    </tableColumn>
    <tableColumn id="17" name="16" dataDxfId="251">
      <calculatedColumnFormula>Global!MQ8</calculatedColumnFormula>
    </tableColumn>
    <tableColumn id="18" name="17" dataDxfId="250">
      <calculatedColumnFormula>Global!MR8</calculatedColumnFormula>
    </tableColumn>
    <tableColumn id="19" name="18" dataDxfId="249">
      <calculatedColumnFormula>Global!MS8</calculatedColumnFormula>
    </tableColumn>
    <tableColumn id="20" name="19" dataDxfId="248">
      <calculatedColumnFormula>Global!MT8</calculatedColumnFormula>
    </tableColumn>
    <tableColumn id="21" name="20" dataDxfId="247">
      <calculatedColumnFormula>Global!MU8</calculatedColumnFormula>
    </tableColumn>
    <tableColumn id="22" name="21" dataDxfId="246">
      <calculatedColumnFormula>Global!MV8</calculatedColumnFormula>
    </tableColumn>
    <tableColumn id="23" name="22" dataDxfId="245">
      <calculatedColumnFormula>Global!MW8</calculatedColumnFormula>
    </tableColumn>
    <tableColumn id="24" name="23" dataDxfId="244">
      <calculatedColumnFormula>Global!MX8</calculatedColumnFormula>
    </tableColumn>
    <tableColumn id="25" name="24" dataDxfId="243">
      <calculatedColumnFormula>Global!MY8</calculatedColumnFormula>
    </tableColumn>
    <tableColumn id="26" name="25" dataDxfId="242">
      <calculatedColumnFormula>Global!MZ8</calculatedColumnFormula>
    </tableColumn>
    <tableColumn id="27" name="26" dataDxfId="241">
      <calculatedColumnFormula>Global!NA8</calculatedColumnFormula>
    </tableColumn>
    <tableColumn id="28" name="27" dataDxfId="240">
      <calculatedColumnFormula>Global!NB8</calculatedColumnFormula>
    </tableColumn>
    <tableColumn id="29" name="28" dataDxfId="239">
      <calculatedColumnFormula>Global!NC8</calculatedColumnFormula>
    </tableColumn>
    <tableColumn id="30" name="29" dataDxfId="238">
      <calculatedColumnFormula>Global!ND8</calculatedColumnFormula>
    </tableColumn>
    <tableColumn id="31" name="30" dataDxfId="237">
      <calculatedColumnFormula>Global!NE8</calculatedColumnFormula>
    </tableColumn>
    <tableColumn id="32" name="31" dataDxfId="236">
      <calculatedColumnFormula>Global!NF8</calculatedColumnFormula>
    </tableColumn>
    <tableColumn id="33" name="RTT Pris" dataDxfId="235" dataCellStyle="Texte explicatif">
      <calculatedColumnFormula>COUNTIF(Décembre[[#This Row],[1]:[31]],"RTT")+(COUNTIF(Décembre[[#This Row],[1]:[31]],"dRTT")/2)</calculatedColumnFormula>
    </tableColumn>
    <tableColumn id="35" name="CP Pris" dataDxfId="234" dataCellStyle="Texte explicatif">
      <calculatedColumnFormula>COUNTIF(Décembre[[#This Row],[1]:[31]],"C")+(COUNTIF(Décembre[[#This Row],[1]:[31]],"DC")/2)</calculatedColumnFormula>
    </tableColumn>
    <tableColumn id="38" name="Maladie" dataDxfId="233">
      <calculatedColumnFormula>COUNTIF(Décembre[[#This Row],[1]:[31]],"M")</calculatedColumnFormula>
    </tableColumn>
    <tableColumn id="39" name="AT" dataDxfId="232">
      <calculatedColumnFormula>COUNTIF(Décembre[[#This Row],[1]:[31]],"AT")</calculatedColumnFormula>
    </tableColumn>
    <tableColumn id="40" name="RTT Acquises" dataDxfId="231">
      <calculatedColumnFormula>IF(AND(Décembre[[#This Row],[Maladie]]=0,Décembre[[#This Row],[AT]]=0),((10*(_xlfn.DAYS("31/12/2018","01/12/2018")+1))/365),((_xlfn.DAYS("31/12/2018","01/12/2018")+1-(Décembre[[#This Row],[Maladie]]+Décembre[[#This Row],[AT]]))*((10*(_xlfn.DAYS("31/12/2018","01/12/2018")+1))/365))/(_xlfn.DAYS("31/12/2018","01/12/2018")+1))</calculatedColumnFormula>
    </tableColumn>
  </tableColumns>
  <tableStyleInfo showFirstColumn="0" showLastColumn="0" showRowStripes="1" showColumnStripes="0"/>
</table>
</file>

<file path=xl/tables/table13.xml><?xml version="1.0" encoding="utf-8"?>
<table xmlns="http://schemas.openxmlformats.org/spreadsheetml/2006/main" id="10" name="NomEmployé" displayName="NomEmployé" ref="C3:R52" totalsRowShown="0" headerRowDxfId="230" dataDxfId="229">
  <autoFilter ref="C3:R52"/>
  <tableColumns count="16">
    <tableColumn id="1" name="Nom de l’employé" dataDxfId="228"/>
    <tableColumn id="2" name="inactif" dataDxfId="227"/>
    <tableColumn id="3" name="Colonne1" dataDxfId="226"/>
    <tableColumn id="4" name="Colonne2" dataDxfId="225"/>
    <tableColumn id="5" name="C" dataDxfId="224"/>
    <tableColumn id="6" name="RTT" dataDxfId="223"/>
    <tableColumn id="7" name="C2" dataDxfId="222"/>
    <tableColumn id="8" name="RTT3" dataDxfId="221"/>
    <tableColumn id="9" name="C4" dataDxfId="220">
      <calculatedColumnFormula>SUM(COUNTIF(Janvier!F8:AJ8,"C"),COUNTIF(Février!F8:AI8,"C"),COUNTIF(Mars!F8:AJ8,"C"),COUNTIF(Avril!F8:AJ8,"C"),COUNTIF(Mai!F8:AJ8,"C"),COUNTIF(Juin!F8:AJ8,"C"),COUNTIF(Juillet!F8:AJ8,"C"),COUNTIF(Août!F8:AJ8,"C"),COUNTIF(Septembre!F8:AJ8,"C"),COUNTIF(Octobre!F8:AJ8,"C"),COUNTIF(Novembre!F8:AJ8,"C"),COUNTIF(Décembre!F8:AJ8,"C"))</calculatedColumnFormula>
    </tableColumn>
    <tableColumn id="10" name="RTT5" dataDxfId="219">
      <calculatedColumnFormula>SUM(COUNTIF(Janvier!F8:AJ8,"RTT"),COUNTIF(Février!F8:AI8,"RTT"),COUNTIF(Mars!F8:AJ8,"RTT"),COUNTIF(Avril!F8:AJ8,"RTT"),COUNTIF(Mai!F8:AJ8,"RTT"),COUNTIF(Juin!F8:AJ8,"RTT"),COUNTIF(Juillet!F8:AJ8,"RTT"),COUNTIF(Août!F8:AJ8,"RTT"),COUNTIF(Septembre!F8:AJ8,"RTT"),COUNTIF(Octobre!F8:AJ8,"RTT"),COUNTIF(Novembre!F8:AJ8,"RTT"),COUNTIF(Décembre!F8:AJ8,"RTT"))</calculatedColumnFormula>
    </tableColumn>
    <tableColumn id="11" name="dRTT" dataDxfId="218">
      <calculatedColumnFormula>SUM(COUNTIF(Janvier!F8:AJ8,"dRTT"),COUNTIF(Février!F8:AI8,"dRTT"),COUNTIF(Mars!F8:AJ8,"dRTT"),COUNTIF(Avril!F8:AJ8,"dRTT"),COUNTIF(Mai!F8:AJ8,"dRTT"),COUNTIF(Juin!F8:AJ8,"dRTT"),COUNTIF(Juillet!F8:AJ8,"dRTT"),COUNTIF(Août!F8:AJ8,"dRTT"),COUNTIF(Septembre!F8:AJ8,"dRTT"),COUNTIF(Octobre!F8:AJ8,"dRTT"),COUNTIF(Novembre!F8:AJ8,"dRTT"),COUNTIF(Décembre!F8:AJ8,"dRTT"))</calculatedColumnFormula>
    </tableColumn>
    <tableColumn id="12" name="R" dataDxfId="217">
      <calculatedColumnFormula>SUM(COUNTIF(Janvier!F8:AJ8,"R"),COUNTIF(Février!F8:AI8,"R"),COUNTIF(Mars!F8:AJ8,"R"),COUNTIF(Avril!F8:AJ8,"R"),COUNTIF(Mai!F8:AJ8,"R"),COUNTIF(Juin!F8:AJ8,"R"),COUNTIF(Juillet!F8:AJ8,"R"),COUNTIF(Août!F8:AJ8,"R"),COUNTIF(Septembre!F8:AJ8,"R"),COUNTIF(Octobre!F8:AJ8,"R"),COUNTIF(Novembre!F8:AJ8,"R"),COUNTIF(Décembre!F8:AJ8,"R"))</calculatedColumnFormula>
    </tableColumn>
    <tableColumn id="13" name="M" dataDxfId="216">
      <calculatedColumnFormula>SUM(COUNTIF(Janvier!F8:AJ8,"M"),COUNTIF(Février!F8:AI8,"M"),COUNTIF(Mars!F8:AJ8,"M"),COUNTIF(Avril!F8:AJ8,"M"),COUNTIF(Mai!F8:AJ8,"M"),COUNTIF(Juin!F8:AJ8,"M"),COUNTIF(Juillet!F8:AJ8,"M"),COUNTIF(Août!F8:AJ8,"M"),COUNTIF(Septembre!F8:AJ8,"M"),COUNTIF(Octobre!F8:AJ8,"M"),COUNTIF(Novembre!F8:AJ8,"M"),COUNTIF(Décembre!F8:AJ8,"M"))</calculatedColumnFormula>
    </tableColumn>
    <tableColumn id="14" name="AT" dataDxfId="215">
      <calculatedColumnFormula>SUM(COUNTIF(Janvier!G8:AK8,"AT"),COUNTIF(Février!G8:AJ8,"AT"),COUNTIF(Mars!G8:AK8,"AT"),COUNTIF(Avril!G8:AK8,"AT"),COUNTIF(Mai!G8:AK8,"AT"),COUNTIF(Juin!G8:AK8,"AT"),COUNTIF(Juillet!G8:AK8,"AT"),COUNTIF(Août!G8:AK8,"AT"),COUNTIF(Septembre!G8:AK8,"AT"),COUNTIF(Octobre!G8:AK8,"AT"),COUNTIF(Novembre!G8:AK8,"AT"),COUNTIF(Décembre!G8:AK8,"AT"))</calculatedColumnFormula>
    </tableColumn>
    <tableColumn id="15" name="C6" dataDxfId="214">
      <calculatedColumnFormula>G4+I4-K4</calculatedColumnFormula>
    </tableColumn>
    <tableColumn id="16" name="RTT7" dataDxfId="213">
      <calculatedColumnFormula>H4+J4-(L4+(M4/2))</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 Id="rId2"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14.xml.rels><?xml version="1.0" encoding="UTF-8" standalone="yes"?>
<Relationships xmlns="http://schemas.openxmlformats.org/package/2006/relationships"><Relationship Id="rId1" Type="http://schemas.openxmlformats.org/officeDocument/2006/relationships/table" Target="../tables/table1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POINT" filterMode="1" enableFormatConditionsCalculation="0"/>
  <dimension ref="A1:OD57"/>
  <sheetViews>
    <sheetView zoomScale="80" zoomScaleNormal="80" zoomScalePageLayoutView="80" workbookViewId="0">
      <pane xSplit="3" ySplit="7" topLeftCell="D8" activePane="bottomRight" state="frozen"/>
      <selection activeCell="A2" sqref="A2"/>
      <selection pane="topRight" activeCell="D2" sqref="D2"/>
      <selection pane="bottomLeft" activeCell="A8" sqref="A8"/>
      <selection pane="bottomRight" activeCell="A17" sqref="A17:XFD17"/>
    </sheetView>
  </sheetViews>
  <sheetFormatPr baseColWidth="10" defaultColWidth="8.83203125" defaultRowHeight="15" x14ac:dyDescent="0.2"/>
  <cols>
    <col min="1" max="1" width="12.83203125" style="1" customWidth="1"/>
    <col min="2" max="2" width="10.33203125" style="1" bestFit="1" customWidth="1"/>
    <col min="3" max="3" width="10.5" style="1" customWidth="1"/>
    <col min="4" max="4" width="25.6640625" style="1" customWidth="1"/>
    <col min="5" max="5" width="25.6640625" style="1" hidden="1" customWidth="1"/>
    <col min="6" max="370" width="4.6640625" style="1" customWidth="1"/>
    <col min="371" max="371" width="13.83203125" style="1" customWidth="1"/>
    <col min="372" max="372" width="15" customWidth="1"/>
    <col min="373" max="374" width="13.1640625" customWidth="1"/>
    <col min="375" max="375" width="17" customWidth="1"/>
    <col min="376" max="376" width="15.83203125" customWidth="1"/>
    <col min="377" max="377" width="18.1640625" bestFit="1" customWidth="1"/>
    <col min="378" max="378" width="17.33203125" bestFit="1" customWidth="1"/>
    <col min="379" max="379" width="10.33203125" bestFit="1" customWidth="1"/>
    <col min="380" max="1363" width="9.1640625" customWidth="1"/>
  </cols>
  <sheetData>
    <row r="1" spans="1:394" ht="52" x14ac:dyDescent="0.2">
      <c r="F1" s="61">
        <f>DATE(AnnéeCalendrier,1,1)</f>
        <v>43101</v>
      </c>
      <c r="G1" s="61">
        <f>DATE(AnnéeCalendrier,1,2)</f>
        <v>43102</v>
      </c>
      <c r="H1" s="61">
        <f>DATE(AnnéeCalendrier,1,3)</f>
        <v>43103</v>
      </c>
      <c r="I1" s="61">
        <f>DATE(AnnéeCalendrier,1,4)</f>
        <v>43104</v>
      </c>
      <c r="J1" s="61">
        <f>DATE(AnnéeCalendrier,1,5)</f>
        <v>43105</v>
      </c>
      <c r="K1" s="61">
        <f>DATE(AnnéeCalendrier,1,6)</f>
        <v>43106</v>
      </c>
      <c r="L1" s="61">
        <f>DATE(AnnéeCalendrier,1,7)</f>
        <v>43107</v>
      </c>
      <c r="M1" s="61">
        <f>DATE(AnnéeCalendrier,1,8)</f>
        <v>43108</v>
      </c>
      <c r="N1" s="61">
        <f>DATE(AnnéeCalendrier,1,9)</f>
        <v>43109</v>
      </c>
      <c r="O1" s="61">
        <f>DATE(AnnéeCalendrier,1,10)</f>
        <v>43110</v>
      </c>
      <c r="P1" s="61">
        <f>DATE(AnnéeCalendrier,1,11)</f>
        <v>43111</v>
      </c>
      <c r="Q1" s="61">
        <f>DATE(AnnéeCalendrier,1,12)</f>
        <v>43112</v>
      </c>
      <c r="R1" s="61">
        <f>DATE(AnnéeCalendrier,1,13)</f>
        <v>43113</v>
      </c>
      <c r="S1" s="61">
        <f>DATE(AnnéeCalendrier,1,14)</f>
        <v>43114</v>
      </c>
      <c r="T1" s="61">
        <f>DATE(AnnéeCalendrier,1,15)</f>
        <v>43115</v>
      </c>
      <c r="U1" s="61">
        <f>DATE(AnnéeCalendrier,1,16)</f>
        <v>43116</v>
      </c>
      <c r="V1" s="61">
        <f>DATE(AnnéeCalendrier,1,17)</f>
        <v>43117</v>
      </c>
      <c r="W1" s="61">
        <f>DATE(AnnéeCalendrier,1,18)</f>
        <v>43118</v>
      </c>
      <c r="X1" s="61">
        <f>DATE(AnnéeCalendrier,1,19)</f>
        <v>43119</v>
      </c>
      <c r="Y1" s="61">
        <f>DATE(AnnéeCalendrier,1,20)</f>
        <v>43120</v>
      </c>
      <c r="Z1" s="61">
        <f>DATE(AnnéeCalendrier,1,21)</f>
        <v>43121</v>
      </c>
      <c r="AA1" s="61">
        <f>DATE(AnnéeCalendrier,1,22)</f>
        <v>43122</v>
      </c>
      <c r="AB1" s="61">
        <f>DATE(AnnéeCalendrier,1,23)</f>
        <v>43123</v>
      </c>
      <c r="AC1" s="61">
        <f>DATE(AnnéeCalendrier,1,24)</f>
        <v>43124</v>
      </c>
      <c r="AD1" s="61">
        <f>DATE(AnnéeCalendrier,1,25)</f>
        <v>43125</v>
      </c>
      <c r="AE1" s="61">
        <f>DATE(AnnéeCalendrier,1,26)</f>
        <v>43126</v>
      </c>
      <c r="AF1" s="61">
        <f>DATE(AnnéeCalendrier,1,27)</f>
        <v>43127</v>
      </c>
      <c r="AG1" s="61">
        <f>DATE(AnnéeCalendrier,1,28)</f>
        <v>43128</v>
      </c>
      <c r="AH1" s="61">
        <f>DATE(AnnéeCalendrier,1,29)</f>
        <v>43129</v>
      </c>
      <c r="AI1" s="61">
        <f>DATE(AnnéeCalendrier,1,30)</f>
        <v>43130</v>
      </c>
      <c r="AJ1" s="61">
        <f>DATE(AnnéeCalendrier,1,31)</f>
        <v>43131</v>
      </c>
      <c r="AK1" s="62">
        <f>DATE(AnnéeCalendrier,2,1)</f>
        <v>43132</v>
      </c>
      <c r="AL1" s="62">
        <f>DATE(AnnéeCalendrier,2,2)</f>
        <v>43133</v>
      </c>
      <c r="AM1" s="62">
        <f>DATE(AnnéeCalendrier,2,3)</f>
        <v>43134</v>
      </c>
      <c r="AN1" s="62">
        <f>DATE(AnnéeCalendrier,2,4)</f>
        <v>43135</v>
      </c>
      <c r="AO1" s="62">
        <f>DATE(AnnéeCalendrier,2,5)</f>
        <v>43136</v>
      </c>
      <c r="AP1" s="62">
        <f>DATE(AnnéeCalendrier,2,6)</f>
        <v>43137</v>
      </c>
      <c r="AQ1" s="62">
        <f>DATE(AnnéeCalendrier,2,7)</f>
        <v>43138</v>
      </c>
      <c r="AR1" s="62">
        <f>DATE(AnnéeCalendrier,2,8)</f>
        <v>43139</v>
      </c>
      <c r="AS1" s="62">
        <f>DATE(AnnéeCalendrier,2,9)</f>
        <v>43140</v>
      </c>
      <c r="AT1" s="62">
        <f>DATE(AnnéeCalendrier,2,10)</f>
        <v>43141</v>
      </c>
      <c r="AU1" s="62">
        <f>DATE(AnnéeCalendrier,2,11)</f>
        <v>43142</v>
      </c>
      <c r="AV1" s="62">
        <f>DATE(AnnéeCalendrier,2,12)</f>
        <v>43143</v>
      </c>
      <c r="AW1" s="62">
        <f>DATE(AnnéeCalendrier,2,13)</f>
        <v>43144</v>
      </c>
      <c r="AX1" s="62">
        <f>DATE(AnnéeCalendrier,2,14)</f>
        <v>43145</v>
      </c>
      <c r="AY1" s="62">
        <f>DATE(AnnéeCalendrier,2,15)</f>
        <v>43146</v>
      </c>
      <c r="AZ1" s="62">
        <f>DATE(AnnéeCalendrier,2,16)</f>
        <v>43147</v>
      </c>
      <c r="BA1" s="62">
        <f>DATE(AnnéeCalendrier,2,17)</f>
        <v>43148</v>
      </c>
      <c r="BB1" s="62">
        <f>DATE(AnnéeCalendrier,2,18)</f>
        <v>43149</v>
      </c>
      <c r="BC1" s="62">
        <f>DATE(AnnéeCalendrier,2,19)</f>
        <v>43150</v>
      </c>
      <c r="BD1" s="62">
        <f>DATE(AnnéeCalendrier,2,20)</f>
        <v>43151</v>
      </c>
      <c r="BE1" s="62">
        <f>DATE(AnnéeCalendrier,2,21)</f>
        <v>43152</v>
      </c>
      <c r="BF1" s="62">
        <f>DATE(AnnéeCalendrier,2,22)</f>
        <v>43153</v>
      </c>
      <c r="BG1" s="62">
        <f>DATE(AnnéeCalendrier,2,23)</f>
        <v>43154</v>
      </c>
      <c r="BH1" s="62">
        <f>DATE(AnnéeCalendrier,2,24)</f>
        <v>43155</v>
      </c>
      <c r="BI1" s="62">
        <f>DATE(AnnéeCalendrier,2,25)</f>
        <v>43156</v>
      </c>
      <c r="BJ1" s="62">
        <f>DATE(AnnéeCalendrier,2,26)</f>
        <v>43157</v>
      </c>
      <c r="BK1" s="62">
        <f>DATE(AnnéeCalendrier,2,27)</f>
        <v>43158</v>
      </c>
      <c r="BL1" s="62">
        <f>DATE(AnnéeCalendrier,2,28)</f>
        <v>43159</v>
      </c>
      <c r="BM1" s="62">
        <f>DATE(AnnéeCalendrier,3,1)</f>
        <v>43160</v>
      </c>
      <c r="BN1" s="62">
        <f>DATE(AnnéeCalendrier,3,2)</f>
        <v>43161</v>
      </c>
      <c r="BO1" s="62">
        <f>DATE(AnnéeCalendrier,3,3)</f>
        <v>43162</v>
      </c>
      <c r="BP1" s="62">
        <f>DATE(AnnéeCalendrier,3,4)</f>
        <v>43163</v>
      </c>
      <c r="BQ1" s="62">
        <f>DATE(AnnéeCalendrier,3,5)</f>
        <v>43164</v>
      </c>
      <c r="BR1" s="62">
        <f>DATE(AnnéeCalendrier,3,6)</f>
        <v>43165</v>
      </c>
      <c r="BS1" s="62">
        <f>DATE(AnnéeCalendrier,3,7)</f>
        <v>43166</v>
      </c>
      <c r="BT1" s="62">
        <f>DATE(AnnéeCalendrier,3,8)</f>
        <v>43167</v>
      </c>
      <c r="BU1" s="62">
        <f>DATE(AnnéeCalendrier,3,9)</f>
        <v>43168</v>
      </c>
      <c r="BV1" s="62">
        <f>DATE(AnnéeCalendrier,3,10)</f>
        <v>43169</v>
      </c>
      <c r="BW1" s="62">
        <f>DATE(AnnéeCalendrier,3,11)</f>
        <v>43170</v>
      </c>
      <c r="BX1" s="62">
        <f>DATE(AnnéeCalendrier,3,12)</f>
        <v>43171</v>
      </c>
      <c r="BY1" s="62">
        <f>DATE(AnnéeCalendrier,3,13)</f>
        <v>43172</v>
      </c>
      <c r="BZ1" s="62">
        <f>DATE(AnnéeCalendrier,3,14)</f>
        <v>43173</v>
      </c>
      <c r="CA1" s="62">
        <f>DATE(AnnéeCalendrier,3,15)</f>
        <v>43174</v>
      </c>
      <c r="CB1" s="62">
        <f>DATE(AnnéeCalendrier,3,16)</f>
        <v>43175</v>
      </c>
      <c r="CC1" s="62">
        <f>DATE(AnnéeCalendrier,3,17)</f>
        <v>43176</v>
      </c>
      <c r="CD1" s="62">
        <f>DATE(AnnéeCalendrier,3,18)</f>
        <v>43177</v>
      </c>
      <c r="CE1" s="62">
        <f>DATE(AnnéeCalendrier,3,19)</f>
        <v>43178</v>
      </c>
      <c r="CF1" s="62">
        <f>DATE(AnnéeCalendrier,3,20)</f>
        <v>43179</v>
      </c>
      <c r="CG1" s="62">
        <f>DATE(AnnéeCalendrier,3,21)</f>
        <v>43180</v>
      </c>
      <c r="CH1" s="62">
        <f>DATE(AnnéeCalendrier,3,22)</f>
        <v>43181</v>
      </c>
      <c r="CI1" s="62">
        <f>DATE(AnnéeCalendrier,3,23)</f>
        <v>43182</v>
      </c>
      <c r="CJ1" s="62">
        <f>DATE(AnnéeCalendrier,3,24)</f>
        <v>43183</v>
      </c>
      <c r="CK1" s="62">
        <f>DATE(AnnéeCalendrier,3,25)</f>
        <v>43184</v>
      </c>
      <c r="CL1" s="62">
        <f>DATE(AnnéeCalendrier,3,26)</f>
        <v>43185</v>
      </c>
      <c r="CM1" s="62">
        <f>DATE(AnnéeCalendrier,3,27)</f>
        <v>43186</v>
      </c>
      <c r="CN1" s="62">
        <f>DATE(AnnéeCalendrier,3,28)</f>
        <v>43187</v>
      </c>
      <c r="CO1" s="62">
        <f>DATE(AnnéeCalendrier,3,29)</f>
        <v>43188</v>
      </c>
      <c r="CP1" s="62">
        <f>DATE(AnnéeCalendrier,3,30)</f>
        <v>43189</v>
      </c>
      <c r="CQ1" s="62">
        <f>DATE(AnnéeCalendrier,3,31)</f>
        <v>43190</v>
      </c>
      <c r="CR1" s="62">
        <f>DATE(AnnéeCalendrier,4,1)</f>
        <v>43191</v>
      </c>
      <c r="CS1" s="62">
        <f>DATE(AnnéeCalendrier,4,2)</f>
        <v>43192</v>
      </c>
      <c r="CT1" s="62">
        <f>DATE(AnnéeCalendrier,4,3)</f>
        <v>43193</v>
      </c>
      <c r="CU1" s="62">
        <f>DATE(AnnéeCalendrier,4,4)</f>
        <v>43194</v>
      </c>
      <c r="CV1" s="62">
        <f>DATE(AnnéeCalendrier,4,5)</f>
        <v>43195</v>
      </c>
      <c r="CW1" s="62">
        <f>DATE(AnnéeCalendrier,4,6)</f>
        <v>43196</v>
      </c>
      <c r="CX1" s="62">
        <f>DATE(AnnéeCalendrier,4,7)</f>
        <v>43197</v>
      </c>
      <c r="CY1" s="62">
        <f>DATE(AnnéeCalendrier,4,8)</f>
        <v>43198</v>
      </c>
      <c r="CZ1" s="62">
        <f>DATE(AnnéeCalendrier,4,9)</f>
        <v>43199</v>
      </c>
      <c r="DA1" s="62">
        <f>DATE(AnnéeCalendrier,4,10)</f>
        <v>43200</v>
      </c>
      <c r="DB1" s="62">
        <f>DATE(AnnéeCalendrier,4,11)</f>
        <v>43201</v>
      </c>
      <c r="DC1" s="62">
        <f>DATE(AnnéeCalendrier,4,12)</f>
        <v>43202</v>
      </c>
      <c r="DD1" s="62">
        <f>DATE(AnnéeCalendrier,4,13)</f>
        <v>43203</v>
      </c>
      <c r="DE1" s="62">
        <f>DATE(AnnéeCalendrier,4,14)</f>
        <v>43204</v>
      </c>
      <c r="DF1" s="62">
        <f>DATE(AnnéeCalendrier,4,15)</f>
        <v>43205</v>
      </c>
      <c r="DG1" s="62">
        <f>DATE(AnnéeCalendrier,4,16)</f>
        <v>43206</v>
      </c>
      <c r="DH1" s="62">
        <f>DATE(AnnéeCalendrier,4,17)</f>
        <v>43207</v>
      </c>
      <c r="DI1" s="62">
        <f>DATE(AnnéeCalendrier,4,18)</f>
        <v>43208</v>
      </c>
      <c r="DJ1" s="62">
        <f>DATE(AnnéeCalendrier,4,19)</f>
        <v>43209</v>
      </c>
      <c r="DK1" s="62">
        <f>DATE(AnnéeCalendrier,4,20)</f>
        <v>43210</v>
      </c>
      <c r="DL1" s="62">
        <f>DATE(AnnéeCalendrier,4,21)</f>
        <v>43211</v>
      </c>
      <c r="DM1" s="62">
        <f>DATE(AnnéeCalendrier,4,22)</f>
        <v>43212</v>
      </c>
      <c r="DN1" s="62">
        <f>DATE(AnnéeCalendrier,4,23)</f>
        <v>43213</v>
      </c>
      <c r="DO1" s="62">
        <f>DATE(AnnéeCalendrier,4,24)</f>
        <v>43214</v>
      </c>
      <c r="DP1" s="62">
        <f>DATE(AnnéeCalendrier,4,25)</f>
        <v>43215</v>
      </c>
      <c r="DQ1" s="62">
        <f>DATE(AnnéeCalendrier,4,26)</f>
        <v>43216</v>
      </c>
      <c r="DR1" s="62">
        <f>DATE(AnnéeCalendrier,4,27)</f>
        <v>43217</v>
      </c>
      <c r="DS1" s="62">
        <f>DATE(AnnéeCalendrier,4,28)</f>
        <v>43218</v>
      </c>
      <c r="DT1" s="62">
        <f>DATE(AnnéeCalendrier,4,29)</f>
        <v>43219</v>
      </c>
      <c r="DU1" s="62">
        <f>DATE(AnnéeCalendrier,4,30)</f>
        <v>43220</v>
      </c>
      <c r="DV1" s="62">
        <f>DATE(AnnéeCalendrier,5,1)</f>
        <v>43221</v>
      </c>
      <c r="DW1" s="62">
        <f>DATE(AnnéeCalendrier,5,2)</f>
        <v>43222</v>
      </c>
      <c r="DX1" s="62">
        <f>DATE(AnnéeCalendrier,5,3)</f>
        <v>43223</v>
      </c>
      <c r="DY1" s="62">
        <f>DATE(AnnéeCalendrier,5,4)</f>
        <v>43224</v>
      </c>
      <c r="DZ1" s="62">
        <f>DATE(AnnéeCalendrier,5,5)</f>
        <v>43225</v>
      </c>
      <c r="EA1" s="62">
        <f>DATE(AnnéeCalendrier,5,6)</f>
        <v>43226</v>
      </c>
      <c r="EB1" s="62">
        <f>DATE(AnnéeCalendrier,5,7)</f>
        <v>43227</v>
      </c>
      <c r="EC1" s="62">
        <f>DATE(AnnéeCalendrier,5,8)</f>
        <v>43228</v>
      </c>
      <c r="ED1" s="62">
        <f>DATE(AnnéeCalendrier,5,9)</f>
        <v>43229</v>
      </c>
      <c r="EE1" s="62">
        <f>DATE(AnnéeCalendrier,5,10)</f>
        <v>43230</v>
      </c>
      <c r="EF1" s="62">
        <f>DATE(AnnéeCalendrier,5,11)</f>
        <v>43231</v>
      </c>
      <c r="EG1" s="62">
        <f>DATE(AnnéeCalendrier,5,12)</f>
        <v>43232</v>
      </c>
      <c r="EH1" s="62">
        <f>DATE(AnnéeCalendrier,5,13)</f>
        <v>43233</v>
      </c>
      <c r="EI1" s="62">
        <f>DATE(AnnéeCalendrier,5,14)</f>
        <v>43234</v>
      </c>
      <c r="EJ1" s="62">
        <f>DATE(AnnéeCalendrier,5,15)</f>
        <v>43235</v>
      </c>
      <c r="EK1" s="62">
        <f>DATE(AnnéeCalendrier,5,16)</f>
        <v>43236</v>
      </c>
      <c r="EL1" s="62">
        <f>DATE(AnnéeCalendrier,5,17)</f>
        <v>43237</v>
      </c>
      <c r="EM1" s="62">
        <f>DATE(AnnéeCalendrier,5,18)</f>
        <v>43238</v>
      </c>
      <c r="EN1" s="62">
        <f>DATE(AnnéeCalendrier,5,19)</f>
        <v>43239</v>
      </c>
      <c r="EO1" s="62">
        <f>DATE(AnnéeCalendrier,5,20)</f>
        <v>43240</v>
      </c>
      <c r="EP1" s="62">
        <f>DATE(AnnéeCalendrier,5,21)</f>
        <v>43241</v>
      </c>
      <c r="EQ1" s="62">
        <f>DATE(AnnéeCalendrier,5,22)</f>
        <v>43242</v>
      </c>
      <c r="ER1" s="62">
        <f>DATE(AnnéeCalendrier,5,23)</f>
        <v>43243</v>
      </c>
      <c r="ES1" s="62">
        <f>DATE(AnnéeCalendrier,5,24)</f>
        <v>43244</v>
      </c>
      <c r="ET1" s="62">
        <f>DATE(AnnéeCalendrier,5,25)</f>
        <v>43245</v>
      </c>
      <c r="EU1" s="62">
        <f>DATE(AnnéeCalendrier,5,26)</f>
        <v>43246</v>
      </c>
      <c r="EV1" s="62">
        <f>DATE(AnnéeCalendrier,5,27)</f>
        <v>43247</v>
      </c>
      <c r="EW1" s="62">
        <f>DATE(AnnéeCalendrier,5,28)</f>
        <v>43248</v>
      </c>
      <c r="EX1" s="62">
        <f>DATE(AnnéeCalendrier,5,29)</f>
        <v>43249</v>
      </c>
      <c r="EY1" s="62">
        <f>DATE(AnnéeCalendrier,5,30)</f>
        <v>43250</v>
      </c>
      <c r="EZ1" s="62">
        <f>DATE(AnnéeCalendrier,5,31)</f>
        <v>43251</v>
      </c>
      <c r="FA1" s="62">
        <f>DATE(AnnéeCalendrier,6,1)</f>
        <v>43252</v>
      </c>
      <c r="FB1" s="62">
        <f>DATE(AnnéeCalendrier,6,2)</f>
        <v>43253</v>
      </c>
      <c r="FC1" s="62">
        <f>DATE(AnnéeCalendrier,6,3)</f>
        <v>43254</v>
      </c>
      <c r="FD1" s="62">
        <f>DATE(AnnéeCalendrier,6,4)</f>
        <v>43255</v>
      </c>
      <c r="FE1" s="62">
        <f>DATE(AnnéeCalendrier,6,5)</f>
        <v>43256</v>
      </c>
      <c r="FF1" s="62">
        <f>DATE(AnnéeCalendrier,6,6)</f>
        <v>43257</v>
      </c>
      <c r="FG1" s="62">
        <f>DATE(AnnéeCalendrier,6,7)</f>
        <v>43258</v>
      </c>
      <c r="FH1" s="62">
        <f>DATE(AnnéeCalendrier,6,8)</f>
        <v>43259</v>
      </c>
      <c r="FI1" s="62">
        <f>DATE(AnnéeCalendrier,6,9)</f>
        <v>43260</v>
      </c>
      <c r="FJ1" s="62">
        <f>DATE(AnnéeCalendrier,6,10)</f>
        <v>43261</v>
      </c>
      <c r="FK1" s="62">
        <f>DATE(AnnéeCalendrier,6,11)</f>
        <v>43262</v>
      </c>
      <c r="FL1" s="62">
        <f>DATE(AnnéeCalendrier,6,12)</f>
        <v>43263</v>
      </c>
      <c r="FM1" s="62">
        <f>DATE(AnnéeCalendrier,6,13)</f>
        <v>43264</v>
      </c>
      <c r="FN1" s="62">
        <f>DATE(AnnéeCalendrier,6,14)</f>
        <v>43265</v>
      </c>
      <c r="FO1" s="62">
        <f>DATE(AnnéeCalendrier,6,15)</f>
        <v>43266</v>
      </c>
      <c r="FP1" s="62">
        <f>DATE(AnnéeCalendrier,6,16)</f>
        <v>43267</v>
      </c>
      <c r="FQ1" s="62">
        <f>DATE(AnnéeCalendrier,6,17)</f>
        <v>43268</v>
      </c>
      <c r="FR1" s="62">
        <f>DATE(AnnéeCalendrier,6,18)</f>
        <v>43269</v>
      </c>
      <c r="FS1" s="62">
        <f>DATE(AnnéeCalendrier,6,19)</f>
        <v>43270</v>
      </c>
      <c r="FT1" s="62">
        <f>DATE(AnnéeCalendrier,6,20)</f>
        <v>43271</v>
      </c>
      <c r="FU1" s="62">
        <f>DATE(AnnéeCalendrier,6,21)</f>
        <v>43272</v>
      </c>
      <c r="FV1" s="62">
        <f>DATE(AnnéeCalendrier,6,22)</f>
        <v>43273</v>
      </c>
      <c r="FW1" s="62">
        <f>DATE(AnnéeCalendrier,6,23)</f>
        <v>43274</v>
      </c>
      <c r="FX1" s="62">
        <f>DATE(AnnéeCalendrier,6,24)</f>
        <v>43275</v>
      </c>
      <c r="FY1" s="62">
        <f>DATE(AnnéeCalendrier,6,25)</f>
        <v>43276</v>
      </c>
      <c r="FZ1" s="62">
        <f>DATE(AnnéeCalendrier,6,26)</f>
        <v>43277</v>
      </c>
      <c r="GA1" s="62">
        <f>DATE(AnnéeCalendrier,6,27)</f>
        <v>43278</v>
      </c>
      <c r="GB1" s="62">
        <f>DATE(AnnéeCalendrier,6,28)</f>
        <v>43279</v>
      </c>
      <c r="GC1" s="62">
        <f>DATE(AnnéeCalendrier,6,29)</f>
        <v>43280</v>
      </c>
      <c r="GD1" s="62">
        <f>DATE(AnnéeCalendrier,6,30)</f>
        <v>43281</v>
      </c>
      <c r="GE1" s="62">
        <f>DATE(AnnéeCalendrier,7,1)</f>
        <v>43282</v>
      </c>
      <c r="GF1" s="62">
        <f>DATE(AnnéeCalendrier,7,2)</f>
        <v>43283</v>
      </c>
      <c r="GG1" s="62">
        <f>DATE(AnnéeCalendrier,7,3)</f>
        <v>43284</v>
      </c>
      <c r="GH1" s="62">
        <f>DATE(AnnéeCalendrier,7,4)</f>
        <v>43285</v>
      </c>
      <c r="GI1" s="62">
        <f>DATE(AnnéeCalendrier,7,5)</f>
        <v>43286</v>
      </c>
      <c r="GJ1" s="62">
        <f>DATE(AnnéeCalendrier,7,6)</f>
        <v>43287</v>
      </c>
      <c r="GK1" s="62">
        <f>DATE(AnnéeCalendrier,7,7)</f>
        <v>43288</v>
      </c>
      <c r="GL1" s="62">
        <f>DATE(AnnéeCalendrier,7,8)</f>
        <v>43289</v>
      </c>
      <c r="GM1" s="62">
        <f>DATE(AnnéeCalendrier,7,9)</f>
        <v>43290</v>
      </c>
      <c r="GN1" s="62">
        <f>DATE(AnnéeCalendrier,7,10)</f>
        <v>43291</v>
      </c>
      <c r="GO1" s="62">
        <f>DATE(AnnéeCalendrier,7,11)</f>
        <v>43292</v>
      </c>
      <c r="GP1" s="62">
        <f>DATE(AnnéeCalendrier,7,12)</f>
        <v>43293</v>
      </c>
      <c r="GQ1" s="62">
        <f>DATE(AnnéeCalendrier,7,13)</f>
        <v>43294</v>
      </c>
      <c r="GR1" s="62">
        <f>DATE(AnnéeCalendrier,7,14)</f>
        <v>43295</v>
      </c>
      <c r="GS1" s="62">
        <f>DATE(AnnéeCalendrier,7,15)</f>
        <v>43296</v>
      </c>
      <c r="GT1" s="62">
        <f>DATE(AnnéeCalendrier,7,16)</f>
        <v>43297</v>
      </c>
      <c r="GU1" s="62">
        <f>DATE(AnnéeCalendrier,7,17)</f>
        <v>43298</v>
      </c>
      <c r="GV1" s="62">
        <f>DATE(AnnéeCalendrier,7,18)</f>
        <v>43299</v>
      </c>
      <c r="GW1" s="62">
        <f>DATE(AnnéeCalendrier,7,19)</f>
        <v>43300</v>
      </c>
      <c r="GX1" s="62">
        <f>DATE(AnnéeCalendrier,7,20)</f>
        <v>43301</v>
      </c>
      <c r="GY1" s="62">
        <f>DATE(AnnéeCalendrier,7,21)</f>
        <v>43302</v>
      </c>
      <c r="GZ1" s="62">
        <f>DATE(AnnéeCalendrier,7,22)</f>
        <v>43303</v>
      </c>
      <c r="HA1" s="62">
        <f>DATE(AnnéeCalendrier,7,23)</f>
        <v>43304</v>
      </c>
      <c r="HB1" s="62">
        <f>DATE(AnnéeCalendrier,7,24)</f>
        <v>43305</v>
      </c>
      <c r="HC1" s="62">
        <f>DATE(AnnéeCalendrier,7,25)</f>
        <v>43306</v>
      </c>
      <c r="HD1" s="62">
        <f>DATE(AnnéeCalendrier,7,26)</f>
        <v>43307</v>
      </c>
      <c r="HE1" s="62">
        <f>DATE(AnnéeCalendrier,7,27)</f>
        <v>43308</v>
      </c>
      <c r="HF1" s="62">
        <f>DATE(AnnéeCalendrier,7,28)</f>
        <v>43309</v>
      </c>
      <c r="HG1" s="62">
        <f>DATE(AnnéeCalendrier,7,29)</f>
        <v>43310</v>
      </c>
      <c r="HH1" s="62">
        <f>DATE(AnnéeCalendrier,7,30)</f>
        <v>43311</v>
      </c>
      <c r="HI1" s="62">
        <f>DATE(AnnéeCalendrier,7,31)</f>
        <v>43312</v>
      </c>
      <c r="HJ1" s="62">
        <f>DATE(AnnéeCalendrier,8,1)</f>
        <v>43313</v>
      </c>
      <c r="HK1" s="62">
        <f>DATE(AnnéeCalendrier,8,2)</f>
        <v>43314</v>
      </c>
      <c r="HL1" s="62">
        <f>DATE(AnnéeCalendrier,8,3)</f>
        <v>43315</v>
      </c>
      <c r="HM1" s="62">
        <f>DATE(AnnéeCalendrier,8,4)</f>
        <v>43316</v>
      </c>
      <c r="HN1" s="62">
        <f>DATE(AnnéeCalendrier,8,5)</f>
        <v>43317</v>
      </c>
      <c r="HO1" s="62">
        <f>DATE(AnnéeCalendrier,8,6)</f>
        <v>43318</v>
      </c>
      <c r="HP1" s="62">
        <f>DATE(AnnéeCalendrier,8,7)</f>
        <v>43319</v>
      </c>
      <c r="HQ1" s="62">
        <f>DATE(AnnéeCalendrier,8,8)</f>
        <v>43320</v>
      </c>
      <c r="HR1" s="62">
        <f>DATE(AnnéeCalendrier,8,9)</f>
        <v>43321</v>
      </c>
      <c r="HS1" s="62">
        <f>DATE(AnnéeCalendrier,8,10)</f>
        <v>43322</v>
      </c>
      <c r="HT1" s="62">
        <f>DATE(AnnéeCalendrier,8,11)</f>
        <v>43323</v>
      </c>
      <c r="HU1" s="62">
        <f>DATE(AnnéeCalendrier,8,12)</f>
        <v>43324</v>
      </c>
      <c r="HV1" s="62">
        <f>DATE(AnnéeCalendrier,8,13)</f>
        <v>43325</v>
      </c>
      <c r="HW1" s="62">
        <f>DATE(AnnéeCalendrier,8,14)</f>
        <v>43326</v>
      </c>
      <c r="HX1" s="62">
        <f>DATE(AnnéeCalendrier,8,15)</f>
        <v>43327</v>
      </c>
      <c r="HY1" s="62">
        <f>DATE(AnnéeCalendrier,8,16)</f>
        <v>43328</v>
      </c>
      <c r="HZ1" s="62">
        <f>DATE(AnnéeCalendrier,8,17)</f>
        <v>43329</v>
      </c>
      <c r="IA1" s="62">
        <f>DATE(AnnéeCalendrier,8,18)</f>
        <v>43330</v>
      </c>
      <c r="IB1" s="62">
        <f>DATE(AnnéeCalendrier,8,19)</f>
        <v>43331</v>
      </c>
      <c r="IC1" s="62">
        <f>DATE(AnnéeCalendrier,8,20)</f>
        <v>43332</v>
      </c>
      <c r="ID1" s="62">
        <f>DATE(AnnéeCalendrier,8,21)</f>
        <v>43333</v>
      </c>
      <c r="IE1" s="62">
        <f>DATE(AnnéeCalendrier,8,22)</f>
        <v>43334</v>
      </c>
      <c r="IF1" s="62">
        <f>DATE(AnnéeCalendrier,8,23)</f>
        <v>43335</v>
      </c>
      <c r="IG1" s="62">
        <f>DATE(AnnéeCalendrier,8,24)</f>
        <v>43336</v>
      </c>
      <c r="IH1" s="62">
        <f>DATE(AnnéeCalendrier,8,25)</f>
        <v>43337</v>
      </c>
      <c r="II1" s="62">
        <f>DATE(AnnéeCalendrier,8,26)</f>
        <v>43338</v>
      </c>
      <c r="IJ1" s="62">
        <f>DATE(AnnéeCalendrier,8,27)</f>
        <v>43339</v>
      </c>
      <c r="IK1" s="62">
        <f>DATE(AnnéeCalendrier,8,28)</f>
        <v>43340</v>
      </c>
      <c r="IL1" s="62">
        <f>DATE(AnnéeCalendrier,8,29)</f>
        <v>43341</v>
      </c>
      <c r="IM1" s="62">
        <f>DATE(AnnéeCalendrier,8,30)</f>
        <v>43342</v>
      </c>
      <c r="IN1" s="62">
        <f>DATE(AnnéeCalendrier,8,31)</f>
        <v>43343</v>
      </c>
      <c r="IO1" s="62">
        <f>DATE(AnnéeCalendrier,9,1)</f>
        <v>43344</v>
      </c>
      <c r="IP1" s="62">
        <f>DATE(AnnéeCalendrier,9,2)</f>
        <v>43345</v>
      </c>
      <c r="IQ1" s="62">
        <f>DATE(AnnéeCalendrier,9,3)</f>
        <v>43346</v>
      </c>
      <c r="IR1" s="62">
        <f>DATE(AnnéeCalendrier,9,4)</f>
        <v>43347</v>
      </c>
      <c r="IS1" s="62">
        <f>DATE(AnnéeCalendrier,9,5)</f>
        <v>43348</v>
      </c>
      <c r="IT1" s="62">
        <f>DATE(AnnéeCalendrier,9,6)</f>
        <v>43349</v>
      </c>
      <c r="IU1" s="62">
        <f>DATE(AnnéeCalendrier,9,7)</f>
        <v>43350</v>
      </c>
      <c r="IV1" s="62">
        <f>DATE(AnnéeCalendrier,9,8)</f>
        <v>43351</v>
      </c>
      <c r="IW1" s="62">
        <f>DATE(AnnéeCalendrier,9,9)</f>
        <v>43352</v>
      </c>
      <c r="IX1" s="62">
        <f>DATE(AnnéeCalendrier,9,10)</f>
        <v>43353</v>
      </c>
      <c r="IY1" s="62">
        <f>DATE(AnnéeCalendrier,9,11)</f>
        <v>43354</v>
      </c>
      <c r="IZ1" s="62">
        <f>DATE(AnnéeCalendrier,9,12)</f>
        <v>43355</v>
      </c>
      <c r="JA1" s="62">
        <f>DATE(AnnéeCalendrier,9,13)</f>
        <v>43356</v>
      </c>
      <c r="JB1" s="62">
        <f>DATE(AnnéeCalendrier,9,14)</f>
        <v>43357</v>
      </c>
      <c r="JC1" s="62">
        <f>DATE(AnnéeCalendrier,9,15)</f>
        <v>43358</v>
      </c>
      <c r="JD1" s="62">
        <f>DATE(AnnéeCalendrier,9,16)</f>
        <v>43359</v>
      </c>
      <c r="JE1" s="62">
        <f>DATE(AnnéeCalendrier,9,17)</f>
        <v>43360</v>
      </c>
      <c r="JF1" s="62">
        <f>DATE(AnnéeCalendrier,9,18)</f>
        <v>43361</v>
      </c>
      <c r="JG1" s="62">
        <f>DATE(AnnéeCalendrier,9,19)</f>
        <v>43362</v>
      </c>
      <c r="JH1" s="62">
        <f>DATE(AnnéeCalendrier,9,20)</f>
        <v>43363</v>
      </c>
      <c r="JI1" s="62">
        <f>DATE(AnnéeCalendrier,9,21)</f>
        <v>43364</v>
      </c>
      <c r="JJ1" s="62">
        <f>DATE(AnnéeCalendrier,9,22)</f>
        <v>43365</v>
      </c>
      <c r="JK1" s="62">
        <f>DATE(AnnéeCalendrier,9,23)</f>
        <v>43366</v>
      </c>
      <c r="JL1" s="62">
        <f>DATE(AnnéeCalendrier,9,24)</f>
        <v>43367</v>
      </c>
      <c r="JM1" s="62">
        <f>DATE(AnnéeCalendrier,9,25)</f>
        <v>43368</v>
      </c>
      <c r="JN1" s="62">
        <f>DATE(AnnéeCalendrier,9,26)</f>
        <v>43369</v>
      </c>
      <c r="JO1" s="62">
        <f>DATE(AnnéeCalendrier,9,27)</f>
        <v>43370</v>
      </c>
      <c r="JP1" s="62">
        <f>DATE(AnnéeCalendrier,9,28)</f>
        <v>43371</v>
      </c>
      <c r="JQ1" s="62">
        <f>DATE(AnnéeCalendrier,9,29)</f>
        <v>43372</v>
      </c>
      <c r="JR1" s="62">
        <f>DATE(AnnéeCalendrier,9,30)</f>
        <v>43373</v>
      </c>
      <c r="JS1" s="62">
        <f>DATE(AnnéeCalendrier,10,1)</f>
        <v>43374</v>
      </c>
      <c r="JT1" s="62">
        <f>DATE(AnnéeCalendrier,10,2)</f>
        <v>43375</v>
      </c>
      <c r="JU1" s="62">
        <f>DATE(AnnéeCalendrier,10,3)</f>
        <v>43376</v>
      </c>
      <c r="JV1" s="62">
        <f>DATE(AnnéeCalendrier,10,4)</f>
        <v>43377</v>
      </c>
      <c r="JW1" s="62">
        <f>DATE(AnnéeCalendrier,10,5)</f>
        <v>43378</v>
      </c>
      <c r="JX1" s="62">
        <f>DATE(AnnéeCalendrier,10,6)</f>
        <v>43379</v>
      </c>
      <c r="JY1" s="62">
        <f>DATE(AnnéeCalendrier,10,7)</f>
        <v>43380</v>
      </c>
      <c r="JZ1" s="62">
        <f>DATE(AnnéeCalendrier,10,8)</f>
        <v>43381</v>
      </c>
      <c r="KA1" s="62">
        <f>DATE(AnnéeCalendrier,10,9)</f>
        <v>43382</v>
      </c>
      <c r="KB1" s="62">
        <f>DATE(AnnéeCalendrier,10,10)</f>
        <v>43383</v>
      </c>
      <c r="KC1" s="62">
        <f>DATE(AnnéeCalendrier,10,11)</f>
        <v>43384</v>
      </c>
      <c r="KD1" s="62">
        <f>DATE(AnnéeCalendrier,10,12)</f>
        <v>43385</v>
      </c>
      <c r="KE1" s="62">
        <f>DATE(AnnéeCalendrier,10,13)</f>
        <v>43386</v>
      </c>
      <c r="KF1" s="62">
        <f>DATE(AnnéeCalendrier,10,14)</f>
        <v>43387</v>
      </c>
      <c r="KG1" s="62">
        <f>DATE(AnnéeCalendrier,10,15)</f>
        <v>43388</v>
      </c>
      <c r="KH1" s="62">
        <f>DATE(AnnéeCalendrier,10,16)</f>
        <v>43389</v>
      </c>
      <c r="KI1" s="62">
        <f>DATE(AnnéeCalendrier,10,17)</f>
        <v>43390</v>
      </c>
      <c r="KJ1" s="62">
        <f>DATE(AnnéeCalendrier,10,18)</f>
        <v>43391</v>
      </c>
      <c r="KK1" s="62">
        <f>DATE(AnnéeCalendrier,10,19)</f>
        <v>43392</v>
      </c>
      <c r="KL1" s="62">
        <f>DATE(AnnéeCalendrier,10,20)</f>
        <v>43393</v>
      </c>
      <c r="KM1" s="62">
        <f>DATE(AnnéeCalendrier,10,21)</f>
        <v>43394</v>
      </c>
      <c r="KN1" s="62">
        <f>DATE(AnnéeCalendrier,10,22)</f>
        <v>43395</v>
      </c>
      <c r="KO1" s="62">
        <f>DATE(AnnéeCalendrier,10,23)</f>
        <v>43396</v>
      </c>
      <c r="KP1" s="62">
        <f>DATE(AnnéeCalendrier,10,24)</f>
        <v>43397</v>
      </c>
      <c r="KQ1" s="62">
        <f>DATE(AnnéeCalendrier,10,25)</f>
        <v>43398</v>
      </c>
      <c r="KR1" s="62">
        <f>DATE(AnnéeCalendrier,10,26)</f>
        <v>43399</v>
      </c>
      <c r="KS1" s="62">
        <f>DATE(AnnéeCalendrier,10,27)</f>
        <v>43400</v>
      </c>
      <c r="KT1" s="62">
        <f>DATE(AnnéeCalendrier,10,28)</f>
        <v>43401</v>
      </c>
      <c r="KU1" s="62">
        <f>DATE(AnnéeCalendrier,10,29)</f>
        <v>43402</v>
      </c>
      <c r="KV1" s="62">
        <f>DATE(AnnéeCalendrier,10,30)</f>
        <v>43403</v>
      </c>
      <c r="KW1" s="62">
        <f>DATE(AnnéeCalendrier,10,31)</f>
        <v>43404</v>
      </c>
      <c r="KX1" s="62">
        <f>DATE(AnnéeCalendrier,11,1)</f>
        <v>43405</v>
      </c>
      <c r="KY1" s="62">
        <f>DATE(AnnéeCalendrier,11,2)</f>
        <v>43406</v>
      </c>
      <c r="KZ1" s="62">
        <f>DATE(AnnéeCalendrier,11,3)</f>
        <v>43407</v>
      </c>
      <c r="LA1" s="62">
        <f>DATE(AnnéeCalendrier,11,4)</f>
        <v>43408</v>
      </c>
      <c r="LB1" s="62">
        <f>DATE(AnnéeCalendrier,11,5)</f>
        <v>43409</v>
      </c>
      <c r="LC1" s="62">
        <f>DATE(AnnéeCalendrier,11,6)</f>
        <v>43410</v>
      </c>
      <c r="LD1" s="62">
        <f>DATE(AnnéeCalendrier,11,7)</f>
        <v>43411</v>
      </c>
      <c r="LE1" s="62">
        <f>DATE(AnnéeCalendrier,11,8)</f>
        <v>43412</v>
      </c>
      <c r="LF1" s="62">
        <f>DATE(AnnéeCalendrier,11,9)</f>
        <v>43413</v>
      </c>
      <c r="LG1" s="62">
        <f>DATE(AnnéeCalendrier,11,10)</f>
        <v>43414</v>
      </c>
      <c r="LH1" s="62">
        <f>DATE(AnnéeCalendrier,11,11)</f>
        <v>43415</v>
      </c>
      <c r="LI1" s="62">
        <f>DATE(AnnéeCalendrier,11,12)</f>
        <v>43416</v>
      </c>
      <c r="LJ1" s="62">
        <f>DATE(AnnéeCalendrier,11,13)</f>
        <v>43417</v>
      </c>
      <c r="LK1" s="62">
        <f>DATE(AnnéeCalendrier,11,14)</f>
        <v>43418</v>
      </c>
      <c r="LL1" s="62">
        <f>DATE(AnnéeCalendrier,11,15)</f>
        <v>43419</v>
      </c>
      <c r="LM1" s="62">
        <f>DATE(AnnéeCalendrier,11,16)</f>
        <v>43420</v>
      </c>
      <c r="LN1" s="62">
        <f>DATE(AnnéeCalendrier,11,17)</f>
        <v>43421</v>
      </c>
      <c r="LO1" s="62">
        <f>DATE(AnnéeCalendrier,11,18)</f>
        <v>43422</v>
      </c>
      <c r="LP1" s="62">
        <f>DATE(AnnéeCalendrier,11,19)</f>
        <v>43423</v>
      </c>
      <c r="LQ1" s="62">
        <f>DATE(AnnéeCalendrier,11,20)</f>
        <v>43424</v>
      </c>
      <c r="LR1" s="62">
        <f>DATE(AnnéeCalendrier,11,21)</f>
        <v>43425</v>
      </c>
      <c r="LS1" s="62">
        <f>DATE(AnnéeCalendrier,11,22)</f>
        <v>43426</v>
      </c>
      <c r="LT1" s="62">
        <f>DATE(AnnéeCalendrier,11,23)</f>
        <v>43427</v>
      </c>
      <c r="LU1" s="62">
        <f>DATE(AnnéeCalendrier,11,24)</f>
        <v>43428</v>
      </c>
      <c r="LV1" s="62">
        <f>DATE(AnnéeCalendrier,11,25)</f>
        <v>43429</v>
      </c>
      <c r="LW1" s="62">
        <f>DATE(AnnéeCalendrier,11,26)</f>
        <v>43430</v>
      </c>
      <c r="LX1" s="62">
        <f>DATE(AnnéeCalendrier,11,27)</f>
        <v>43431</v>
      </c>
      <c r="LY1" s="62">
        <f>DATE(AnnéeCalendrier,11,28)</f>
        <v>43432</v>
      </c>
      <c r="LZ1" s="62">
        <f>DATE(AnnéeCalendrier,11,29)</f>
        <v>43433</v>
      </c>
      <c r="MA1" s="62">
        <f>DATE(AnnéeCalendrier,11,30)</f>
        <v>43434</v>
      </c>
      <c r="MB1" s="62">
        <f>DATE(AnnéeCalendrier,12,1)</f>
        <v>43435</v>
      </c>
      <c r="MC1" s="62">
        <f>DATE(AnnéeCalendrier,12,2)</f>
        <v>43436</v>
      </c>
      <c r="MD1" s="62">
        <f>DATE(AnnéeCalendrier,12,3)</f>
        <v>43437</v>
      </c>
      <c r="ME1" s="62">
        <f>DATE(AnnéeCalendrier,12,4)</f>
        <v>43438</v>
      </c>
      <c r="MF1" s="62">
        <f>DATE(AnnéeCalendrier,12,5)</f>
        <v>43439</v>
      </c>
      <c r="MG1" s="62">
        <f>DATE(AnnéeCalendrier,12,6)</f>
        <v>43440</v>
      </c>
      <c r="MH1" s="62">
        <f>DATE(AnnéeCalendrier,12,7)</f>
        <v>43441</v>
      </c>
      <c r="MI1" s="62">
        <f>DATE(AnnéeCalendrier,12,8)</f>
        <v>43442</v>
      </c>
      <c r="MJ1" s="62">
        <f>DATE(AnnéeCalendrier,12,9)</f>
        <v>43443</v>
      </c>
      <c r="MK1" s="62">
        <f>DATE(AnnéeCalendrier,12,10)</f>
        <v>43444</v>
      </c>
      <c r="ML1" s="62">
        <f>DATE(AnnéeCalendrier,12,11)</f>
        <v>43445</v>
      </c>
      <c r="MM1" s="62">
        <f>DATE(AnnéeCalendrier,12,12)</f>
        <v>43446</v>
      </c>
      <c r="MN1" s="62">
        <f>DATE(AnnéeCalendrier,12,13)</f>
        <v>43447</v>
      </c>
      <c r="MO1" s="62">
        <f>DATE(AnnéeCalendrier,12,14)</f>
        <v>43448</v>
      </c>
      <c r="MP1" s="62">
        <f>DATE(AnnéeCalendrier,12,15)</f>
        <v>43449</v>
      </c>
      <c r="MQ1" s="62">
        <f>DATE(AnnéeCalendrier,12,16)</f>
        <v>43450</v>
      </c>
      <c r="MR1" s="62">
        <f>DATE(AnnéeCalendrier,12,17)</f>
        <v>43451</v>
      </c>
      <c r="MS1" s="62">
        <f>DATE(AnnéeCalendrier,12,18)</f>
        <v>43452</v>
      </c>
      <c r="MT1" s="62">
        <f>DATE(AnnéeCalendrier,12,19)</f>
        <v>43453</v>
      </c>
      <c r="MU1" s="62">
        <f>DATE(AnnéeCalendrier,12,20)</f>
        <v>43454</v>
      </c>
      <c r="MV1" s="62">
        <f>DATE(AnnéeCalendrier,12,21)</f>
        <v>43455</v>
      </c>
      <c r="MW1" s="62">
        <f>DATE(AnnéeCalendrier,12,22)</f>
        <v>43456</v>
      </c>
      <c r="MX1" s="62">
        <f>DATE(AnnéeCalendrier,12,23)</f>
        <v>43457</v>
      </c>
      <c r="MY1" s="62">
        <f>DATE(AnnéeCalendrier,12,24)</f>
        <v>43458</v>
      </c>
      <c r="MZ1" s="62">
        <f>DATE(AnnéeCalendrier,12,25)</f>
        <v>43459</v>
      </c>
      <c r="NA1" s="62">
        <f>DATE(AnnéeCalendrier,12,26)</f>
        <v>43460</v>
      </c>
      <c r="NB1" s="62">
        <f>DATE(AnnéeCalendrier,12,27)</f>
        <v>43461</v>
      </c>
      <c r="NC1" s="62">
        <f>DATE(AnnéeCalendrier,12,28)</f>
        <v>43462</v>
      </c>
      <c r="ND1" s="62">
        <f>DATE(AnnéeCalendrier,12,29)</f>
        <v>43463</v>
      </c>
      <c r="NE1" s="62">
        <f>DATE(AnnéeCalendrier,12,30)</f>
        <v>43464</v>
      </c>
      <c r="NF1" s="62">
        <f>DATE(AnnéeCalendrier,12,31)</f>
        <v>43465</v>
      </c>
    </row>
    <row r="2" spans="1:394" ht="50.25" customHeight="1" x14ac:dyDescent="0.2">
      <c r="A2" s="3" t="s">
        <v>0</v>
      </c>
      <c r="B2" s="2"/>
      <c r="D2" s="3"/>
      <c r="E2" s="3"/>
      <c r="F2" s="59"/>
      <c r="G2" s="59"/>
      <c r="H2" s="59"/>
      <c r="I2" s="59"/>
      <c r="J2" s="59"/>
      <c r="K2" s="59"/>
      <c r="L2" s="59"/>
      <c r="M2" s="59"/>
      <c r="N2" s="59"/>
      <c r="O2" s="59"/>
      <c r="P2" s="59"/>
      <c r="Q2" s="59"/>
      <c r="R2" s="59"/>
      <c r="S2" s="59"/>
      <c r="T2" s="59"/>
      <c r="U2" s="59"/>
      <c r="V2" s="59"/>
      <c r="W2" s="59"/>
      <c r="X2" s="59"/>
      <c r="Y2" s="59"/>
      <c r="Z2" s="59"/>
      <c r="AA2" s="59"/>
      <c r="AB2" s="59"/>
      <c r="AC2" s="59"/>
      <c r="AD2" s="59"/>
      <c r="AE2" s="59"/>
      <c r="AF2" s="59"/>
      <c r="AG2" s="59"/>
      <c r="AH2" s="59"/>
      <c r="AI2" s="59"/>
      <c r="AJ2" s="59"/>
      <c r="NN2" t="s">
        <v>286</v>
      </c>
      <c r="NO2" s="67">
        <f ca="1">TODAY()</f>
        <v>43247</v>
      </c>
    </row>
    <row r="3" spans="1:394" ht="15" customHeight="1" x14ac:dyDescent="0.2">
      <c r="A3" s="8" t="s">
        <v>10</v>
      </c>
      <c r="D3" s="4" t="s">
        <v>1</v>
      </c>
      <c r="F3" s="5" t="s">
        <v>2</v>
      </c>
      <c r="G3" s="142" t="s">
        <v>3</v>
      </c>
      <c r="H3" s="142"/>
      <c r="I3" s="5" t="s">
        <v>115</v>
      </c>
      <c r="J3" s="143" t="s">
        <v>116</v>
      </c>
      <c r="K3" s="143"/>
      <c r="L3" s="38"/>
      <c r="M3" s="38" t="s">
        <v>4</v>
      </c>
      <c r="N3" s="53" t="s">
        <v>4</v>
      </c>
      <c r="P3" s="66" t="s">
        <v>5</v>
      </c>
      <c r="Q3" s="65" t="s">
        <v>6</v>
      </c>
      <c r="R3" s="38"/>
      <c r="S3" s="38"/>
      <c r="T3" s="66" t="s">
        <v>279</v>
      </c>
      <c r="U3" s="142" t="s">
        <v>281</v>
      </c>
      <c r="V3" s="142"/>
      <c r="W3" s="6"/>
      <c r="X3" s="7" t="s">
        <v>8</v>
      </c>
      <c r="Y3" s="38" t="s">
        <v>9</v>
      </c>
      <c r="Z3" s="6"/>
      <c r="AA3" s="1" t="str">
        <f>IFERROR(VLOOKUP(G9,Feuil1!B:C,INDEX(#REF!,MATCH($A9,#REF!,0),MATCH(#REF!,#REF!,0)),FALSE),"")</f>
        <v/>
      </c>
      <c r="AB3" s="4" t="s">
        <v>280</v>
      </c>
      <c r="AC3" s="144" t="s">
        <v>282</v>
      </c>
      <c r="AD3" s="144"/>
      <c r="AF3" s="8"/>
      <c r="AG3" s="4" t="s">
        <v>276</v>
      </c>
      <c r="AH3" s="144" t="s">
        <v>283</v>
      </c>
      <c r="AI3" s="144"/>
      <c r="AK3" s="4" t="s">
        <v>293</v>
      </c>
      <c r="AL3" s="1" t="s">
        <v>293</v>
      </c>
      <c r="NN3" t="s">
        <v>287</v>
      </c>
      <c r="NO3">
        <f ca="1">NETWORKDAYS(F1,NO2,JFériés!D2:D11)</f>
        <v>100</v>
      </c>
    </row>
    <row r="4" spans="1:394" ht="15" customHeight="1" thickBot="1" x14ac:dyDescent="0.25">
      <c r="A4" s="10">
        <v>2018</v>
      </c>
      <c r="D4" s="10"/>
      <c r="AF4" s="10"/>
    </row>
    <row r="5" spans="1:394" ht="30" customHeight="1" thickBot="1" x14ac:dyDescent="0.25">
      <c r="A5" s="60" t="s">
        <v>12</v>
      </c>
      <c r="D5" s="37"/>
      <c r="E5" s="37"/>
      <c r="F5" s="139" t="s">
        <v>11</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1"/>
      <c r="AK5" s="139" t="s">
        <v>45</v>
      </c>
      <c r="AL5" s="140"/>
      <c r="AM5" s="140"/>
      <c r="AN5" s="140"/>
      <c r="AO5" s="140"/>
      <c r="AP5" s="140"/>
      <c r="AQ5" s="140"/>
      <c r="AR5" s="140"/>
      <c r="AS5" s="140"/>
      <c r="AT5" s="140"/>
      <c r="AU5" s="140"/>
      <c r="AV5" s="140"/>
      <c r="AW5" s="140"/>
      <c r="AX5" s="140"/>
      <c r="AY5" s="140"/>
      <c r="AZ5" s="140"/>
      <c r="BA5" s="140"/>
      <c r="BB5" s="140"/>
      <c r="BC5" s="140"/>
      <c r="BD5" s="140"/>
      <c r="BE5" s="140"/>
      <c r="BF5" s="140"/>
      <c r="BG5" s="140"/>
      <c r="BH5" s="140"/>
      <c r="BI5" s="140"/>
      <c r="BJ5" s="140"/>
      <c r="BK5" s="140"/>
      <c r="BL5" s="141"/>
      <c r="BM5" s="139" t="s">
        <v>47</v>
      </c>
      <c r="BN5" s="140"/>
      <c r="BO5" s="140"/>
      <c r="BP5" s="140"/>
      <c r="BQ5" s="140"/>
      <c r="BR5" s="140"/>
      <c r="BS5" s="140"/>
      <c r="BT5" s="140"/>
      <c r="BU5" s="140"/>
      <c r="BV5" s="140"/>
      <c r="BW5" s="140"/>
      <c r="BX5" s="140"/>
      <c r="BY5" s="140"/>
      <c r="BZ5" s="140"/>
      <c r="CA5" s="140"/>
      <c r="CB5" s="140"/>
      <c r="CC5" s="140"/>
      <c r="CD5" s="140"/>
      <c r="CE5" s="140"/>
      <c r="CF5" s="140"/>
      <c r="CG5" s="140"/>
      <c r="CH5" s="140"/>
      <c r="CI5" s="140"/>
      <c r="CJ5" s="140"/>
      <c r="CK5" s="140"/>
      <c r="CL5" s="140"/>
      <c r="CM5" s="140"/>
      <c r="CN5" s="140"/>
      <c r="CO5" s="140"/>
      <c r="CP5" s="140"/>
      <c r="CQ5" s="141"/>
      <c r="CR5" s="139" t="s">
        <v>48</v>
      </c>
      <c r="CS5" s="140"/>
      <c r="CT5" s="140"/>
      <c r="CU5" s="140"/>
      <c r="CV5" s="140"/>
      <c r="CW5" s="140"/>
      <c r="CX5" s="140"/>
      <c r="CY5" s="140"/>
      <c r="CZ5" s="140"/>
      <c r="DA5" s="140"/>
      <c r="DB5" s="140"/>
      <c r="DC5" s="140"/>
      <c r="DD5" s="140"/>
      <c r="DE5" s="140"/>
      <c r="DF5" s="140"/>
      <c r="DG5" s="140"/>
      <c r="DH5" s="140"/>
      <c r="DI5" s="140"/>
      <c r="DJ5" s="140"/>
      <c r="DK5" s="140"/>
      <c r="DL5" s="140"/>
      <c r="DM5" s="140"/>
      <c r="DN5" s="140"/>
      <c r="DO5" s="140"/>
      <c r="DP5" s="140"/>
      <c r="DQ5" s="140"/>
      <c r="DR5" s="140"/>
      <c r="DS5" s="140"/>
      <c r="DT5" s="140"/>
      <c r="DU5" s="141"/>
      <c r="DV5" s="139" t="s">
        <v>49</v>
      </c>
      <c r="DW5" s="140"/>
      <c r="DX5" s="140"/>
      <c r="DY5" s="140"/>
      <c r="DZ5" s="140"/>
      <c r="EA5" s="140"/>
      <c r="EB5" s="140"/>
      <c r="EC5" s="140"/>
      <c r="ED5" s="140"/>
      <c r="EE5" s="140"/>
      <c r="EF5" s="140"/>
      <c r="EG5" s="140"/>
      <c r="EH5" s="140"/>
      <c r="EI5" s="140"/>
      <c r="EJ5" s="140"/>
      <c r="EK5" s="140"/>
      <c r="EL5" s="140"/>
      <c r="EM5" s="140"/>
      <c r="EN5" s="140"/>
      <c r="EO5" s="140"/>
      <c r="EP5" s="140"/>
      <c r="EQ5" s="140"/>
      <c r="ER5" s="140"/>
      <c r="ES5" s="140"/>
      <c r="ET5" s="140"/>
      <c r="EU5" s="140"/>
      <c r="EV5" s="140"/>
      <c r="EW5" s="140"/>
      <c r="EX5" s="140"/>
      <c r="EY5" s="140"/>
      <c r="EZ5" s="141"/>
      <c r="FA5" s="139" t="s">
        <v>50</v>
      </c>
      <c r="FB5" s="140"/>
      <c r="FC5" s="140"/>
      <c r="FD5" s="140"/>
      <c r="FE5" s="140"/>
      <c r="FF5" s="140"/>
      <c r="FG5" s="140"/>
      <c r="FH5" s="140"/>
      <c r="FI5" s="140"/>
      <c r="FJ5" s="140"/>
      <c r="FK5" s="140"/>
      <c r="FL5" s="140"/>
      <c r="FM5" s="140"/>
      <c r="FN5" s="140"/>
      <c r="FO5" s="140"/>
      <c r="FP5" s="140"/>
      <c r="FQ5" s="140"/>
      <c r="FR5" s="140"/>
      <c r="FS5" s="140"/>
      <c r="FT5" s="140"/>
      <c r="FU5" s="140"/>
      <c r="FV5" s="140"/>
      <c r="FW5" s="140"/>
      <c r="FX5" s="140"/>
      <c r="FY5" s="140"/>
      <c r="FZ5" s="140"/>
      <c r="GA5" s="140"/>
      <c r="GB5" s="140"/>
      <c r="GC5" s="140"/>
      <c r="GD5" s="141"/>
      <c r="GE5" s="139" t="s">
        <v>51</v>
      </c>
      <c r="GF5" s="140"/>
      <c r="GG5" s="140"/>
      <c r="GH5" s="140"/>
      <c r="GI5" s="140"/>
      <c r="GJ5" s="140"/>
      <c r="GK5" s="140"/>
      <c r="GL5" s="140"/>
      <c r="GM5" s="140"/>
      <c r="GN5" s="140"/>
      <c r="GO5" s="140"/>
      <c r="GP5" s="140"/>
      <c r="GQ5" s="140"/>
      <c r="GR5" s="140"/>
      <c r="GS5" s="140"/>
      <c r="GT5" s="140"/>
      <c r="GU5" s="140"/>
      <c r="GV5" s="140"/>
      <c r="GW5" s="140"/>
      <c r="GX5" s="140"/>
      <c r="GY5" s="140"/>
      <c r="GZ5" s="140"/>
      <c r="HA5" s="140"/>
      <c r="HB5" s="140"/>
      <c r="HC5" s="140"/>
      <c r="HD5" s="140"/>
      <c r="HE5" s="140"/>
      <c r="HF5" s="140"/>
      <c r="HG5" s="140"/>
      <c r="HH5" s="140"/>
      <c r="HI5" s="141"/>
      <c r="HJ5" s="139" t="s">
        <v>52</v>
      </c>
      <c r="HK5" s="140"/>
      <c r="HL5" s="140"/>
      <c r="HM5" s="140"/>
      <c r="HN5" s="140"/>
      <c r="HO5" s="140"/>
      <c r="HP5" s="140"/>
      <c r="HQ5" s="140"/>
      <c r="HR5" s="140"/>
      <c r="HS5" s="140"/>
      <c r="HT5" s="140"/>
      <c r="HU5" s="140"/>
      <c r="HV5" s="140"/>
      <c r="HW5" s="140"/>
      <c r="HX5" s="140"/>
      <c r="HY5" s="140"/>
      <c r="HZ5" s="140"/>
      <c r="IA5" s="140"/>
      <c r="IB5" s="140"/>
      <c r="IC5" s="140"/>
      <c r="ID5" s="140"/>
      <c r="IE5" s="140"/>
      <c r="IF5" s="140"/>
      <c r="IG5" s="140"/>
      <c r="IH5" s="140"/>
      <c r="II5" s="140"/>
      <c r="IJ5" s="140"/>
      <c r="IK5" s="140"/>
      <c r="IL5" s="140"/>
      <c r="IM5" s="140"/>
      <c r="IN5" s="141"/>
      <c r="IO5" s="139" t="s">
        <v>53</v>
      </c>
      <c r="IP5" s="140"/>
      <c r="IQ5" s="140"/>
      <c r="IR5" s="140"/>
      <c r="IS5" s="140"/>
      <c r="IT5" s="140"/>
      <c r="IU5" s="140"/>
      <c r="IV5" s="140"/>
      <c r="IW5" s="140"/>
      <c r="IX5" s="140"/>
      <c r="IY5" s="140"/>
      <c r="IZ5" s="140"/>
      <c r="JA5" s="140"/>
      <c r="JB5" s="140"/>
      <c r="JC5" s="140"/>
      <c r="JD5" s="140"/>
      <c r="JE5" s="140"/>
      <c r="JF5" s="140"/>
      <c r="JG5" s="140"/>
      <c r="JH5" s="140"/>
      <c r="JI5" s="140"/>
      <c r="JJ5" s="140"/>
      <c r="JK5" s="140"/>
      <c r="JL5" s="140"/>
      <c r="JM5" s="140"/>
      <c r="JN5" s="140"/>
      <c r="JO5" s="140"/>
      <c r="JP5" s="140"/>
      <c r="JQ5" s="140"/>
      <c r="JR5" s="141"/>
      <c r="JS5" s="139" t="s">
        <v>54</v>
      </c>
      <c r="JT5" s="140"/>
      <c r="JU5" s="140"/>
      <c r="JV5" s="140"/>
      <c r="JW5" s="140"/>
      <c r="JX5" s="140"/>
      <c r="JY5" s="140"/>
      <c r="JZ5" s="140"/>
      <c r="KA5" s="140"/>
      <c r="KB5" s="140"/>
      <c r="KC5" s="140"/>
      <c r="KD5" s="140"/>
      <c r="KE5" s="140"/>
      <c r="KF5" s="140"/>
      <c r="KG5" s="140"/>
      <c r="KH5" s="140"/>
      <c r="KI5" s="140"/>
      <c r="KJ5" s="140"/>
      <c r="KK5" s="140"/>
      <c r="KL5" s="140"/>
      <c r="KM5" s="140"/>
      <c r="KN5" s="140"/>
      <c r="KO5" s="140"/>
      <c r="KP5" s="140"/>
      <c r="KQ5" s="140"/>
      <c r="KR5" s="140"/>
      <c r="KS5" s="140"/>
      <c r="KT5" s="140"/>
      <c r="KU5" s="140"/>
      <c r="KV5" s="140"/>
      <c r="KW5" s="141"/>
      <c r="KX5" s="139" t="s">
        <v>55</v>
      </c>
      <c r="KY5" s="140"/>
      <c r="KZ5" s="140"/>
      <c r="LA5" s="140"/>
      <c r="LB5" s="140"/>
      <c r="LC5" s="140"/>
      <c r="LD5" s="140"/>
      <c r="LE5" s="140"/>
      <c r="LF5" s="140"/>
      <c r="LG5" s="140"/>
      <c r="LH5" s="140"/>
      <c r="LI5" s="140"/>
      <c r="LJ5" s="140"/>
      <c r="LK5" s="140"/>
      <c r="LL5" s="140"/>
      <c r="LM5" s="140"/>
      <c r="LN5" s="140"/>
      <c r="LO5" s="140"/>
      <c r="LP5" s="140"/>
      <c r="LQ5" s="140"/>
      <c r="LR5" s="140"/>
      <c r="LS5" s="140"/>
      <c r="LT5" s="140"/>
      <c r="LU5" s="140"/>
      <c r="LV5" s="140"/>
      <c r="LW5" s="140"/>
      <c r="LX5" s="140"/>
      <c r="LY5" s="140"/>
      <c r="LZ5" s="140"/>
      <c r="MA5" s="141"/>
      <c r="MB5" s="139" t="s">
        <v>56</v>
      </c>
      <c r="MC5" s="140"/>
      <c r="MD5" s="140"/>
      <c r="ME5" s="140"/>
      <c r="MF5" s="140"/>
      <c r="MG5" s="140"/>
      <c r="MH5" s="140"/>
      <c r="MI5" s="140"/>
      <c r="MJ5" s="140"/>
      <c r="MK5" s="140"/>
      <c r="ML5" s="140"/>
      <c r="MM5" s="140"/>
      <c r="MN5" s="140"/>
      <c r="MO5" s="140"/>
      <c r="MP5" s="140"/>
      <c r="MQ5" s="140"/>
      <c r="MR5" s="140"/>
      <c r="MS5" s="140"/>
      <c r="MT5" s="140"/>
      <c r="MU5" s="140"/>
      <c r="MV5" s="140"/>
      <c r="MW5" s="140"/>
      <c r="MX5" s="140"/>
      <c r="MY5" s="140"/>
      <c r="MZ5" s="140"/>
      <c r="NA5" s="140"/>
      <c r="NB5" s="140"/>
      <c r="NC5" s="140"/>
      <c r="ND5" s="140"/>
      <c r="NE5" s="140"/>
      <c r="NF5" s="141"/>
    </row>
    <row r="6" spans="1:394" ht="15" customHeight="1" x14ac:dyDescent="0.2">
      <c r="D6" s="10"/>
      <c r="E6" s="10"/>
      <c r="F6" s="45" t="str">
        <f>TEXT(WEEKDAY(DATE(AnnéeCalendrier,1,1),1),"jjj")</f>
        <v>lun</v>
      </c>
      <c r="G6" s="35" t="str">
        <f>TEXT(WEEKDAY(DATE(AnnéeCalendrier,1,2),1),"jjj")</f>
        <v>mar</v>
      </c>
      <c r="H6" s="35" t="str">
        <f>TEXT(WEEKDAY(DATE(AnnéeCalendrier,1,3),1),"jjj")</f>
        <v>mer</v>
      </c>
      <c r="I6" s="35" t="str">
        <f>TEXT(WEEKDAY(DATE(AnnéeCalendrier,1,4),1),"jjj")</f>
        <v>jeu</v>
      </c>
      <c r="J6" s="35" t="str">
        <f>TEXT(WEEKDAY(DATE(AnnéeCalendrier,1,5),1),"jjj")</f>
        <v>ven</v>
      </c>
      <c r="K6" s="35" t="str">
        <f>TEXT(WEEKDAY(DATE(AnnéeCalendrier,1,6),1),"jjj")</f>
        <v>sam</v>
      </c>
      <c r="L6" s="35" t="str">
        <f>TEXT(WEEKDAY(DATE(AnnéeCalendrier,1,7),1),"jjj")</f>
        <v>dim</v>
      </c>
      <c r="M6" s="35" t="str">
        <f>TEXT(WEEKDAY(DATE(AnnéeCalendrier,1,8),1),"jjj")</f>
        <v>lun</v>
      </c>
      <c r="N6" s="35" t="str">
        <f>TEXT(WEEKDAY(DATE(AnnéeCalendrier,1,9),1),"jjj")</f>
        <v>mar</v>
      </c>
      <c r="O6" s="35" t="str">
        <f>TEXT(WEEKDAY(DATE(AnnéeCalendrier,1,10),1),"jjj")</f>
        <v>mer</v>
      </c>
      <c r="P6" s="35" t="str">
        <f>TEXT(WEEKDAY(DATE(AnnéeCalendrier,1,11),1),"jjj")</f>
        <v>jeu</v>
      </c>
      <c r="Q6" s="35" t="str">
        <f>TEXT(WEEKDAY(DATE(AnnéeCalendrier,1,12),1),"jjj")</f>
        <v>ven</v>
      </c>
      <c r="R6" s="35" t="str">
        <f>TEXT(WEEKDAY(DATE(AnnéeCalendrier,1,13),1),"jjj")</f>
        <v>sam</v>
      </c>
      <c r="S6" s="35" t="str">
        <f>TEXT(WEEKDAY(DATE(AnnéeCalendrier,1,14),1),"jjj")</f>
        <v>dim</v>
      </c>
      <c r="T6" s="35" t="str">
        <f>TEXT(WEEKDAY(DATE(AnnéeCalendrier,1,15),1),"jjj")</f>
        <v>lun</v>
      </c>
      <c r="U6" s="35" t="str">
        <f>TEXT(WEEKDAY(DATE(AnnéeCalendrier,1,16),1),"jjj")</f>
        <v>mar</v>
      </c>
      <c r="V6" s="35" t="str">
        <f>TEXT(WEEKDAY(DATE(AnnéeCalendrier,1,17),1),"jjj")</f>
        <v>mer</v>
      </c>
      <c r="W6" s="35" t="str">
        <f>TEXT(WEEKDAY(DATE(AnnéeCalendrier,1,18),1),"jjj")</f>
        <v>jeu</v>
      </c>
      <c r="X6" s="35" t="str">
        <f>TEXT(WEEKDAY(DATE(AnnéeCalendrier,1,19),1),"jjj")</f>
        <v>ven</v>
      </c>
      <c r="Y6" s="35" t="str">
        <f>TEXT(WEEKDAY(DATE(AnnéeCalendrier,1,20),1),"jjj")</f>
        <v>sam</v>
      </c>
      <c r="Z6" s="35" t="str">
        <f>TEXT(WEEKDAY(DATE(AnnéeCalendrier,1,21),1),"jjj")</f>
        <v>dim</v>
      </c>
      <c r="AA6" s="35" t="str">
        <f>TEXT(WEEKDAY(DATE(AnnéeCalendrier,1,22),1),"jjj")</f>
        <v>lun</v>
      </c>
      <c r="AB6" s="35" t="str">
        <f>TEXT(WEEKDAY(DATE(AnnéeCalendrier,1,23),1),"jjj")</f>
        <v>mar</v>
      </c>
      <c r="AC6" s="35" t="str">
        <f>TEXT(WEEKDAY(DATE(AnnéeCalendrier,1,24),1),"jjj")</f>
        <v>mer</v>
      </c>
      <c r="AD6" s="35" t="str">
        <f>TEXT(WEEKDAY(DATE(AnnéeCalendrier,1,25),1),"jjj")</f>
        <v>jeu</v>
      </c>
      <c r="AE6" s="35" t="str">
        <f>TEXT(WEEKDAY(DATE(AnnéeCalendrier,1,26),1),"jjj")</f>
        <v>ven</v>
      </c>
      <c r="AF6" s="35" t="str">
        <f>TEXT(WEEKDAY(DATE(AnnéeCalendrier,1,27),1),"jjj")</f>
        <v>sam</v>
      </c>
      <c r="AG6" s="35" t="str">
        <f>TEXT(WEEKDAY(DATE(AnnéeCalendrier,1,28),1),"jjj")</f>
        <v>dim</v>
      </c>
      <c r="AH6" s="35" t="str">
        <f>TEXT(WEEKDAY(DATE(AnnéeCalendrier,1,29),1),"jjj")</f>
        <v>lun</v>
      </c>
      <c r="AI6" s="35" t="str">
        <f>TEXT(WEEKDAY(DATE(AnnéeCalendrier,1,30),1),"jjj")</f>
        <v>mar</v>
      </c>
      <c r="AJ6" s="46" t="str">
        <f>TEXT(WEEKDAY(DATE(AnnéeCalendrier,1,31),1),"jjj")</f>
        <v>mer</v>
      </c>
      <c r="AK6" s="45" t="str">
        <f>TEXT(WEEKDAY(DATE(AnnéeCalendrier,2,1),1),"jjj")</f>
        <v>jeu</v>
      </c>
      <c r="AL6" s="35" t="str">
        <f>TEXT(WEEKDAY(DATE(AnnéeCalendrier,2,2),1),"jjj")</f>
        <v>ven</v>
      </c>
      <c r="AM6" s="35" t="str">
        <f>TEXT(WEEKDAY(DATE(AnnéeCalendrier,2,3),1),"jjj")</f>
        <v>sam</v>
      </c>
      <c r="AN6" s="35" t="str">
        <f>TEXT(WEEKDAY(DATE(AnnéeCalendrier,2,4),1),"jjj")</f>
        <v>dim</v>
      </c>
      <c r="AO6" s="35" t="str">
        <f>TEXT(WEEKDAY(DATE(AnnéeCalendrier,2,5),1),"jjj")</f>
        <v>lun</v>
      </c>
      <c r="AP6" s="35" t="str">
        <f>TEXT(WEEKDAY(DATE(AnnéeCalendrier,2,6),1),"jjj")</f>
        <v>mar</v>
      </c>
      <c r="AQ6" s="35" t="str">
        <f>TEXT(WEEKDAY(DATE(AnnéeCalendrier,2,7),1),"jjj")</f>
        <v>mer</v>
      </c>
      <c r="AR6" s="35" t="str">
        <f>TEXT(WEEKDAY(DATE(AnnéeCalendrier,2,8),1),"jjj")</f>
        <v>jeu</v>
      </c>
      <c r="AS6" s="35" t="str">
        <f>TEXT(WEEKDAY(DATE(AnnéeCalendrier,2,9),1),"jjj")</f>
        <v>ven</v>
      </c>
      <c r="AT6" s="35" t="str">
        <f>TEXT(WEEKDAY(DATE(AnnéeCalendrier,2,10),1),"jjj")</f>
        <v>sam</v>
      </c>
      <c r="AU6" s="35" t="str">
        <f>TEXT(WEEKDAY(DATE(AnnéeCalendrier,2,11),1),"jjj")</f>
        <v>dim</v>
      </c>
      <c r="AV6" s="35" t="str">
        <f>TEXT(WEEKDAY(DATE(AnnéeCalendrier,2,12),1),"jjj")</f>
        <v>lun</v>
      </c>
      <c r="AW6" s="35" t="str">
        <f>TEXT(WEEKDAY(DATE(AnnéeCalendrier,2,13),1),"jjj")</f>
        <v>mar</v>
      </c>
      <c r="AX6" s="35" t="str">
        <f>TEXT(WEEKDAY(DATE(AnnéeCalendrier,2,14),1),"jjj")</f>
        <v>mer</v>
      </c>
      <c r="AY6" s="35" t="str">
        <f>TEXT(WEEKDAY(DATE(AnnéeCalendrier,2,15),1),"jjj")</f>
        <v>jeu</v>
      </c>
      <c r="AZ6" s="35" t="str">
        <f>TEXT(WEEKDAY(DATE(AnnéeCalendrier,2,16),1),"jjj")</f>
        <v>ven</v>
      </c>
      <c r="BA6" s="35" t="str">
        <f>TEXT(WEEKDAY(DATE(AnnéeCalendrier,2,17),1),"jjj")</f>
        <v>sam</v>
      </c>
      <c r="BB6" s="35" t="str">
        <f>TEXT(WEEKDAY(DATE(AnnéeCalendrier,2,18),1),"jjj")</f>
        <v>dim</v>
      </c>
      <c r="BC6" s="35" t="str">
        <f>TEXT(WEEKDAY(DATE(AnnéeCalendrier,2,19),1),"jjj")</f>
        <v>lun</v>
      </c>
      <c r="BD6" s="35" t="str">
        <f>TEXT(WEEKDAY(DATE(AnnéeCalendrier,2,20),1),"jjj")</f>
        <v>mar</v>
      </c>
      <c r="BE6" s="35" t="str">
        <f>TEXT(WEEKDAY(DATE(AnnéeCalendrier,2,21),1),"jjj")</f>
        <v>mer</v>
      </c>
      <c r="BF6" s="35" t="str">
        <f>TEXT(WEEKDAY(DATE(AnnéeCalendrier,2,22),1),"jjj")</f>
        <v>jeu</v>
      </c>
      <c r="BG6" s="35" t="str">
        <f>TEXT(WEEKDAY(DATE(AnnéeCalendrier,2,23),1),"jjj")</f>
        <v>ven</v>
      </c>
      <c r="BH6" s="35" t="str">
        <f>TEXT(WEEKDAY(DATE(AnnéeCalendrier,2,24),1),"jjj")</f>
        <v>sam</v>
      </c>
      <c r="BI6" s="35" t="str">
        <f>TEXT(WEEKDAY(DATE(AnnéeCalendrier,2,25),1),"jjj")</f>
        <v>dim</v>
      </c>
      <c r="BJ6" s="35" t="str">
        <f>TEXT(WEEKDAY(DATE(AnnéeCalendrier,2,26),1),"jjj")</f>
        <v>lun</v>
      </c>
      <c r="BK6" s="35" t="str">
        <f>TEXT(WEEKDAY(DATE(AnnéeCalendrier,2,27),1),"jjj")</f>
        <v>mar</v>
      </c>
      <c r="BL6" s="46" t="str">
        <f>TEXT(WEEKDAY(DATE(AnnéeCalendrier,2,28),1),"jjj")</f>
        <v>mer</v>
      </c>
      <c r="BM6" s="45" t="str">
        <f>TEXT(WEEKDAY(DATE(AnnéeCalendrier,3,1),1),"jjj")</f>
        <v>jeu</v>
      </c>
      <c r="BN6" s="35" t="str">
        <f>TEXT(WEEKDAY(DATE(AnnéeCalendrier,3,2),1),"jjj")</f>
        <v>ven</v>
      </c>
      <c r="BO6" s="35" t="str">
        <f>TEXT(WEEKDAY(DATE(AnnéeCalendrier,3,3),1),"jjj")</f>
        <v>sam</v>
      </c>
      <c r="BP6" s="35" t="str">
        <f>TEXT(WEEKDAY(DATE(AnnéeCalendrier,3,4),1),"jjj")</f>
        <v>dim</v>
      </c>
      <c r="BQ6" s="35" t="str">
        <f>TEXT(WEEKDAY(DATE(AnnéeCalendrier,3,5),1),"jjj")</f>
        <v>lun</v>
      </c>
      <c r="BR6" s="35" t="str">
        <f>TEXT(WEEKDAY(DATE(AnnéeCalendrier,3,6),1),"jjj")</f>
        <v>mar</v>
      </c>
      <c r="BS6" s="35" t="str">
        <f>TEXT(WEEKDAY(DATE(AnnéeCalendrier,3,7),1),"jjj")</f>
        <v>mer</v>
      </c>
      <c r="BT6" s="35" t="str">
        <f>TEXT(WEEKDAY(DATE(AnnéeCalendrier,3,8),1),"jjj")</f>
        <v>jeu</v>
      </c>
      <c r="BU6" s="35" t="str">
        <f>TEXT(WEEKDAY(DATE(AnnéeCalendrier,3,9),1),"jjj")</f>
        <v>ven</v>
      </c>
      <c r="BV6" s="35" t="str">
        <f>TEXT(WEEKDAY(DATE(AnnéeCalendrier,3,10),1),"jjj")</f>
        <v>sam</v>
      </c>
      <c r="BW6" s="35" t="str">
        <f>TEXT(WEEKDAY(DATE(AnnéeCalendrier,3,11),1),"jjj")</f>
        <v>dim</v>
      </c>
      <c r="BX6" s="35" t="str">
        <f>TEXT(WEEKDAY(DATE(AnnéeCalendrier,3,12),1),"jjj")</f>
        <v>lun</v>
      </c>
      <c r="BY6" s="35" t="str">
        <f>TEXT(WEEKDAY(DATE(AnnéeCalendrier,3,13),1),"jjj")</f>
        <v>mar</v>
      </c>
      <c r="BZ6" s="35" t="str">
        <f>TEXT(WEEKDAY(DATE(AnnéeCalendrier,3,14),1),"jjj")</f>
        <v>mer</v>
      </c>
      <c r="CA6" s="35" t="str">
        <f>TEXT(WEEKDAY(DATE(AnnéeCalendrier,3,15),1),"jjj")</f>
        <v>jeu</v>
      </c>
      <c r="CB6" s="35" t="str">
        <f>TEXT(WEEKDAY(DATE(AnnéeCalendrier,3,16),1),"jjj")</f>
        <v>ven</v>
      </c>
      <c r="CC6" s="35" t="str">
        <f>TEXT(WEEKDAY(DATE(AnnéeCalendrier,3,17),1),"jjj")</f>
        <v>sam</v>
      </c>
      <c r="CD6" s="35" t="str">
        <f>TEXT(WEEKDAY(DATE(AnnéeCalendrier,3,18),1),"jjj")</f>
        <v>dim</v>
      </c>
      <c r="CE6" s="35" t="str">
        <f>TEXT(WEEKDAY(DATE(AnnéeCalendrier,3,19),1),"jjj")</f>
        <v>lun</v>
      </c>
      <c r="CF6" s="35" t="str">
        <f>TEXT(WEEKDAY(DATE(AnnéeCalendrier,3,20),1),"jjj")</f>
        <v>mar</v>
      </c>
      <c r="CG6" s="35" t="str">
        <f>TEXT(WEEKDAY(DATE(AnnéeCalendrier,3,21),1),"jjj")</f>
        <v>mer</v>
      </c>
      <c r="CH6" s="35" t="str">
        <f>TEXT(WEEKDAY(DATE(AnnéeCalendrier,3,22),1),"jjj")</f>
        <v>jeu</v>
      </c>
      <c r="CI6" s="35" t="str">
        <f>TEXT(WEEKDAY(DATE(AnnéeCalendrier,3,23),1),"jjj")</f>
        <v>ven</v>
      </c>
      <c r="CJ6" s="35" t="str">
        <f>TEXT(WEEKDAY(DATE(AnnéeCalendrier,3,24),1),"jjj")</f>
        <v>sam</v>
      </c>
      <c r="CK6" s="35" t="str">
        <f>TEXT(WEEKDAY(DATE(AnnéeCalendrier,3,25),1),"jjj")</f>
        <v>dim</v>
      </c>
      <c r="CL6" s="35" t="str">
        <f>TEXT(WEEKDAY(DATE(AnnéeCalendrier,3,26),1),"jjj")</f>
        <v>lun</v>
      </c>
      <c r="CM6" s="35" t="str">
        <f>TEXT(WEEKDAY(DATE(AnnéeCalendrier,3,27),1),"jjj")</f>
        <v>mar</v>
      </c>
      <c r="CN6" s="35" t="str">
        <f>TEXT(WEEKDAY(DATE(AnnéeCalendrier,3,28),1),"jjj")</f>
        <v>mer</v>
      </c>
      <c r="CO6" s="35" t="str">
        <f>TEXT(WEEKDAY(DATE(AnnéeCalendrier,3,29),1),"jjj")</f>
        <v>jeu</v>
      </c>
      <c r="CP6" s="35" t="str">
        <f>TEXT(WEEKDAY(DATE(AnnéeCalendrier,3,30),1),"jjj")</f>
        <v>ven</v>
      </c>
      <c r="CQ6" s="46" t="str">
        <f>TEXT(WEEKDAY(DATE(AnnéeCalendrier,3,31),1),"jjj")</f>
        <v>sam</v>
      </c>
      <c r="CR6" s="45" t="str">
        <f>TEXT(WEEKDAY(DATE(AnnéeCalendrier,4,1),1),"jjj")</f>
        <v>dim</v>
      </c>
      <c r="CS6" s="35" t="str">
        <f>TEXT(WEEKDAY(DATE(AnnéeCalendrier,4,2),1),"jjj")</f>
        <v>lun</v>
      </c>
      <c r="CT6" s="35" t="str">
        <f>TEXT(WEEKDAY(DATE(AnnéeCalendrier,4,3),1),"jjj")</f>
        <v>mar</v>
      </c>
      <c r="CU6" s="35" t="str">
        <f>TEXT(WEEKDAY(DATE(AnnéeCalendrier,4,4),1),"jjj")</f>
        <v>mer</v>
      </c>
      <c r="CV6" s="35" t="str">
        <f>TEXT(WEEKDAY(DATE(AnnéeCalendrier,4,5),1),"jjj")</f>
        <v>jeu</v>
      </c>
      <c r="CW6" s="35" t="str">
        <f>TEXT(WEEKDAY(DATE(AnnéeCalendrier,4,6),1),"jjj")</f>
        <v>ven</v>
      </c>
      <c r="CX6" s="35" t="str">
        <f>TEXT(WEEKDAY(DATE(AnnéeCalendrier,4,7),1),"jjj")</f>
        <v>sam</v>
      </c>
      <c r="CY6" s="35" t="str">
        <f>TEXT(WEEKDAY(DATE(AnnéeCalendrier,4,8),1),"jjj")</f>
        <v>dim</v>
      </c>
      <c r="CZ6" s="35" t="str">
        <f>TEXT(WEEKDAY(DATE(AnnéeCalendrier,4,9),1),"jjj")</f>
        <v>lun</v>
      </c>
      <c r="DA6" s="35" t="str">
        <f>TEXT(WEEKDAY(DATE(AnnéeCalendrier,4,10),1),"jjj")</f>
        <v>mar</v>
      </c>
      <c r="DB6" s="35" t="str">
        <f>TEXT(WEEKDAY(DATE(AnnéeCalendrier,4,11),1),"jjj")</f>
        <v>mer</v>
      </c>
      <c r="DC6" s="35" t="str">
        <f>TEXT(WEEKDAY(DATE(AnnéeCalendrier,4,12),1),"jjj")</f>
        <v>jeu</v>
      </c>
      <c r="DD6" s="35" t="str">
        <f>TEXT(WEEKDAY(DATE(AnnéeCalendrier,4,13),1),"jjj")</f>
        <v>ven</v>
      </c>
      <c r="DE6" s="35" t="str">
        <f>TEXT(WEEKDAY(DATE(AnnéeCalendrier,4,14),1),"jjj")</f>
        <v>sam</v>
      </c>
      <c r="DF6" s="35" t="str">
        <f>TEXT(WEEKDAY(DATE(AnnéeCalendrier,4,15),1),"jjj")</f>
        <v>dim</v>
      </c>
      <c r="DG6" s="35" t="str">
        <f>TEXT(WEEKDAY(DATE(AnnéeCalendrier,4,16),1),"jjj")</f>
        <v>lun</v>
      </c>
      <c r="DH6" s="35" t="str">
        <f>TEXT(WEEKDAY(DATE(AnnéeCalendrier,4,17),1),"jjj")</f>
        <v>mar</v>
      </c>
      <c r="DI6" s="35" t="str">
        <f>TEXT(WEEKDAY(DATE(AnnéeCalendrier,4,18),1),"jjj")</f>
        <v>mer</v>
      </c>
      <c r="DJ6" s="35" t="str">
        <f>TEXT(WEEKDAY(DATE(AnnéeCalendrier,4,19),1),"jjj")</f>
        <v>jeu</v>
      </c>
      <c r="DK6" s="35" t="str">
        <f>TEXT(WEEKDAY(DATE(AnnéeCalendrier,4,20),1),"jjj")</f>
        <v>ven</v>
      </c>
      <c r="DL6" s="35" t="str">
        <f>TEXT(WEEKDAY(DATE(AnnéeCalendrier,4,21),1),"jjj")</f>
        <v>sam</v>
      </c>
      <c r="DM6" s="35" t="str">
        <f>TEXT(WEEKDAY(DATE(AnnéeCalendrier,4,22),1),"jjj")</f>
        <v>dim</v>
      </c>
      <c r="DN6" s="35" t="str">
        <f>TEXT(WEEKDAY(DATE(AnnéeCalendrier,4,23),1),"jjj")</f>
        <v>lun</v>
      </c>
      <c r="DO6" s="35" t="str">
        <f>TEXT(WEEKDAY(DATE(AnnéeCalendrier,4,24),1),"jjj")</f>
        <v>mar</v>
      </c>
      <c r="DP6" s="35" t="str">
        <f>TEXT(WEEKDAY(DATE(AnnéeCalendrier,4,25),1),"jjj")</f>
        <v>mer</v>
      </c>
      <c r="DQ6" s="35" t="str">
        <f>TEXT(WEEKDAY(DATE(AnnéeCalendrier,4,26),1),"jjj")</f>
        <v>jeu</v>
      </c>
      <c r="DR6" s="35" t="str">
        <f>TEXT(WEEKDAY(DATE(AnnéeCalendrier,4,27),1),"jjj")</f>
        <v>ven</v>
      </c>
      <c r="DS6" s="35" t="str">
        <f>TEXT(WEEKDAY(DATE(AnnéeCalendrier,4,28),1),"jjj")</f>
        <v>sam</v>
      </c>
      <c r="DT6" s="35" t="str">
        <f>TEXT(WEEKDAY(DATE(AnnéeCalendrier,4,29),1),"jjj")</f>
        <v>dim</v>
      </c>
      <c r="DU6" s="46" t="str">
        <f>TEXT(WEEKDAY(DATE(AnnéeCalendrier,4,30),1),"jjj")</f>
        <v>lun</v>
      </c>
      <c r="DV6" s="45" t="str">
        <f>TEXT(WEEKDAY(DATE(AnnéeCalendrier,5,1),1),"jjj")</f>
        <v>mar</v>
      </c>
      <c r="DW6" s="35" t="str">
        <f>TEXT(WEEKDAY(DATE(AnnéeCalendrier,5,2),1),"jjj")</f>
        <v>mer</v>
      </c>
      <c r="DX6" s="35" t="str">
        <f>TEXT(WEEKDAY(DATE(AnnéeCalendrier,5,3),1),"jjj")</f>
        <v>jeu</v>
      </c>
      <c r="DY6" s="35" t="str">
        <f>TEXT(WEEKDAY(DATE(AnnéeCalendrier,5,4),1),"jjj")</f>
        <v>ven</v>
      </c>
      <c r="DZ6" s="35" t="str">
        <f>TEXT(WEEKDAY(DATE(AnnéeCalendrier,5,5),1),"jjj")</f>
        <v>sam</v>
      </c>
      <c r="EA6" s="35" t="str">
        <f>TEXT(WEEKDAY(DATE(AnnéeCalendrier,5,6),1),"jjj")</f>
        <v>dim</v>
      </c>
      <c r="EB6" s="35" t="str">
        <f>TEXT(WEEKDAY(DATE(AnnéeCalendrier,5,7),1),"jjj")</f>
        <v>lun</v>
      </c>
      <c r="EC6" s="35" t="str">
        <f>TEXT(WEEKDAY(DATE(AnnéeCalendrier,5,8),1),"jjj")</f>
        <v>mar</v>
      </c>
      <c r="ED6" s="35" t="str">
        <f>TEXT(WEEKDAY(DATE(AnnéeCalendrier,5,9),1),"jjj")</f>
        <v>mer</v>
      </c>
      <c r="EE6" s="35" t="str">
        <f>TEXT(WEEKDAY(DATE(AnnéeCalendrier,5,10),1),"jjj")</f>
        <v>jeu</v>
      </c>
      <c r="EF6" s="35" t="str">
        <f>TEXT(WEEKDAY(DATE(AnnéeCalendrier,5,11),1),"jjj")</f>
        <v>ven</v>
      </c>
      <c r="EG6" s="35" t="str">
        <f>TEXT(WEEKDAY(DATE(AnnéeCalendrier,5,12),1),"jjj")</f>
        <v>sam</v>
      </c>
      <c r="EH6" s="35" t="str">
        <f>TEXT(WEEKDAY(DATE(AnnéeCalendrier,5,13),1),"jjj")</f>
        <v>dim</v>
      </c>
      <c r="EI6" s="35" t="str">
        <f>TEXT(WEEKDAY(DATE(AnnéeCalendrier,5,14),1),"jjj")</f>
        <v>lun</v>
      </c>
      <c r="EJ6" s="35" t="str">
        <f>TEXT(WEEKDAY(DATE(AnnéeCalendrier,5,15),1),"jjj")</f>
        <v>mar</v>
      </c>
      <c r="EK6" s="35" t="str">
        <f>TEXT(WEEKDAY(DATE(AnnéeCalendrier,5,16),1),"jjj")</f>
        <v>mer</v>
      </c>
      <c r="EL6" s="35" t="str">
        <f>TEXT(WEEKDAY(DATE(AnnéeCalendrier,5,17),1),"jjj")</f>
        <v>jeu</v>
      </c>
      <c r="EM6" s="35" t="str">
        <f>TEXT(WEEKDAY(DATE(AnnéeCalendrier,5,18),1),"jjj")</f>
        <v>ven</v>
      </c>
      <c r="EN6" s="35" t="str">
        <f>TEXT(WEEKDAY(DATE(AnnéeCalendrier,5,19),1),"jjj")</f>
        <v>sam</v>
      </c>
      <c r="EO6" s="35" t="str">
        <f>TEXT(WEEKDAY(DATE(AnnéeCalendrier,5,20),1),"jjj")</f>
        <v>dim</v>
      </c>
      <c r="EP6" s="35" t="str">
        <f>TEXT(WEEKDAY(DATE(AnnéeCalendrier,5,21),1),"jjj")</f>
        <v>lun</v>
      </c>
      <c r="EQ6" s="35" t="str">
        <f>TEXT(WEEKDAY(DATE(AnnéeCalendrier,5,22),1),"jjj")</f>
        <v>mar</v>
      </c>
      <c r="ER6" s="35" t="str">
        <f>TEXT(WEEKDAY(DATE(AnnéeCalendrier,5,23),1),"jjj")</f>
        <v>mer</v>
      </c>
      <c r="ES6" s="35" t="str">
        <f>TEXT(WEEKDAY(DATE(AnnéeCalendrier,5,24),1),"jjj")</f>
        <v>jeu</v>
      </c>
      <c r="ET6" s="35" t="str">
        <f>TEXT(WEEKDAY(DATE(AnnéeCalendrier,5,25),1),"jjj")</f>
        <v>ven</v>
      </c>
      <c r="EU6" s="35" t="str">
        <f>TEXT(WEEKDAY(DATE(AnnéeCalendrier,5,26),1),"jjj")</f>
        <v>sam</v>
      </c>
      <c r="EV6" s="35" t="str">
        <f>TEXT(WEEKDAY(DATE(AnnéeCalendrier,5,27),1),"jjj")</f>
        <v>dim</v>
      </c>
      <c r="EW6" s="35" t="str">
        <f>TEXT(WEEKDAY(DATE(AnnéeCalendrier,5,28),1),"jjj")</f>
        <v>lun</v>
      </c>
      <c r="EX6" s="35" t="str">
        <f>TEXT(WEEKDAY(DATE(AnnéeCalendrier,5,29),1),"jjj")</f>
        <v>mar</v>
      </c>
      <c r="EY6" s="35" t="str">
        <f>TEXT(WEEKDAY(DATE(AnnéeCalendrier,5,30),1),"jjj")</f>
        <v>mer</v>
      </c>
      <c r="EZ6" s="46" t="str">
        <f>TEXT(WEEKDAY(DATE(AnnéeCalendrier,5,31),1),"jjj")</f>
        <v>jeu</v>
      </c>
      <c r="FA6" s="45" t="str">
        <f>TEXT(WEEKDAY(DATE(AnnéeCalendrier,6,1),1),"jjj")</f>
        <v>ven</v>
      </c>
      <c r="FB6" s="35" t="str">
        <f>TEXT(WEEKDAY(DATE(AnnéeCalendrier,6,2),1),"jjj")</f>
        <v>sam</v>
      </c>
      <c r="FC6" s="35" t="str">
        <f>TEXT(WEEKDAY(DATE(AnnéeCalendrier,6,3),1),"jjj")</f>
        <v>dim</v>
      </c>
      <c r="FD6" s="35" t="str">
        <f>TEXT(WEEKDAY(DATE(AnnéeCalendrier,6,4),1),"jjj")</f>
        <v>lun</v>
      </c>
      <c r="FE6" s="35" t="str">
        <f>TEXT(WEEKDAY(DATE(AnnéeCalendrier,6,5),1),"jjj")</f>
        <v>mar</v>
      </c>
      <c r="FF6" s="35" t="str">
        <f>TEXT(WEEKDAY(DATE(AnnéeCalendrier,6,6),1),"jjj")</f>
        <v>mer</v>
      </c>
      <c r="FG6" s="35" t="str">
        <f>TEXT(WEEKDAY(DATE(AnnéeCalendrier,6,7),1),"jjj")</f>
        <v>jeu</v>
      </c>
      <c r="FH6" s="35" t="str">
        <f>TEXT(WEEKDAY(DATE(AnnéeCalendrier,6,8),1),"jjj")</f>
        <v>ven</v>
      </c>
      <c r="FI6" s="35" t="str">
        <f>TEXT(WEEKDAY(DATE(AnnéeCalendrier,6,9),1),"jjj")</f>
        <v>sam</v>
      </c>
      <c r="FJ6" s="35" t="str">
        <f>TEXT(WEEKDAY(DATE(AnnéeCalendrier,6,10),1),"jjj")</f>
        <v>dim</v>
      </c>
      <c r="FK6" s="35" t="str">
        <f>TEXT(WEEKDAY(DATE(AnnéeCalendrier,6,11),1),"jjj")</f>
        <v>lun</v>
      </c>
      <c r="FL6" s="35" t="str">
        <f>TEXT(WEEKDAY(DATE(AnnéeCalendrier,6,12),1),"jjj")</f>
        <v>mar</v>
      </c>
      <c r="FM6" s="35" t="str">
        <f>TEXT(WEEKDAY(DATE(AnnéeCalendrier,6,13),1),"jjj")</f>
        <v>mer</v>
      </c>
      <c r="FN6" s="35" t="str">
        <f>TEXT(WEEKDAY(DATE(AnnéeCalendrier,6,14),1),"jjj")</f>
        <v>jeu</v>
      </c>
      <c r="FO6" s="35" t="str">
        <f>TEXT(WEEKDAY(DATE(AnnéeCalendrier,6,15),1),"jjj")</f>
        <v>ven</v>
      </c>
      <c r="FP6" s="35" t="str">
        <f>TEXT(WEEKDAY(DATE(AnnéeCalendrier,6,16),1),"jjj")</f>
        <v>sam</v>
      </c>
      <c r="FQ6" s="35" t="str">
        <f>TEXT(WEEKDAY(DATE(AnnéeCalendrier,6,17),1),"jjj")</f>
        <v>dim</v>
      </c>
      <c r="FR6" s="35" t="str">
        <f>TEXT(WEEKDAY(DATE(AnnéeCalendrier,6,18),1),"jjj")</f>
        <v>lun</v>
      </c>
      <c r="FS6" s="35" t="str">
        <f>TEXT(WEEKDAY(DATE(AnnéeCalendrier,6,19),1),"jjj")</f>
        <v>mar</v>
      </c>
      <c r="FT6" s="35" t="str">
        <f>TEXT(WEEKDAY(DATE(AnnéeCalendrier,6,20),1),"jjj")</f>
        <v>mer</v>
      </c>
      <c r="FU6" s="35" t="str">
        <f>TEXT(WEEKDAY(DATE(AnnéeCalendrier,6,21),1),"jjj")</f>
        <v>jeu</v>
      </c>
      <c r="FV6" s="35" t="str">
        <f>TEXT(WEEKDAY(DATE(AnnéeCalendrier,6,22),1),"jjj")</f>
        <v>ven</v>
      </c>
      <c r="FW6" s="35" t="str">
        <f>TEXT(WEEKDAY(DATE(AnnéeCalendrier,6,23),1),"jjj")</f>
        <v>sam</v>
      </c>
      <c r="FX6" s="35" t="str">
        <f>TEXT(WEEKDAY(DATE(AnnéeCalendrier,6,24),1),"jjj")</f>
        <v>dim</v>
      </c>
      <c r="FY6" s="35" t="str">
        <f>TEXT(WEEKDAY(DATE(AnnéeCalendrier,6,25),1),"jjj")</f>
        <v>lun</v>
      </c>
      <c r="FZ6" s="35" t="str">
        <f>TEXT(WEEKDAY(DATE(AnnéeCalendrier,6,26),1),"jjj")</f>
        <v>mar</v>
      </c>
      <c r="GA6" s="35" t="str">
        <f>TEXT(WEEKDAY(DATE(AnnéeCalendrier,6,27),1),"jjj")</f>
        <v>mer</v>
      </c>
      <c r="GB6" s="35" t="str">
        <f>TEXT(WEEKDAY(DATE(AnnéeCalendrier,6,28),1),"jjj")</f>
        <v>jeu</v>
      </c>
      <c r="GC6" s="35" t="str">
        <f>TEXT(WEEKDAY(DATE(AnnéeCalendrier,6,29),1),"jjj")</f>
        <v>ven</v>
      </c>
      <c r="GD6" s="46" t="str">
        <f>TEXT(WEEKDAY(DATE(AnnéeCalendrier,6,30),1),"jjj")</f>
        <v>sam</v>
      </c>
      <c r="GE6" s="45" t="str">
        <f>TEXT(WEEKDAY(DATE(AnnéeCalendrier,7,1),1),"jjj")</f>
        <v>dim</v>
      </c>
      <c r="GF6" s="35" t="str">
        <f>TEXT(WEEKDAY(DATE(AnnéeCalendrier,7,2),1),"jjj")</f>
        <v>lun</v>
      </c>
      <c r="GG6" s="35" t="str">
        <f>TEXT(WEEKDAY(DATE(AnnéeCalendrier,7,3),1),"jjj")</f>
        <v>mar</v>
      </c>
      <c r="GH6" s="35" t="str">
        <f>TEXT(WEEKDAY(DATE(AnnéeCalendrier,7,4),1),"jjj")</f>
        <v>mer</v>
      </c>
      <c r="GI6" s="35" t="str">
        <f>TEXT(WEEKDAY(DATE(AnnéeCalendrier,7,5),1),"jjj")</f>
        <v>jeu</v>
      </c>
      <c r="GJ6" s="35" t="str">
        <f>TEXT(WEEKDAY(DATE(AnnéeCalendrier,7,6),1),"jjj")</f>
        <v>ven</v>
      </c>
      <c r="GK6" s="35" t="str">
        <f>TEXT(WEEKDAY(DATE(AnnéeCalendrier,7,7),1),"jjj")</f>
        <v>sam</v>
      </c>
      <c r="GL6" s="35" t="str">
        <f>TEXT(WEEKDAY(DATE(AnnéeCalendrier,7,8),1),"jjj")</f>
        <v>dim</v>
      </c>
      <c r="GM6" s="35" t="str">
        <f>TEXT(WEEKDAY(DATE(AnnéeCalendrier,7,9),1),"jjj")</f>
        <v>lun</v>
      </c>
      <c r="GN6" s="35" t="str">
        <f>TEXT(WEEKDAY(DATE(AnnéeCalendrier,7,10),1),"jjj")</f>
        <v>mar</v>
      </c>
      <c r="GO6" s="35" t="str">
        <f>TEXT(WEEKDAY(DATE(AnnéeCalendrier,7,11),1),"jjj")</f>
        <v>mer</v>
      </c>
      <c r="GP6" s="35" t="str">
        <f>TEXT(WEEKDAY(DATE(AnnéeCalendrier,7,12),1),"jjj")</f>
        <v>jeu</v>
      </c>
      <c r="GQ6" s="35" t="str">
        <f>TEXT(WEEKDAY(DATE(AnnéeCalendrier,7,13),1),"jjj")</f>
        <v>ven</v>
      </c>
      <c r="GR6" s="35" t="str">
        <f>TEXT(WEEKDAY(DATE(AnnéeCalendrier,7,14),1),"jjj")</f>
        <v>sam</v>
      </c>
      <c r="GS6" s="35" t="str">
        <f>TEXT(WEEKDAY(DATE(AnnéeCalendrier,7,15),1),"jjj")</f>
        <v>dim</v>
      </c>
      <c r="GT6" s="35" t="str">
        <f>TEXT(WEEKDAY(DATE(AnnéeCalendrier,7,16),1),"jjj")</f>
        <v>lun</v>
      </c>
      <c r="GU6" s="35" t="str">
        <f>TEXT(WEEKDAY(DATE(AnnéeCalendrier,7,17),1),"jjj")</f>
        <v>mar</v>
      </c>
      <c r="GV6" s="35" t="str">
        <f>TEXT(WEEKDAY(DATE(AnnéeCalendrier,7,18),1),"jjj")</f>
        <v>mer</v>
      </c>
      <c r="GW6" s="35" t="str">
        <f>TEXT(WEEKDAY(DATE(AnnéeCalendrier,7,19),1),"jjj")</f>
        <v>jeu</v>
      </c>
      <c r="GX6" s="35" t="str">
        <f>TEXT(WEEKDAY(DATE(AnnéeCalendrier,7,20),1),"jjj")</f>
        <v>ven</v>
      </c>
      <c r="GY6" s="35" t="str">
        <f>TEXT(WEEKDAY(DATE(AnnéeCalendrier,7,21),1),"jjj")</f>
        <v>sam</v>
      </c>
      <c r="GZ6" s="35" t="str">
        <f>TEXT(WEEKDAY(DATE(AnnéeCalendrier,7,22),1),"jjj")</f>
        <v>dim</v>
      </c>
      <c r="HA6" s="35" t="str">
        <f>TEXT(WEEKDAY(DATE(AnnéeCalendrier,7,23),1),"jjj")</f>
        <v>lun</v>
      </c>
      <c r="HB6" s="35" t="str">
        <f>TEXT(WEEKDAY(DATE(AnnéeCalendrier,7,24),1),"jjj")</f>
        <v>mar</v>
      </c>
      <c r="HC6" s="35" t="str">
        <f>TEXT(WEEKDAY(DATE(AnnéeCalendrier,7,25),1),"jjj")</f>
        <v>mer</v>
      </c>
      <c r="HD6" s="35" t="str">
        <f>TEXT(WEEKDAY(DATE(AnnéeCalendrier,7,26),1),"jjj")</f>
        <v>jeu</v>
      </c>
      <c r="HE6" s="35" t="str">
        <f>TEXT(WEEKDAY(DATE(AnnéeCalendrier,7,27),1),"jjj")</f>
        <v>ven</v>
      </c>
      <c r="HF6" s="35" t="str">
        <f>TEXT(WEEKDAY(DATE(AnnéeCalendrier,7,28),1),"jjj")</f>
        <v>sam</v>
      </c>
      <c r="HG6" s="35" t="str">
        <f>TEXT(WEEKDAY(DATE(AnnéeCalendrier,7,29),1),"jjj")</f>
        <v>dim</v>
      </c>
      <c r="HH6" s="35" t="str">
        <f>TEXT(WEEKDAY(DATE(AnnéeCalendrier,7,30),1),"jjj")</f>
        <v>lun</v>
      </c>
      <c r="HI6" s="46" t="str">
        <f>TEXT(WEEKDAY(DATE(AnnéeCalendrier,7,31),1),"jjj")</f>
        <v>mar</v>
      </c>
      <c r="HJ6" s="45" t="str">
        <f>TEXT(WEEKDAY(DATE(AnnéeCalendrier,8,1),1),"jjj")</f>
        <v>mer</v>
      </c>
      <c r="HK6" s="35" t="str">
        <f>TEXT(WEEKDAY(DATE(AnnéeCalendrier,8,2),1),"jjj")</f>
        <v>jeu</v>
      </c>
      <c r="HL6" s="35" t="str">
        <f>TEXT(WEEKDAY(DATE(AnnéeCalendrier,8,3),1),"jjj")</f>
        <v>ven</v>
      </c>
      <c r="HM6" s="35" t="str">
        <f>TEXT(WEEKDAY(DATE(AnnéeCalendrier,8,4),1),"jjj")</f>
        <v>sam</v>
      </c>
      <c r="HN6" s="35" t="str">
        <f>TEXT(WEEKDAY(DATE(AnnéeCalendrier,8,5),1),"jjj")</f>
        <v>dim</v>
      </c>
      <c r="HO6" s="35" t="str">
        <f>TEXT(WEEKDAY(DATE(AnnéeCalendrier,8,6),1),"jjj")</f>
        <v>lun</v>
      </c>
      <c r="HP6" s="35" t="str">
        <f>TEXT(WEEKDAY(DATE(AnnéeCalendrier,8,7),1),"jjj")</f>
        <v>mar</v>
      </c>
      <c r="HQ6" s="35" t="str">
        <f>TEXT(WEEKDAY(DATE(AnnéeCalendrier,8,8),1),"jjj")</f>
        <v>mer</v>
      </c>
      <c r="HR6" s="35" t="str">
        <f>TEXT(WEEKDAY(DATE(AnnéeCalendrier,8,9),1),"jjj")</f>
        <v>jeu</v>
      </c>
      <c r="HS6" s="35" t="str">
        <f>TEXT(WEEKDAY(DATE(AnnéeCalendrier,8,10),1),"jjj")</f>
        <v>ven</v>
      </c>
      <c r="HT6" s="35" t="str">
        <f>TEXT(WEEKDAY(DATE(AnnéeCalendrier,8,11),1),"jjj")</f>
        <v>sam</v>
      </c>
      <c r="HU6" s="35" t="str">
        <f>TEXT(WEEKDAY(DATE(AnnéeCalendrier,8,12),1),"jjj")</f>
        <v>dim</v>
      </c>
      <c r="HV6" s="35" t="str">
        <f>TEXT(WEEKDAY(DATE(AnnéeCalendrier,8,13),1),"jjj")</f>
        <v>lun</v>
      </c>
      <c r="HW6" s="35" t="str">
        <f>TEXT(WEEKDAY(DATE(AnnéeCalendrier,8,14),1),"jjj")</f>
        <v>mar</v>
      </c>
      <c r="HX6" s="35" t="str">
        <f>TEXT(WEEKDAY(DATE(AnnéeCalendrier,8,15),1),"jjj")</f>
        <v>mer</v>
      </c>
      <c r="HY6" s="35" t="str">
        <f>TEXT(WEEKDAY(DATE(AnnéeCalendrier,8,16),1),"jjj")</f>
        <v>jeu</v>
      </c>
      <c r="HZ6" s="35" t="str">
        <f>TEXT(WEEKDAY(DATE(AnnéeCalendrier,8,17),1),"jjj")</f>
        <v>ven</v>
      </c>
      <c r="IA6" s="35" t="str">
        <f>TEXT(WEEKDAY(DATE(AnnéeCalendrier,8,18),1),"jjj")</f>
        <v>sam</v>
      </c>
      <c r="IB6" s="35" t="str">
        <f>TEXT(WEEKDAY(DATE(AnnéeCalendrier,8,19),1),"jjj")</f>
        <v>dim</v>
      </c>
      <c r="IC6" s="35" t="str">
        <f>TEXT(WEEKDAY(DATE(AnnéeCalendrier,8,20),1),"jjj")</f>
        <v>lun</v>
      </c>
      <c r="ID6" s="35" t="str">
        <f>TEXT(WEEKDAY(DATE(AnnéeCalendrier,8,21),1),"jjj")</f>
        <v>mar</v>
      </c>
      <c r="IE6" s="35" t="str">
        <f>TEXT(WEEKDAY(DATE(AnnéeCalendrier,8,22),1),"jjj")</f>
        <v>mer</v>
      </c>
      <c r="IF6" s="35" t="str">
        <f>TEXT(WEEKDAY(DATE(AnnéeCalendrier,8,23),1),"jjj")</f>
        <v>jeu</v>
      </c>
      <c r="IG6" s="35" t="str">
        <f>TEXT(WEEKDAY(DATE(AnnéeCalendrier,8,24),1),"jjj")</f>
        <v>ven</v>
      </c>
      <c r="IH6" s="35" t="str">
        <f>TEXT(WEEKDAY(DATE(AnnéeCalendrier,8,25),1),"jjj")</f>
        <v>sam</v>
      </c>
      <c r="II6" s="35" t="str">
        <f>TEXT(WEEKDAY(DATE(AnnéeCalendrier,8,26),1),"jjj")</f>
        <v>dim</v>
      </c>
      <c r="IJ6" s="35" t="str">
        <f>TEXT(WEEKDAY(DATE(AnnéeCalendrier,8,27),1),"jjj")</f>
        <v>lun</v>
      </c>
      <c r="IK6" s="35" t="str">
        <f>TEXT(WEEKDAY(DATE(AnnéeCalendrier,8,28),1),"jjj")</f>
        <v>mar</v>
      </c>
      <c r="IL6" s="35" t="str">
        <f>TEXT(WEEKDAY(DATE(AnnéeCalendrier,8,29),1),"jjj")</f>
        <v>mer</v>
      </c>
      <c r="IM6" s="35" t="str">
        <f>TEXT(WEEKDAY(DATE(AnnéeCalendrier,8,30),1),"jjj")</f>
        <v>jeu</v>
      </c>
      <c r="IN6" s="46" t="str">
        <f>TEXT(WEEKDAY(DATE(AnnéeCalendrier,8,31),1),"jjj")</f>
        <v>ven</v>
      </c>
      <c r="IO6" s="45" t="str">
        <f>TEXT(WEEKDAY(DATE(AnnéeCalendrier,9,1),1),"jjj")</f>
        <v>sam</v>
      </c>
      <c r="IP6" s="35" t="str">
        <f>TEXT(WEEKDAY(DATE(AnnéeCalendrier,9,2),1),"jjj")</f>
        <v>dim</v>
      </c>
      <c r="IQ6" s="35" t="str">
        <f>TEXT(WEEKDAY(DATE(AnnéeCalendrier,9,3),1),"jjj")</f>
        <v>lun</v>
      </c>
      <c r="IR6" s="35" t="str">
        <f>TEXT(WEEKDAY(DATE(AnnéeCalendrier,9,4),1),"jjj")</f>
        <v>mar</v>
      </c>
      <c r="IS6" s="35" t="str">
        <f>TEXT(WEEKDAY(DATE(AnnéeCalendrier,9,5),1),"jjj")</f>
        <v>mer</v>
      </c>
      <c r="IT6" s="35" t="str">
        <f>TEXT(WEEKDAY(DATE(AnnéeCalendrier,9,6),1),"jjj")</f>
        <v>jeu</v>
      </c>
      <c r="IU6" s="35" t="str">
        <f>TEXT(WEEKDAY(DATE(AnnéeCalendrier,9,7),1),"jjj")</f>
        <v>ven</v>
      </c>
      <c r="IV6" s="35" t="str">
        <f>TEXT(WEEKDAY(DATE(AnnéeCalendrier,9,8),1),"jjj")</f>
        <v>sam</v>
      </c>
      <c r="IW6" s="35" t="str">
        <f>TEXT(WEEKDAY(DATE(AnnéeCalendrier,9,9),1),"jjj")</f>
        <v>dim</v>
      </c>
      <c r="IX6" s="35" t="str">
        <f>TEXT(WEEKDAY(DATE(AnnéeCalendrier,9,10),1),"jjj")</f>
        <v>lun</v>
      </c>
      <c r="IY6" s="35" t="str">
        <f>TEXT(WEEKDAY(DATE(AnnéeCalendrier,9,11),1),"jjj")</f>
        <v>mar</v>
      </c>
      <c r="IZ6" s="35" t="str">
        <f>TEXT(WEEKDAY(DATE(AnnéeCalendrier,9,12),1),"jjj")</f>
        <v>mer</v>
      </c>
      <c r="JA6" s="35" t="str">
        <f>TEXT(WEEKDAY(DATE(AnnéeCalendrier,9,13),1),"jjj")</f>
        <v>jeu</v>
      </c>
      <c r="JB6" s="35" t="str">
        <f>TEXT(WEEKDAY(DATE(AnnéeCalendrier,9,14),1),"jjj")</f>
        <v>ven</v>
      </c>
      <c r="JC6" s="35" t="str">
        <f>TEXT(WEEKDAY(DATE(AnnéeCalendrier,9,15),1),"jjj")</f>
        <v>sam</v>
      </c>
      <c r="JD6" s="35" t="str">
        <f>TEXT(WEEKDAY(DATE(AnnéeCalendrier,9,16),1),"jjj")</f>
        <v>dim</v>
      </c>
      <c r="JE6" s="35" t="str">
        <f>TEXT(WEEKDAY(DATE(AnnéeCalendrier,9,17),1),"jjj")</f>
        <v>lun</v>
      </c>
      <c r="JF6" s="35" t="str">
        <f>TEXT(WEEKDAY(DATE(AnnéeCalendrier,9,18),1),"jjj")</f>
        <v>mar</v>
      </c>
      <c r="JG6" s="35" t="str">
        <f>TEXT(WEEKDAY(DATE(AnnéeCalendrier,9,19),1),"jjj")</f>
        <v>mer</v>
      </c>
      <c r="JH6" s="35" t="str">
        <f>TEXT(WEEKDAY(DATE(AnnéeCalendrier,9,20),1),"jjj")</f>
        <v>jeu</v>
      </c>
      <c r="JI6" s="35" t="str">
        <f>TEXT(WEEKDAY(DATE(AnnéeCalendrier,9,21),1),"jjj")</f>
        <v>ven</v>
      </c>
      <c r="JJ6" s="35" t="str">
        <f>TEXT(WEEKDAY(DATE(AnnéeCalendrier,9,22),1),"jjj")</f>
        <v>sam</v>
      </c>
      <c r="JK6" s="35" t="str">
        <f>TEXT(WEEKDAY(DATE(AnnéeCalendrier,9,23),1),"jjj")</f>
        <v>dim</v>
      </c>
      <c r="JL6" s="35" t="str">
        <f>TEXT(WEEKDAY(DATE(AnnéeCalendrier,9,24),1),"jjj")</f>
        <v>lun</v>
      </c>
      <c r="JM6" s="35" t="str">
        <f>TEXT(WEEKDAY(DATE(AnnéeCalendrier,9,25),1),"jjj")</f>
        <v>mar</v>
      </c>
      <c r="JN6" s="35" t="str">
        <f>TEXT(WEEKDAY(DATE(AnnéeCalendrier,9,26),1),"jjj")</f>
        <v>mer</v>
      </c>
      <c r="JO6" s="35" t="str">
        <f>TEXT(WEEKDAY(DATE(AnnéeCalendrier,9,27),1),"jjj")</f>
        <v>jeu</v>
      </c>
      <c r="JP6" s="35" t="str">
        <f>TEXT(WEEKDAY(DATE(AnnéeCalendrier,9,28),1),"jjj")</f>
        <v>ven</v>
      </c>
      <c r="JQ6" s="35" t="str">
        <f>TEXT(WEEKDAY(DATE(AnnéeCalendrier,9,29),1),"jjj")</f>
        <v>sam</v>
      </c>
      <c r="JR6" s="46" t="str">
        <f>TEXT(WEEKDAY(DATE(AnnéeCalendrier,9,30),1),"jjj")</f>
        <v>dim</v>
      </c>
      <c r="JS6" s="45" t="str">
        <f>TEXT(WEEKDAY(DATE(AnnéeCalendrier,10,1),1),"jjj")</f>
        <v>lun</v>
      </c>
      <c r="JT6" s="35" t="str">
        <f>TEXT(WEEKDAY(DATE(AnnéeCalendrier,10,2),1),"jjj")</f>
        <v>mar</v>
      </c>
      <c r="JU6" s="35" t="str">
        <f>TEXT(WEEKDAY(DATE(AnnéeCalendrier,10,3),1),"jjj")</f>
        <v>mer</v>
      </c>
      <c r="JV6" s="35" t="str">
        <f>TEXT(WEEKDAY(DATE(AnnéeCalendrier,10,4),1),"jjj")</f>
        <v>jeu</v>
      </c>
      <c r="JW6" s="35" t="str">
        <f>TEXT(WEEKDAY(DATE(AnnéeCalendrier,10,5),1),"jjj")</f>
        <v>ven</v>
      </c>
      <c r="JX6" s="35" t="str">
        <f>TEXT(WEEKDAY(DATE(AnnéeCalendrier,10,6),1),"jjj")</f>
        <v>sam</v>
      </c>
      <c r="JY6" s="35" t="str">
        <f>TEXT(WEEKDAY(DATE(AnnéeCalendrier,10,7),1),"jjj")</f>
        <v>dim</v>
      </c>
      <c r="JZ6" s="35" t="str">
        <f>TEXT(WEEKDAY(DATE(AnnéeCalendrier,10,8),1),"jjj")</f>
        <v>lun</v>
      </c>
      <c r="KA6" s="35" t="str">
        <f>TEXT(WEEKDAY(DATE(AnnéeCalendrier,10,9),1),"jjj")</f>
        <v>mar</v>
      </c>
      <c r="KB6" s="35" t="str">
        <f>TEXT(WEEKDAY(DATE(AnnéeCalendrier,10,10),1),"jjj")</f>
        <v>mer</v>
      </c>
      <c r="KC6" s="35" t="str">
        <f>TEXT(WEEKDAY(DATE(AnnéeCalendrier,10,11),1),"jjj")</f>
        <v>jeu</v>
      </c>
      <c r="KD6" s="35" t="str">
        <f>TEXT(WEEKDAY(DATE(AnnéeCalendrier,10,12),1),"jjj")</f>
        <v>ven</v>
      </c>
      <c r="KE6" s="35" t="str">
        <f>TEXT(WEEKDAY(DATE(AnnéeCalendrier,10,13),1),"jjj")</f>
        <v>sam</v>
      </c>
      <c r="KF6" s="35" t="str">
        <f>TEXT(WEEKDAY(DATE(AnnéeCalendrier,10,14),1),"jjj")</f>
        <v>dim</v>
      </c>
      <c r="KG6" s="35" t="str">
        <f>TEXT(WEEKDAY(DATE(AnnéeCalendrier,10,15),1),"jjj")</f>
        <v>lun</v>
      </c>
      <c r="KH6" s="35" t="str">
        <f>TEXT(WEEKDAY(DATE(AnnéeCalendrier,10,16),1),"jjj")</f>
        <v>mar</v>
      </c>
      <c r="KI6" s="35" t="str">
        <f>TEXT(WEEKDAY(DATE(AnnéeCalendrier,10,17),1),"jjj")</f>
        <v>mer</v>
      </c>
      <c r="KJ6" s="35" t="str">
        <f>TEXT(WEEKDAY(DATE(AnnéeCalendrier,10,18),1),"jjj")</f>
        <v>jeu</v>
      </c>
      <c r="KK6" s="35" t="str">
        <f>TEXT(WEEKDAY(DATE(AnnéeCalendrier,10,19),1),"jjj")</f>
        <v>ven</v>
      </c>
      <c r="KL6" s="35" t="str">
        <f>TEXT(WEEKDAY(DATE(AnnéeCalendrier,10,20),1),"jjj")</f>
        <v>sam</v>
      </c>
      <c r="KM6" s="35" t="str">
        <f>TEXT(WEEKDAY(DATE(AnnéeCalendrier,10,21),1),"jjj")</f>
        <v>dim</v>
      </c>
      <c r="KN6" s="35" t="str">
        <f>TEXT(WEEKDAY(DATE(AnnéeCalendrier,10,22),1),"jjj")</f>
        <v>lun</v>
      </c>
      <c r="KO6" s="35" t="str">
        <f>TEXT(WEEKDAY(DATE(AnnéeCalendrier,10,23),1),"jjj")</f>
        <v>mar</v>
      </c>
      <c r="KP6" s="35" t="str">
        <f>TEXT(WEEKDAY(DATE(AnnéeCalendrier,10,24),1),"jjj")</f>
        <v>mer</v>
      </c>
      <c r="KQ6" s="35" t="str">
        <f>TEXT(WEEKDAY(DATE(AnnéeCalendrier,10,25),1),"jjj")</f>
        <v>jeu</v>
      </c>
      <c r="KR6" s="35" t="str">
        <f>TEXT(WEEKDAY(DATE(AnnéeCalendrier,10,26),1),"jjj")</f>
        <v>ven</v>
      </c>
      <c r="KS6" s="35" t="str">
        <f>TEXT(WEEKDAY(DATE(AnnéeCalendrier,10,27),1),"jjj")</f>
        <v>sam</v>
      </c>
      <c r="KT6" s="35" t="str">
        <f>TEXT(WEEKDAY(DATE(AnnéeCalendrier,10,28),1),"jjj")</f>
        <v>dim</v>
      </c>
      <c r="KU6" s="35" t="str">
        <f>TEXT(WEEKDAY(DATE(AnnéeCalendrier,10,29),1),"jjj")</f>
        <v>lun</v>
      </c>
      <c r="KV6" s="35" t="str">
        <f>TEXT(WEEKDAY(DATE(AnnéeCalendrier,10,30),1),"jjj")</f>
        <v>mar</v>
      </c>
      <c r="KW6" s="46" t="str">
        <f>TEXT(WEEKDAY(DATE(AnnéeCalendrier,10,31),1),"jjj")</f>
        <v>mer</v>
      </c>
      <c r="KX6" s="45" t="str">
        <f>TEXT(WEEKDAY(DATE(AnnéeCalendrier,11,1),1),"jjj")</f>
        <v>jeu</v>
      </c>
      <c r="KY6" s="35" t="str">
        <f>TEXT(WEEKDAY(DATE(AnnéeCalendrier,11,2),1),"jjj")</f>
        <v>ven</v>
      </c>
      <c r="KZ6" s="35" t="str">
        <f>TEXT(WEEKDAY(DATE(AnnéeCalendrier,11,3),1),"jjj")</f>
        <v>sam</v>
      </c>
      <c r="LA6" s="35" t="str">
        <f>TEXT(WEEKDAY(DATE(AnnéeCalendrier,11,4),1),"jjj")</f>
        <v>dim</v>
      </c>
      <c r="LB6" s="35" t="str">
        <f>TEXT(WEEKDAY(DATE(AnnéeCalendrier,11,5),1),"jjj")</f>
        <v>lun</v>
      </c>
      <c r="LC6" s="35" t="str">
        <f>TEXT(WEEKDAY(DATE(AnnéeCalendrier,11,6),1),"jjj")</f>
        <v>mar</v>
      </c>
      <c r="LD6" s="35" t="str">
        <f>TEXT(WEEKDAY(DATE(AnnéeCalendrier,11,7),1),"jjj")</f>
        <v>mer</v>
      </c>
      <c r="LE6" s="35" t="str">
        <f>TEXT(WEEKDAY(DATE(AnnéeCalendrier,11,8),1),"jjj")</f>
        <v>jeu</v>
      </c>
      <c r="LF6" s="35" t="str">
        <f>TEXT(WEEKDAY(DATE(AnnéeCalendrier,11,9),1),"jjj")</f>
        <v>ven</v>
      </c>
      <c r="LG6" s="35" t="str">
        <f>TEXT(WEEKDAY(DATE(AnnéeCalendrier,11,10),1),"jjj")</f>
        <v>sam</v>
      </c>
      <c r="LH6" s="35" t="str">
        <f>TEXT(WEEKDAY(DATE(AnnéeCalendrier,11,11),1),"jjj")</f>
        <v>dim</v>
      </c>
      <c r="LI6" s="35" t="str">
        <f>TEXT(WEEKDAY(DATE(AnnéeCalendrier,11,12),1),"jjj")</f>
        <v>lun</v>
      </c>
      <c r="LJ6" s="35" t="str">
        <f>TEXT(WEEKDAY(DATE(AnnéeCalendrier,11,13),1),"jjj")</f>
        <v>mar</v>
      </c>
      <c r="LK6" s="35" t="str">
        <f>TEXT(WEEKDAY(DATE(AnnéeCalendrier,11,14),1),"jjj")</f>
        <v>mer</v>
      </c>
      <c r="LL6" s="35" t="str">
        <f>TEXT(WEEKDAY(DATE(AnnéeCalendrier,11,15),1),"jjj")</f>
        <v>jeu</v>
      </c>
      <c r="LM6" s="35" t="str">
        <f>TEXT(WEEKDAY(DATE(AnnéeCalendrier,11,16),1),"jjj")</f>
        <v>ven</v>
      </c>
      <c r="LN6" s="35" t="str">
        <f>TEXT(WEEKDAY(DATE(AnnéeCalendrier,11,17),1),"jjj")</f>
        <v>sam</v>
      </c>
      <c r="LO6" s="35" t="str">
        <f>TEXT(WEEKDAY(DATE(AnnéeCalendrier,11,18),1),"jjj")</f>
        <v>dim</v>
      </c>
      <c r="LP6" s="35" t="str">
        <f>TEXT(WEEKDAY(DATE(AnnéeCalendrier,11,19),1),"jjj")</f>
        <v>lun</v>
      </c>
      <c r="LQ6" s="35" t="str">
        <f>TEXT(WEEKDAY(DATE(AnnéeCalendrier,11,20),1),"jjj")</f>
        <v>mar</v>
      </c>
      <c r="LR6" s="35" t="str">
        <f>TEXT(WEEKDAY(DATE(AnnéeCalendrier,11,21),1),"jjj")</f>
        <v>mer</v>
      </c>
      <c r="LS6" s="35" t="str">
        <f>TEXT(WEEKDAY(DATE(AnnéeCalendrier,11,22),1),"jjj")</f>
        <v>jeu</v>
      </c>
      <c r="LT6" s="35" t="str">
        <f>TEXT(WEEKDAY(DATE(AnnéeCalendrier,11,23),1),"jjj")</f>
        <v>ven</v>
      </c>
      <c r="LU6" s="35" t="str">
        <f>TEXT(WEEKDAY(DATE(AnnéeCalendrier,11,24),1),"jjj")</f>
        <v>sam</v>
      </c>
      <c r="LV6" s="35" t="str">
        <f>TEXT(WEEKDAY(DATE(AnnéeCalendrier,11,25),1),"jjj")</f>
        <v>dim</v>
      </c>
      <c r="LW6" s="35" t="str">
        <f>TEXT(WEEKDAY(DATE(AnnéeCalendrier,11,26),1),"jjj")</f>
        <v>lun</v>
      </c>
      <c r="LX6" s="35" t="str">
        <f>TEXT(WEEKDAY(DATE(AnnéeCalendrier,11,27),1),"jjj")</f>
        <v>mar</v>
      </c>
      <c r="LY6" s="35" t="str">
        <f>TEXT(WEEKDAY(DATE(AnnéeCalendrier,11,28),1),"jjj")</f>
        <v>mer</v>
      </c>
      <c r="LZ6" s="35" t="str">
        <f>TEXT(WEEKDAY(DATE(AnnéeCalendrier,11,29),1),"jjj")</f>
        <v>jeu</v>
      </c>
      <c r="MA6" s="46" t="str">
        <f>TEXT(WEEKDAY(DATE(AnnéeCalendrier,11,30),1),"jjj")</f>
        <v>ven</v>
      </c>
      <c r="MB6" s="45" t="str">
        <f>TEXT(WEEKDAY(DATE(AnnéeCalendrier,12,1),1),"jjj")</f>
        <v>sam</v>
      </c>
      <c r="MC6" s="35" t="str">
        <f>TEXT(WEEKDAY(DATE(AnnéeCalendrier,12,2),1),"jjj")</f>
        <v>dim</v>
      </c>
      <c r="MD6" s="35" t="str">
        <f>TEXT(WEEKDAY(DATE(AnnéeCalendrier,12,3),1),"jjj")</f>
        <v>lun</v>
      </c>
      <c r="ME6" s="35" t="str">
        <f>TEXT(WEEKDAY(DATE(AnnéeCalendrier,12,4),1),"jjj")</f>
        <v>mar</v>
      </c>
      <c r="MF6" s="35" t="str">
        <f>TEXT(WEEKDAY(DATE(AnnéeCalendrier,12,5),1),"jjj")</f>
        <v>mer</v>
      </c>
      <c r="MG6" s="35" t="str">
        <f>TEXT(WEEKDAY(DATE(AnnéeCalendrier,12,6),1),"jjj")</f>
        <v>jeu</v>
      </c>
      <c r="MH6" s="35" t="str">
        <f>TEXT(WEEKDAY(DATE(AnnéeCalendrier,12,7),1),"jjj")</f>
        <v>ven</v>
      </c>
      <c r="MI6" s="35" t="str">
        <f>TEXT(WEEKDAY(DATE(AnnéeCalendrier,12,8),1),"jjj")</f>
        <v>sam</v>
      </c>
      <c r="MJ6" s="35" t="str">
        <f>TEXT(WEEKDAY(DATE(AnnéeCalendrier,12,9),1),"jjj")</f>
        <v>dim</v>
      </c>
      <c r="MK6" s="35" t="str">
        <f>TEXT(WEEKDAY(DATE(AnnéeCalendrier,12,10),1),"jjj")</f>
        <v>lun</v>
      </c>
      <c r="ML6" s="35" t="str">
        <f>TEXT(WEEKDAY(DATE(AnnéeCalendrier,12,11),1),"jjj")</f>
        <v>mar</v>
      </c>
      <c r="MM6" s="35" t="str">
        <f>TEXT(WEEKDAY(DATE(AnnéeCalendrier,12,12),1),"jjj")</f>
        <v>mer</v>
      </c>
      <c r="MN6" s="35" t="str">
        <f>TEXT(WEEKDAY(DATE(AnnéeCalendrier,12,13),1),"jjj")</f>
        <v>jeu</v>
      </c>
      <c r="MO6" s="35" t="str">
        <f>TEXT(WEEKDAY(DATE(AnnéeCalendrier,12,14),1),"jjj")</f>
        <v>ven</v>
      </c>
      <c r="MP6" s="35" t="str">
        <f>TEXT(WEEKDAY(DATE(AnnéeCalendrier,12,15),1),"jjj")</f>
        <v>sam</v>
      </c>
      <c r="MQ6" s="35" t="str">
        <f>TEXT(WEEKDAY(DATE(AnnéeCalendrier,12,16),1),"jjj")</f>
        <v>dim</v>
      </c>
      <c r="MR6" s="35" t="str">
        <f>TEXT(WEEKDAY(DATE(AnnéeCalendrier,12,17),1),"jjj")</f>
        <v>lun</v>
      </c>
      <c r="MS6" s="35" t="str">
        <f>TEXT(WEEKDAY(DATE(AnnéeCalendrier,12,18),1),"jjj")</f>
        <v>mar</v>
      </c>
      <c r="MT6" s="35" t="str">
        <f>TEXT(WEEKDAY(DATE(AnnéeCalendrier,12,19),1),"jjj")</f>
        <v>mer</v>
      </c>
      <c r="MU6" s="35" t="str">
        <f>TEXT(WEEKDAY(DATE(AnnéeCalendrier,12,20),1),"jjj")</f>
        <v>jeu</v>
      </c>
      <c r="MV6" s="35" t="str">
        <f>TEXT(WEEKDAY(DATE(AnnéeCalendrier,12,21),1),"jjj")</f>
        <v>ven</v>
      </c>
      <c r="MW6" s="35" t="str">
        <f>TEXT(WEEKDAY(DATE(AnnéeCalendrier,12,22),1),"jjj")</f>
        <v>sam</v>
      </c>
      <c r="MX6" s="35" t="str">
        <f>TEXT(WEEKDAY(DATE(AnnéeCalendrier,12,23),1),"jjj")</f>
        <v>dim</v>
      </c>
      <c r="MY6" s="35" t="str">
        <f>TEXT(WEEKDAY(DATE(AnnéeCalendrier,12,24),1),"jjj")</f>
        <v>lun</v>
      </c>
      <c r="MZ6" s="35" t="str">
        <f>TEXT(WEEKDAY(DATE(AnnéeCalendrier,12,25),1),"jjj")</f>
        <v>mar</v>
      </c>
      <c r="NA6" s="35" t="str">
        <f>TEXT(WEEKDAY(DATE(AnnéeCalendrier,12,26),1),"jjj")</f>
        <v>mer</v>
      </c>
      <c r="NB6" s="35" t="str">
        <f>TEXT(WEEKDAY(DATE(AnnéeCalendrier,12,27),1),"jjj")</f>
        <v>jeu</v>
      </c>
      <c r="NC6" s="35" t="str">
        <f>TEXT(WEEKDAY(DATE(AnnéeCalendrier,12,28),1),"jjj")</f>
        <v>ven</v>
      </c>
      <c r="ND6" s="35" t="str">
        <f>TEXT(WEEKDAY(DATE(AnnéeCalendrier,12,29),1),"jjj")</f>
        <v>sam</v>
      </c>
      <c r="NE6" s="35" t="str">
        <f>TEXT(WEEKDAY(DATE(AnnéeCalendrier,12,30),1),"jjj")</f>
        <v>dim</v>
      </c>
      <c r="NF6" s="46" t="str">
        <f>TEXT(WEEKDAY(DATE(AnnéeCalendrier,12,31),1),"jjj")</f>
        <v>lun</v>
      </c>
      <c r="NG6" s="137" t="s">
        <v>273</v>
      </c>
      <c r="NH6" s="125" t="s">
        <v>272</v>
      </c>
      <c r="NI6" s="125" t="s">
        <v>9</v>
      </c>
      <c r="NJ6" s="125" t="s">
        <v>293</v>
      </c>
      <c r="NK6" s="136" t="s">
        <v>285</v>
      </c>
      <c r="NL6" s="136" t="s">
        <v>284</v>
      </c>
      <c r="NM6" s="137" t="s">
        <v>288</v>
      </c>
      <c r="NT6" s="127" t="s">
        <v>58</v>
      </c>
      <c r="NU6" s="128"/>
      <c r="NV6" s="129" t="s">
        <v>59</v>
      </c>
      <c r="NW6" s="130"/>
      <c r="NX6" s="131" t="s">
        <v>60</v>
      </c>
      <c r="NY6" s="132"/>
      <c r="NZ6" s="132"/>
      <c r="OA6" s="132"/>
      <c r="OB6" s="133"/>
      <c r="OC6" s="134" t="s">
        <v>61</v>
      </c>
      <c r="OD6" s="135"/>
    </row>
    <row r="7" spans="1:394" ht="15" customHeight="1" thickBot="1" x14ac:dyDescent="0.25">
      <c r="A7" s="36" t="s">
        <v>63</v>
      </c>
      <c r="B7" s="36" t="s">
        <v>128</v>
      </c>
      <c r="C7" s="36" t="s">
        <v>129</v>
      </c>
      <c r="D7" s="36" t="s">
        <v>13</v>
      </c>
      <c r="E7" s="43" t="s">
        <v>113</v>
      </c>
      <c r="F7" s="76">
        <v>1</v>
      </c>
      <c r="G7" s="75">
        <v>2</v>
      </c>
      <c r="H7" s="75">
        <v>3</v>
      </c>
      <c r="I7" s="75">
        <v>4</v>
      </c>
      <c r="J7" s="75">
        <v>5</v>
      </c>
      <c r="K7" s="75">
        <v>6</v>
      </c>
      <c r="L7" s="75">
        <v>7</v>
      </c>
      <c r="M7" s="75">
        <v>8</v>
      </c>
      <c r="N7" s="75">
        <v>9</v>
      </c>
      <c r="O7" s="75">
        <v>10</v>
      </c>
      <c r="P7" s="75">
        <v>11</v>
      </c>
      <c r="Q7" s="75">
        <v>12</v>
      </c>
      <c r="R7" s="75">
        <v>13</v>
      </c>
      <c r="S7" s="75">
        <v>14</v>
      </c>
      <c r="T7" s="75">
        <v>15</v>
      </c>
      <c r="U7" s="75">
        <v>16</v>
      </c>
      <c r="V7" s="75">
        <v>17</v>
      </c>
      <c r="W7" s="75">
        <v>18</v>
      </c>
      <c r="X7" s="75">
        <v>19</v>
      </c>
      <c r="Y7" s="75">
        <v>20</v>
      </c>
      <c r="Z7" s="75">
        <v>21</v>
      </c>
      <c r="AA7" s="75">
        <v>22</v>
      </c>
      <c r="AB7" s="75">
        <v>23</v>
      </c>
      <c r="AC7" s="75">
        <v>24</v>
      </c>
      <c r="AD7" s="75">
        <v>25</v>
      </c>
      <c r="AE7" s="75">
        <v>26</v>
      </c>
      <c r="AF7" s="75">
        <v>27</v>
      </c>
      <c r="AG7" s="75">
        <v>28</v>
      </c>
      <c r="AH7" s="75">
        <v>29</v>
      </c>
      <c r="AI7" s="75">
        <v>30</v>
      </c>
      <c r="AJ7" s="77">
        <v>31</v>
      </c>
      <c r="AK7" s="76">
        <v>1</v>
      </c>
      <c r="AL7" s="75">
        <v>2</v>
      </c>
      <c r="AM7" s="75">
        <v>3</v>
      </c>
      <c r="AN7" s="75">
        <v>4</v>
      </c>
      <c r="AO7" s="75">
        <v>5</v>
      </c>
      <c r="AP7" s="75">
        <v>6</v>
      </c>
      <c r="AQ7" s="75">
        <v>7</v>
      </c>
      <c r="AR7" s="75">
        <v>8</v>
      </c>
      <c r="AS7" s="75">
        <v>9</v>
      </c>
      <c r="AT7" s="75">
        <v>10</v>
      </c>
      <c r="AU7" s="75">
        <v>11</v>
      </c>
      <c r="AV7" s="75">
        <v>12</v>
      </c>
      <c r="AW7" s="75">
        <v>13</v>
      </c>
      <c r="AX7" s="75">
        <v>14</v>
      </c>
      <c r="AY7" s="75">
        <v>15</v>
      </c>
      <c r="AZ7" s="75">
        <v>16</v>
      </c>
      <c r="BA7" s="75">
        <v>17</v>
      </c>
      <c r="BB7" s="75">
        <v>18</v>
      </c>
      <c r="BC7" s="75">
        <v>19</v>
      </c>
      <c r="BD7" s="75">
        <v>20</v>
      </c>
      <c r="BE7" s="75">
        <v>21</v>
      </c>
      <c r="BF7" s="75">
        <v>22</v>
      </c>
      <c r="BG7" s="75">
        <v>23</v>
      </c>
      <c r="BH7" s="75">
        <v>24</v>
      </c>
      <c r="BI7" s="75">
        <v>25</v>
      </c>
      <c r="BJ7" s="75">
        <v>26</v>
      </c>
      <c r="BK7" s="75">
        <v>27</v>
      </c>
      <c r="BL7" s="77">
        <v>28</v>
      </c>
      <c r="BM7" s="76">
        <v>1</v>
      </c>
      <c r="BN7" s="75">
        <v>2</v>
      </c>
      <c r="BO7" s="75">
        <v>3</v>
      </c>
      <c r="BP7" s="75">
        <v>4</v>
      </c>
      <c r="BQ7" s="75">
        <v>5</v>
      </c>
      <c r="BR7" s="75">
        <v>6</v>
      </c>
      <c r="BS7" s="75">
        <v>7</v>
      </c>
      <c r="BT7" s="75">
        <v>8</v>
      </c>
      <c r="BU7" s="75">
        <v>9</v>
      </c>
      <c r="BV7" s="75">
        <v>10</v>
      </c>
      <c r="BW7" s="75">
        <v>11</v>
      </c>
      <c r="BX7" s="75">
        <v>12</v>
      </c>
      <c r="BY7" s="75">
        <v>13</v>
      </c>
      <c r="BZ7" s="75">
        <v>14</v>
      </c>
      <c r="CA7" s="75">
        <v>15</v>
      </c>
      <c r="CB7" s="75">
        <v>16</v>
      </c>
      <c r="CC7" s="75">
        <v>17</v>
      </c>
      <c r="CD7" s="75">
        <v>18</v>
      </c>
      <c r="CE7" s="75">
        <v>19</v>
      </c>
      <c r="CF7" s="75">
        <v>20</v>
      </c>
      <c r="CG7" s="75">
        <v>21</v>
      </c>
      <c r="CH7" s="75">
        <v>22</v>
      </c>
      <c r="CI7" s="75">
        <v>23</v>
      </c>
      <c r="CJ7" s="75">
        <v>24</v>
      </c>
      <c r="CK7" s="75">
        <v>25</v>
      </c>
      <c r="CL7" s="75">
        <v>26</v>
      </c>
      <c r="CM7" s="75">
        <v>27</v>
      </c>
      <c r="CN7" s="75">
        <v>28</v>
      </c>
      <c r="CO7" s="75">
        <v>29</v>
      </c>
      <c r="CP7" s="75">
        <v>30</v>
      </c>
      <c r="CQ7" s="77">
        <v>31</v>
      </c>
      <c r="CR7" s="76">
        <v>1</v>
      </c>
      <c r="CS7" s="75">
        <v>2</v>
      </c>
      <c r="CT7" s="75">
        <v>3</v>
      </c>
      <c r="CU7" s="75">
        <v>4</v>
      </c>
      <c r="CV7" s="75">
        <v>5</v>
      </c>
      <c r="CW7" s="75">
        <v>6</v>
      </c>
      <c r="CX7" s="75">
        <v>7</v>
      </c>
      <c r="CY7" s="75">
        <v>8</v>
      </c>
      <c r="CZ7" s="75">
        <v>9</v>
      </c>
      <c r="DA7" s="75">
        <v>10</v>
      </c>
      <c r="DB7" s="75">
        <v>11</v>
      </c>
      <c r="DC7" s="75">
        <v>12</v>
      </c>
      <c r="DD7" s="75">
        <v>13</v>
      </c>
      <c r="DE7" s="75">
        <v>14</v>
      </c>
      <c r="DF7" s="75">
        <v>15</v>
      </c>
      <c r="DG7" s="75">
        <v>16</v>
      </c>
      <c r="DH7" s="75">
        <v>17</v>
      </c>
      <c r="DI7" s="75">
        <v>18</v>
      </c>
      <c r="DJ7" s="75">
        <v>19</v>
      </c>
      <c r="DK7" s="75">
        <v>20</v>
      </c>
      <c r="DL7" s="75">
        <v>21</v>
      </c>
      <c r="DM7" s="75">
        <v>22</v>
      </c>
      <c r="DN7" s="75">
        <v>23</v>
      </c>
      <c r="DO7" s="75">
        <v>24</v>
      </c>
      <c r="DP7" s="75">
        <v>25</v>
      </c>
      <c r="DQ7" s="75">
        <v>26</v>
      </c>
      <c r="DR7" s="75">
        <v>27</v>
      </c>
      <c r="DS7" s="75">
        <v>28</v>
      </c>
      <c r="DT7" s="75">
        <v>29</v>
      </c>
      <c r="DU7" s="77">
        <v>30</v>
      </c>
      <c r="DV7" s="76">
        <v>1</v>
      </c>
      <c r="DW7" s="75">
        <v>2</v>
      </c>
      <c r="DX7" s="75">
        <v>3</v>
      </c>
      <c r="DY7" s="75">
        <v>4</v>
      </c>
      <c r="DZ7" s="75">
        <v>5</v>
      </c>
      <c r="EA7" s="75">
        <v>6</v>
      </c>
      <c r="EB7" s="75">
        <v>7</v>
      </c>
      <c r="EC7" s="75">
        <v>8</v>
      </c>
      <c r="ED7" s="75">
        <v>9</v>
      </c>
      <c r="EE7" s="75">
        <v>10</v>
      </c>
      <c r="EF7" s="75">
        <v>11</v>
      </c>
      <c r="EG7" s="75">
        <v>12</v>
      </c>
      <c r="EH7" s="75">
        <v>13</v>
      </c>
      <c r="EI7" s="75">
        <v>14</v>
      </c>
      <c r="EJ7" s="75">
        <v>15</v>
      </c>
      <c r="EK7" s="75">
        <v>16</v>
      </c>
      <c r="EL7" s="75">
        <v>17</v>
      </c>
      <c r="EM7" s="75">
        <v>18</v>
      </c>
      <c r="EN7" s="75">
        <v>19</v>
      </c>
      <c r="EO7" s="75">
        <v>20</v>
      </c>
      <c r="EP7" s="75">
        <v>21</v>
      </c>
      <c r="EQ7" s="75">
        <v>22</v>
      </c>
      <c r="ER7" s="75">
        <v>23</v>
      </c>
      <c r="ES7" s="75">
        <v>24</v>
      </c>
      <c r="ET7" s="75">
        <v>25</v>
      </c>
      <c r="EU7" s="75">
        <v>26</v>
      </c>
      <c r="EV7" s="75">
        <v>27</v>
      </c>
      <c r="EW7" s="75">
        <v>28</v>
      </c>
      <c r="EX7" s="75">
        <v>29</v>
      </c>
      <c r="EY7" s="75">
        <v>30</v>
      </c>
      <c r="EZ7" s="77">
        <v>31</v>
      </c>
      <c r="FA7" s="76">
        <v>1</v>
      </c>
      <c r="FB7" s="75">
        <v>2</v>
      </c>
      <c r="FC7" s="75">
        <v>3</v>
      </c>
      <c r="FD7" s="75">
        <v>4</v>
      </c>
      <c r="FE7" s="75">
        <v>5</v>
      </c>
      <c r="FF7" s="75">
        <v>6</v>
      </c>
      <c r="FG7" s="75">
        <v>7</v>
      </c>
      <c r="FH7" s="75">
        <v>8</v>
      </c>
      <c r="FI7" s="75">
        <v>9</v>
      </c>
      <c r="FJ7" s="75">
        <v>10</v>
      </c>
      <c r="FK7" s="75">
        <v>11</v>
      </c>
      <c r="FL7" s="75">
        <v>12</v>
      </c>
      <c r="FM7" s="75">
        <v>13</v>
      </c>
      <c r="FN7" s="75">
        <v>14</v>
      </c>
      <c r="FO7" s="75">
        <v>15</v>
      </c>
      <c r="FP7" s="75">
        <v>16</v>
      </c>
      <c r="FQ7" s="75">
        <v>17</v>
      </c>
      <c r="FR7" s="75">
        <v>18</v>
      </c>
      <c r="FS7" s="75">
        <v>19</v>
      </c>
      <c r="FT7" s="75">
        <v>20</v>
      </c>
      <c r="FU7" s="75">
        <v>21</v>
      </c>
      <c r="FV7" s="75">
        <v>22</v>
      </c>
      <c r="FW7" s="75">
        <v>23</v>
      </c>
      <c r="FX7" s="75">
        <v>24</v>
      </c>
      <c r="FY7" s="75">
        <v>25</v>
      </c>
      <c r="FZ7" s="75">
        <v>26</v>
      </c>
      <c r="GA7" s="75">
        <v>27</v>
      </c>
      <c r="GB7" s="75">
        <v>28</v>
      </c>
      <c r="GC7" s="75">
        <v>29</v>
      </c>
      <c r="GD7" s="77">
        <v>30</v>
      </c>
      <c r="GE7" s="76">
        <v>1</v>
      </c>
      <c r="GF7" s="75">
        <v>2</v>
      </c>
      <c r="GG7" s="75">
        <v>3</v>
      </c>
      <c r="GH7" s="75">
        <v>4</v>
      </c>
      <c r="GI7" s="75">
        <v>5</v>
      </c>
      <c r="GJ7" s="75">
        <v>6</v>
      </c>
      <c r="GK7" s="75">
        <v>7</v>
      </c>
      <c r="GL7" s="75">
        <v>8</v>
      </c>
      <c r="GM7" s="75">
        <v>9</v>
      </c>
      <c r="GN7" s="75">
        <v>10</v>
      </c>
      <c r="GO7" s="75">
        <v>11</v>
      </c>
      <c r="GP7" s="75">
        <v>12</v>
      </c>
      <c r="GQ7" s="75">
        <v>13</v>
      </c>
      <c r="GR7" s="75">
        <v>14</v>
      </c>
      <c r="GS7" s="75">
        <v>15</v>
      </c>
      <c r="GT7" s="75">
        <v>16</v>
      </c>
      <c r="GU7" s="75">
        <v>17</v>
      </c>
      <c r="GV7" s="75">
        <v>18</v>
      </c>
      <c r="GW7" s="75">
        <v>19</v>
      </c>
      <c r="GX7" s="75">
        <v>20</v>
      </c>
      <c r="GY7" s="75">
        <v>21</v>
      </c>
      <c r="GZ7" s="75">
        <v>22</v>
      </c>
      <c r="HA7" s="75">
        <v>23</v>
      </c>
      <c r="HB7" s="75">
        <v>24</v>
      </c>
      <c r="HC7" s="75">
        <v>25</v>
      </c>
      <c r="HD7" s="75">
        <v>26</v>
      </c>
      <c r="HE7" s="75">
        <v>27</v>
      </c>
      <c r="HF7" s="75">
        <v>28</v>
      </c>
      <c r="HG7" s="75">
        <v>29</v>
      </c>
      <c r="HH7" s="75">
        <v>30</v>
      </c>
      <c r="HI7" s="77">
        <v>31</v>
      </c>
      <c r="HJ7" s="76">
        <v>1</v>
      </c>
      <c r="HK7" s="75">
        <v>2</v>
      </c>
      <c r="HL7" s="75">
        <v>3</v>
      </c>
      <c r="HM7" s="75">
        <v>4</v>
      </c>
      <c r="HN7" s="75">
        <v>5</v>
      </c>
      <c r="HO7" s="75">
        <v>6</v>
      </c>
      <c r="HP7" s="75">
        <v>7</v>
      </c>
      <c r="HQ7" s="75">
        <v>8</v>
      </c>
      <c r="HR7" s="75">
        <v>9</v>
      </c>
      <c r="HS7" s="75">
        <v>10</v>
      </c>
      <c r="HT7" s="75">
        <v>11</v>
      </c>
      <c r="HU7" s="75">
        <v>12</v>
      </c>
      <c r="HV7" s="75">
        <v>13</v>
      </c>
      <c r="HW7" s="75">
        <v>14</v>
      </c>
      <c r="HX7" s="75">
        <v>15</v>
      </c>
      <c r="HY7" s="75">
        <v>16</v>
      </c>
      <c r="HZ7" s="75">
        <v>17</v>
      </c>
      <c r="IA7" s="75">
        <v>18</v>
      </c>
      <c r="IB7" s="75">
        <v>19</v>
      </c>
      <c r="IC7" s="75">
        <v>20</v>
      </c>
      <c r="ID7" s="75">
        <v>21</v>
      </c>
      <c r="IE7" s="75">
        <v>22</v>
      </c>
      <c r="IF7" s="75">
        <v>23</v>
      </c>
      <c r="IG7" s="75">
        <v>24</v>
      </c>
      <c r="IH7" s="75">
        <v>25</v>
      </c>
      <c r="II7" s="75">
        <v>26</v>
      </c>
      <c r="IJ7" s="75">
        <v>27</v>
      </c>
      <c r="IK7" s="75">
        <v>28</v>
      </c>
      <c r="IL7" s="75">
        <v>29</v>
      </c>
      <c r="IM7" s="75">
        <v>30</v>
      </c>
      <c r="IN7" s="77">
        <v>31</v>
      </c>
      <c r="IO7" s="76">
        <v>1</v>
      </c>
      <c r="IP7" s="75">
        <v>2</v>
      </c>
      <c r="IQ7" s="75">
        <v>3</v>
      </c>
      <c r="IR7" s="75">
        <v>4</v>
      </c>
      <c r="IS7" s="75">
        <v>5</v>
      </c>
      <c r="IT7" s="75">
        <v>6</v>
      </c>
      <c r="IU7" s="75">
        <v>7</v>
      </c>
      <c r="IV7" s="75">
        <v>8</v>
      </c>
      <c r="IW7" s="75">
        <v>9</v>
      </c>
      <c r="IX7" s="75">
        <v>10</v>
      </c>
      <c r="IY7" s="75">
        <v>11</v>
      </c>
      <c r="IZ7" s="75">
        <v>12</v>
      </c>
      <c r="JA7" s="75">
        <v>13</v>
      </c>
      <c r="JB7" s="75">
        <v>14</v>
      </c>
      <c r="JC7" s="75">
        <v>15</v>
      </c>
      <c r="JD7" s="75">
        <v>16</v>
      </c>
      <c r="JE7" s="75">
        <v>17</v>
      </c>
      <c r="JF7" s="75">
        <v>18</v>
      </c>
      <c r="JG7" s="75">
        <v>19</v>
      </c>
      <c r="JH7" s="75">
        <v>20</v>
      </c>
      <c r="JI7" s="75">
        <v>21</v>
      </c>
      <c r="JJ7" s="75">
        <v>22</v>
      </c>
      <c r="JK7" s="75">
        <v>23</v>
      </c>
      <c r="JL7" s="75">
        <v>24</v>
      </c>
      <c r="JM7" s="75">
        <v>25</v>
      </c>
      <c r="JN7" s="75">
        <v>26</v>
      </c>
      <c r="JO7" s="75">
        <v>27</v>
      </c>
      <c r="JP7" s="75">
        <v>28</v>
      </c>
      <c r="JQ7" s="75">
        <v>29</v>
      </c>
      <c r="JR7" s="77">
        <v>30</v>
      </c>
      <c r="JS7" s="76">
        <v>1</v>
      </c>
      <c r="JT7" s="75">
        <v>2</v>
      </c>
      <c r="JU7" s="75">
        <v>3</v>
      </c>
      <c r="JV7" s="75">
        <v>4</v>
      </c>
      <c r="JW7" s="75">
        <v>5</v>
      </c>
      <c r="JX7" s="75">
        <v>6</v>
      </c>
      <c r="JY7" s="75">
        <v>7</v>
      </c>
      <c r="JZ7" s="75">
        <v>8</v>
      </c>
      <c r="KA7" s="75">
        <v>9</v>
      </c>
      <c r="KB7" s="75">
        <v>10</v>
      </c>
      <c r="KC7" s="75">
        <v>11</v>
      </c>
      <c r="KD7" s="75">
        <v>12</v>
      </c>
      <c r="KE7" s="75">
        <v>13</v>
      </c>
      <c r="KF7" s="75">
        <v>14</v>
      </c>
      <c r="KG7" s="75">
        <v>15</v>
      </c>
      <c r="KH7" s="75">
        <v>16</v>
      </c>
      <c r="KI7" s="75">
        <v>17</v>
      </c>
      <c r="KJ7" s="75">
        <v>18</v>
      </c>
      <c r="KK7" s="75">
        <v>19</v>
      </c>
      <c r="KL7" s="75">
        <v>20</v>
      </c>
      <c r="KM7" s="75">
        <v>21</v>
      </c>
      <c r="KN7" s="75">
        <v>22</v>
      </c>
      <c r="KO7" s="75">
        <v>23</v>
      </c>
      <c r="KP7" s="75">
        <v>24</v>
      </c>
      <c r="KQ7" s="75">
        <v>25</v>
      </c>
      <c r="KR7" s="75">
        <v>26</v>
      </c>
      <c r="KS7" s="75">
        <v>27</v>
      </c>
      <c r="KT7" s="75">
        <v>28</v>
      </c>
      <c r="KU7" s="75">
        <v>29</v>
      </c>
      <c r="KV7" s="75">
        <v>30</v>
      </c>
      <c r="KW7" s="77">
        <v>31</v>
      </c>
      <c r="KX7" s="76">
        <v>1</v>
      </c>
      <c r="KY7" s="75">
        <v>2</v>
      </c>
      <c r="KZ7" s="75">
        <v>3</v>
      </c>
      <c r="LA7" s="75">
        <v>4</v>
      </c>
      <c r="LB7" s="75">
        <v>5</v>
      </c>
      <c r="LC7" s="75">
        <v>6</v>
      </c>
      <c r="LD7" s="75">
        <v>7</v>
      </c>
      <c r="LE7" s="75">
        <v>8</v>
      </c>
      <c r="LF7" s="75">
        <v>9</v>
      </c>
      <c r="LG7" s="75">
        <v>10</v>
      </c>
      <c r="LH7" s="75">
        <v>11</v>
      </c>
      <c r="LI7" s="75">
        <v>12</v>
      </c>
      <c r="LJ7" s="75">
        <v>13</v>
      </c>
      <c r="LK7" s="75">
        <v>14</v>
      </c>
      <c r="LL7" s="75">
        <v>15</v>
      </c>
      <c r="LM7" s="75">
        <v>16</v>
      </c>
      <c r="LN7" s="75">
        <v>17</v>
      </c>
      <c r="LO7" s="75">
        <v>18</v>
      </c>
      <c r="LP7" s="75">
        <v>19</v>
      </c>
      <c r="LQ7" s="75">
        <v>20</v>
      </c>
      <c r="LR7" s="75">
        <v>21</v>
      </c>
      <c r="LS7" s="75">
        <v>22</v>
      </c>
      <c r="LT7" s="75">
        <v>23</v>
      </c>
      <c r="LU7" s="75">
        <v>24</v>
      </c>
      <c r="LV7" s="75">
        <v>25</v>
      </c>
      <c r="LW7" s="75">
        <v>26</v>
      </c>
      <c r="LX7" s="75">
        <v>27</v>
      </c>
      <c r="LY7" s="75">
        <v>28</v>
      </c>
      <c r="LZ7" s="75">
        <v>29</v>
      </c>
      <c r="MA7" s="77">
        <v>30</v>
      </c>
      <c r="MB7" s="76">
        <v>1</v>
      </c>
      <c r="MC7" s="75">
        <v>2</v>
      </c>
      <c r="MD7" s="75">
        <v>3</v>
      </c>
      <c r="ME7" s="75">
        <v>4</v>
      </c>
      <c r="MF7" s="75">
        <v>5</v>
      </c>
      <c r="MG7" s="75">
        <v>6</v>
      </c>
      <c r="MH7" s="75">
        <v>7</v>
      </c>
      <c r="MI7" s="75">
        <v>8</v>
      </c>
      <c r="MJ7" s="75">
        <v>9</v>
      </c>
      <c r="MK7" s="75">
        <v>10</v>
      </c>
      <c r="ML7" s="75">
        <v>11</v>
      </c>
      <c r="MM7" s="75">
        <v>12</v>
      </c>
      <c r="MN7" s="75">
        <v>13</v>
      </c>
      <c r="MO7" s="75">
        <v>14</v>
      </c>
      <c r="MP7" s="75">
        <v>15</v>
      </c>
      <c r="MQ7" s="75">
        <v>16</v>
      </c>
      <c r="MR7" s="75">
        <v>17</v>
      </c>
      <c r="MS7" s="75">
        <v>18</v>
      </c>
      <c r="MT7" s="75">
        <v>19</v>
      </c>
      <c r="MU7" s="75">
        <v>20</v>
      </c>
      <c r="MV7" s="75">
        <v>21</v>
      </c>
      <c r="MW7" s="75">
        <v>22</v>
      </c>
      <c r="MX7" s="75">
        <v>23</v>
      </c>
      <c r="MY7" s="75">
        <v>24</v>
      </c>
      <c r="MZ7" s="75">
        <v>25</v>
      </c>
      <c r="NA7" s="75">
        <v>26</v>
      </c>
      <c r="NB7" s="75">
        <v>27</v>
      </c>
      <c r="NC7" s="75">
        <v>28</v>
      </c>
      <c r="ND7" s="75">
        <v>29</v>
      </c>
      <c r="NE7" s="75">
        <v>30</v>
      </c>
      <c r="NF7" s="77">
        <v>31</v>
      </c>
      <c r="NG7" s="138"/>
      <c r="NH7" s="126"/>
      <c r="NI7" s="126"/>
      <c r="NJ7" s="126"/>
      <c r="NK7" s="126"/>
      <c r="NL7" s="126"/>
      <c r="NM7" s="138"/>
      <c r="NT7" s="33" t="s">
        <v>2</v>
      </c>
      <c r="NU7" s="33" t="s">
        <v>4</v>
      </c>
      <c r="NV7" s="28" t="s">
        <v>2</v>
      </c>
      <c r="NW7" s="28" t="s">
        <v>4</v>
      </c>
      <c r="NX7" s="29" t="s">
        <v>2</v>
      </c>
      <c r="NY7" s="29" t="s">
        <v>4</v>
      </c>
      <c r="NZ7" s="29" t="s">
        <v>5</v>
      </c>
      <c r="OA7" s="29" t="s">
        <v>7</v>
      </c>
      <c r="OB7" s="29" t="s">
        <v>8</v>
      </c>
      <c r="OC7" s="30" t="s">
        <v>2</v>
      </c>
      <c r="OD7" s="30" t="s">
        <v>4</v>
      </c>
    </row>
    <row r="8" spans="1:394" s="40" customFormat="1" ht="40" customHeight="1" x14ac:dyDescent="0.2">
      <c r="A8" s="41" t="s">
        <v>64</v>
      </c>
      <c r="B8" s="22" t="s">
        <v>130</v>
      </c>
      <c r="C8" s="22" t="s">
        <v>131</v>
      </c>
      <c r="D8" s="22" t="s">
        <v>132</v>
      </c>
      <c r="E8" s="44">
        <v>0</v>
      </c>
      <c r="F8" s="78" t="str">
        <f>IFERROR(VLOOKUP([2]Pointage!J2,Feuil1!$A:$B,2,FALSE),"")</f>
        <v/>
      </c>
      <c r="G8" s="79" t="str">
        <f>IFERROR(VLOOKUP([2]Pointage!K2,Feuil1!$A:$B,2,FALSE),"")</f>
        <v/>
      </c>
      <c r="H8" s="79" t="str">
        <f>IFERROR(VLOOKUP([2]Pointage!L2,Feuil1!$A:$B,2,FALSE),"")</f>
        <v/>
      </c>
      <c r="I8" s="79" t="str">
        <f>IFERROR(VLOOKUP([2]Pointage!M2,Feuil1!$A:$B,2,FALSE),"")</f>
        <v/>
      </c>
      <c r="J8" s="79" t="str">
        <f>IFERROR(VLOOKUP([2]Pointage!N2,Feuil1!$A:$B,2,FALSE),"")</f>
        <v/>
      </c>
      <c r="K8" s="79" t="str">
        <f>IFERROR(VLOOKUP([2]Pointage!O2,Feuil1!$A:$B,2,FALSE),"")</f>
        <v/>
      </c>
      <c r="L8" s="79" t="str">
        <f>IFERROR(VLOOKUP([2]Pointage!P2,Feuil1!$A:$B,2,FALSE),"")</f>
        <v/>
      </c>
      <c r="M8" s="79" t="str">
        <f>IFERROR(VLOOKUP([2]Pointage!Q2,Feuil1!$A:$B,2,FALSE),"")</f>
        <v/>
      </c>
      <c r="N8" s="79" t="str">
        <f>IFERROR(VLOOKUP([2]Pointage!R2,Feuil1!$A:$B,2,FALSE),"")</f>
        <v/>
      </c>
      <c r="O8" s="79" t="str">
        <f>IFERROR(VLOOKUP([2]Pointage!S2,Feuil1!$A:$B,2,FALSE),"")</f>
        <v/>
      </c>
      <c r="P8" s="79" t="str">
        <f>IFERROR(VLOOKUP([2]Pointage!T2,Feuil1!$A:$B,2,FALSE),"")</f>
        <v/>
      </c>
      <c r="Q8" s="79" t="str">
        <f>IFERROR(VLOOKUP([2]Pointage!U2,Feuil1!$A:$B,2,FALSE),"")</f>
        <v/>
      </c>
      <c r="R8" s="79" t="str">
        <f>IFERROR(VLOOKUP([2]Pointage!V2,Feuil1!$A:$B,2,FALSE),"")</f>
        <v/>
      </c>
      <c r="S8" s="79" t="str">
        <f>IFERROR(VLOOKUP([2]Pointage!W2,Feuil1!$A:$B,2,FALSE),"")</f>
        <v/>
      </c>
      <c r="T8" s="79" t="str">
        <f>IFERROR(VLOOKUP([2]Pointage!X2,Feuil1!$A:$B,2,FALSE),"")</f>
        <v/>
      </c>
      <c r="U8" s="79" t="str">
        <f>IFERROR(VLOOKUP([2]Pointage!Y2,Feuil1!$A:$B,2,FALSE),"")</f>
        <v/>
      </c>
      <c r="V8" s="79" t="str">
        <f>IFERROR(VLOOKUP([2]Pointage!Z2,Feuil1!$A:$B,2,FALSE),"")</f>
        <v/>
      </c>
      <c r="W8" s="79" t="str">
        <f>IFERROR(VLOOKUP([2]Pointage!AA2,Feuil1!$A:$B,2,FALSE),"")</f>
        <v/>
      </c>
      <c r="X8" s="79" t="str">
        <f>IFERROR(VLOOKUP([2]Pointage!AB2,Feuil1!$A:$B,2,FALSE),"")</f>
        <v/>
      </c>
      <c r="Y8" s="79" t="str">
        <f>IFERROR(VLOOKUP([2]Pointage!AC2,Feuil1!$A:$B,2,FALSE),"")</f>
        <v/>
      </c>
      <c r="Z8" s="79" t="str">
        <f>IFERROR(VLOOKUP([2]Pointage!AD2,Feuil1!$A:$B,2,FALSE),"")</f>
        <v/>
      </c>
      <c r="AA8" s="79" t="str">
        <f>IFERROR(VLOOKUP([2]Pointage!AE2,Feuil1!$A:$B,2,FALSE),"")</f>
        <v/>
      </c>
      <c r="AB8" s="79" t="str">
        <f>IFERROR(VLOOKUP([2]Pointage!AF2,Feuil1!$A:$B,2,FALSE),"")</f>
        <v/>
      </c>
      <c r="AC8" s="79" t="str">
        <f>IFERROR(VLOOKUP([2]Pointage!AG2,Feuil1!$A:$B,2,FALSE),"")</f>
        <v/>
      </c>
      <c r="AD8" s="79" t="str">
        <f>IFERROR(VLOOKUP([2]Pointage!AH2,Feuil1!$A:$B,2,FALSE),"")</f>
        <v/>
      </c>
      <c r="AE8" s="79" t="str">
        <f>IFERROR(VLOOKUP([2]Pointage!AI2,Feuil1!$A:$B,2,FALSE),"")</f>
        <v/>
      </c>
      <c r="AF8" s="79" t="str">
        <f>IFERROR(VLOOKUP([2]Pointage!AJ2,Feuil1!$A:$B,2,FALSE),"")</f>
        <v/>
      </c>
      <c r="AG8" s="79" t="str">
        <f>IFERROR(VLOOKUP([2]Pointage!AK2,Feuil1!$A:$B,2,FALSE),"")</f>
        <v/>
      </c>
      <c r="AH8" s="79" t="str">
        <f>IFERROR(VLOOKUP([2]Pointage!AL2,Feuil1!$A:$B,2,FALSE),"")</f>
        <v/>
      </c>
      <c r="AI8" s="79" t="str">
        <f>IFERROR(VLOOKUP([2]Pointage!AM2,Feuil1!$A:$B,2,FALSE),"")</f>
        <v/>
      </c>
      <c r="AJ8" s="81" t="str">
        <f>IFERROR(VLOOKUP([2]Pointage!AN2,Feuil1!$A:$B,2,FALSE),"")</f>
        <v/>
      </c>
      <c r="AK8" s="78" t="str">
        <f>IFERROR(VLOOKUP([2]Pointage!AO2,Feuil1!$A:$B,2,FALSE),"")</f>
        <v/>
      </c>
      <c r="AL8" s="79" t="str">
        <f>IFERROR(VLOOKUP([2]Pointage!AP2,Feuil1!$A:$B,2,FALSE),"")</f>
        <v/>
      </c>
      <c r="AM8" s="79" t="str">
        <f>IFERROR(VLOOKUP([2]Pointage!AQ2,Feuil1!$A:$B,2,FALSE),"")</f>
        <v/>
      </c>
      <c r="AN8" s="79" t="str">
        <f>IFERROR(VLOOKUP([2]Pointage!AR2,Feuil1!$A:$B,2,FALSE),"")</f>
        <v/>
      </c>
      <c r="AO8" s="79" t="str">
        <f>IFERROR(VLOOKUP([2]Pointage!AS2,Feuil1!$A:$B,2,FALSE),"")</f>
        <v/>
      </c>
      <c r="AP8" s="79" t="str">
        <f>IFERROR(VLOOKUP([2]Pointage!AT2,Feuil1!$A:$B,2,FALSE),"")</f>
        <v/>
      </c>
      <c r="AQ8" s="79" t="str">
        <f>IFERROR(VLOOKUP([2]Pointage!AU2,Feuil1!$A:$B,2,FALSE),"")</f>
        <v/>
      </c>
      <c r="AR8" s="79" t="str">
        <f>IFERROR(VLOOKUP([2]Pointage!AV2,Feuil1!$A:$B,2,FALSE),"")</f>
        <v/>
      </c>
      <c r="AS8" s="79" t="str">
        <f>IFERROR(VLOOKUP([2]Pointage!AW2,Feuil1!$A:$B,2,FALSE),"")</f>
        <v/>
      </c>
      <c r="AT8" s="79" t="str">
        <f>IFERROR(VLOOKUP([2]Pointage!AX2,Feuil1!$A:$B,2,FALSE),"")</f>
        <v/>
      </c>
      <c r="AU8" s="79" t="str">
        <f>IFERROR(VLOOKUP([2]Pointage!AY2,Feuil1!$A:$B,2,FALSE),"")</f>
        <v/>
      </c>
      <c r="AV8" s="79" t="str">
        <f>IFERROR(VLOOKUP([2]Pointage!AZ2,Feuil1!$A:$B,2,FALSE),"")</f>
        <v/>
      </c>
      <c r="AW8" s="79" t="str">
        <f>IFERROR(VLOOKUP([2]Pointage!BA2,Feuil1!$A:$B,2,FALSE),"")</f>
        <v/>
      </c>
      <c r="AX8" s="79" t="str">
        <f>IFERROR(VLOOKUP([2]Pointage!BB2,Feuil1!$A:$B,2,FALSE),"")</f>
        <v/>
      </c>
      <c r="AY8" s="79" t="str">
        <f>IFERROR(VLOOKUP([2]Pointage!BC2,Feuil1!$A:$B,2,FALSE),"")</f>
        <v/>
      </c>
      <c r="AZ8" s="79" t="str">
        <f>IFERROR(VLOOKUP([2]Pointage!BD2,Feuil1!$A:$B,2,FALSE),"")</f>
        <v/>
      </c>
      <c r="BA8" s="79" t="str">
        <f>IFERROR(VLOOKUP([2]Pointage!BE2,Feuil1!$A:$B,2,FALSE),"")</f>
        <v/>
      </c>
      <c r="BB8" s="79" t="str">
        <f>IFERROR(VLOOKUP([2]Pointage!BF2,Feuil1!$A:$B,2,FALSE),"")</f>
        <v/>
      </c>
      <c r="BC8" s="79" t="str">
        <f>IFERROR(VLOOKUP([2]Pointage!BG2,Feuil1!$A:$B,2,FALSE),"")</f>
        <v/>
      </c>
      <c r="BD8" s="79" t="str">
        <f>IFERROR(VLOOKUP([2]Pointage!BH2,Feuil1!$A:$B,2,FALSE),"")</f>
        <v/>
      </c>
      <c r="BE8" s="79" t="str">
        <f>IFERROR(VLOOKUP([2]Pointage!BI2,Feuil1!$A:$B,2,FALSE),"")</f>
        <v/>
      </c>
      <c r="BF8" s="79" t="str">
        <f>IFERROR(VLOOKUP([2]Pointage!BJ2,Feuil1!$A:$B,2,FALSE),"")</f>
        <v/>
      </c>
      <c r="BG8" s="79" t="str">
        <f>IFERROR(VLOOKUP([2]Pointage!BK2,Feuil1!$A:$B,2,FALSE),"")</f>
        <v/>
      </c>
      <c r="BH8" s="79" t="str">
        <f>IFERROR(VLOOKUP([2]Pointage!BL2,Feuil1!$A:$B,2,FALSE),"")</f>
        <v/>
      </c>
      <c r="BI8" s="79" t="str">
        <f>IFERROR(VLOOKUP([2]Pointage!BM2,Feuil1!$A:$B,2,FALSE),"")</f>
        <v/>
      </c>
      <c r="BJ8" s="79" t="str">
        <f>IFERROR(VLOOKUP([2]Pointage!BN2,Feuil1!$A:$B,2,FALSE),"")</f>
        <v/>
      </c>
      <c r="BK8" s="79" t="str">
        <f>IFERROR(VLOOKUP([2]Pointage!BO2,Feuil1!$A:$B,2,FALSE),"")</f>
        <v/>
      </c>
      <c r="BL8" s="81" t="str">
        <f>IFERROR(VLOOKUP([2]Pointage!BP2,Feuil1!$A:$B,2,FALSE),"")</f>
        <v/>
      </c>
      <c r="BM8" s="78" t="str">
        <f>IFERROR(VLOOKUP([2]Pointage!BQ2,Feuil1!$A:$B,2,FALSE),"")</f>
        <v/>
      </c>
      <c r="BN8" s="79" t="str">
        <f>IFERROR(VLOOKUP([2]Pointage!BR2,Feuil1!$A:$B,2,FALSE),"")</f>
        <v/>
      </c>
      <c r="BO8" s="79" t="str">
        <f>IFERROR(VLOOKUP([2]Pointage!BS2,Feuil1!$A:$B,2,FALSE),"")</f>
        <v/>
      </c>
      <c r="BP8" s="79" t="str">
        <f>IFERROR(VLOOKUP([2]Pointage!BT2,Feuil1!$A:$B,2,FALSE),"")</f>
        <v/>
      </c>
      <c r="BQ8" s="79" t="str">
        <f>IFERROR(VLOOKUP([2]Pointage!BU2,Feuil1!$A:$B,2,FALSE),"")</f>
        <v/>
      </c>
      <c r="BR8" s="79" t="str">
        <f>IFERROR(VLOOKUP([2]Pointage!BV2,Feuil1!$A:$B,2,FALSE),"")</f>
        <v/>
      </c>
      <c r="BS8" s="79" t="str">
        <f>IFERROR(VLOOKUP([2]Pointage!BW2,Feuil1!$A:$B,2,FALSE),"")</f>
        <v/>
      </c>
      <c r="BT8" s="79" t="str">
        <f>IFERROR(VLOOKUP([2]Pointage!BX2,Feuil1!$A:$B,2,FALSE),"")</f>
        <v/>
      </c>
      <c r="BU8" s="79" t="str">
        <f>IFERROR(VLOOKUP([2]Pointage!BY2,Feuil1!$A:$B,2,FALSE),"")</f>
        <v/>
      </c>
      <c r="BV8" s="79" t="str">
        <f>IFERROR(VLOOKUP([2]Pointage!BZ2,Feuil1!$A:$B,2,FALSE),"")</f>
        <v/>
      </c>
      <c r="BW8" s="79" t="str">
        <f>IFERROR(VLOOKUP([2]Pointage!CA2,Feuil1!$A:$B,2,FALSE),"")</f>
        <v/>
      </c>
      <c r="BX8" s="79" t="str">
        <f>IFERROR(VLOOKUP([2]Pointage!CB2,Feuil1!$A:$B,2,FALSE),"")</f>
        <v/>
      </c>
      <c r="BY8" s="79" t="str">
        <f>IFERROR(VLOOKUP([2]Pointage!CC2,Feuil1!$A:$B,2,FALSE),"")</f>
        <v/>
      </c>
      <c r="BZ8" s="79" t="str">
        <f>IFERROR(VLOOKUP([2]Pointage!CD2,Feuil1!$A:$B,2,FALSE),"")</f>
        <v/>
      </c>
      <c r="CA8" s="79" t="str">
        <f>IFERROR(VLOOKUP([2]Pointage!CE2,Feuil1!$A:$B,2,FALSE),"")</f>
        <v/>
      </c>
      <c r="CB8" s="79" t="str">
        <f>IFERROR(VLOOKUP([2]Pointage!CF2,Feuil1!$A:$B,2,FALSE),"")</f>
        <v>C</v>
      </c>
      <c r="CC8" s="79" t="str">
        <f>IFERROR(VLOOKUP([2]Pointage!CG2,Feuil1!$A:$B,2,FALSE),"")</f>
        <v/>
      </c>
      <c r="CD8" s="79" t="str">
        <f>IFERROR(VLOOKUP([2]Pointage!CH2,Feuil1!$A:$B,2,FALSE),"")</f>
        <v/>
      </c>
      <c r="CE8" s="79" t="str">
        <f>IFERROR(VLOOKUP([2]Pointage!CI2,Feuil1!$A:$B,2,FALSE),"")</f>
        <v/>
      </c>
      <c r="CF8" s="79" t="str">
        <f>IFERROR(VLOOKUP([2]Pointage!CJ2,Feuil1!$A:$B,2,FALSE),"")</f>
        <v/>
      </c>
      <c r="CG8" s="79" t="str">
        <f>IFERROR(VLOOKUP([2]Pointage!CK2,Feuil1!$A:$B,2,FALSE),"")</f>
        <v/>
      </c>
      <c r="CH8" s="79" t="str">
        <f>IFERROR(VLOOKUP([2]Pointage!CL2,Feuil1!$A:$B,2,FALSE),"")</f>
        <v/>
      </c>
      <c r="CI8" s="79" t="str">
        <f>IFERROR(VLOOKUP([2]Pointage!CM2,Feuil1!$A:$B,2,FALSE),"")</f>
        <v/>
      </c>
      <c r="CJ8" s="79" t="str">
        <f>IFERROR(VLOOKUP([2]Pointage!CN2,Feuil1!$A:$B,2,FALSE),"")</f>
        <v/>
      </c>
      <c r="CK8" s="79" t="str">
        <f>IFERROR(VLOOKUP([2]Pointage!CO2,Feuil1!$A:$B,2,FALSE),"")</f>
        <v/>
      </c>
      <c r="CL8" s="79" t="str">
        <f>IFERROR(VLOOKUP([2]Pointage!CP2,Feuil1!$A:$B,2,FALSE),"")</f>
        <v/>
      </c>
      <c r="CM8" s="79" t="str">
        <f>IFERROR(VLOOKUP([2]Pointage!CQ2,Feuil1!$A:$B,2,FALSE),"")</f>
        <v/>
      </c>
      <c r="CN8" s="79" t="str">
        <f>IFERROR(VLOOKUP([2]Pointage!CR2,Feuil1!$A:$B,2,FALSE),"")</f>
        <v/>
      </c>
      <c r="CO8" s="79" t="str">
        <f>IFERROR(VLOOKUP([2]Pointage!CS2,Feuil1!$A:$B,2,FALSE),"")</f>
        <v/>
      </c>
      <c r="CP8" s="79" t="str">
        <f>IFERROR(VLOOKUP([2]Pointage!CT2,Feuil1!$A:$B,2,FALSE),"")</f>
        <v/>
      </c>
      <c r="CQ8" s="81" t="str">
        <f>IFERROR(VLOOKUP([2]Pointage!CU2,Feuil1!$A:$B,2,FALSE),"")</f>
        <v/>
      </c>
      <c r="CR8" s="78" t="str">
        <f>IFERROR(VLOOKUP([2]Pointage!CV2,Feuil1!$A:$B,2,FALSE),"")</f>
        <v/>
      </c>
      <c r="CS8" s="79" t="str">
        <f>IFERROR(VLOOKUP([2]Pointage!CW2,Feuil1!$A:$B,2,FALSE),"")</f>
        <v/>
      </c>
      <c r="CT8" s="79" t="str">
        <f>IFERROR(VLOOKUP([2]Pointage!CX2,Feuil1!$A:$B,2,FALSE),"")</f>
        <v/>
      </c>
      <c r="CU8" s="79" t="str">
        <f>IFERROR(VLOOKUP([2]Pointage!CY2,Feuil1!$A:$B,2,FALSE),"")</f>
        <v/>
      </c>
      <c r="CV8" s="79" t="str">
        <f>IFERROR(VLOOKUP([2]Pointage!CZ2,Feuil1!$A:$B,2,FALSE),"")</f>
        <v/>
      </c>
      <c r="CW8" s="79" t="str">
        <f>IFERROR(VLOOKUP([2]Pointage!DA2,Feuil1!$A:$B,2,FALSE),"")</f>
        <v/>
      </c>
      <c r="CX8" s="79" t="str">
        <f>IFERROR(VLOOKUP([2]Pointage!DB2,Feuil1!$A:$B,2,FALSE),"")</f>
        <v/>
      </c>
      <c r="CY8" s="79" t="str">
        <f>IFERROR(VLOOKUP([2]Pointage!DC2,Feuil1!$A:$B,2,FALSE),"")</f>
        <v/>
      </c>
      <c r="CZ8" s="79" t="str">
        <f>IFERROR(VLOOKUP([2]Pointage!DD2,Feuil1!$A:$B,2,FALSE),"")</f>
        <v/>
      </c>
      <c r="DA8" s="79" t="str">
        <f>IFERROR(VLOOKUP([2]Pointage!DE2,Feuil1!$A:$B,2,FALSE),"")</f>
        <v/>
      </c>
      <c r="DB8" s="79" t="str">
        <f>IFERROR(VLOOKUP([2]Pointage!DF2,Feuil1!$A:$B,2,FALSE),"")</f>
        <v/>
      </c>
      <c r="DC8" s="79" t="str">
        <f>IFERROR(VLOOKUP([2]Pointage!DG2,Feuil1!$A:$B,2,FALSE),"")</f>
        <v/>
      </c>
      <c r="DD8" s="79" t="str">
        <f>IFERROR(VLOOKUP([2]Pointage!DH2,Feuil1!$A:$B,2,FALSE),"")</f>
        <v/>
      </c>
      <c r="DE8" s="79" t="str">
        <f>IFERROR(VLOOKUP([2]Pointage!DI2,Feuil1!$A:$B,2,FALSE),"")</f>
        <v/>
      </c>
      <c r="DF8" s="79" t="str">
        <f>IFERROR(VLOOKUP([2]Pointage!DJ2,Feuil1!$A:$B,2,FALSE),"")</f>
        <v/>
      </c>
      <c r="DG8" s="79" t="str">
        <f>IFERROR(VLOOKUP([2]Pointage!DK2,Feuil1!$A:$B,2,FALSE),"")</f>
        <v/>
      </c>
      <c r="DH8" s="79" t="str">
        <f>IFERROR(VLOOKUP([2]Pointage!DL2,Feuil1!$A:$B,2,FALSE),"")</f>
        <v/>
      </c>
      <c r="DI8" s="79" t="str">
        <f>IFERROR(VLOOKUP([2]Pointage!DM2,Feuil1!$A:$B,2,FALSE),"")</f>
        <v/>
      </c>
      <c r="DJ8" s="79" t="str">
        <f>IFERROR(VLOOKUP([2]Pointage!DN2,Feuil1!$A:$B,2,FALSE),"")</f>
        <v/>
      </c>
      <c r="DK8" s="79" t="str">
        <f>IFERROR(VLOOKUP([2]Pointage!DO2,Feuil1!$A:$B,2,FALSE),"")</f>
        <v>C</v>
      </c>
      <c r="DL8" s="79" t="str">
        <f>IFERROR(VLOOKUP([2]Pointage!DP2,Feuil1!$A:$B,2,FALSE),"")</f>
        <v/>
      </c>
      <c r="DM8" s="79" t="str">
        <f>IFERROR(VLOOKUP([2]Pointage!DQ2,Feuil1!$A:$B,2,FALSE),"")</f>
        <v/>
      </c>
      <c r="DN8" s="79" t="str">
        <f>IFERROR(VLOOKUP([2]Pointage!DR2,Feuil1!$A:$B,2,FALSE),"")</f>
        <v>C</v>
      </c>
      <c r="DO8" s="79" t="str">
        <f>IFERROR(VLOOKUP([2]Pointage!DS2,Feuil1!$A:$B,2,FALSE),"")</f>
        <v>C</v>
      </c>
      <c r="DP8" s="79" t="str">
        <f>IFERROR(VLOOKUP([2]Pointage!DT2,Feuil1!$A:$B,2,FALSE),"")</f>
        <v/>
      </c>
      <c r="DQ8" s="79" t="str">
        <f>IFERROR(VLOOKUP([2]Pointage!DU2,Feuil1!$A:$B,2,FALSE),"")</f>
        <v/>
      </c>
      <c r="DR8" s="79" t="str">
        <f>IFERROR(VLOOKUP([2]Pointage!DV2,Feuil1!$A:$B,2,FALSE),"")</f>
        <v/>
      </c>
      <c r="DS8" s="79" t="str">
        <f>IFERROR(VLOOKUP([2]Pointage!DW2,Feuil1!$A:$B,2,FALSE),"")</f>
        <v/>
      </c>
      <c r="DT8" s="79" t="str">
        <f>IFERROR(VLOOKUP([2]Pointage!DX2,Feuil1!$A:$B,2,FALSE),"")</f>
        <v/>
      </c>
      <c r="DU8" s="81" t="str">
        <f>IFERROR(VLOOKUP([2]Pointage!DY2,Feuil1!$A:$B,2,FALSE),"")</f>
        <v/>
      </c>
      <c r="DV8" s="78" t="str">
        <f>IFERROR(VLOOKUP([2]Pointage!DZ2,Feuil1!$A:$B,2,FALSE),"")</f>
        <v/>
      </c>
      <c r="DW8" s="79" t="str">
        <f>IFERROR(VLOOKUP([2]Pointage!EA2,Feuil1!$A:$B,2,FALSE),"")</f>
        <v/>
      </c>
      <c r="DX8" s="79" t="str">
        <f>IFERROR(VLOOKUP([2]Pointage!EB2,Feuil1!$A:$B,2,FALSE),"")</f>
        <v/>
      </c>
      <c r="DY8" s="79" t="str">
        <f>IFERROR(VLOOKUP([2]Pointage!EC2,Feuil1!$A:$B,2,FALSE),"")</f>
        <v/>
      </c>
      <c r="DZ8" s="79" t="str">
        <f>IFERROR(VLOOKUP([2]Pointage!ED2,Feuil1!$A:$B,2,FALSE),"")</f>
        <v/>
      </c>
      <c r="EA8" s="79" t="str">
        <f>IFERROR(VLOOKUP([2]Pointage!EE2,Feuil1!$A:$B,2,FALSE),"")</f>
        <v/>
      </c>
      <c r="EB8" s="79" t="str">
        <f>IFERROR(VLOOKUP([2]Pointage!EF2,Feuil1!$A:$B,2,FALSE),"")</f>
        <v/>
      </c>
      <c r="EC8" s="79" t="str">
        <f>IFERROR(VLOOKUP([2]Pointage!EG2,Feuil1!$A:$B,2,FALSE),"")</f>
        <v/>
      </c>
      <c r="ED8" s="79" t="str">
        <f>IFERROR(VLOOKUP([2]Pointage!EH2,Feuil1!$A:$B,2,FALSE),"")</f>
        <v/>
      </c>
      <c r="EE8" s="79" t="str">
        <f>IFERROR(VLOOKUP([2]Pointage!EI2,Feuil1!$A:$B,2,FALSE),"")</f>
        <v/>
      </c>
      <c r="EF8" s="79" t="str">
        <f>IFERROR(VLOOKUP([2]Pointage!EJ2,Feuil1!$A:$B,2,FALSE),"")</f>
        <v/>
      </c>
      <c r="EG8" s="79" t="str">
        <f>IFERROR(VLOOKUP([2]Pointage!EK2,Feuil1!$A:$B,2,FALSE),"")</f>
        <v/>
      </c>
      <c r="EH8" s="79" t="str">
        <f>IFERROR(VLOOKUP([2]Pointage!EL2,Feuil1!$A:$B,2,FALSE),"")</f>
        <v/>
      </c>
      <c r="EI8" s="79" t="str">
        <f>IFERROR(VLOOKUP([2]Pointage!EM2,Feuil1!$A:$B,2,FALSE),"")</f>
        <v/>
      </c>
      <c r="EJ8" s="79" t="str">
        <f>IFERROR(VLOOKUP([2]Pointage!EN2,Feuil1!$A:$B,2,FALSE),"")</f>
        <v/>
      </c>
      <c r="EK8" s="79" t="str">
        <f>IFERROR(VLOOKUP([2]Pointage!EO2,Feuil1!$A:$B,2,FALSE),"")</f>
        <v/>
      </c>
      <c r="EL8" s="79" t="str">
        <f>IFERROR(VLOOKUP([2]Pointage!EP2,Feuil1!$A:$B,2,FALSE),"")</f>
        <v/>
      </c>
      <c r="EM8" s="79" t="str">
        <f>IFERROR(VLOOKUP([2]Pointage!EQ2,Feuil1!$A:$B,2,FALSE),"")</f>
        <v/>
      </c>
      <c r="EN8" s="79" t="str">
        <f>IFERROR(VLOOKUP([2]Pointage!ER2,Feuil1!$A:$B,2,FALSE),"")</f>
        <v/>
      </c>
      <c r="EO8" s="79" t="str">
        <f>IFERROR(VLOOKUP([2]Pointage!ES2,Feuil1!$A:$B,2,FALSE),"")</f>
        <v/>
      </c>
      <c r="EP8" s="79" t="str">
        <f>IFERROR(VLOOKUP([2]Pointage!ET2,Feuil1!$A:$B,2,FALSE),"")</f>
        <v/>
      </c>
      <c r="EQ8" s="79" t="str">
        <f>IFERROR(VLOOKUP([2]Pointage!EU2,Feuil1!$A:$B,2,FALSE),"")</f>
        <v/>
      </c>
      <c r="ER8" s="79" t="str">
        <f>IFERROR(VLOOKUP([2]Pointage!EV2,Feuil1!$A:$B,2,FALSE),"")</f>
        <v/>
      </c>
      <c r="ES8" s="79" t="str">
        <f>IFERROR(VLOOKUP([2]Pointage!EW2,Feuil1!$A:$B,2,FALSE),"")</f>
        <v/>
      </c>
      <c r="ET8" s="79" t="str">
        <f>IFERROR(VLOOKUP([2]Pointage!EX2,Feuil1!$A:$B,2,FALSE),"")</f>
        <v/>
      </c>
      <c r="EU8" s="79" t="str">
        <f>IFERROR(VLOOKUP([2]Pointage!EY2,Feuil1!$A:$B,2,FALSE),"")</f>
        <v/>
      </c>
      <c r="EV8" s="79" t="str">
        <f>IFERROR(VLOOKUP([2]Pointage!EZ2,Feuil1!$A:$B,2,FALSE),"")</f>
        <v/>
      </c>
      <c r="EW8" s="79" t="str">
        <f>IFERROR(VLOOKUP([2]Pointage!FA2,Feuil1!$A:$B,2,FALSE),"")</f>
        <v/>
      </c>
      <c r="EX8" s="79" t="str">
        <f>IFERROR(VLOOKUP([2]Pointage!FB2,Feuil1!$A:$B,2,FALSE),"")</f>
        <v/>
      </c>
      <c r="EY8" s="79" t="str">
        <f>IFERROR(VLOOKUP([2]Pointage!FC2,Feuil1!$A:$B,2,FALSE),"")</f>
        <v/>
      </c>
      <c r="EZ8" s="81" t="str">
        <f>IFERROR(VLOOKUP([2]Pointage!FD2,Feuil1!$A:$B,2,FALSE),"")</f>
        <v/>
      </c>
      <c r="FA8" s="78" t="str">
        <f>IFERROR(VLOOKUP([2]Pointage!FE2,Feuil1!$A:$B,2,FALSE),"")</f>
        <v/>
      </c>
      <c r="FB8" s="79" t="str">
        <f>IFERROR(VLOOKUP([2]Pointage!FF2,Feuil1!$A:$B,2,FALSE),"")</f>
        <v/>
      </c>
      <c r="FC8" s="79" t="str">
        <f>IFERROR(VLOOKUP([2]Pointage!FG2,Feuil1!$A:$B,2,FALSE),"")</f>
        <v/>
      </c>
      <c r="FD8" s="79" t="str">
        <f>IFERROR(VLOOKUP([2]Pointage!FH2,Feuil1!$A:$B,2,FALSE),"")</f>
        <v/>
      </c>
      <c r="FE8" s="79" t="str">
        <f>IFERROR(VLOOKUP([2]Pointage!FI2,Feuil1!$A:$B,2,FALSE),"")</f>
        <v/>
      </c>
      <c r="FF8" s="79" t="str">
        <f>IFERROR(VLOOKUP([2]Pointage!FJ2,Feuil1!$A:$B,2,FALSE),"")</f>
        <v/>
      </c>
      <c r="FG8" s="79" t="str">
        <f>IFERROR(VLOOKUP([2]Pointage!FK2,Feuil1!$A:$B,2,FALSE),"")</f>
        <v/>
      </c>
      <c r="FH8" s="79" t="str">
        <f>IFERROR(VLOOKUP([2]Pointage!FL2,Feuil1!$A:$B,2,FALSE),"")</f>
        <v/>
      </c>
      <c r="FI8" s="79" t="str">
        <f>IFERROR(VLOOKUP([2]Pointage!FM2,Feuil1!$A:$B,2,FALSE),"")</f>
        <v/>
      </c>
      <c r="FJ8" s="79" t="str">
        <f>IFERROR(VLOOKUP([2]Pointage!FN2,Feuil1!$A:$B,2,FALSE),"")</f>
        <v/>
      </c>
      <c r="FK8" s="79" t="str">
        <f>IFERROR(VLOOKUP([2]Pointage!FO2,Feuil1!$A:$B,2,FALSE),"")</f>
        <v/>
      </c>
      <c r="FL8" s="79" t="str">
        <f>IFERROR(VLOOKUP([2]Pointage!FP2,Feuil1!$A:$B,2,FALSE),"")</f>
        <v/>
      </c>
      <c r="FM8" s="79" t="str">
        <f>IFERROR(VLOOKUP([2]Pointage!FQ2,Feuil1!$A:$B,2,FALSE),"")</f>
        <v/>
      </c>
      <c r="FN8" s="79" t="str">
        <f>IFERROR(VLOOKUP([2]Pointage!FR2,Feuil1!$A:$B,2,FALSE),"")</f>
        <v/>
      </c>
      <c r="FO8" s="79" t="str">
        <f>IFERROR(VLOOKUP([2]Pointage!FS2,Feuil1!$A:$B,2,FALSE),"")</f>
        <v/>
      </c>
      <c r="FP8" s="79" t="str">
        <f>IFERROR(VLOOKUP([2]Pointage!FT2,Feuil1!$A:$B,2,FALSE),"")</f>
        <v/>
      </c>
      <c r="FQ8" s="79" t="str">
        <f>IFERROR(VLOOKUP([2]Pointage!FU2,Feuil1!$A:$B,2,FALSE),"")</f>
        <v/>
      </c>
      <c r="FR8" s="79" t="str">
        <f>IFERROR(VLOOKUP([2]Pointage!FV2,Feuil1!$A:$B,2,FALSE),"")</f>
        <v/>
      </c>
      <c r="FS8" s="79" t="str">
        <f>IFERROR(VLOOKUP([2]Pointage!FW2,Feuil1!$A:$B,2,FALSE),"")</f>
        <v/>
      </c>
      <c r="FT8" s="79" t="str">
        <f>IFERROR(VLOOKUP([2]Pointage!FX2,Feuil1!$A:$B,2,FALSE),"")</f>
        <v/>
      </c>
      <c r="FU8" s="79" t="str">
        <f>IFERROR(VLOOKUP([2]Pointage!FY2,Feuil1!$A:$B,2,FALSE),"")</f>
        <v/>
      </c>
      <c r="FV8" s="79" t="str">
        <f>IFERROR(VLOOKUP([2]Pointage!FZ2,Feuil1!$A:$B,2,FALSE),"")</f>
        <v/>
      </c>
      <c r="FW8" s="79" t="str">
        <f>IFERROR(VLOOKUP([2]Pointage!GA2,Feuil1!$A:$B,2,FALSE),"")</f>
        <v/>
      </c>
      <c r="FX8" s="79" t="str">
        <f>IFERROR(VLOOKUP([2]Pointage!GB2,Feuil1!$A:$B,2,FALSE),"")</f>
        <v/>
      </c>
      <c r="FY8" s="79" t="str">
        <f>IFERROR(VLOOKUP([2]Pointage!GC2,Feuil1!$A:$B,2,FALSE),"")</f>
        <v>C</v>
      </c>
      <c r="FZ8" s="79" t="str">
        <f>IFERROR(VLOOKUP([2]Pointage!GD2,Feuil1!$A:$B,2,FALSE),"")</f>
        <v>C</v>
      </c>
      <c r="GA8" s="79" t="str">
        <f>IFERROR(VLOOKUP([2]Pointage!GE2,Feuil1!$A:$B,2,FALSE),"")</f>
        <v>C</v>
      </c>
      <c r="GB8" s="79" t="str">
        <f>IFERROR(VLOOKUP([2]Pointage!GF2,Feuil1!$A:$B,2,FALSE),"")</f>
        <v>C</v>
      </c>
      <c r="GC8" s="79" t="str">
        <f>IFERROR(VLOOKUP([2]Pointage!GG2,Feuil1!$A:$B,2,FALSE),"")</f>
        <v>C</v>
      </c>
      <c r="GD8" s="81" t="str">
        <f>IFERROR(VLOOKUP([2]Pointage!GH2,Feuil1!$A:$B,2,FALSE),"")</f>
        <v/>
      </c>
      <c r="GE8" s="78" t="str">
        <f>IFERROR(VLOOKUP([2]Pointage!GI2,Feuil1!$A:$B,2,FALSE),"")</f>
        <v/>
      </c>
      <c r="GF8" s="79" t="str">
        <f>IFERROR(VLOOKUP([2]Pointage!GJ2,Feuil1!$A:$B,2,FALSE),"")</f>
        <v>C</v>
      </c>
      <c r="GG8" s="79" t="str">
        <f>IFERROR(VLOOKUP([2]Pointage!GK2,Feuil1!$A:$B,2,FALSE),"")</f>
        <v>C</v>
      </c>
      <c r="GH8" s="79" t="str">
        <f>IFERROR(VLOOKUP([2]Pointage!GL2,Feuil1!$A:$B,2,FALSE),"")</f>
        <v>C</v>
      </c>
      <c r="GI8" s="79" t="str">
        <f>IFERROR(VLOOKUP([2]Pointage!GM2,Feuil1!$A:$B,2,FALSE),"")</f>
        <v>C</v>
      </c>
      <c r="GJ8" s="79" t="str">
        <f>IFERROR(VLOOKUP([2]Pointage!GN2,Feuil1!$A:$B,2,FALSE),"")</f>
        <v>C</v>
      </c>
      <c r="GK8" s="79" t="str">
        <f>IFERROR(VLOOKUP([2]Pointage!GO2,Feuil1!$A:$B,2,FALSE),"")</f>
        <v/>
      </c>
      <c r="GL8" s="79" t="str">
        <f>IFERROR(VLOOKUP([2]Pointage!GP2,Feuil1!$A:$B,2,FALSE),"")</f>
        <v/>
      </c>
      <c r="GM8" s="79" t="str">
        <f>IFERROR(VLOOKUP([2]Pointage!GQ2,Feuil1!$A:$B,2,FALSE),"")</f>
        <v>C</v>
      </c>
      <c r="GN8" s="79" t="str">
        <f>IFERROR(VLOOKUP([2]Pointage!GR2,Feuil1!$A:$B,2,FALSE),"")</f>
        <v>C</v>
      </c>
      <c r="GO8" s="79" t="str">
        <f>IFERROR(VLOOKUP([2]Pointage!GS2,Feuil1!$A:$B,2,FALSE),"")</f>
        <v>C</v>
      </c>
      <c r="GP8" s="79" t="str">
        <f>IFERROR(VLOOKUP([2]Pointage!GT2,Feuil1!$A:$B,2,FALSE),"")</f>
        <v>C</v>
      </c>
      <c r="GQ8" s="79" t="str">
        <f>IFERROR(VLOOKUP([2]Pointage!GU2,Feuil1!$A:$B,2,FALSE),"")</f>
        <v>C</v>
      </c>
      <c r="GR8" s="79" t="str">
        <f>IFERROR(VLOOKUP([2]Pointage!GV2,Feuil1!$A:$B,2,FALSE),"")</f>
        <v/>
      </c>
      <c r="GS8" s="79" t="str">
        <f>IFERROR(VLOOKUP([2]Pointage!GW2,Feuil1!$A:$B,2,FALSE),"")</f>
        <v/>
      </c>
      <c r="GT8" s="79" t="str">
        <f>IFERROR(VLOOKUP([2]Pointage!GX2,Feuil1!$A:$B,2,FALSE),"")</f>
        <v/>
      </c>
      <c r="GU8" s="79" t="str">
        <f>IFERROR(VLOOKUP([2]Pointage!GY2,Feuil1!$A:$B,2,FALSE),"")</f>
        <v/>
      </c>
      <c r="GV8" s="79" t="str">
        <f>IFERROR(VLOOKUP([2]Pointage!GZ2,Feuil1!$A:$B,2,FALSE),"")</f>
        <v/>
      </c>
      <c r="GW8" s="79" t="str">
        <f>IFERROR(VLOOKUP([2]Pointage!HA2,Feuil1!$A:$B,2,FALSE),"")</f>
        <v/>
      </c>
      <c r="GX8" s="79" t="str">
        <f>IFERROR(VLOOKUP([2]Pointage!HB2,Feuil1!$A:$B,2,FALSE),"")</f>
        <v/>
      </c>
      <c r="GY8" s="79" t="str">
        <f>IFERROR(VLOOKUP([2]Pointage!HC2,Feuil1!$A:$B,2,FALSE),"")</f>
        <v/>
      </c>
      <c r="GZ8" s="79" t="str">
        <f>IFERROR(VLOOKUP([2]Pointage!HD2,Feuil1!$A:$B,2,FALSE),"")</f>
        <v/>
      </c>
      <c r="HA8" s="79" t="str">
        <f>IFERROR(VLOOKUP([2]Pointage!HE2,Feuil1!$A:$B,2,FALSE),"")</f>
        <v/>
      </c>
      <c r="HB8" s="79" t="str">
        <f>IFERROR(VLOOKUP([2]Pointage!HF2,Feuil1!$A:$B,2,FALSE),"")</f>
        <v/>
      </c>
      <c r="HC8" s="79" t="str">
        <f>IFERROR(VLOOKUP([2]Pointage!HG2,Feuil1!$A:$B,2,FALSE),"")</f>
        <v/>
      </c>
      <c r="HD8" s="79" t="str">
        <f>IFERROR(VLOOKUP([2]Pointage!HH2,Feuil1!$A:$B,2,FALSE),"")</f>
        <v/>
      </c>
      <c r="HE8" s="79" t="str">
        <f>IFERROR(VLOOKUP([2]Pointage!HI2,Feuil1!$A:$B,2,FALSE),"")</f>
        <v/>
      </c>
      <c r="HF8" s="79" t="str">
        <f>IFERROR(VLOOKUP([2]Pointage!HJ2,Feuil1!$A:$B,2,FALSE),"")</f>
        <v/>
      </c>
      <c r="HG8" s="79" t="str">
        <f>IFERROR(VLOOKUP([2]Pointage!HK2,Feuil1!$A:$B,2,FALSE),"")</f>
        <v/>
      </c>
      <c r="HH8" s="79" t="str">
        <f>IFERROR(VLOOKUP([2]Pointage!HL2,Feuil1!$A:$B,2,FALSE),"")</f>
        <v/>
      </c>
      <c r="HI8" s="81" t="str">
        <f>IFERROR(VLOOKUP([2]Pointage!HM2,Feuil1!$A:$B,2,FALSE),"")</f>
        <v/>
      </c>
      <c r="HJ8" s="78" t="str">
        <f>IFERROR(VLOOKUP([2]Pointage!HN2,Feuil1!$A:$B,2,FALSE),"")</f>
        <v/>
      </c>
      <c r="HK8" s="79" t="str">
        <f>IFERROR(VLOOKUP([2]Pointage!HO2,Feuil1!$A:$B,2,FALSE),"")</f>
        <v/>
      </c>
      <c r="HL8" s="79" t="str">
        <f>IFERROR(VLOOKUP([2]Pointage!HP2,Feuil1!$A:$B,2,FALSE),"")</f>
        <v/>
      </c>
      <c r="HM8" s="79" t="str">
        <f>IFERROR(VLOOKUP([2]Pointage!HQ2,Feuil1!$A:$B,2,FALSE),"")</f>
        <v/>
      </c>
      <c r="HN8" s="79" t="str">
        <f>IFERROR(VLOOKUP([2]Pointage!HR2,Feuil1!$A:$B,2,FALSE),"")</f>
        <v/>
      </c>
      <c r="HO8" s="79" t="str">
        <f>IFERROR(VLOOKUP([2]Pointage!HS2,Feuil1!$A:$B,2,FALSE),"")</f>
        <v/>
      </c>
      <c r="HP8" s="79" t="str">
        <f>IFERROR(VLOOKUP([2]Pointage!HT2,Feuil1!$A:$B,2,FALSE),"")</f>
        <v/>
      </c>
      <c r="HQ8" s="79" t="str">
        <f>IFERROR(VLOOKUP([2]Pointage!HU2,Feuil1!$A:$B,2,FALSE),"")</f>
        <v/>
      </c>
      <c r="HR8" s="79" t="str">
        <f>IFERROR(VLOOKUP([2]Pointage!HV2,Feuil1!$A:$B,2,FALSE),"")</f>
        <v/>
      </c>
      <c r="HS8" s="79" t="str">
        <f>IFERROR(VLOOKUP([2]Pointage!HW2,Feuil1!$A:$B,2,FALSE),"")</f>
        <v/>
      </c>
      <c r="HT8" s="79" t="str">
        <f>IFERROR(VLOOKUP([2]Pointage!HX2,Feuil1!$A:$B,2,FALSE),"")</f>
        <v/>
      </c>
      <c r="HU8" s="79" t="str">
        <f>IFERROR(VLOOKUP([2]Pointage!HY2,Feuil1!$A:$B,2,FALSE),"")</f>
        <v/>
      </c>
      <c r="HV8" s="79" t="str">
        <f>IFERROR(VLOOKUP([2]Pointage!HZ2,Feuil1!$A:$B,2,FALSE),"")</f>
        <v/>
      </c>
      <c r="HW8" s="79" t="str">
        <f>IFERROR(VLOOKUP([2]Pointage!IA2,Feuil1!$A:$B,2,FALSE),"")</f>
        <v/>
      </c>
      <c r="HX8" s="79" t="str">
        <f>IFERROR(VLOOKUP([2]Pointage!IB2,Feuil1!$A:$B,2,FALSE),"")</f>
        <v/>
      </c>
      <c r="HY8" s="79" t="str">
        <f>IFERROR(VLOOKUP([2]Pointage!IC2,Feuil1!$A:$B,2,FALSE),"")</f>
        <v/>
      </c>
      <c r="HZ8" s="79" t="str">
        <f>IFERROR(VLOOKUP([2]Pointage!ID2,Feuil1!$A:$B,2,FALSE),"")</f>
        <v/>
      </c>
      <c r="IA8" s="79" t="str">
        <f>IFERROR(VLOOKUP([2]Pointage!IE2,Feuil1!$A:$B,2,FALSE),"")</f>
        <v/>
      </c>
      <c r="IB8" s="79" t="str">
        <f>IFERROR(VLOOKUP([2]Pointage!IF2,Feuil1!$A:$B,2,FALSE),"")</f>
        <v/>
      </c>
      <c r="IC8" s="79" t="str">
        <f>IFERROR(VLOOKUP([2]Pointage!IG2,Feuil1!$A:$B,2,FALSE),"")</f>
        <v/>
      </c>
      <c r="ID8" s="79" t="str">
        <f>IFERROR(VLOOKUP([2]Pointage!IH2,Feuil1!$A:$B,2,FALSE),"")</f>
        <v/>
      </c>
      <c r="IE8" s="79" t="str">
        <f>IFERROR(VLOOKUP([2]Pointage!II2,Feuil1!$A:$B,2,FALSE),"")</f>
        <v/>
      </c>
      <c r="IF8" s="79" t="str">
        <f>IFERROR(VLOOKUP([2]Pointage!IJ2,Feuil1!$A:$B,2,FALSE),"")</f>
        <v/>
      </c>
      <c r="IG8" s="79" t="str">
        <f>IFERROR(VLOOKUP([2]Pointage!IK2,Feuil1!$A:$B,2,FALSE),"")</f>
        <v/>
      </c>
      <c r="IH8" s="79" t="str">
        <f>IFERROR(VLOOKUP([2]Pointage!IL2,Feuil1!$A:$B,2,FALSE),"")</f>
        <v/>
      </c>
      <c r="II8" s="79" t="str">
        <f>IFERROR(VLOOKUP([2]Pointage!IM2,Feuil1!$A:$B,2,FALSE),"")</f>
        <v/>
      </c>
      <c r="IJ8" s="79" t="str">
        <f>IFERROR(VLOOKUP([2]Pointage!IN2,Feuil1!$A:$B,2,FALSE),"")</f>
        <v/>
      </c>
      <c r="IK8" s="79" t="str">
        <f>IFERROR(VLOOKUP([2]Pointage!IO2,Feuil1!$A:$B,2,FALSE),"")</f>
        <v/>
      </c>
      <c r="IL8" s="79" t="str">
        <f>IFERROR(VLOOKUP([2]Pointage!IP2,Feuil1!$A:$B,2,FALSE),"")</f>
        <v/>
      </c>
      <c r="IM8" s="79" t="str">
        <f>IFERROR(VLOOKUP([2]Pointage!IQ2,Feuil1!$A:$B,2,FALSE),"")</f>
        <v/>
      </c>
      <c r="IN8" s="81" t="str">
        <f>IFERROR(VLOOKUP([2]Pointage!IR2,Feuil1!$A:$B,2,FALSE),"")</f>
        <v/>
      </c>
      <c r="IO8" s="78" t="str">
        <f>IFERROR(VLOOKUP([2]Pointage!IS2,Feuil1!$A:$B,2,FALSE),"")</f>
        <v/>
      </c>
      <c r="IP8" s="79" t="str">
        <f>IFERROR(VLOOKUP([2]Pointage!IT2,Feuil1!$A:$B,2,FALSE),"")</f>
        <v/>
      </c>
      <c r="IQ8" s="79" t="str">
        <f>IFERROR(VLOOKUP([2]Pointage!IU2,Feuil1!$A:$B,2,FALSE),"")</f>
        <v/>
      </c>
      <c r="IR8" s="79" t="str">
        <f>IFERROR(VLOOKUP([2]Pointage!IV2,Feuil1!$A:$B,2,FALSE),"")</f>
        <v/>
      </c>
      <c r="IS8" s="79" t="str">
        <f>IFERROR(VLOOKUP([2]Pointage!IW2,Feuil1!$A:$B,2,FALSE),"")</f>
        <v/>
      </c>
      <c r="IT8" s="79" t="str">
        <f>IFERROR(VLOOKUP([2]Pointage!IX2,Feuil1!$A:$B,2,FALSE),"")</f>
        <v/>
      </c>
      <c r="IU8" s="79" t="str">
        <f>IFERROR(VLOOKUP([2]Pointage!IY2,Feuil1!$A:$B,2,FALSE),"")</f>
        <v/>
      </c>
      <c r="IV8" s="79" t="str">
        <f>IFERROR(VLOOKUP([2]Pointage!IZ2,Feuil1!$A:$B,2,FALSE),"")</f>
        <v/>
      </c>
      <c r="IW8" s="79" t="str">
        <f>IFERROR(VLOOKUP([2]Pointage!JA2,Feuil1!$A:$B,2,FALSE),"")</f>
        <v/>
      </c>
      <c r="IX8" s="79" t="str">
        <f>IFERROR(VLOOKUP([2]Pointage!JB2,Feuil1!$A:$B,2,FALSE),"")</f>
        <v/>
      </c>
      <c r="IY8" s="79" t="str">
        <f>IFERROR(VLOOKUP([2]Pointage!JC2,Feuil1!$A:$B,2,FALSE),"")</f>
        <v/>
      </c>
      <c r="IZ8" s="79" t="str">
        <f>IFERROR(VLOOKUP([2]Pointage!JD2,Feuil1!$A:$B,2,FALSE),"")</f>
        <v/>
      </c>
      <c r="JA8" s="79" t="str">
        <f>IFERROR(VLOOKUP([2]Pointage!JE2,Feuil1!$A:$B,2,FALSE),"")</f>
        <v/>
      </c>
      <c r="JB8" s="79" t="str">
        <f>IFERROR(VLOOKUP([2]Pointage!JF2,Feuil1!$A:$B,2,FALSE),"")</f>
        <v/>
      </c>
      <c r="JC8" s="79" t="str">
        <f>IFERROR(VLOOKUP([2]Pointage!JG2,Feuil1!$A:$B,2,FALSE),"")</f>
        <v/>
      </c>
      <c r="JD8" s="79" t="str">
        <f>IFERROR(VLOOKUP([2]Pointage!JH2,Feuil1!$A:$B,2,FALSE),"")</f>
        <v/>
      </c>
      <c r="JE8" s="79" t="str">
        <f>IFERROR(VLOOKUP([2]Pointage!JI2,Feuil1!$A:$B,2,FALSE),"")</f>
        <v/>
      </c>
      <c r="JF8" s="79" t="str">
        <f>IFERROR(VLOOKUP([2]Pointage!JJ2,Feuil1!$A:$B,2,FALSE),"")</f>
        <v/>
      </c>
      <c r="JG8" s="79" t="str">
        <f>IFERROR(VLOOKUP([2]Pointage!JK2,Feuil1!$A:$B,2,FALSE),"")</f>
        <v/>
      </c>
      <c r="JH8" s="79" t="str">
        <f>IFERROR(VLOOKUP([2]Pointage!JL2,Feuil1!$A:$B,2,FALSE),"")</f>
        <v/>
      </c>
      <c r="JI8" s="79" t="str">
        <f>IFERROR(VLOOKUP([2]Pointage!JM2,Feuil1!$A:$B,2,FALSE),"")</f>
        <v/>
      </c>
      <c r="JJ8" s="79" t="str">
        <f>IFERROR(VLOOKUP([2]Pointage!JN2,Feuil1!$A:$B,2,FALSE),"")</f>
        <v/>
      </c>
      <c r="JK8" s="79" t="str">
        <f>IFERROR(VLOOKUP([2]Pointage!JO2,Feuil1!$A:$B,2,FALSE),"")</f>
        <v/>
      </c>
      <c r="JL8" s="79" t="str">
        <f>IFERROR(VLOOKUP([2]Pointage!JP2,Feuil1!$A:$B,2,FALSE),"")</f>
        <v/>
      </c>
      <c r="JM8" s="79" t="str">
        <f>IFERROR(VLOOKUP([2]Pointage!JQ2,Feuil1!$A:$B,2,FALSE),"")</f>
        <v/>
      </c>
      <c r="JN8" s="79" t="str">
        <f>IFERROR(VLOOKUP([2]Pointage!JR2,Feuil1!$A:$B,2,FALSE),"")</f>
        <v/>
      </c>
      <c r="JO8" s="79" t="str">
        <f>IFERROR(VLOOKUP([2]Pointage!JS2,Feuil1!$A:$B,2,FALSE),"")</f>
        <v/>
      </c>
      <c r="JP8" s="79" t="str">
        <f>IFERROR(VLOOKUP([2]Pointage!JT2,Feuil1!$A:$B,2,FALSE),"")</f>
        <v/>
      </c>
      <c r="JQ8" s="79" t="str">
        <f>IFERROR(VLOOKUP([2]Pointage!JU2,Feuil1!$A:$B,2,FALSE),"")</f>
        <v/>
      </c>
      <c r="JR8" s="81" t="str">
        <f>IFERROR(VLOOKUP([2]Pointage!JV2,Feuil1!$A:$B,2,FALSE),"")</f>
        <v/>
      </c>
      <c r="JS8" s="78" t="str">
        <f>IFERROR(VLOOKUP([2]Pointage!JW2,Feuil1!$A:$B,2,FALSE),"")</f>
        <v/>
      </c>
      <c r="JT8" s="79" t="str">
        <f>IFERROR(VLOOKUP([2]Pointage!JX2,Feuil1!$A:$B,2,FALSE),"")</f>
        <v/>
      </c>
      <c r="JU8" s="79" t="str">
        <f>IFERROR(VLOOKUP([2]Pointage!JY2,Feuil1!$A:$B,2,FALSE),"")</f>
        <v/>
      </c>
      <c r="JV8" s="79" t="str">
        <f>IFERROR(VLOOKUP([2]Pointage!JZ2,Feuil1!$A:$B,2,FALSE),"")</f>
        <v/>
      </c>
      <c r="JW8" s="79" t="str">
        <f>IFERROR(VLOOKUP([2]Pointage!KA2,Feuil1!$A:$B,2,FALSE),"")</f>
        <v/>
      </c>
      <c r="JX8" s="79" t="str">
        <f>IFERROR(VLOOKUP([2]Pointage!KB2,Feuil1!$A:$B,2,FALSE),"")</f>
        <v/>
      </c>
      <c r="JY8" s="79" t="str">
        <f>IFERROR(VLOOKUP([2]Pointage!KC2,Feuil1!$A:$B,2,FALSE),"")</f>
        <v/>
      </c>
      <c r="JZ8" s="79" t="str">
        <f>IFERROR(VLOOKUP([2]Pointage!KD2,Feuil1!$A:$B,2,FALSE),"")</f>
        <v/>
      </c>
      <c r="KA8" s="79" t="str">
        <f>IFERROR(VLOOKUP([2]Pointage!KE2,Feuil1!$A:$B,2,FALSE),"")</f>
        <v/>
      </c>
      <c r="KB8" s="79" t="str">
        <f>IFERROR(VLOOKUP([2]Pointage!KF2,Feuil1!$A:$B,2,FALSE),"")</f>
        <v/>
      </c>
      <c r="KC8" s="79" t="str">
        <f>IFERROR(VLOOKUP([2]Pointage!KG2,Feuil1!$A:$B,2,FALSE),"")</f>
        <v/>
      </c>
      <c r="KD8" s="79" t="str">
        <f>IFERROR(VLOOKUP([2]Pointage!KH2,Feuil1!$A:$B,2,FALSE),"")</f>
        <v/>
      </c>
      <c r="KE8" s="79" t="str">
        <f>IFERROR(VLOOKUP([2]Pointage!KI2,Feuil1!$A:$B,2,FALSE),"")</f>
        <v/>
      </c>
      <c r="KF8" s="79" t="str">
        <f>IFERROR(VLOOKUP([2]Pointage!KJ2,Feuil1!$A:$B,2,FALSE),"")</f>
        <v/>
      </c>
      <c r="KG8" s="79" t="str">
        <f>IFERROR(VLOOKUP([2]Pointage!KK2,Feuil1!$A:$B,2,FALSE),"")</f>
        <v/>
      </c>
      <c r="KH8" s="79" t="str">
        <f>IFERROR(VLOOKUP([2]Pointage!KL2,Feuil1!$A:$B,2,FALSE),"")</f>
        <v/>
      </c>
      <c r="KI8" s="79" t="str">
        <f>IFERROR(VLOOKUP([2]Pointage!KM2,Feuil1!$A:$B,2,FALSE),"")</f>
        <v/>
      </c>
      <c r="KJ8" s="79" t="str">
        <f>IFERROR(VLOOKUP([2]Pointage!KN2,Feuil1!$A:$B,2,FALSE),"")</f>
        <v/>
      </c>
      <c r="KK8" s="79" t="str">
        <f>IFERROR(VLOOKUP([2]Pointage!KO2,Feuil1!$A:$B,2,FALSE),"")</f>
        <v/>
      </c>
      <c r="KL8" s="79" t="str">
        <f>IFERROR(VLOOKUP([2]Pointage!KP2,Feuil1!$A:$B,2,FALSE),"")</f>
        <v/>
      </c>
      <c r="KM8" s="79" t="str">
        <f>IFERROR(VLOOKUP([2]Pointage!KQ2,Feuil1!$A:$B,2,FALSE),"")</f>
        <v/>
      </c>
      <c r="KN8" s="79" t="str">
        <f>IFERROR(VLOOKUP([2]Pointage!KR2,Feuil1!$A:$B,2,FALSE),"")</f>
        <v/>
      </c>
      <c r="KO8" s="79" t="str">
        <f>IFERROR(VLOOKUP([2]Pointage!KS2,Feuil1!$A:$B,2,FALSE),"")</f>
        <v/>
      </c>
      <c r="KP8" s="79" t="str">
        <f>IFERROR(VLOOKUP([2]Pointage!KT2,Feuil1!$A:$B,2,FALSE),"")</f>
        <v/>
      </c>
      <c r="KQ8" s="79" t="str">
        <f>IFERROR(VLOOKUP([2]Pointage!KU2,Feuil1!$A:$B,2,FALSE),"")</f>
        <v/>
      </c>
      <c r="KR8" s="79" t="str">
        <f>IFERROR(VLOOKUP([2]Pointage!KV2,Feuil1!$A:$B,2,FALSE),"")</f>
        <v/>
      </c>
      <c r="KS8" s="79" t="str">
        <f>IFERROR(VLOOKUP([2]Pointage!KW2,Feuil1!$A:$B,2,FALSE),"")</f>
        <v/>
      </c>
      <c r="KT8" s="79" t="str">
        <f>IFERROR(VLOOKUP([2]Pointage!KX2,Feuil1!$A:$B,2,FALSE),"")</f>
        <v/>
      </c>
      <c r="KU8" s="79" t="str">
        <f>IFERROR(VLOOKUP([2]Pointage!KY2,Feuil1!$A:$B,2,FALSE),"")</f>
        <v/>
      </c>
      <c r="KV8" s="79" t="str">
        <f>IFERROR(VLOOKUP([2]Pointage!KZ2,Feuil1!$A:$B,2,FALSE),"")</f>
        <v/>
      </c>
      <c r="KW8" s="81" t="str">
        <f>IFERROR(VLOOKUP([2]Pointage!LA2,Feuil1!$A:$B,2,FALSE),"")</f>
        <v/>
      </c>
      <c r="KX8" s="78" t="str">
        <f>IFERROR(VLOOKUP([2]Pointage!LB2,Feuil1!$A:$B,2,FALSE),"")</f>
        <v/>
      </c>
      <c r="KY8" s="79" t="str">
        <f>IFERROR(VLOOKUP([2]Pointage!LC2,Feuil1!$A:$B,2,FALSE),"")</f>
        <v/>
      </c>
      <c r="KZ8" s="79" t="str">
        <f>IFERROR(VLOOKUP([2]Pointage!LD2,Feuil1!$A:$B,2,FALSE),"")</f>
        <v/>
      </c>
      <c r="LA8" s="79" t="str">
        <f>IFERROR(VLOOKUP([2]Pointage!LE2,Feuil1!$A:$B,2,FALSE),"")</f>
        <v/>
      </c>
      <c r="LB8" s="79" t="str">
        <f>IFERROR(VLOOKUP([2]Pointage!LF2,Feuil1!$A:$B,2,FALSE),"")</f>
        <v/>
      </c>
      <c r="LC8" s="79" t="str">
        <f>IFERROR(VLOOKUP([2]Pointage!LG2,Feuil1!$A:$B,2,FALSE),"")</f>
        <v/>
      </c>
      <c r="LD8" s="79" t="str">
        <f>IFERROR(VLOOKUP([2]Pointage!LH2,Feuil1!$A:$B,2,FALSE),"")</f>
        <v/>
      </c>
      <c r="LE8" s="79" t="str">
        <f>IFERROR(VLOOKUP([2]Pointage!LI2,Feuil1!$A:$B,2,FALSE),"")</f>
        <v/>
      </c>
      <c r="LF8" s="79" t="str">
        <f>IFERROR(VLOOKUP([2]Pointage!LJ2,Feuil1!$A:$B,2,FALSE),"")</f>
        <v/>
      </c>
      <c r="LG8" s="79" t="str">
        <f>IFERROR(VLOOKUP([2]Pointage!LK2,Feuil1!$A:$B,2,FALSE),"")</f>
        <v/>
      </c>
      <c r="LH8" s="79" t="str">
        <f>IFERROR(VLOOKUP([2]Pointage!LL2,Feuil1!$A:$B,2,FALSE),"")</f>
        <v/>
      </c>
      <c r="LI8" s="79" t="str">
        <f>IFERROR(VLOOKUP([2]Pointage!LM2,Feuil1!$A:$B,2,FALSE),"")</f>
        <v/>
      </c>
      <c r="LJ8" s="79" t="str">
        <f>IFERROR(VLOOKUP([2]Pointage!LN2,Feuil1!$A:$B,2,FALSE),"")</f>
        <v/>
      </c>
      <c r="LK8" s="79" t="str">
        <f>IFERROR(VLOOKUP([2]Pointage!LO2,Feuil1!$A:$B,2,FALSE),"")</f>
        <v/>
      </c>
      <c r="LL8" s="79" t="str">
        <f>IFERROR(VLOOKUP([2]Pointage!LP2,Feuil1!$A:$B,2,FALSE),"")</f>
        <v/>
      </c>
      <c r="LM8" s="79" t="str">
        <f>IFERROR(VLOOKUP([2]Pointage!LQ2,Feuil1!$A:$B,2,FALSE),"")</f>
        <v/>
      </c>
      <c r="LN8" s="79" t="str">
        <f>IFERROR(VLOOKUP([2]Pointage!LR2,Feuil1!$A:$B,2,FALSE),"")</f>
        <v/>
      </c>
      <c r="LO8" s="79" t="str">
        <f>IFERROR(VLOOKUP([2]Pointage!LS2,Feuil1!$A:$B,2,FALSE),"")</f>
        <v/>
      </c>
      <c r="LP8" s="79" t="str">
        <f>IFERROR(VLOOKUP([2]Pointage!LT2,Feuil1!$A:$B,2,FALSE),"")</f>
        <v/>
      </c>
      <c r="LQ8" s="79" t="str">
        <f>IFERROR(VLOOKUP([2]Pointage!LU2,Feuil1!$A:$B,2,FALSE),"")</f>
        <v/>
      </c>
      <c r="LR8" s="79" t="str">
        <f>IFERROR(VLOOKUP([2]Pointage!LV2,Feuil1!$A:$B,2,FALSE),"")</f>
        <v/>
      </c>
      <c r="LS8" s="79" t="str">
        <f>IFERROR(VLOOKUP([2]Pointage!LW2,Feuil1!$A:$B,2,FALSE),"")</f>
        <v/>
      </c>
      <c r="LT8" s="79" t="str">
        <f>IFERROR(VLOOKUP([2]Pointage!LX2,Feuil1!$A:$B,2,FALSE),"")</f>
        <v/>
      </c>
      <c r="LU8" s="79" t="str">
        <f>IFERROR(VLOOKUP([2]Pointage!LY2,Feuil1!$A:$B,2,FALSE),"")</f>
        <v/>
      </c>
      <c r="LV8" s="79" t="str">
        <f>IFERROR(VLOOKUP([2]Pointage!LZ2,Feuil1!$A:$B,2,FALSE),"")</f>
        <v/>
      </c>
      <c r="LW8" s="79" t="str">
        <f>IFERROR(VLOOKUP([2]Pointage!MA2,Feuil1!$A:$B,2,FALSE),"")</f>
        <v/>
      </c>
      <c r="LX8" s="79" t="str">
        <f>IFERROR(VLOOKUP([2]Pointage!MB2,Feuil1!$A:$B,2,FALSE),"")</f>
        <v/>
      </c>
      <c r="LY8" s="79" t="str">
        <f>IFERROR(VLOOKUP([2]Pointage!MC2,Feuil1!$A:$B,2,FALSE),"")</f>
        <v/>
      </c>
      <c r="LZ8" s="79" t="str">
        <f>IFERROR(VLOOKUP([2]Pointage!MD2,Feuil1!$A:$B,2,FALSE),"")</f>
        <v/>
      </c>
      <c r="MA8" s="81" t="str">
        <f>IFERROR(VLOOKUP([2]Pointage!ME2,Feuil1!$A:$B,2,FALSE),"")</f>
        <v/>
      </c>
      <c r="MB8" s="78" t="str">
        <f>IFERROR(VLOOKUP([2]Pointage!MF2,Feuil1!$A:$B,2,FALSE),"")</f>
        <v/>
      </c>
      <c r="MC8" s="79" t="str">
        <f>IFERROR(VLOOKUP([2]Pointage!MG2,Feuil1!$A:$B,2,FALSE),"")</f>
        <v/>
      </c>
      <c r="MD8" s="79" t="str">
        <f>IFERROR(VLOOKUP([2]Pointage!MH2,Feuil1!$A:$B,2,FALSE),"")</f>
        <v/>
      </c>
      <c r="ME8" s="79" t="str">
        <f>IFERROR(VLOOKUP([2]Pointage!MI2,Feuil1!$A:$B,2,FALSE),"")</f>
        <v/>
      </c>
      <c r="MF8" s="79" t="str">
        <f>IFERROR(VLOOKUP([2]Pointage!MJ2,Feuil1!$A:$B,2,FALSE),"")</f>
        <v/>
      </c>
      <c r="MG8" s="79" t="str">
        <f>IFERROR(VLOOKUP([2]Pointage!MK2,Feuil1!$A:$B,2,FALSE),"")</f>
        <v/>
      </c>
      <c r="MH8" s="79" t="str">
        <f>IFERROR(VLOOKUP([2]Pointage!ML2,Feuil1!$A:$B,2,FALSE),"")</f>
        <v/>
      </c>
      <c r="MI8" s="79" t="str">
        <f>IFERROR(VLOOKUP([2]Pointage!MM2,Feuil1!$A:$B,2,FALSE),"")</f>
        <v/>
      </c>
      <c r="MJ8" s="79" t="str">
        <f>IFERROR(VLOOKUP([2]Pointage!MN2,Feuil1!$A:$B,2,FALSE),"")</f>
        <v/>
      </c>
      <c r="MK8" s="79" t="str">
        <f>IFERROR(VLOOKUP([2]Pointage!MO2,Feuil1!$A:$B,2,FALSE),"")</f>
        <v/>
      </c>
      <c r="ML8" s="79" t="str">
        <f>IFERROR(VLOOKUP([2]Pointage!MP2,Feuil1!$A:$B,2,FALSE),"")</f>
        <v/>
      </c>
      <c r="MM8" s="79" t="str">
        <f>IFERROR(VLOOKUP([2]Pointage!MQ2,Feuil1!$A:$B,2,FALSE),"")</f>
        <v/>
      </c>
      <c r="MN8" s="79" t="str">
        <f>IFERROR(VLOOKUP([2]Pointage!MR2,Feuil1!$A:$B,2,FALSE),"")</f>
        <v/>
      </c>
      <c r="MO8" s="79" t="str">
        <f>IFERROR(VLOOKUP([2]Pointage!MS2,Feuil1!$A:$B,2,FALSE),"")</f>
        <v/>
      </c>
      <c r="MP8" s="79" t="str">
        <f>IFERROR(VLOOKUP([2]Pointage!MT2,Feuil1!$A:$B,2,FALSE),"")</f>
        <v/>
      </c>
      <c r="MQ8" s="79" t="str">
        <f>IFERROR(VLOOKUP([2]Pointage!MU2,Feuil1!$A:$B,2,FALSE),"")</f>
        <v/>
      </c>
      <c r="MR8" s="79" t="str">
        <f>IFERROR(VLOOKUP([2]Pointage!MV2,Feuil1!$A:$B,2,FALSE),"")</f>
        <v/>
      </c>
      <c r="MS8" s="79" t="str">
        <f>IFERROR(VLOOKUP([2]Pointage!MW2,Feuil1!$A:$B,2,FALSE),"")</f>
        <v/>
      </c>
      <c r="MT8" s="79" t="str">
        <f>IFERROR(VLOOKUP([2]Pointage!MX2,Feuil1!$A:$B,2,FALSE),"")</f>
        <v/>
      </c>
      <c r="MU8" s="79" t="str">
        <f>IFERROR(VLOOKUP([2]Pointage!MY2,Feuil1!$A:$B,2,FALSE),"")</f>
        <v/>
      </c>
      <c r="MV8" s="79" t="str">
        <f>IFERROR(VLOOKUP([2]Pointage!MZ2,Feuil1!$A:$B,2,FALSE),"")</f>
        <v/>
      </c>
      <c r="MW8" s="79" t="str">
        <f>IFERROR(VLOOKUP([2]Pointage!NA2,Feuil1!$A:$B,2,FALSE),"")</f>
        <v/>
      </c>
      <c r="MX8" s="79" t="str">
        <f>IFERROR(VLOOKUP([2]Pointage!NB2,Feuil1!$A:$B,2,FALSE),"")</f>
        <v/>
      </c>
      <c r="MY8" s="79" t="str">
        <f>IFERROR(VLOOKUP([2]Pointage!NC2,Feuil1!$A:$B,2,FALSE),"")</f>
        <v/>
      </c>
      <c r="MZ8" s="79" t="str">
        <f>IFERROR(VLOOKUP([2]Pointage!ND2,Feuil1!$A:$B,2,FALSE),"")</f>
        <v/>
      </c>
      <c r="NA8" s="79" t="str">
        <f>IFERROR(VLOOKUP([2]Pointage!NE2,Feuil1!$A:$B,2,FALSE),"")</f>
        <v/>
      </c>
      <c r="NB8" s="79" t="str">
        <f>IFERROR(VLOOKUP([2]Pointage!NF2,Feuil1!$A:$B,2,FALSE),"")</f>
        <v/>
      </c>
      <c r="NC8" s="79" t="str">
        <f>IFERROR(VLOOKUP([2]Pointage!NG2,Feuil1!$A:$B,2,FALSE),"")</f>
        <v/>
      </c>
      <c r="ND8" s="79" t="str">
        <f>IFERROR(VLOOKUP([2]Pointage!NH2,Feuil1!$A:$B,2,FALSE),"")</f>
        <v/>
      </c>
      <c r="NE8" s="79" t="str">
        <f>IFERROR(VLOOKUP([2]Pointage!NI2,Feuil1!$A:$B,2,FALSE),"")</f>
        <v/>
      </c>
      <c r="NF8" s="80" t="str">
        <f>IFERROR(VLOOKUP([2]Pointage!NJ2,Feuil1!$A:$B,2,FALSE),"")</f>
        <v/>
      </c>
      <c r="NG8" s="52">
        <f>COUNTIF(Global!F8:NF8,"RTT")+(COUNTIF(Global!F8:NF8,"dRTT")/2)</f>
        <v>0</v>
      </c>
      <c r="NH8" s="42">
        <f>COUNTIF(Global!F8:NF8,"C")+(COUNTIF(Global!F8:NF8,"DC")/2)</f>
        <v>19</v>
      </c>
      <c r="NI8" s="42">
        <f>COUNTIF(Global!F8:NF8,"M")</f>
        <v>0</v>
      </c>
      <c r="NJ8" s="42">
        <f>COUNTIF(Global!G8:NG8,"AT")</f>
        <v>0</v>
      </c>
      <c r="NK8" s="42">
        <f>COUNTIF(Global!F8:NF8,"RD")</f>
        <v>0</v>
      </c>
      <c r="NL8" s="42">
        <f>COUNTIF(Global!F8:NF8,"RC")+(COUNTIF(Global!F8:NF8,"dRC")/2)</f>
        <v>0</v>
      </c>
      <c r="NM8" s="68">
        <f ca="1">IF(AND(NI8=0,NJ8=0),((10*(_xlfn.DAYS($NO$2,$F$1)+1))/365),((_xlfn.DAYS($NO$2,$F$1)+1-(NI8+NJ8))*((10*(_xlfn.DAYS($NO$2,$F$1)+1))/365))/(_xlfn.DAYS($NO$2,$F$1)+1))</f>
        <v>4.0273972602739727</v>
      </c>
      <c r="NO8" s="40">
        <f>COUNTIF($F$6:$NF$6,"Dim")*0.5</f>
        <v>26</v>
      </c>
      <c r="NP8" s="40">
        <f>COUNTIF(Global!I8:NI8,"")/2 - COUNTIF(Global!I8:NI8,"C")*7 - COUNTIF(Global!I8:NI8,"RDC")*3.5</f>
        <v>38.5</v>
      </c>
      <c r="NT8" s="33">
        <v>0</v>
      </c>
      <c r="NU8" s="33">
        <v>0</v>
      </c>
      <c r="NV8" s="28">
        <v>15</v>
      </c>
      <c r="NW8" s="28">
        <v>2.61</v>
      </c>
      <c r="NX8" s="29">
        <f>COUNTIF(F8:NF8,"C")++(COUNTIF(Global!F8:NF8,"DC")/2)</f>
        <v>19</v>
      </c>
      <c r="NY8" s="29"/>
      <c r="NZ8" s="29"/>
      <c r="OA8" s="29"/>
      <c r="OB8" s="29">
        <f>COUNTIF(Global!F8:NF8,"M")</f>
        <v>0</v>
      </c>
      <c r="OC8" s="30">
        <f>(NT8+NV8)-NX8</f>
        <v>-4</v>
      </c>
      <c r="OD8" s="30"/>
    </row>
    <row r="9" spans="1:394" ht="30" customHeight="1" x14ac:dyDescent="0.2">
      <c r="A9" s="13" t="s">
        <v>65</v>
      </c>
      <c r="B9" s="22" t="s">
        <v>130</v>
      </c>
      <c r="C9" s="22" t="s">
        <v>133</v>
      </c>
      <c r="D9" s="22" t="s">
        <v>134</v>
      </c>
      <c r="E9" s="44">
        <v>0</v>
      </c>
      <c r="F9" s="47" t="str">
        <f>IFERROR(VLOOKUP([2]Pointage!J3,Feuil1!$A:$B,2,FALSE),"")</f>
        <v/>
      </c>
      <c r="G9" s="31" t="str">
        <f>IFERROR(VLOOKUP([2]Pointage!K3,Feuil1!$A:$B,2,FALSE),"")</f>
        <v/>
      </c>
      <c r="H9" s="31" t="str">
        <f>IFERROR(VLOOKUP([2]Pointage!L3,Feuil1!$A:$B,2,FALSE),"")</f>
        <v/>
      </c>
      <c r="I9" s="31" t="str">
        <f>IFERROR(VLOOKUP([2]Pointage!M3,Feuil1!$A:$B,2,FALSE),"")</f>
        <v/>
      </c>
      <c r="J9" s="31" t="str">
        <f>IFERROR(VLOOKUP([2]Pointage!N3,Feuil1!$A:$B,2,FALSE),"")</f>
        <v/>
      </c>
      <c r="K9" s="31" t="str">
        <f>IFERROR(VLOOKUP([2]Pointage!O3,Feuil1!$A:$B,2,FALSE),"")</f>
        <v/>
      </c>
      <c r="L9" s="31" t="str">
        <f>IFERROR(VLOOKUP([2]Pointage!P3,Feuil1!$A:$B,2,FALSE),"")</f>
        <v/>
      </c>
      <c r="M9" s="31" t="str">
        <f>IFERROR(VLOOKUP([2]Pointage!Q3,Feuil1!$A:$B,2,FALSE),"")</f>
        <v/>
      </c>
      <c r="N9" s="31" t="str">
        <f>IFERROR(VLOOKUP([2]Pointage!R3,Feuil1!$A:$B,2,FALSE),"")</f>
        <v/>
      </c>
      <c r="O9" s="31" t="str">
        <f>IFERROR(VLOOKUP([2]Pointage!S3,Feuil1!$A:$B,2,FALSE),"")</f>
        <v/>
      </c>
      <c r="P9" s="31" t="str">
        <f>IFERROR(VLOOKUP([2]Pointage!T3,Feuil1!$A:$B,2,FALSE),"")</f>
        <v/>
      </c>
      <c r="Q9" s="31" t="str">
        <f>IFERROR(VLOOKUP([2]Pointage!U3,Feuil1!$A:$B,2,FALSE),"")</f>
        <v/>
      </c>
      <c r="R9" s="31" t="str">
        <f>IFERROR(VLOOKUP([2]Pointage!V3,Feuil1!$A:$B,2,FALSE),"")</f>
        <v/>
      </c>
      <c r="S9" s="31" t="str">
        <f>IFERROR(VLOOKUP([2]Pointage!W3,Feuil1!$A:$B,2,FALSE),"")</f>
        <v/>
      </c>
      <c r="T9" s="31" t="str">
        <f>IFERROR(VLOOKUP([2]Pointage!X3,Feuil1!$A:$B,2,FALSE),"")</f>
        <v/>
      </c>
      <c r="U9" s="31" t="str">
        <f>IFERROR(VLOOKUP([2]Pointage!Y3,Feuil1!$A:$B,2,FALSE),"")</f>
        <v/>
      </c>
      <c r="V9" s="31" t="str">
        <f>IFERROR(VLOOKUP([2]Pointage!Z3,Feuil1!$A:$B,2,FALSE),"")</f>
        <v/>
      </c>
      <c r="W9" s="31" t="str">
        <f>IFERROR(VLOOKUP([2]Pointage!AA3,Feuil1!$A:$B,2,FALSE),"")</f>
        <v/>
      </c>
      <c r="X9" s="31" t="str">
        <f>IFERROR(VLOOKUP([2]Pointage!AB3,Feuil1!$A:$B,2,FALSE),"")</f>
        <v/>
      </c>
      <c r="Y9" s="31" t="str">
        <f>IFERROR(VLOOKUP([2]Pointage!AC3,Feuil1!$A:$B,2,FALSE),"")</f>
        <v/>
      </c>
      <c r="Z9" s="31" t="str">
        <f>IFERROR(VLOOKUP([2]Pointage!AD3,Feuil1!$A:$B,2,FALSE),"")</f>
        <v/>
      </c>
      <c r="AA9" s="31" t="str">
        <f>IFERROR(VLOOKUP([2]Pointage!AE3,Feuil1!$A:$B,2,FALSE),"")</f>
        <v/>
      </c>
      <c r="AB9" s="31" t="str">
        <f>IFERROR(VLOOKUP([2]Pointage!AF3,Feuil1!$A:$B,2,FALSE),"")</f>
        <v/>
      </c>
      <c r="AC9" s="31" t="str">
        <f>IFERROR(VLOOKUP([2]Pointage!AG3,Feuil1!$A:$B,2,FALSE),"")</f>
        <v/>
      </c>
      <c r="AD9" s="31" t="str">
        <f>IFERROR(VLOOKUP([2]Pointage!AH3,Feuil1!$A:$B,2,FALSE),"")</f>
        <v/>
      </c>
      <c r="AE9" s="31" t="str">
        <f>IFERROR(VLOOKUP([2]Pointage!AI3,Feuil1!$A:$B,2,FALSE),"")</f>
        <v/>
      </c>
      <c r="AF9" s="31" t="str">
        <f>IFERROR(VLOOKUP([2]Pointage!AJ3,Feuil1!$A:$B,2,FALSE),"")</f>
        <v/>
      </c>
      <c r="AG9" s="31" t="str">
        <f>IFERROR(VLOOKUP([2]Pointage!AK3,Feuil1!$A:$B,2,FALSE),"")</f>
        <v/>
      </c>
      <c r="AH9" s="31" t="str">
        <f>IFERROR(VLOOKUP([2]Pointage!AL3,Feuil1!$A:$B,2,FALSE),"")</f>
        <v/>
      </c>
      <c r="AI9" s="31" t="str">
        <f>IFERROR(VLOOKUP([2]Pointage!AM3,Feuil1!$A:$B,2,FALSE),"")</f>
        <v/>
      </c>
      <c r="AJ9" s="82" t="str">
        <f>IFERROR(VLOOKUP([2]Pointage!AN3,Feuil1!$A:$B,2,FALSE),"")</f>
        <v/>
      </c>
      <c r="AK9" s="47" t="str">
        <f>IFERROR(VLOOKUP([2]Pointage!AO3,Feuil1!$A:$B,2,FALSE),"")</f>
        <v/>
      </c>
      <c r="AL9" s="31" t="str">
        <f>IFERROR(VLOOKUP([2]Pointage!AP3,Feuil1!$A:$B,2,FALSE),"")</f>
        <v/>
      </c>
      <c r="AM9" s="31" t="str">
        <f>IFERROR(VLOOKUP([2]Pointage!AQ3,Feuil1!$A:$B,2,FALSE),"")</f>
        <v/>
      </c>
      <c r="AN9" s="31" t="str">
        <f>IFERROR(VLOOKUP([2]Pointage!AR3,Feuil1!$A:$B,2,FALSE),"")</f>
        <v/>
      </c>
      <c r="AO9" s="31" t="str">
        <f>IFERROR(VLOOKUP([2]Pointage!AS3,Feuil1!$A:$B,2,FALSE),"")</f>
        <v/>
      </c>
      <c r="AP9" s="31" t="str">
        <f>IFERROR(VLOOKUP([2]Pointage!AT3,Feuil1!$A:$B,2,FALSE),"")</f>
        <v/>
      </c>
      <c r="AQ9" s="31" t="str">
        <f>IFERROR(VLOOKUP([2]Pointage!AU3,Feuil1!$A:$B,2,FALSE),"")</f>
        <v/>
      </c>
      <c r="AR9" s="31" t="str">
        <f>IFERROR(VLOOKUP([2]Pointage!AV3,Feuil1!$A:$B,2,FALSE),"")</f>
        <v/>
      </c>
      <c r="AS9" s="31" t="str">
        <f>IFERROR(VLOOKUP([2]Pointage!AW3,Feuil1!$A:$B,2,FALSE),"")</f>
        <v/>
      </c>
      <c r="AT9" s="31" t="str">
        <f>IFERROR(VLOOKUP([2]Pointage!AX3,Feuil1!$A:$B,2,FALSE),"")</f>
        <v/>
      </c>
      <c r="AU9" s="31" t="str">
        <f>IFERROR(VLOOKUP([2]Pointage!AY3,Feuil1!$A:$B,2,FALSE),"")</f>
        <v/>
      </c>
      <c r="AV9" s="31" t="str">
        <f>IFERROR(VLOOKUP([2]Pointage!AZ3,Feuil1!$A:$B,2,FALSE),"")</f>
        <v/>
      </c>
      <c r="AW9" s="31" t="str">
        <f>IFERROR(VLOOKUP([2]Pointage!BA3,Feuil1!$A:$B,2,FALSE),"")</f>
        <v/>
      </c>
      <c r="AX9" s="31" t="str">
        <f>IFERROR(VLOOKUP([2]Pointage!BB3,Feuil1!$A:$B,2,FALSE),"")</f>
        <v/>
      </c>
      <c r="AY9" s="31" t="str">
        <f>IFERROR(VLOOKUP([2]Pointage!BC3,Feuil1!$A:$B,2,FALSE),"")</f>
        <v/>
      </c>
      <c r="AZ9" s="31" t="str">
        <f>IFERROR(VLOOKUP([2]Pointage!BD3,Feuil1!$A:$B,2,FALSE),"")</f>
        <v/>
      </c>
      <c r="BA9" s="31" t="str">
        <f>IFERROR(VLOOKUP([2]Pointage!BE3,Feuil1!$A:$B,2,FALSE),"")</f>
        <v/>
      </c>
      <c r="BB9" s="31" t="str">
        <f>IFERROR(VLOOKUP([2]Pointage!BF3,Feuil1!$A:$B,2,FALSE),"")</f>
        <v/>
      </c>
      <c r="BC9" s="31" t="str">
        <f>IFERROR(VLOOKUP([2]Pointage!BG3,Feuil1!$A:$B,2,FALSE),"")</f>
        <v/>
      </c>
      <c r="BD9" s="31" t="str">
        <f>IFERROR(VLOOKUP([2]Pointage!BH3,Feuil1!$A:$B,2,FALSE),"")</f>
        <v/>
      </c>
      <c r="BE9" s="31" t="str">
        <f>IFERROR(VLOOKUP([2]Pointage!BI3,Feuil1!$A:$B,2,FALSE),"")</f>
        <v/>
      </c>
      <c r="BF9" s="31" t="str">
        <f>IFERROR(VLOOKUP([2]Pointage!BJ3,Feuil1!$A:$B,2,FALSE),"")</f>
        <v/>
      </c>
      <c r="BG9" s="31" t="str">
        <f>IFERROR(VLOOKUP([2]Pointage!BK3,Feuil1!$A:$B,2,FALSE),"")</f>
        <v/>
      </c>
      <c r="BH9" s="31" t="str">
        <f>IFERROR(VLOOKUP([2]Pointage!BL3,Feuil1!$A:$B,2,FALSE),"")</f>
        <v/>
      </c>
      <c r="BI9" s="31" t="str">
        <f>IFERROR(VLOOKUP([2]Pointage!BM3,Feuil1!$A:$B,2,FALSE),"")</f>
        <v/>
      </c>
      <c r="BJ9" s="31" t="str">
        <f>IFERROR(VLOOKUP([2]Pointage!BN3,Feuil1!$A:$B,2,FALSE),"")</f>
        <v/>
      </c>
      <c r="BK9" s="31" t="str">
        <f>IFERROR(VLOOKUP([2]Pointage!BO3,Feuil1!$A:$B,2,FALSE),"")</f>
        <v/>
      </c>
      <c r="BL9" s="82" t="str">
        <f>IFERROR(VLOOKUP([2]Pointage!BP3,Feuil1!$A:$B,2,FALSE),"")</f>
        <v/>
      </c>
      <c r="BM9" s="47" t="str">
        <f>IFERROR(VLOOKUP([2]Pointage!BQ3,Feuil1!$A:$B,2,FALSE),"")</f>
        <v/>
      </c>
      <c r="BN9" s="31" t="str">
        <f>IFERROR(VLOOKUP([2]Pointage!BR3,Feuil1!$A:$B,2,FALSE),"")</f>
        <v/>
      </c>
      <c r="BO9" s="31" t="str">
        <f>IFERROR(VLOOKUP([2]Pointage!BS3,Feuil1!$A:$B,2,FALSE),"")</f>
        <v/>
      </c>
      <c r="BP9" s="31" t="str">
        <f>IFERROR(VLOOKUP([2]Pointage!BT3,Feuil1!$A:$B,2,FALSE),"")</f>
        <v/>
      </c>
      <c r="BQ9" s="31" t="str">
        <f>IFERROR(VLOOKUP([2]Pointage!BU3,Feuil1!$A:$B,2,FALSE),"")</f>
        <v/>
      </c>
      <c r="BR9" s="31" t="str">
        <f>IFERROR(VLOOKUP([2]Pointage!BV3,Feuil1!$A:$B,2,FALSE),"")</f>
        <v/>
      </c>
      <c r="BS9" s="31" t="str">
        <f>IFERROR(VLOOKUP([2]Pointage!BW3,Feuil1!$A:$B,2,FALSE),"")</f>
        <v/>
      </c>
      <c r="BT9" s="31" t="str">
        <f>IFERROR(VLOOKUP([2]Pointage!BX3,Feuil1!$A:$B,2,FALSE),"")</f>
        <v/>
      </c>
      <c r="BU9" s="31" t="str">
        <f>IFERROR(VLOOKUP([2]Pointage!BY3,Feuil1!$A:$B,2,FALSE),"")</f>
        <v/>
      </c>
      <c r="BV9" s="31" t="str">
        <f>IFERROR(VLOOKUP([2]Pointage!BZ3,Feuil1!$A:$B,2,FALSE),"")</f>
        <v/>
      </c>
      <c r="BW9" s="31" t="str">
        <f>IFERROR(VLOOKUP([2]Pointage!CA3,Feuil1!$A:$B,2,FALSE),"")</f>
        <v/>
      </c>
      <c r="BX9" s="31" t="str">
        <f>IFERROR(VLOOKUP([2]Pointage!CB3,Feuil1!$A:$B,2,FALSE),"")</f>
        <v/>
      </c>
      <c r="BY9" s="31" t="str">
        <f>IFERROR(VLOOKUP([2]Pointage!CC3,Feuil1!$A:$B,2,FALSE),"")</f>
        <v/>
      </c>
      <c r="BZ9" s="31" t="str">
        <f>IFERROR(VLOOKUP([2]Pointage!CD3,Feuil1!$A:$B,2,FALSE),"")</f>
        <v/>
      </c>
      <c r="CA9" s="31" t="str">
        <f>IFERROR(VLOOKUP([2]Pointage!CE3,Feuil1!$A:$B,2,FALSE),"")</f>
        <v/>
      </c>
      <c r="CB9" s="31" t="str">
        <f>IFERROR(VLOOKUP([2]Pointage!CF3,Feuil1!$A:$B,2,FALSE),"")</f>
        <v/>
      </c>
      <c r="CC9" s="31" t="str">
        <f>IFERROR(VLOOKUP([2]Pointage!CG3,Feuil1!$A:$B,2,FALSE),"")</f>
        <v/>
      </c>
      <c r="CD9" s="31" t="str">
        <f>IFERROR(VLOOKUP([2]Pointage!CH3,Feuil1!$A:$B,2,FALSE),"")</f>
        <v/>
      </c>
      <c r="CE9" s="31" t="str">
        <f>IFERROR(VLOOKUP([2]Pointage!CI3,Feuil1!$A:$B,2,FALSE),"")</f>
        <v/>
      </c>
      <c r="CF9" s="31" t="str">
        <f>IFERROR(VLOOKUP([2]Pointage!CJ3,Feuil1!$A:$B,2,FALSE),"")</f>
        <v/>
      </c>
      <c r="CG9" s="31" t="str">
        <f>IFERROR(VLOOKUP([2]Pointage!CK3,Feuil1!$A:$B,2,FALSE),"")</f>
        <v/>
      </c>
      <c r="CH9" s="31" t="str">
        <f>IFERROR(VLOOKUP([2]Pointage!CL3,Feuil1!$A:$B,2,FALSE),"")</f>
        <v/>
      </c>
      <c r="CI9" s="31" t="str">
        <f>IFERROR(VLOOKUP([2]Pointage!CM3,Feuil1!$A:$B,2,FALSE),"")</f>
        <v/>
      </c>
      <c r="CJ9" s="31" t="str">
        <f>IFERROR(VLOOKUP([2]Pointage!CN3,Feuil1!$A:$B,2,FALSE),"")</f>
        <v/>
      </c>
      <c r="CK9" s="31" t="str">
        <f>IFERROR(VLOOKUP([2]Pointage!CO3,Feuil1!$A:$B,2,FALSE),"")</f>
        <v/>
      </c>
      <c r="CL9" s="31" t="str">
        <f>IFERROR(VLOOKUP([2]Pointage!CP3,Feuil1!$A:$B,2,FALSE),"")</f>
        <v/>
      </c>
      <c r="CM9" s="31" t="str">
        <f>IFERROR(VLOOKUP([2]Pointage!CQ3,Feuil1!$A:$B,2,FALSE),"")</f>
        <v/>
      </c>
      <c r="CN9" s="31" t="str">
        <f>IFERROR(VLOOKUP([2]Pointage!CR3,Feuil1!$A:$B,2,FALSE),"")</f>
        <v/>
      </c>
      <c r="CO9" s="31" t="str">
        <f>IFERROR(VLOOKUP([2]Pointage!CS3,Feuil1!$A:$B,2,FALSE),"")</f>
        <v/>
      </c>
      <c r="CP9" s="31" t="str">
        <f>IFERROR(VLOOKUP([2]Pointage!CT3,Feuil1!$A:$B,2,FALSE),"")</f>
        <v/>
      </c>
      <c r="CQ9" s="82" t="str">
        <f>IFERROR(VLOOKUP([2]Pointage!CU3,Feuil1!$A:$B,2,FALSE),"")</f>
        <v/>
      </c>
      <c r="CR9" s="47" t="str">
        <f>IFERROR(VLOOKUP([2]Pointage!CV3,Feuil1!$A:$B,2,FALSE),"")</f>
        <v/>
      </c>
      <c r="CS9" s="31" t="str">
        <f>IFERROR(VLOOKUP([2]Pointage!CW3,Feuil1!$A:$B,2,FALSE),"")</f>
        <v/>
      </c>
      <c r="CT9" s="31" t="str">
        <f>IFERROR(VLOOKUP([2]Pointage!CX3,Feuil1!$A:$B,2,FALSE),"")</f>
        <v/>
      </c>
      <c r="CU9" s="31" t="str">
        <f>IFERROR(VLOOKUP([2]Pointage!CY3,Feuil1!$A:$B,2,FALSE),"")</f>
        <v/>
      </c>
      <c r="CV9" s="31" t="str">
        <f>IFERROR(VLOOKUP([2]Pointage!CZ3,Feuil1!$A:$B,2,FALSE),"")</f>
        <v/>
      </c>
      <c r="CW9" s="31" t="str">
        <f>IFERROR(VLOOKUP([2]Pointage!DA3,Feuil1!$A:$B,2,FALSE),"")</f>
        <v/>
      </c>
      <c r="CX9" s="31" t="str">
        <f>IFERROR(VLOOKUP([2]Pointage!DB3,Feuil1!$A:$B,2,FALSE),"")</f>
        <v/>
      </c>
      <c r="CY9" s="31" t="str">
        <f>IFERROR(VLOOKUP([2]Pointage!DC3,Feuil1!$A:$B,2,FALSE),"")</f>
        <v/>
      </c>
      <c r="CZ9" s="31" t="str">
        <f>IFERROR(VLOOKUP([2]Pointage!DD3,Feuil1!$A:$B,2,FALSE),"")</f>
        <v/>
      </c>
      <c r="DA9" s="31" t="str">
        <f>IFERROR(VLOOKUP([2]Pointage!DE3,Feuil1!$A:$B,2,FALSE),"")</f>
        <v/>
      </c>
      <c r="DB9" s="31" t="str">
        <f>IFERROR(VLOOKUP([2]Pointage!DF3,Feuil1!$A:$B,2,FALSE),"")</f>
        <v/>
      </c>
      <c r="DC9" s="31" t="str">
        <f>IFERROR(VLOOKUP([2]Pointage!DG3,Feuil1!$A:$B,2,FALSE),"")</f>
        <v/>
      </c>
      <c r="DD9" s="31" t="str">
        <f>IFERROR(VLOOKUP([2]Pointage!DH3,Feuil1!$A:$B,2,FALSE),"")</f>
        <v/>
      </c>
      <c r="DE9" s="31" t="str">
        <f>IFERROR(VLOOKUP([2]Pointage!DI3,Feuil1!$A:$B,2,FALSE),"")</f>
        <v/>
      </c>
      <c r="DF9" s="31" t="str">
        <f>IFERROR(VLOOKUP([2]Pointage!DJ3,Feuil1!$A:$B,2,FALSE),"")</f>
        <v/>
      </c>
      <c r="DG9" s="31" t="str">
        <f>IFERROR(VLOOKUP([2]Pointage!DK3,Feuil1!$A:$B,2,FALSE),"")</f>
        <v/>
      </c>
      <c r="DH9" s="31" t="str">
        <f>IFERROR(VLOOKUP([2]Pointage!DL3,Feuil1!$A:$B,2,FALSE),"")</f>
        <v/>
      </c>
      <c r="DI9" s="31" t="str">
        <f>IFERROR(VLOOKUP([2]Pointage!DM3,Feuil1!$A:$B,2,FALSE),"")</f>
        <v/>
      </c>
      <c r="DJ9" s="31" t="str">
        <f>IFERROR(VLOOKUP([2]Pointage!DN3,Feuil1!$A:$B,2,FALSE),"")</f>
        <v/>
      </c>
      <c r="DK9" s="31" t="str">
        <f>IFERROR(VLOOKUP([2]Pointage!DO3,Feuil1!$A:$B,2,FALSE),"")</f>
        <v/>
      </c>
      <c r="DL9" s="31" t="str">
        <f>IFERROR(VLOOKUP([2]Pointage!DP3,Feuil1!$A:$B,2,FALSE),"")</f>
        <v/>
      </c>
      <c r="DM9" s="31" t="str">
        <f>IFERROR(VLOOKUP([2]Pointage!DQ3,Feuil1!$A:$B,2,FALSE),"")</f>
        <v/>
      </c>
      <c r="DN9" s="31" t="str">
        <f>IFERROR(VLOOKUP([2]Pointage!DR3,Feuil1!$A:$B,2,FALSE),"")</f>
        <v/>
      </c>
      <c r="DO9" s="31" t="str">
        <f>IFERROR(VLOOKUP([2]Pointage!DS3,Feuil1!$A:$B,2,FALSE),"")</f>
        <v/>
      </c>
      <c r="DP9" s="31" t="str">
        <f>IFERROR(VLOOKUP([2]Pointage!DT3,Feuil1!$A:$B,2,FALSE),"")</f>
        <v/>
      </c>
      <c r="DQ9" s="31" t="str">
        <f>IFERROR(VLOOKUP([2]Pointage!DU3,Feuil1!$A:$B,2,FALSE),"")</f>
        <v/>
      </c>
      <c r="DR9" s="31" t="str">
        <f>IFERROR(VLOOKUP([2]Pointage!DV3,Feuil1!$A:$B,2,FALSE),"")</f>
        <v/>
      </c>
      <c r="DS9" s="31" t="str">
        <f>IFERROR(VLOOKUP([2]Pointage!DW3,Feuil1!$A:$B,2,FALSE),"")</f>
        <v/>
      </c>
      <c r="DT9" s="31" t="str">
        <f>IFERROR(VLOOKUP([2]Pointage!DX3,Feuil1!$A:$B,2,FALSE),"")</f>
        <v/>
      </c>
      <c r="DU9" s="82" t="str">
        <f>IFERROR(VLOOKUP([2]Pointage!DY3,Feuil1!$A:$B,2,FALSE),"")</f>
        <v/>
      </c>
      <c r="DV9" s="47" t="str">
        <f>IFERROR(VLOOKUP([2]Pointage!DZ3,Feuil1!$A:$B,2,FALSE),"")</f>
        <v/>
      </c>
      <c r="DW9" s="31" t="str">
        <f>IFERROR(VLOOKUP([2]Pointage!EA3,Feuil1!$A:$B,2,FALSE),"")</f>
        <v/>
      </c>
      <c r="DX9" s="31" t="str">
        <f>IFERROR(VLOOKUP([2]Pointage!EB3,Feuil1!$A:$B,2,FALSE),"")</f>
        <v/>
      </c>
      <c r="DY9" s="31" t="str">
        <f>IFERROR(VLOOKUP([2]Pointage!EC3,Feuil1!$A:$B,2,FALSE),"")</f>
        <v/>
      </c>
      <c r="DZ9" s="31" t="str">
        <f>IFERROR(VLOOKUP([2]Pointage!ED3,Feuil1!$A:$B,2,FALSE),"")</f>
        <v/>
      </c>
      <c r="EA9" s="31" t="str">
        <f>IFERROR(VLOOKUP([2]Pointage!EE3,Feuil1!$A:$B,2,FALSE),"")</f>
        <v/>
      </c>
      <c r="EB9" s="31" t="str">
        <f>IFERROR(VLOOKUP([2]Pointage!EF3,Feuil1!$A:$B,2,FALSE),"")</f>
        <v/>
      </c>
      <c r="EC9" s="31" t="str">
        <f>IFERROR(VLOOKUP([2]Pointage!EG3,Feuil1!$A:$B,2,FALSE),"")</f>
        <v/>
      </c>
      <c r="ED9" s="31" t="str">
        <f>IFERROR(VLOOKUP([2]Pointage!EH3,Feuil1!$A:$B,2,FALSE),"")</f>
        <v/>
      </c>
      <c r="EE9" s="31" t="str">
        <f>IFERROR(VLOOKUP([2]Pointage!EI3,Feuil1!$A:$B,2,FALSE),"")</f>
        <v/>
      </c>
      <c r="EF9" s="31" t="str">
        <f>IFERROR(VLOOKUP([2]Pointage!EJ3,Feuil1!$A:$B,2,FALSE),"")</f>
        <v/>
      </c>
      <c r="EG9" s="31" t="str">
        <f>IFERROR(VLOOKUP([2]Pointage!EK3,Feuil1!$A:$B,2,FALSE),"")</f>
        <v/>
      </c>
      <c r="EH9" s="31" t="str">
        <f>IFERROR(VLOOKUP([2]Pointage!EL3,Feuil1!$A:$B,2,FALSE),"")</f>
        <v/>
      </c>
      <c r="EI9" s="31" t="str">
        <f>IFERROR(VLOOKUP([2]Pointage!EM3,Feuil1!$A:$B,2,FALSE),"")</f>
        <v/>
      </c>
      <c r="EJ9" s="31" t="str">
        <f>IFERROR(VLOOKUP([2]Pointage!EN3,Feuil1!$A:$B,2,FALSE),"")</f>
        <v/>
      </c>
      <c r="EK9" s="31" t="str">
        <f>IFERROR(VLOOKUP([2]Pointage!EO3,Feuil1!$A:$B,2,FALSE),"")</f>
        <v/>
      </c>
      <c r="EL9" s="31" t="str">
        <f>IFERROR(VLOOKUP([2]Pointage!EP3,Feuil1!$A:$B,2,FALSE),"")</f>
        <v/>
      </c>
      <c r="EM9" s="31" t="str">
        <f>IFERROR(VLOOKUP([2]Pointage!EQ3,Feuil1!$A:$B,2,FALSE),"")</f>
        <v/>
      </c>
      <c r="EN9" s="31" t="str">
        <f>IFERROR(VLOOKUP([2]Pointage!ER3,Feuil1!$A:$B,2,FALSE),"")</f>
        <v/>
      </c>
      <c r="EO9" s="31" t="str">
        <f>IFERROR(VLOOKUP([2]Pointage!ES3,Feuil1!$A:$B,2,FALSE),"")</f>
        <v/>
      </c>
      <c r="EP9" s="31" t="str">
        <f>IFERROR(VLOOKUP([2]Pointage!ET3,Feuil1!$A:$B,2,FALSE),"")</f>
        <v/>
      </c>
      <c r="EQ9" s="31" t="str">
        <f>IFERROR(VLOOKUP([2]Pointage!EU3,Feuil1!$A:$B,2,FALSE),"")</f>
        <v/>
      </c>
      <c r="ER9" s="31" t="str">
        <f>IFERROR(VLOOKUP([2]Pointage!EV3,Feuil1!$A:$B,2,FALSE),"")</f>
        <v/>
      </c>
      <c r="ES9" s="31" t="str">
        <f>IFERROR(VLOOKUP([2]Pointage!EW3,Feuil1!$A:$B,2,FALSE),"")</f>
        <v/>
      </c>
      <c r="ET9" s="31" t="str">
        <f>IFERROR(VLOOKUP([2]Pointage!EX3,Feuil1!$A:$B,2,FALSE),"")</f>
        <v/>
      </c>
      <c r="EU9" s="31" t="str">
        <f>IFERROR(VLOOKUP([2]Pointage!EY3,Feuil1!$A:$B,2,FALSE),"")</f>
        <v/>
      </c>
      <c r="EV9" s="31" t="str">
        <f>IFERROR(VLOOKUP([2]Pointage!EZ3,Feuil1!$A:$B,2,FALSE),"")</f>
        <v/>
      </c>
      <c r="EW9" s="31" t="str">
        <f>IFERROR(VLOOKUP([2]Pointage!FA3,Feuil1!$A:$B,2,FALSE),"")</f>
        <v/>
      </c>
      <c r="EX9" s="31" t="str">
        <f>IFERROR(VLOOKUP([2]Pointage!FB3,Feuil1!$A:$B,2,FALSE),"")</f>
        <v/>
      </c>
      <c r="EY9" s="31" t="str">
        <f>IFERROR(VLOOKUP([2]Pointage!FC3,Feuil1!$A:$B,2,FALSE),"")</f>
        <v/>
      </c>
      <c r="EZ9" s="82" t="str">
        <f>IFERROR(VLOOKUP([2]Pointage!FD3,Feuil1!$A:$B,2,FALSE),"")</f>
        <v/>
      </c>
      <c r="FA9" s="47" t="str">
        <f>IFERROR(VLOOKUP([2]Pointage!FE3,Feuil1!$A:$B,2,FALSE),"")</f>
        <v/>
      </c>
      <c r="FB9" s="31" t="str">
        <f>IFERROR(VLOOKUP([2]Pointage!FF3,Feuil1!$A:$B,2,FALSE),"")</f>
        <v/>
      </c>
      <c r="FC9" s="31" t="str">
        <f>IFERROR(VLOOKUP([2]Pointage!FG3,Feuil1!$A:$B,2,FALSE),"")</f>
        <v/>
      </c>
      <c r="FD9" s="31" t="str">
        <f>IFERROR(VLOOKUP([2]Pointage!FH3,Feuil1!$A:$B,2,FALSE),"")</f>
        <v/>
      </c>
      <c r="FE9" s="31" t="str">
        <f>IFERROR(VLOOKUP([2]Pointage!FI3,Feuil1!$A:$B,2,FALSE),"")</f>
        <v/>
      </c>
      <c r="FF9" s="31" t="str">
        <f>IFERROR(VLOOKUP([2]Pointage!FJ3,Feuil1!$A:$B,2,FALSE),"")</f>
        <v/>
      </c>
      <c r="FG9" s="31" t="str">
        <f>IFERROR(VLOOKUP([2]Pointage!FK3,Feuil1!$A:$B,2,FALSE),"")</f>
        <v/>
      </c>
      <c r="FH9" s="31" t="str">
        <f>IFERROR(VLOOKUP([2]Pointage!FL3,Feuil1!$A:$B,2,FALSE),"")</f>
        <v/>
      </c>
      <c r="FI9" s="31" t="str">
        <f>IFERROR(VLOOKUP([2]Pointage!FM3,Feuil1!$A:$B,2,FALSE),"")</f>
        <v/>
      </c>
      <c r="FJ9" s="31" t="str">
        <f>IFERROR(VLOOKUP([2]Pointage!FN3,Feuil1!$A:$B,2,FALSE),"")</f>
        <v/>
      </c>
      <c r="FK9" s="31" t="str">
        <f>IFERROR(VLOOKUP([2]Pointage!FO3,Feuil1!$A:$B,2,FALSE),"")</f>
        <v>C</v>
      </c>
      <c r="FL9" s="31" t="str">
        <f>IFERROR(VLOOKUP([2]Pointage!FP3,Feuil1!$A:$B,2,FALSE),"")</f>
        <v>C</v>
      </c>
      <c r="FM9" s="31" t="str">
        <f>IFERROR(VLOOKUP([2]Pointage!FQ3,Feuil1!$A:$B,2,FALSE),"")</f>
        <v>C</v>
      </c>
      <c r="FN9" s="31" t="str">
        <f>IFERROR(VLOOKUP([2]Pointage!FR3,Feuil1!$A:$B,2,FALSE),"")</f>
        <v>C</v>
      </c>
      <c r="FO9" s="31" t="str">
        <f>IFERROR(VLOOKUP([2]Pointage!FS3,Feuil1!$A:$B,2,FALSE),"")</f>
        <v>C</v>
      </c>
      <c r="FP9" s="31" t="str">
        <f>IFERROR(VLOOKUP([2]Pointage!FT3,Feuil1!$A:$B,2,FALSE),"")</f>
        <v/>
      </c>
      <c r="FQ9" s="31" t="str">
        <f>IFERROR(VLOOKUP([2]Pointage!FU3,Feuil1!$A:$B,2,FALSE),"")</f>
        <v/>
      </c>
      <c r="FR9" s="31" t="str">
        <f>IFERROR(VLOOKUP([2]Pointage!FV3,Feuil1!$A:$B,2,FALSE),"")</f>
        <v>C</v>
      </c>
      <c r="FS9" s="31" t="str">
        <f>IFERROR(VLOOKUP([2]Pointage!FW3,Feuil1!$A:$B,2,FALSE),"")</f>
        <v>C</v>
      </c>
      <c r="FT9" s="31" t="str">
        <f>IFERROR(VLOOKUP([2]Pointage!FX3,Feuil1!$A:$B,2,FALSE),"")</f>
        <v>C</v>
      </c>
      <c r="FU9" s="31" t="str">
        <f>IFERROR(VLOOKUP([2]Pointage!FY3,Feuil1!$A:$B,2,FALSE),"")</f>
        <v>C</v>
      </c>
      <c r="FV9" s="31" t="str">
        <f>IFERROR(VLOOKUP([2]Pointage!FZ3,Feuil1!$A:$B,2,FALSE),"")</f>
        <v>C</v>
      </c>
      <c r="FW9" s="31" t="str">
        <f>IFERROR(VLOOKUP([2]Pointage!GA3,Feuil1!$A:$B,2,FALSE),"")</f>
        <v/>
      </c>
      <c r="FX9" s="31" t="str">
        <f>IFERROR(VLOOKUP([2]Pointage!GB3,Feuil1!$A:$B,2,FALSE),"")</f>
        <v/>
      </c>
      <c r="FY9" s="31" t="str">
        <f>IFERROR(VLOOKUP([2]Pointage!GC3,Feuil1!$A:$B,2,FALSE),"")</f>
        <v/>
      </c>
      <c r="FZ9" s="31" t="str">
        <f>IFERROR(VLOOKUP([2]Pointage!GD3,Feuil1!$A:$B,2,FALSE),"")</f>
        <v/>
      </c>
      <c r="GA9" s="31" t="str">
        <f>IFERROR(VLOOKUP([2]Pointage!GE3,Feuil1!$A:$B,2,FALSE),"")</f>
        <v/>
      </c>
      <c r="GB9" s="31" t="str">
        <f>IFERROR(VLOOKUP([2]Pointage!GF3,Feuil1!$A:$B,2,FALSE),"")</f>
        <v/>
      </c>
      <c r="GC9" s="31" t="str">
        <f>IFERROR(VLOOKUP([2]Pointage!GG3,Feuil1!$A:$B,2,FALSE),"")</f>
        <v/>
      </c>
      <c r="GD9" s="82" t="str">
        <f>IFERROR(VLOOKUP([2]Pointage!GH3,Feuil1!$A:$B,2,FALSE),"")</f>
        <v/>
      </c>
      <c r="GE9" s="47" t="str">
        <f>IFERROR(VLOOKUP([2]Pointage!GI3,Feuil1!$A:$B,2,FALSE),"")</f>
        <v/>
      </c>
      <c r="GF9" s="31" t="str">
        <f>IFERROR(VLOOKUP([2]Pointage!GJ3,Feuil1!$A:$B,2,FALSE),"")</f>
        <v/>
      </c>
      <c r="GG9" s="31" t="str">
        <f>IFERROR(VLOOKUP([2]Pointage!GK3,Feuil1!$A:$B,2,FALSE),"")</f>
        <v/>
      </c>
      <c r="GH9" s="31" t="str">
        <f>IFERROR(VLOOKUP([2]Pointage!GL3,Feuil1!$A:$B,2,FALSE),"")</f>
        <v/>
      </c>
      <c r="GI9" s="31" t="str">
        <f>IFERROR(VLOOKUP([2]Pointage!GM3,Feuil1!$A:$B,2,FALSE),"")</f>
        <v/>
      </c>
      <c r="GJ9" s="31" t="str">
        <f>IFERROR(VLOOKUP([2]Pointage!GN3,Feuil1!$A:$B,2,FALSE),"")</f>
        <v/>
      </c>
      <c r="GK9" s="31" t="str">
        <f>IFERROR(VLOOKUP([2]Pointage!GO3,Feuil1!$A:$B,2,FALSE),"")</f>
        <v/>
      </c>
      <c r="GL9" s="31" t="str">
        <f>IFERROR(VLOOKUP([2]Pointage!GP3,Feuil1!$A:$B,2,FALSE),"")</f>
        <v/>
      </c>
      <c r="GM9" s="31" t="str">
        <f>IFERROR(VLOOKUP([2]Pointage!GQ3,Feuil1!$A:$B,2,FALSE),"")</f>
        <v/>
      </c>
      <c r="GN9" s="31" t="str">
        <f>IFERROR(VLOOKUP([2]Pointage!GR3,Feuil1!$A:$B,2,FALSE),"")</f>
        <v/>
      </c>
      <c r="GO9" s="31" t="str">
        <f>IFERROR(VLOOKUP([2]Pointage!GS3,Feuil1!$A:$B,2,FALSE),"")</f>
        <v/>
      </c>
      <c r="GP9" s="31" t="str">
        <f>IFERROR(VLOOKUP([2]Pointage!GT3,Feuil1!$A:$B,2,FALSE),"")</f>
        <v/>
      </c>
      <c r="GQ9" s="31" t="str">
        <f>IFERROR(VLOOKUP([2]Pointage!GU3,Feuil1!$A:$B,2,FALSE),"")</f>
        <v/>
      </c>
      <c r="GR9" s="31" t="str">
        <f>IFERROR(VLOOKUP([2]Pointage!GV3,Feuil1!$A:$B,2,FALSE),"")</f>
        <v/>
      </c>
      <c r="GS9" s="31" t="str">
        <f>IFERROR(VLOOKUP([2]Pointage!GW3,Feuil1!$A:$B,2,FALSE),"")</f>
        <v/>
      </c>
      <c r="GT9" s="31" t="str">
        <f>IFERROR(VLOOKUP([2]Pointage!GX3,Feuil1!$A:$B,2,FALSE),"")</f>
        <v/>
      </c>
      <c r="GU9" s="31" t="str">
        <f>IFERROR(VLOOKUP([2]Pointage!GY3,Feuil1!$A:$B,2,FALSE),"")</f>
        <v/>
      </c>
      <c r="GV9" s="31" t="str">
        <f>IFERROR(VLOOKUP([2]Pointage!GZ3,Feuil1!$A:$B,2,FALSE),"")</f>
        <v/>
      </c>
      <c r="GW9" s="31" t="str">
        <f>IFERROR(VLOOKUP([2]Pointage!HA3,Feuil1!$A:$B,2,FALSE),"")</f>
        <v/>
      </c>
      <c r="GX9" s="31" t="str">
        <f>IFERROR(VLOOKUP([2]Pointage!HB3,Feuil1!$A:$B,2,FALSE),"")</f>
        <v/>
      </c>
      <c r="GY9" s="31" t="str">
        <f>IFERROR(VLOOKUP([2]Pointage!HC3,Feuil1!$A:$B,2,FALSE),"")</f>
        <v/>
      </c>
      <c r="GZ9" s="31" t="str">
        <f>IFERROR(VLOOKUP([2]Pointage!HD3,Feuil1!$A:$B,2,FALSE),"")</f>
        <v/>
      </c>
      <c r="HA9" s="31" t="str">
        <f>IFERROR(VLOOKUP([2]Pointage!HE3,Feuil1!$A:$B,2,FALSE),"")</f>
        <v/>
      </c>
      <c r="HB9" s="31" t="str">
        <f>IFERROR(VLOOKUP([2]Pointage!HF3,Feuil1!$A:$B,2,FALSE),"")</f>
        <v/>
      </c>
      <c r="HC9" s="31" t="str">
        <f>IFERROR(VLOOKUP([2]Pointage!HG3,Feuil1!$A:$B,2,FALSE),"")</f>
        <v/>
      </c>
      <c r="HD9" s="31" t="str">
        <f>IFERROR(VLOOKUP([2]Pointage!HH3,Feuil1!$A:$B,2,FALSE),"")</f>
        <v/>
      </c>
      <c r="HE9" s="31" t="str">
        <f>IFERROR(VLOOKUP([2]Pointage!HI3,Feuil1!$A:$B,2,FALSE),"")</f>
        <v/>
      </c>
      <c r="HF9" s="31" t="str">
        <f>IFERROR(VLOOKUP([2]Pointage!HJ3,Feuil1!$A:$B,2,FALSE),"")</f>
        <v/>
      </c>
      <c r="HG9" s="31" t="str">
        <f>IFERROR(VLOOKUP([2]Pointage!HK3,Feuil1!$A:$B,2,FALSE),"")</f>
        <v/>
      </c>
      <c r="HH9" s="31" t="str">
        <f>IFERROR(VLOOKUP([2]Pointage!HL3,Feuil1!$A:$B,2,FALSE),"")</f>
        <v/>
      </c>
      <c r="HI9" s="82" t="str">
        <f>IFERROR(VLOOKUP([2]Pointage!HM3,Feuil1!$A:$B,2,FALSE),"")</f>
        <v/>
      </c>
      <c r="HJ9" s="47" t="str">
        <f>IFERROR(VLOOKUP([2]Pointage!HN3,Feuil1!$A:$B,2,FALSE),"")</f>
        <v/>
      </c>
      <c r="HK9" s="31" t="str">
        <f>IFERROR(VLOOKUP([2]Pointage!HO3,Feuil1!$A:$B,2,FALSE),"")</f>
        <v/>
      </c>
      <c r="HL9" s="31" t="str">
        <f>IFERROR(VLOOKUP([2]Pointage!HP3,Feuil1!$A:$B,2,FALSE),"")</f>
        <v/>
      </c>
      <c r="HM9" s="31" t="str">
        <f>IFERROR(VLOOKUP([2]Pointage!HQ3,Feuil1!$A:$B,2,FALSE),"")</f>
        <v/>
      </c>
      <c r="HN9" s="31" t="str">
        <f>IFERROR(VLOOKUP([2]Pointage!HR3,Feuil1!$A:$B,2,FALSE),"")</f>
        <v/>
      </c>
      <c r="HO9" s="31" t="str">
        <f>IFERROR(VLOOKUP([2]Pointage!HS3,Feuil1!$A:$B,2,FALSE),"")</f>
        <v/>
      </c>
      <c r="HP9" s="31" t="str">
        <f>IFERROR(VLOOKUP([2]Pointage!HT3,Feuil1!$A:$B,2,FALSE),"")</f>
        <v/>
      </c>
      <c r="HQ9" s="31" t="str">
        <f>IFERROR(VLOOKUP([2]Pointage!HU3,Feuil1!$A:$B,2,FALSE),"")</f>
        <v/>
      </c>
      <c r="HR9" s="31" t="str">
        <f>IFERROR(VLOOKUP([2]Pointage!HV3,Feuil1!$A:$B,2,FALSE),"")</f>
        <v/>
      </c>
      <c r="HS9" s="31" t="str">
        <f>IFERROR(VLOOKUP([2]Pointage!HW3,Feuil1!$A:$B,2,FALSE),"")</f>
        <v/>
      </c>
      <c r="HT9" s="31" t="str">
        <f>IFERROR(VLOOKUP([2]Pointage!HX3,Feuil1!$A:$B,2,FALSE),"")</f>
        <v/>
      </c>
      <c r="HU9" s="31" t="str">
        <f>IFERROR(VLOOKUP([2]Pointage!HY3,Feuil1!$A:$B,2,FALSE),"")</f>
        <v/>
      </c>
      <c r="HV9" s="31" t="str">
        <f>IFERROR(VLOOKUP([2]Pointage!HZ3,Feuil1!$A:$B,2,FALSE),"")</f>
        <v/>
      </c>
      <c r="HW9" s="31" t="str">
        <f>IFERROR(VLOOKUP([2]Pointage!IA3,Feuil1!$A:$B,2,FALSE),"")</f>
        <v/>
      </c>
      <c r="HX9" s="31" t="str">
        <f>IFERROR(VLOOKUP([2]Pointage!IB3,Feuil1!$A:$B,2,FALSE),"")</f>
        <v/>
      </c>
      <c r="HY9" s="31" t="str">
        <f>IFERROR(VLOOKUP([2]Pointage!IC3,Feuil1!$A:$B,2,FALSE),"")</f>
        <v/>
      </c>
      <c r="HZ9" s="31" t="str">
        <f>IFERROR(VLOOKUP([2]Pointage!ID3,Feuil1!$A:$B,2,FALSE),"")</f>
        <v/>
      </c>
      <c r="IA9" s="31" t="str">
        <f>IFERROR(VLOOKUP([2]Pointage!IE3,Feuil1!$A:$B,2,FALSE),"")</f>
        <v/>
      </c>
      <c r="IB9" s="31" t="str">
        <f>IFERROR(VLOOKUP([2]Pointage!IF3,Feuil1!$A:$B,2,FALSE),"")</f>
        <v/>
      </c>
      <c r="IC9" s="31" t="str">
        <f>IFERROR(VLOOKUP([2]Pointage!IG3,Feuil1!$A:$B,2,FALSE),"")</f>
        <v/>
      </c>
      <c r="ID9" s="31" t="str">
        <f>IFERROR(VLOOKUP([2]Pointage!IH3,Feuil1!$A:$B,2,FALSE),"")</f>
        <v/>
      </c>
      <c r="IE9" s="31" t="str">
        <f>IFERROR(VLOOKUP([2]Pointage!II3,Feuil1!$A:$B,2,FALSE),"")</f>
        <v/>
      </c>
      <c r="IF9" s="31" t="str">
        <f>IFERROR(VLOOKUP([2]Pointage!IJ3,Feuil1!$A:$B,2,FALSE),"")</f>
        <v/>
      </c>
      <c r="IG9" s="31" t="str">
        <f>IFERROR(VLOOKUP([2]Pointage!IK3,Feuil1!$A:$B,2,FALSE),"")</f>
        <v/>
      </c>
      <c r="IH9" s="31" t="str">
        <f>IFERROR(VLOOKUP([2]Pointage!IL3,Feuil1!$A:$B,2,FALSE),"")</f>
        <v/>
      </c>
      <c r="II9" s="31" t="str">
        <f>IFERROR(VLOOKUP([2]Pointage!IM3,Feuil1!$A:$B,2,FALSE),"")</f>
        <v/>
      </c>
      <c r="IJ9" s="31" t="str">
        <f>IFERROR(VLOOKUP([2]Pointage!IN3,Feuil1!$A:$B,2,FALSE),"")</f>
        <v/>
      </c>
      <c r="IK9" s="31" t="str">
        <f>IFERROR(VLOOKUP([2]Pointage!IO3,Feuil1!$A:$B,2,FALSE),"")</f>
        <v/>
      </c>
      <c r="IL9" s="31" t="str">
        <f>IFERROR(VLOOKUP([2]Pointage!IP3,Feuil1!$A:$B,2,FALSE),"")</f>
        <v/>
      </c>
      <c r="IM9" s="31" t="str">
        <f>IFERROR(VLOOKUP([2]Pointage!IQ3,Feuil1!$A:$B,2,FALSE),"")</f>
        <v/>
      </c>
      <c r="IN9" s="82" t="str">
        <f>IFERROR(VLOOKUP([2]Pointage!IR3,Feuil1!$A:$B,2,FALSE),"")</f>
        <v/>
      </c>
      <c r="IO9" s="47" t="str">
        <f>IFERROR(VLOOKUP([2]Pointage!IS3,Feuil1!$A:$B,2,FALSE),"")</f>
        <v/>
      </c>
      <c r="IP9" s="31" t="str">
        <f>IFERROR(VLOOKUP([2]Pointage!IT3,Feuil1!$A:$B,2,FALSE),"")</f>
        <v/>
      </c>
      <c r="IQ9" s="31" t="str">
        <f>IFERROR(VLOOKUP([2]Pointage!IU3,Feuil1!$A:$B,2,FALSE),"")</f>
        <v/>
      </c>
      <c r="IR9" s="31" t="str">
        <f>IFERROR(VLOOKUP([2]Pointage!IV3,Feuil1!$A:$B,2,FALSE),"")</f>
        <v/>
      </c>
      <c r="IS9" s="31" t="str">
        <f>IFERROR(VLOOKUP([2]Pointage!IW3,Feuil1!$A:$B,2,FALSE),"")</f>
        <v/>
      </c>
      <c r="IT9" s="31" t="str">
        <f>IFERROR(VLOOKUP([2]Pointage!IX3,Feuil1!$A:$B,2,FALSE),"")</f>
        <v/>
      </c>
      <c r="IU9" s="31" t="str">
        <f>IFERROR(VLOOKUP([2]Pointage!IY3,Feuil1!$A:$B,2,FALSE),"")</f>
        <v/>
      </c>
      <c r="IV9" s="31" t="str">
        <f>IFERROR(VLOOKUP([2]Pointage!IZ3,Feuil1!$A:$B,2,FALSE),"")</f>
        <v/>
      </c>
      <c r="IW9" s="31" t="str">
        <f>IFERROR(VLOOKUP([2]Pointage!JA3,Feuil1!$A:$B,2,FALSE),"")</f>
        <v/>
      </c>
      <c r="IX9" s="31" t="str">
        <f>IFERROR(VLOOKUP([2]Pointage!JB3,Feuil1!$A:$B,2,FALSE),"")</f>
        <v/>
      </c>
      <c r="IY9" s="31" t="str">
        <f>IFERROR(VLOOKUP([2]Pointage!JC3,Feuil1!$A:$B,2,FALSE),"")</f>
        <v/>
      </c>
      <c r="IZ9" s="31" t="str">
        <f>IFERROR(VLOOKUP([2]Pointage!JD3,Feuil1!$A:$B,2,FALSE),"")</f>
        <v/>
      </c>
      <c r="JA9" s="31" t="str">
        <f>IFERROR(VLOOKUP([2]Pointage!JE3,Feuil1!$A:$B,2,FALSE),"")</f>
        <v/>
      </c>
      <c r="JB9" s="31" t="str">
        <f>IFERROR(VLOOKUP([2]Pointage!JF3,Feuil1!$A:$B,2,FALSE),"")</f>
        <v/>
      </c>
      <c r="JC9" s="31" t="str">
        <f>IFERROR(VLOOKUP([2]Pointage!JG3,Feuil1!$A:$B,2,FALSE),"")</f>
        <v/>
      </c>
      <c r="JD9" s="31" t="str">
        <f>IFERROR(VLOOKUP([2]Pointage!JH3,Feuil1!$A:$B,2,FALSE),"")</f>
        <v/>
      </c>
      <c r="JE9" s="31" t="str">
        <f>IFERROR(VLOOKUP([2]Pointage!JI3,Feuil1!$A:$B,2,FALSE),"")</f>
        <v/>
      </c>
      <c r="JF9" s="31" t="str">
        <f>IFERROR(VLOOKUP([2]Pointage!JJ3,Feuil1!$A:$B,2,FALSE),"")</f>
        <v/>
      </c>
      <c r="JG9" s="31" t="str">
        <f>IFERROR(VLOOKUP([2]Pointage!JK3,Feuil1!$A:$B,2,FALSE),"")</f>
        <v/>
      </c>
      <c r="JH9" s="31" t="str">
        <f>IFERROR(VLOOKUP([2]Pointage!JL3,Feuil1!$A:$B,2,FALSE),"")</f>
        <v/>
      </c>
      <c r="JI9" s="31" t="str">
        <f>IFERROR(VLOOKUP([2]Pointage!JM3,Feuil1!$A:$B,2,FALSE),"")</f>
        <v/>
      </c>
      <c r="JJ9" s="31" t="str">
        <f>IFERROR(VLOOKUP([2]Pointage!JN3,Feuil1!$A:$B,2,FALSE),"")</f>
        <v/>
      </c>
      <c r="JK9" s="31" t="str">
        <f>IFERROR(VLOOKUP([2]Pointage!JO3,Feuil1!$A:$B,2,FALSE),"")</f>
        <v/>
      </c>
      <c r="JL9" s="31" t="str">
        <f>IFERROR(VLOOKUP([2]Pointage!JP3,Feuil1!$A:$B,2,FALSE),"")</f>
        <v/>
      </c>
      <c r="JM9" s="31" t="str">
        <f>IFERROR(VLOOKUP([2]Pointage!JQ3,Feuil1!$A:$B,2,FALSE),"")</f>
        <v/>
      </c>
      <c r="JN9" s="31" t="str">
        <f>IFERROR(VLOOKUP([2]Pointage!JR3,Feuil1!$A:$B,2,FALSE),"")</f>
        <v/>
      </c>
      <c r="JO9" s="31" t="str">
        <f>IFERROR(VLOOKUP([2]Pointage!JS3,Feuil1!$A:$B,2,FALSE),"")</f>
        <v/>
      </c>
      <c r="JP9" s="31" t="str">
        <f>IFERROR(VLOOKUP([2]Pointage!JT3,Feuil1!$A:$B,2,FALSE),"")</f>
        <v/>
      </c>
      <c r="JQ9" s="31" t="str">
        <f>IFERROR(VLOOKUP([2]Pointage!JU3,Feuil1!$A:$B,2,FALSE),"")</f>
        <v/>
      </c>
      <c r="JR9" s="82" t="str">
        <f>IFERROR(VLOOKUP([2]Pointage!JV3,Feuil1!$A:$B,2,FALSE),"")</f>
        <v/>
      </c>
      <c r="JS9" s="47" t="str">
        <f>IFERROR(VLOOKUP([2]Pointage!JW3,Feuil1!$A:$B,2,FALSE),"")</f>
        <v/>
      </c>
      <c r="JT9" s="31" t="str">
        <f>IFERROR(VLOOKUP([2]Pointage!JX3,Feuil1!$A:$B,2,FALSE),"")</f>
        <v/>
      </c>
      <c r="JU9" s="31" t="str">
        <f>IFERROR(VLOOKUP([2]Pointage!JY3,Feuil1!$A:$B,2,FALSE),"")</f>
        <v/>
      </c>
      <c r="JV9" s="31" t="str">
        <f>IFERROR(VLOOKUP([2]Pointage!JZ3,Feuil1!$A:$B,2,FALSE),"")</f>
        <v/>
      </c>
      <c r="JW9" s="31" t="str">
        <f>IFERROR(VLOOKUP([2]Pointage!KA3,Feuil1!$A:$B,2,FALSE),"")</f>
        <v/>
      </c>
      <c r="JX9" s="31" t="str">
        <f>IFERROR(VLOOKUP([2]Pointage!KB3,Feuil1!$A:$B,2,FALSE),"")</f>
        <v/>
      </c>
      <c r="JY9" s="31" t="str">
        <f>IFERROR(VLOOKUP([2]Pointage!KC3,Feuil1!$A:$B,2,FALSE),"")</f>
        <v/>
      </c>
      <c r="JZ9" s="31" t="str">
        <f>IFERROR(VLOOKUP([2]Pointage!KD3,Feuil1!$A:$B,2,FALSE),"")</f>
        <v/>
      </c>
      <c r="KA9" s="31" t="str">
        <f>IFERROR(VLOOKUP([2]Pointage!KE3,Feuil1!$A:$B,2,FALSE),"")</f>
        <v/>
      </c>
      <c r="KB9" s="31" t="str">
        <f>IFERROR(VLOOKUP([2]Pointage!KF3,Feuil1!$A:$B,2,FALSE),"")</f>
        <v/>
      </c>
      <c r="KC9" s="31" t="str">
        <f>IFERROR(VLOOKUP([2]Pointage!KG3,Feuil1!$A:$B,2,FALSE),"")</f>
        <v/>
      </c>
      <c r="KD9" s="31" t="str">
        <f>IFERROR(VLOOKUP([2]Pointage!KH3,Feuil1!$A:$B,2,FALSE),"")</f>
        <v/>
      </c>
      <c r="KE9" s="31" t="str">
        <f>IFERROR(VLOOKUP([2]Pointage!KI3,Feuil1!$A:$B,2,FALSE),"")</f>
        <v/>
      </c>
      <c r="KF9" s="31" t="str">
        <f>IFERROR(VLOOKUP([2]Pointage!KJ3,Feuil1!$A:$B,2,FALSE),"")</f>
        <v/>
      </c>
      <c r="KG9" s="31" t="str">
        <f>IFERROR(VLOOKUP([2]Pointage!KK3,Feuil1!$A:$B,2,FALSE),"")</f>
        <v/>
      </c>
      <c r="KH9" s="31" t="str">
        <f>IFERROR(VLOOKUP([2]Pointage!KL3,Feuil1!$A:$B,2,FALSE),"")</f>
        <v/>
      </c>
      <c r="KI9" s="31" t="str">
        <f>IFERROR(VLOOKUP([2]Pointage!KM3,Feuil1!$A:$B,2,FALSE),"")</f>
        <v/>
      </c>
      <c r="KJ9" s="31" t="str">
        <f>IFERROR(VLOOKUP([2]Pointage!KN3,Feuil1!$A:$B,2,FALSE),"")</f>
        <v/>
      </c>
      <c r="KK9" s="31" t="str">
        <f>IFERROR(VLOOKUP([2]Pointage!KO3,Feuil1!$A:$B,2,FALSE),"")</f>
        <v/>
      </c>
      <c r="KL9" s="31" t="str">
        <f>IFERROR(VLOOKUP([2]Pointage!KP3,Feuil1!$A:$B,2,FALSE),"")</f>
        <v/>
      </c>
      <c r="KM9" s="31" t="str">
        <f>IFERROR(VLOOKUP([2]Pointage!KQ3,Feuil1!$A:$B,2,FALSE),"")</f>
        <v/>
      </c>
      <c r="KN9" s="31" t="str">
        <f>IFERROR(VLOOKUP([2]Pointage!KR3,Feuil1!$A:$B,2,FALSE),"")</f>
        <v/>
      </c>
      <c r="KO9" s="31" t="str">
        <f>IFERROR(VLOOKUP([2]Pointage!KS3,Feuil1!$A:$B,2,FALSE),"")</f>
        <v/>
      </c>
      <c r="KP9" s="31" t="str">
        <f>IFERROR(VLOOKUP([2]Pointage!KT3,Feuil1!$A:$B,2,FALSE),"")</f>
        <v/>
      </c>
      <c r="KQ9" s="31" t="str">
        <f>IFERROR(VLOOKUP([2]Pointage!KU3,Feuil1!$A:$B,2,FALSE),"")</f>
        <v/>
      </c>
      <c r="KR9" s="31" t="str">
        <f>IFERROR(VLOOKUP([2]Pointage!KV3,Feuil1!$A:$B,2,FALSE),"")</f>
        <v/>
      </c>
      <c r="KS9" s="31" t="str">
        <f>IFERROR(VLOOKUP([2]Pointage!KW3,Feuil1!$A:$B,2,FALSE),"")</f>
        <v/>
      </c>
      <c r="KT9" s="31" t="str">
        <f>IFERROR(VLOOKUP([2]Pointage!KX3,Feuil1!$A:$B,2,FALSE),"")</f>
        <v/>
      </c>
      <c r="KU9" s="31" t="str">
        <f>IFERROR(VLOOKUP([2]Pointage!KY3,Feuil1!$A:$B,2,FALSE),"")</f>
        <v/>
      </c>
      <c r="KV9" s="31" t="str">
        <f>IFERROR(VLOOKUP([2]Pointage!KZ3,Feuil1!$A:$B,2,FALSE),"")</f>
        <v/>
      </c>
      <c r="KW9" s="82" t="str">
        <f>IFERROR(VLOOKUP([2]Pointage!LA3,Feuil1!$A:$B,2,FALSE),"")</f>
        <v/>
      </c>
      <c r="KX9" s="47" t="str">
        <f>IFERROR(VLOOKUP([2]Pointage!LB3,Feuil1!$A:$B,2,FALSE),"")</f>
        <v/>
      </c>
      <c r="KY9" s="31" t="str">
        <f>IFERROR(VLOOKUP([2]Pointage!LC3,Feuil1!$A:$B,2,FALSE),"")</f>
        <v/>
      </c>
      <c r="KZ9" s="31" t="str">
        <f>IFERROR(VLOOKUP([2]Pointage!LD3,Feuil1!$A:$B,2,FALSE),"")</f>
        <v/>
      </c>
      <c r="LA9" s="31" t="str">
        <f>IFERROR(VLOOKUP([2]Pointage!LE3,Feuil1!$A:$B,2,FALSE),"")</f>
        <v/>
      </c>
      <c r="LB9" s="31" t="str">
        <f>IFERROR(VLOOKUP([2]Pointage!LF3,Feuil1!$A:$B,2,FALSE),"")</f>
        <v/>
      </c>
      <c r="LC9" s="31" t="str">
        <f>IFERROR(VLOOKUP([2]Pointage!LG3,Feuil1!$A:$B,2,FALSE),"")</f>
        <v/>
      </c>
      <c r="LD9" s="31" t="str">
        <f>IFERROR(VLOOKUP([2]Pointage!LH3,Feuil1!$A:$B,2,FALSE),"")</f>
        <v/>
      </c>
      <c r="LE9" s="31" t="str">
        <f>IFERROR(VLOOKUP([2]Pointage!LI3,Feuil1!$A:$B,2,FALSE),"")</f>
        <v/>
      </c>
      <c r="LF9" s="31" t="str">
        <f>IFERROR(VLOOKUP([2]Pointage!LJ3,Feuil1!$A:$B,2,FALSE),"")</f>
        <v/>
      </c>
      <c r="LG9" s="31" t="str">
        <f>IFERROR(VLOOKUP([2]Pointage!LK3,Feuil1!$A:$B,2,FALSE),"")</f>
        <v/>
      </c>
      <c r="LH9" s="31" t="str">
        <f>IFERROR(VLOOKUP([2]Pointage!LL3,Feuil1!$A:$B,2,FALSE),"")</f>
        <v/>
      </c>
      <c r="LI9" s="31" t="str">
        <f>IFERROR(VLOOKUP([2]Pointage!LM3,Feuil1!$A:$B,2,FALSE),"")</f>
        <v/>
      </c>
      <c r="LJ9" s="31" t="str">
        <f>IFERROR(VLOOKUP([2]Pointage!LN3,Feuil1!$A:$B,2,FALSE),"")</f>
        <v/>
      </c>
      <c r="LK9" s="31" t="str">
        <f>IFERROR(VLOOKUP([2]Pointage!LO3,Feuil1!$A:$B,2,FALSE),"")</f>
        <v/>
      </c>
      <c r="LL9" s="31" t="str">
        <f>IFERROR(VLOOKUP([2]Pointage!LP3,Feuil1!$A:$B,2,FALSE),"")</f>
        <v/>
      </c>
      <c r="LM9" s="31" t="str">
        <f>IFERROR(VLOOKUP([2]Pointage!LQ3,Feuil1!$A:$B,2,FALSE),"")</f>
        <v/>
      </c>
      <c r="LN9" s="31" t="str">
        <f>IFERROR(VLOOKUP([2]Pointage!LR3,Feuil1!$A:$B,2,FALSE),"")</f>
        <v/>
      </c>
      <c r="LO9" s="31" t="str">
        <f>IFERROR(VLOOKUP([2]Pointage!LS3,Feuil1!$A:$B,2,FALSE),"")</f>
        <v/>
      </c>
      <c r="LP9" s="31" t="str">
        <f>IFERROR(VLOOKUP([2]Pointage!LT3,Feuil1!$A:$B,2,FALSE),"")</f>
        <v/>
      </c>
      <c r="LQ9" s="31" t="str">
        <f>IFERROR(VLOOKUP([2]Pointage!LU3,Feuil1!$A:$B,2,FALSE),"")</f>
        <v/>
      </c>
      <c r="LR9" s="31" t="str">
        <f>IFERROR(VLOOKUP([2]Pointage!LV3,Feuil1!$A:$B,2,FALSE),"")</f>
        <v/>
      </c>
      <c r="LS9" s="31" t="str">
        <f>IFERROR(VLOOKUP([2]Pointage!LW3,Feuil1!$A:$B,2,FALSE),"")</f>
        <v/>
      </c>
      <c r="LT9" s="31" t="str">
        <f>IFERROR(VLOOKUP([2]Pointage!LX3,Feuil1!$A:$B,2,FALSE),"")</f>
        <v/>
      </c>
      <c r="LU9" s="31" t="str">
        <f>IFERROR(VLOOKUP([2]Pointage!LY3,Feuil1!$A:$B,2,FALSE),"")</f>
        <v/>
      </c>
      <c r="LV9" s="31" t="str">
        <f>IFERROR(VLOOKUP([2]Pointage!LZ3,Feuil1!$A:$B,2,FALSE),"")</f>
        <v/>
      </c>
      <c r="LW9" s="31" t="str">
        <f>IFERROR(VLOOKUP([2]Pointage!MA3,Feuil1!$A:$B,2,FALSE),"")</f>
        <v/>
      </c>
      <c r="LX9" s="31" t="str">
        <f>IFERROR(VLOOKUP([2]Pointage!MB3,Feuil1!$A:$B,2,FALSE),"")</f>
        <v/>
      </c>
      <c r="LY9" s="31" t="str">
        <f>IFERROR(VLOOKUP([2]Pointage!MC3,Feuil1!$A:$B,2,FALSE),"")</f>
        <v/>
      </c>
      <c r="LZ9" s="31" t="str">
        <f>IFERROR(VLOOKUP([2]Pointage!MD3,Feuil1!$A:$B,2,FALSE),"")</f>
        <v/>
      </c>
      <c r="MA9" s="82" t="str">
        <f>IFERROR(VLOOKUP([2]Pointage!ME3,Feuil1!$A:$B,2,FALSE),"")</f>
        <v/>
      </c>
      <c r="MB9" s="47" t="str">
        <f>IFERROR(VLOOKUP([2]Pointage!MF3,Feuil1!$A:$B,2,FALSE),"")</f>
        <v/>
      </c>
      <c r="MC9" s="31" t="str">
        <f>IFERROR(VLOOKUP([2]Pointage!MG3,Feuil1!$A:$B,2,FALSE),"")</f>
        <v/>
      </c>
      <c r="MD9" s="31" t="str">
        <f>IFERROR(VLOOKUP([2]Pointage!MH3,Feuil1!$A:$B,2,FALSE),"")</f>
        <v/>
      </c>
      <c r="ME9" s="31" t="str">
        <f>IFERROR(VLOOKUP([2]Pointage!MI3,Feuil1!$A:$B,2,FALSE),"")</f>
        <v/>
      </c>
      <c r="MF9" s="31" t="str">
        <f>IFERROR(VLOOKUP([2]Pointage!MJ3,Feuil1!$A:$B,2,FALSE),"")</f>
        <v/>
      </c>
      <c r="MG9" s="31" t="str">
        <f>IFERROR(VLOOKUP([2]Pointage!MK3,Feuil1!$A:$B,2,FALSE),"")</f>
        <v/>
      </c>
      <c r="MH9" s="31" t="str">
        <f>IFERROR(VLOOKUP([2]Pointage!ML3,Feuil1!$A:$B,2,FALSE),"")</f>
        <v/>
      </c>
      <c r="MI9" s="31" t="str">
        <f>IFERROR(VLOOKUP([2]Pointage!MM3,Feuil1!$A:$B,2,FALSE),"")</f>
        <v/>
      </c>
      <c r="MJ9" s="31" t="str">
        <f>IFERROR(VLOOKUP([2]Pointage!MN3,Feuil1!$A:$B,2,FALSE),"")</f>
        <v/>
      </c>
      <c r="MK9" s="31" t="str">
        <f>IFERROR(VLOOKUP([2]Pointage!MO3,Feuil1!$A:$B,2,FALSE),"")</f>
        <v/>
      </c>
      <c r="ML9" s="31" t="str">
        <f>IFERROR(VLOOKUP([2]Pointage!MP3,Feuil1!$A:$B,2,FALSE),"")</f>
        <v/>
      </c>
      <c r="MM9" s="31" t="str">
        <f>IFERROR(VLOOKUP([2]Pointage!MQ3,Feuil1!$A:$B,2,FALSE),"")</f>
        <v/>
      </c>
      <c r="MN9" s="31" t="str">
        <f>IFERROR(VLOOKUP([2]Pointage!MR3,Feuil1!$A:$B,2,FALSE),"")</f>
        <v/>
      </c>
      <c r="MO9" s="31" t="str">
        <f>IFERROR(VLOOKUP([2]Pointage!MS3,Feuil1!$A:$B,2,FALSE),"")</f>
        <v/>
      </c>
      <c r="MP9" s="31" t="str">
        <f>IFERROR(VLOOKUP([2]Pointage!MT3,Feuil1!$A:$B,2,FALSE),"")</f>
        <v/>
      </c>
      <c r="MQ9" s="31" t="str">
        <f>IFERROR(VLOOKUP([2]Pointage!MU3,Feuil1!$A:$B,2,FALSE),"")</f>
        <v/>
      </c>
      <c r="MR9" s="31" t="str">
        <f>IFERROR(VLOOKUP([2]Pointage!MV3,Feuil1!$A:$B,2,FALSE),"")</f>
        <v/>
      </c>
      <c r="MS9" s="31" t="str">
        <f>IFERROR(VLOOKUP([2]Pointage!MW3,Feuil1!$A:$B,2,FALSE),"")</f>
        <v/>
      </c>
      <c r="MT9" s="31" t="str">
        <f>IFERROR(VLOOKUP([2]Pointage!MX3,Feuil1!$A:$B,2,FALSE),"")</f>
        <v/>
      </c>
      <c r="MU9" s="31" t="str">
        <f>IFERROR(VLOOKUP([2]Pointage!MY3,Feuil1!$A:$B,2,FALSE),"")</f>
        <v/>
      </c>
      <c r="MV9" s="31" t="str">
        <f>IFERROR(VLOOKUP([2]Pointage!MZ3,Feuil1!$A:$B,2,FALSE),"")</f>
        <v/>
      </c>
      <c r="MW9" s="31" t="str">
        <f>IFERROR(VLOOKUP([2]Pointage!NA3,Feuil1!$A:$B,2,FALSE),"")</f>
        <v/>
      </c>
      <c r="MX9" s="31" t="str">
        <f>IFERROR(VLOOKUP([2]Pointage!NB3,Feuil1!$A:$B,2,FALSE),"")</f>
        <v/>
      </c>
      <c r="MY9" s="31" t="str">
        <f>IFERROR(VLOOKUP([2]Pointage!NC3,Feuil1!$A:$B,2,FALSE),"")</f>
        <v/>
      </c>
      <c r="MZ9" s="31" t="str">
        <f>IFERROR(VLOOKUP([2]Pointage!ND3,Feuil1!$A:$B,2,FALSE),"")</f>
        <v/>
      </c>
      <c r="NA9" s="31" t="str">
        <f>IFERROR(VLOOKUP([2]Pointage!NE3,Feuil1!$A:$B,2,FALSE),"")</f>
        <v/>
      </c>
      <c r="NB9" s="31" t="str">
        <f>IFERROR(VLOOKUP([2]Pointage!NF3,Feuil1!$A:$B,2,FALSE),"")</f>
        <v/>
      </c>
      <c r="NC9" s="31" t="str">
        <f>IFERROR(VLOOKUP([2]Pointage!NG3,Feuil1!$A:$B,2,FALSE),"")</f>
        <v/>
      </c>
      <c r="ND9" s="31" t="str">
        <f>IFERROR(VLOOKUP([2]Pointage!NH3,Feuil1!$A:$B,2,FALSE),"")</f>
        <v/>
      </c>
      <c r="NE9" s="31" t="str">
        <f>IFERROR(VLOOKUP([2]Pointage!NI3,Feuil1!$A:$B,2,FALSE),"")</f>
        <v/>
      </c>
      <c r="NF9" s="48" t="str">
        <f>IFERROR(VLOOKUP([2]Pointage!NJ3,Feuil1!$A:$B,2,FALSE),"")</f>
        <v/>
      </c>
      <c r="NG9" s="52">
        <f>COUNTIF(Global!F9:NF9,"RTT")+(COUNTIF(Global!F9:NF9,"dRTT")/2)</f>
        <v>0</v>
      </c>
      <c r="NH9" s="42">
        <f>COUNTIF(Global!F9:NF9,"C")+(COUNTIF(Global!F9:NF9,"DC")/2)</f>
        <v>10</v>
      </c>
      <c r="NI9" s="42">
        <f>COUNTIF(Global!F9:NF9,"M")</f>
        <v>0</v>
      </c>
      <c r="NJ9" s="42">
        <f>COUNTIF(Global!G9:NG9,"AT")</f>
        <v>0</v>
      </c>
      <c r="NK9" s="42">
        <f>COUNTIF(Global!F9:NF9,"RD")</f>
        <v>0</v>
      </c>
      <c r="NL9" s="42">
        <f>COUNTIF(Global!F9:NF9,"RC")+(COUNTIF(Global!F9:NF9,"dRC")/2)</f>
        <v>0</v>
      </c>
      <c r="NM9" s="68">
        <f t="shared" ref="NM9:NM56" ca="1" si="0">IF(AND(NI9=0,NJ9=0),((10*(_xlfn.DAYS($NO$2,$F$1)+1))/365),((_xlfn.DAYS($NO$2,$F$1)+1-(NI9+NJ9))*((10*(_xlfn.DAYS($NO$2,$F$1)+1))/365))/(_xlfn.DAYS($NO$2,$F$1)+1))</f>
        <v>4.0273972602739727</v>
      </c>
      <c r="NT9" s="33">
        <v>0</v>
      </c>
      <c r="NU9" s="33">
        <v>0</v>
      </c>
      <c r="NV9" s="28">
        <v>12.5</v>
      </c>
      <c r="NW9" s="28">
        <v>0.83</v>
      </c>
      <c r="NX9" s="29">
        <f>COUNTIF(F9:NF9,"C")++(COUNTIF(Global!F9:NF9,"DC")/2)</f>
        <v>10</v>
      </c>
      <c r="NY9" s="29"/>
      <c r="NZ9" s="29"/>
      <c r="OA9" s="29"/>
      <c r="OB9" s="29">
        <f>COUNTIF(Global!F9:NF9,"M")</f>
        <v>0</v>
      </c>
      <c r="OC9" s="30">
        <f t="shared" ref="OC9:OC56" si="1">(NT9+NV9)-NX9</f>
        <v>2.5</v>
      </c>
      <c r="OD9" s="30"/>
    </row>
    <row r="10" spans="1:394" ht="30" customHeight="1" x14ac:dyDescent="0.2">
      <c r="A10" s="14" t="s">
        <v>66</v>
      </c>
      <c r="B10" s="22" t="s">
        <v>135</v>
      </c>
      <c r="C10" s="22" t="s">
        <v>136</v>
      </c>
      <c r="D10" s="22" t="s">
        <v>137</v>
      </c>
      <c r="E10" s="44">
        <v>0</v>
      </c>
      <c r="F10" s="47" t="str">
        <f>IFERROR(VLOOKUP([2]Pointage!J4,Feuil1!$A:$B,2,FALSE),"")</f>
        <v/>
      </c>
      <c r="G10" s="31" t="str">
        <f>IFERROR(VLOOKUP([2]Pointage!K4,Feuil1!$A:$B,2,FALSE),"")</f>
        <v/>
      </c>
      <c r="H10" s="31" t="str">
        <f>IFERROR(VLOOKUP([2]Pointage!L4,Feuil1!$A:$B,2,FALSE),"")</f>
        <v/>
      </c>
      <c r="I10" s="31" t="str">
        <f>IFERROR(VLOOKUP([2]Pointage!M4,Feuil1!$A:$B,2,FALSE),"")</f>
        <v/>
      </c>
      <c r="J10" s="31" t="str">
        <f>IFERROR(VLOOKUP([2]Pointage!N4,Feuil1!$A:$B,2,FALSE),"")</f>
        <v/>
      </c>
      <c r="K10" s="31" t="str">
        <f>IFERROR(VLOOKUP([2]Pointage!O4,Feuil1!$A:$B,2,FALSE),"")</f>
        <v/>
      </c>
      <c r="L10" s="31" t="str">
        <f>IFERROR(VLOOKUP([2]Pointage!P4,Feuil1!$A:$B,2,FALSE),"")</f>
        <v/>
      </c>
      <c r="M10" s="31" t="str">
        <f>IFERROR(VLOOKUP([2]Pointage!Q4,Feuil1!$A:$B,2,FALSE),"")</f>
        <v/>
      </c>
      <c r="N10" s="31" t="str">
        <f>IFERROR(VLOOKUP([2]Pointage!R4,Feuil1!$A:$B,2,FALSE),"")</f>
        <v/>
      </c>
      <c r="O10" s="31" t="str">
        <f>IFERROR(VLOOKUP([2]Pointage!S4,Feuil1!$A:$B,2,FALSE),"")</f>
        <v/>
      </c>
      <c r="P10" s="31" t="str">
        <f>IFERROR(VLOOKUP([2]Pointage!T4,Feuil1!$A:$B,2,FALSE),"")</f>
        <v/>
      </c>
      <c r="Q10" s="31" t="str">
        <f>IFERROR(VLOOKUP([2]Pointage!U4,Feuil1!$A:$B,2,FALSE),"")</f>
        <v/>
      </c>
      <c r="R10" s="31" t="str">
        <f>IFERROR(VLOOKUP([2]Pointage!V4,Feuil1!$A:$B,2,FALSE),"")</f>
        <v/>
      </c>
      <c r="S10" s="31" t="str">
        <f>IFERROR(VLOOKUP([2]Pointage!W4,Feuil1!$A:$B,2,FALSE),"")</f>
        <v/>
      </c>
      <c r="T10" s="31" t="str">
        <f>IFERROR(VLOOKUP([2]Pointage!X4,Feuil1!$A:$B,2,FALSE),"")</f>
        <v/>
      </c>
      <c r="U10" s="31" t="str">
        <f>IFERROR(VLOOKUP([2]Pointage!Y4,Feuil1!$A:$B,2,FALSE),"")</f>
        <v/>
      </c>
      <c r="V10" s="31" t="str">
        <f>IFERROR(VLOOKUP([2]Pointage!Z4,Feuil1!$A:$B,2,FALSE),"")</f>
        <v/>
      </c>
      <c r="W10" s="31" t="str">
        <f>IFERROR(VLOOKUP([2]Pointage!AA4,Feuil1!$A:$B,2,FALSE),"")</f>
        <v/>
      </c>
      <c r="X10" s="31" t="str">
        <f>IFERROR(VLOOKUP([2]Pointage!AB4,Feuil1!$A:$B,2,FALSE),"")</f>
        <v/>
      </c>
      <c r="Y10" s="31" t="str">
        <f>IFERROR(VLOOKUP([2]Pointage!AC4,Feuil1!$A:$B,2,FALSE),"")</f>
        <v/>
      </c>
      <c r="Z10" s="31" t="str">
        <f>IFERROR(VLOOKUP([2]Pointage!AD4,Feuil1!$A:$B,2,FALSE),"")</f>
        <v/>
      </c>
      <c r="AA10" s="31" t="str">
        <f>IFERROR(VLOOKUP([2]Pointage!AE4,Feuil1!$A:$B,2,FALSE),"")</f>
        <v/>
      </c>
      <c r="AB10" s="31" t="str">
        <f>IFERROR(VLOOKUP([2]Pointage!AF4,Feuil1!$A:$B,2,FALSE),"")</f>
        <v/>
      </c>
      <c r="AC10" s="31" t="str">
        <f>IFERROR(VLOOKUP([2]Pointage!AG4,Feuil1!$A:$B,2,FALSE),"")</f>
        <v/>
      </c>
      <c r="AD10" s="31" t="str">
        <f>IFERROR(VLOOKUP([2]Pointage!AH4,Feuil1!$A:$B,2,FALSE),"")</f>
        <v/>
      </c>
      <c r="AE10" s="31" t="str">
        <f>IFERROR(VLOOKUP([2]Pointage!AI4,Feuil1!$A:$B,2,FALSE),"")</f>
        <v/>
      </c>
      <c r="AF10" s="31" t="str">
        <f>IFERROR(VLOOKUP([2]Pointage!AJ4,Feuil1!$A:$B,2,FALSE),"")</f>
        <v/>
      </c>
      <c r="AG10" s="31" t="str">
        <f>IFERROR(VLOOKUP([2]Pointage!AK4,Feuil1!$A:$B,2,FALSE),"")</f>
        <v/>
      </c>
      <c r="AH10" s="31" t="str">
        <f>IFERROR(VLOOKUP([2]Pointage!AL4,Feuil1!$A:$B,2,FALSE),"")</f>
        <v/>
      </c>
      <c r="AI10" s="31" t="str">
        <f>IFERROR(VLOOKUP([2]Pointage!AM4,Feuil1!$A:$B,2,FALSE),"")</f>
        <v/>
      </c>
      <c r="AJ10" s="82" t="str">
        <f>IFERROR(VLOOKUP([2]Pointage!AN4,Feuil1!$A:$B,2,FALSE),"")</f>
        <v/>
      </c>
      <c r="AK10" s="47" t="str">
        <f>IFERROR(VLOOKUP([2]Pointage!AO4,Feuil1!$A:$B,2,FALSE),"")</f>
        <v/>
      </c>
      <c r="AL10" s="31" t="str">
        <f>IFERROR(VLOOKUP([2]Pointage!AP4,Feuil1!$A:$B,2,FALSE),"")</f>
        <v/>
      </c>
      <c r="AM10" s="31" t="str">
        <f>IFERROR(VLOOKUP([2]Pointage!AQ4,Feuil1!$A:$B,2,FALSE),"")</f>
        <v/>
      </c>
      <c r="AN10" s="31" t="str">
        <f>IFERROR(VLOOKUP([2]Pointage!AR4,Feuil1!$A:$B,2,FALSE),"")</f>
        <v/>
      </c>
      <c r="AO10" s="31" t="str">
        <f>IFERROR(VLOOKUP([2]Pointage!AS4,Feuil1!$A:$B,2,FALSE),"")</f>
        <v/>
      </c>
      <c r="AP10" s="31" t="str">
        <f>IFERROR(VLOOKUP([2]Pointage!AT4,Feuil1!$A:$B,2,FALSE),"")</f>
        <v/>
      </c>
      <c r="AQ10" s="31" t="str">
        <f>IFERROR(VLOOKUP([2]Pointage!AU4,Feuil1!$A:$B,2,FALSE),"")</f>
        <v/>
      </c>
      <c r="AR10" s="31" t="str">
        <f>IFERROR(VLOOKUP([2]Pointage!AV4,Feuil1!$A:$B,2,FALSE),"")</f>
        <v/>
      </c>
      <c r="AS10" s="31" t="str">
        <f>IFERROR(VLOOKUP([2]Pointage!AW4,Feuil1!$A:$B,2,FALSE),"")</f>
        <v/>
      </c>
      <c r="AT10" s="31" t="str">
        <f>IFERROR(VLOOKUP([2]Pointage!AX4,Feuil1!$A:$B,2,FALSE),"")</f>
        <v/>
      </c>
      <c r="AU10" s="31" t="str">
        <f>IFERROR(VLOOKUP([2]Pointage!AY4,Feuil1!$A:$B,2,FALSE),"")</f>
        <v/>
      </c>
      <c r="AV10" s="31" t="str">
        <f>IFERROR(VLOOKUP([2]Pointage!AZ4,Feuil1!$A:$B,2,FALSE),"")</f>
        <v>C</v>
      </c>
      <c r="AW10" s="31" t="str">
        <f>IFERROR(VLOOKUP([2]Pointage!BA4,Feuil1!$A:$B,2,FALSE),"")</f>
        <v>C</v>
      </c>
      <c r="AX10" s="31" t="str">
        <f>IFERROR(VLOOKUP([2]Pointage!BB4,Feuil1!$A:$B,2,FALSE),"")</f>
        <v>C</v>
      </c>
      <c r="AY10" s="31" t="str">
        <f>IFERROR(VLOOKUP([2]Pointage!BC4,Feuil1!$A:$B,2,FALSE),"")</f>
        <v>C</v>
      </c>
      <c r="AZ10" s="31" t="str">
        <f>IFERROR(VLOOKUP([2]Pointage!BD4,Feuil1!$A:$B,2,FALSE),"")</f>
        <v>C</v>
      </c>
      <c r="BA10" s="31" t="str">
        <f>IFERROR(VLOOKUP([2]Pointage!BE4,Feuil1!$A:$B,2,FALSE),"")</f>
        <v/>
      </c>
      <c r="BB10" s="31" t="str">
        <f>IFERROR(VLOOKUP([2]Pointage!BF4,Feuil1!$A:$B,2,FALSE),"")</f>
        <v/>
      </c>
      <c r="BC10" s="31" t="str">
        <f>IFERROR(VLOOKUP([2]Pointage!BG4,Feuil1!$A:$B,2,FALSE),"")</f>
        <v/>
      </c>
      <c r="BD10" s="31" t="str">
        <f>IFERROR(VLOOKUP([2]Pointage!BH4,Feuil1!$A:$B,2,FALSE),"")</f>
        <v/>
      </c>
      <c r="BE10" s="31" t="str">
        <f>IFERROR(VLOOKUP([2]Pointage!BI4,Feuil1!$A:$B,2,FALSE),"")</f>
        <v/>
      </c>
      <c r="BF10" s="31" t="str">
        <f>IFERROR(VLOOKUP([2]Pointage!BJ4,Feuil1!$A:$B,2,FALSE),"")</f>
        <v/>
      </c>
      <c r="BG10" s="31" t="str">
        <f>IFERROR(VLOOKUP([2]Pointage!BK4,Feuil1!$A:$B,2,FALSE),"")</f>
        <v/>
      </c>
      <c r="BH10" s="31" t="str">
        <f>IFERROR(VLOOKUP([2]Pointage!BL4,Feuil1!$A:$B,2,FALSE),"")</f>
        <v/>
      </c>
      <c r="BI10" s="31" t="str">
        <f>IFERROR(VLOOKUP([2]Pointage!BM4,Feuil1!$A:$B,2,FALSE),"")</f>
        <v/>
      </c>
      <c r="BJ10" s="31" t="str">
        <f>IFERROR(VLOOKUP([2]Pointage!BN4,Feuil1!$A:$B,2,FALSE),"")</f>
        <v/>
      </c>
      <c r="BK10" s="31" t="str">
        <f>IFERROR(VLOOKUP([2]Pointage!BO4,Feuil1!$A:$B,2,FALSE),"")</f>
        <v/>
      </c>
      <c r="BL10" s="82" t="str">
        <f>IFERROR(VLOOKUP([2]Pointage!BP4,Feuil1!$A:$B,2,FALSE),"")</f>
        <v/>
      </c>
      <c r="BM10" s="47" t="str">
        <f>IFERROR(VLOOKUP([2]Pointage!BQ4,Feuil1!$A:$B,2,FALSE),"")</f>
        <v/>
      </c>
      <c r="BN10" s="31" t="str">
        <f>IFERROR(VLOOKUP([2]Pointage!BR4,Feuil1!$A:$B,2,FALSE),"")</f>
        <v/>
      </c>
      <c r="BO10" s="31" t="str">
        <f>IFERROR(VLOOKUP([2]Pointage!BS4,Feuil1!$A:$B,2,FALSE),"")</f>
        <v/>
      </c>
      <c r="BP10" s="31" t="str">
        <f>IFERROR(VLOOKUP([2]Pointage!BT4,Feuil1!$A:$B,2,FALSE),"")</f>
        <v/>
      </c>
      <c r="BQ10" s="31" t="str">
        <f>IFERROR(VLOOKUP([2]Pointage!BU4,Feuil1!$A:$B,2,FALSE),"")</f>
        <v/>
      </c>
      <c r="BR10" s="31" t="str">
        <f>IFERROR(VLOOKUP([2]Pointage!BV4,Feuil1!$A:$B,2,FALSE),"")</f>
        <v/>
      </c>
      <c r="BS10" s="31" t="str">
        <f>IFERROR(VLOOKUP([2]Pointage!BW4,Feuil1!$A:$B,2,FALSE),"")</f>
        <v/>
      </c>
      <c r="BT10" s="31" t="str">
        <f>IFERROR(VLOOKUP([2]Pointage!BX4,Feuil1!$A:$B,2,FALSE),"")</f>
        <v/>
      </c>
      <c r="BU10" s="31" t="str">
        <f>IFERROR(VLOOKUP([2]Pointage!BY4,Feuil1!$A:$B,2,FALSE),"")</f>
        <v/>
      </c>
      <c r="BV10" s="31" t="str">
        <f>IFERROR(VLOOKUP([2]Pointage!BZ4,Feuil1!$A:$B,2,FALSE),"")</f>
        <v/>
      </c>
      <c r="BW10" s="31" t="str">
        <f>IFERROR(VLOOKUP([2]Pointage!CA4,Feuil1!$A:$B,2,FALSE),"")</f>
        <v/>
      </c>
      <c r="BX10" s="31" t="str">
        <f>IFERROR(VLOOKUP([2]Pointage!CB4,Feuil1!$A:$B,2,FALSE),"")</f>
        <v/>
      </c>
      <c r="BY10" s="31" t="str">
        <f>IFERROR(VLOOKUP([2]Pointage!CC4,Feuil1!$A:$B,2,FALSE),"")</f>
        <v/>
      </c>
      <c r="BZ10" s="31" t="str">
        <f>IFERROR(VLOOKUP([2]Pointage!CD4,Feuil1!$A:$B,2,FALSE),"")</f>
        <v/>
      </c>
      <c r="CA10" s="31" t="str">
        <f>IFERROR(VLOOKUP([2]Pointage!CE4,Feuil1!$A:$B,2,FALSE),"")</f>
        <v/>
      </c>
      <c r="CB10" s="31" t="str">
        <f>IFERROR(VLOOKUP([2]Pointage!CF4,Feuil1!$A:$B,2,FALSE),"")</f>
        <v/>
      </c>
      <c r="CC10" s="31" t="str">
        <f>IFERROR(VLOOKUP([2]Pointage!CG4,Feuil1!$A:$B,2,FALSE),"")</f>
        <v/>
      </c>
      <c r="CD10" s="31" t="str">
        <f>IFERROR(VLOOKUP([2]Pointage!CH4,Feuil1!$A:$B,2,FALSE),"")</f>
        <v/>
      </c>
      <c r="CE10" s="31" t="str">
        <f>IFERROR(VLOOKUP([2]Pointage!CI4,Feuil1!$A:$B,2,FALSE),"")</f>
        <v/>
      </c>
      <c r="CF10" s="31" t="str">
        <f>IFERROR(VLOOKUP([2]Pointage!CJ4,Feuil1!$A:$B,2,FALSE),"")</f>
        <v/>
      </c>
      <c r="CG10" s="31" t="str">
        <f>IFERROR(VLOOKUP([2]Pointage!CK4,Feuil1!$A:$B,2,FALSE),"")</f>
        <v/>
      </c>
      <c r="CH10" s="31" t="str">
        <f>IFERROR(VLOOKUP([2]Pointage!CL4,Feuil1!$A:$B,2,FALSE),"")</f>
        <v/>
      </c>
      <c r="CI10" s="31" t="str">
        <f>IFERROR(VLOOKUP([2]Pointage!CM4,Feuil1!$A:$B,2,FALSE),"")</f>
        <v/>
      </c>
      <c r="CJ10" s="31" t="str">
        <f>IFERROR(VLOOKUP([2]Pointage!CN4,Feuil1!$A:$B,2,FALSE),"")</f>
        <v/>
      </c>
      <c r="CK10" s="31" t="str">
        <f>IFERROR(VLOOKUP([2]Pointage!CO4,Feuil1!$A:$B,2,FALSE),"")</f>
        <v/>
      </c>
      <c r="CL10" s="31" t="str">
        <f>IFERROR(VLOOKUP([2]Pointage!CP4,Feuil1!$A:$B,2,FALSE),"")</f>
        <v/>
      </c>
      <c r="CM10" s="31" t="str">
        <f>IFERROR(VLOOKUP([2]Pointage!CQ4,Feuil1!$A:$B,2,FALSE),"")</f>
        <v/>
      </c>
      <c r="CN10" s="31" t="str">
        <f>IFERROR(VLOOKUP([2]Pointage!CR4,Feuil1!$A:$B,2,FALSE),"")</f>
        <v/>
      </c>
      <c r="CO10" s="31" t="str">
        <f>IFERROR(VLOOKUP([2]Pointage!CS4,Feuil1!$A:$B,2,FALSE),"")</f>
        <v/>
      </c>
      <c r="CP10" s="31" t="str">
        <f>IFERROR(VLOOKUP([2]Pointage!CT4,Feuil1!$A:$B,2,FALSE),"")</f>
        <v/>
      </c>
      <c r="CQ10" s="82" t="str">
        <f>IFERROR(VLOOKUP([2]Pointage!CU4,Feuil1!$A:$B,2,FALSE),"")</f>
        <v/>
      </c>
      <c r="CR10" s="47" t="str">
        <f>IFERROR(VLOOKUP([2]Pointage!CV4,Feuil1!$A:$B,2,FALSE),"")</f>
        <v/>
      </c>
      <c r="CS10" s="31" t="str">
        <f>IFERROR(VLOOKUP([2]Pointage!CW4,Feuil1!$A:$B,2,FALSE),"")</f>
        <v/>
      </c>
      <c r="CT10" s="31" t="str">
        <f>IFERROR(VLOOKUP([2]Pointage!CX4,Feuil1!$A:$B,2,FALSE),"")</f>
        <v>RTT</v>
      </c>
      <c r="CU10" s="31" t="str">
        <f>IFERROR(VLOOKUP([2]Pointage!CY4,Feuil1!$A:$B,2,FALSE),"")</f>
        <v>C</v>
      </c>
      <c r="CV10" s="31" t="str">
        <f>IFERROR(VLOOKUP([2]Pointage!CZ4,Feuil1!$A:$B,2,FALSE),"")</f>
        <v>C</v>
      </c>
      <c r="CW10" s="31" t="str">
        <f>IFERROR(VLOOKUP([2]Pointage!DA4,Feuil1!$A:$B,2,FALSE),"")</f>
        <v>C</v>
      </c>
      <c r="CX10" s="31" t="str">
        <f>IFERROR(VLOOKUP([2]Pointage!DB4,Feuil1!$A:$B,2,FALSE),"")</f>
        <v/>
      </c>
      <c r="CY10" s="31" t="str">
        <f>IFERROR(VLOOKUP([2]Pointage!DC4,Feuil1!$A:$B,2,FALSE),"")</f>
        <v/>
      </c>
      <c r="CZ10" s="31" t="str">
        <f>IFERROR(VLOOKUP([2]Pointage!DD4,Feuil1!$A:$B,2,FALSE),"")</f>
        <v>C</v>
      </c>
      <c r="DA10" s="31" t="str">
        <f>IFERROR(VLOOKUP([2]Pointage!DE4,Feuil1!$A:$B,2,FALSE),"")</f>
        <v>C</v>
      </c>
      <c r="DB10" s="31" t="str">
        <f>IFERROR(VLOOKUP([2]Pointage!DF4,Feuil1!$A:$B,2,FALSE),"")</f>
        <v>C</v>
      </c>
      <c r="DC10" s="31" t="str">
        <f>IFERROR(VLOOKUP([2]Pointage!DG4,Feuil1!$A:$B,2,FALSE),"")</f>
        <v>C</v>
      </c>
      <c r="DD10" s="31" t="str">
        <f>IFERROR(VLOOKUP([2]Pointage!DH4,Feuil1!$A:$B,2,FALSE),"")</f>
        <v>C</v>
      </c>
      <c r="DE10" s="31" t="str">
        <f>IFERROR(VLOOKUP([2]Pointage!DI4,Feuil1!$A:$B,2,FALSE),"")</f>
        <v/>
      </c>
      <c r="DF10" s="31" t="str">
        <f>IFERROR(VLOOKUP([2]Pointage!DJ4,Feuil1!$A:$B,2,FALSE),"")</f>
        <v/>
      </c>
      <c r="DG10" s="31" t="str">
        <f>IFERROR(VLOOKUP([2]Pointage!DK4,Feuil1!$A:$B,2,FALSE),"")</f>
        <v/>
      </c>
      <c r="DH10" s="31" t="str">
        <f>IFERROR(VLOOKUP([2]Pointage!DL4,Feuil1!$A:$B,2,FALSE),"")</f>
        <v/>
      </c>
      <c r="DI10" s="31" t="str">
        <f>IFERROR(VLOOKUP([2]Pointage!DM4,Feuil1!$A:$B,2,FALSE),"")</f>
        <v/>
      </c>
      <c r="DJ10" s="31" t="str">
        <f>IFERROR(VLOOKUP([2]Pointage!DN4,Feuil1!$A:$B,2,FALSE),"")</f>
        <v/>
      </c>
      <c r="DK10" s="31" t="str">
        <f>IFERROR(VLOOKUP([2]Pointage!DO4,Feuil1!$A:$B,2,FALSE),"")</f>
        <v/>
      </c>
      <c r="DL10" s="31" t="str">
        <f>IFERROR(VLOOKUP([2]Pointage!DP4,Feuil1!$A:$B,2,FALSE),"")</f>
        <v/>
      </c>
      <c r="DM10" s="31" t="str">
        <f>IFERROR(VLOOKUP([2]Pointage!DQ4,Feuil1!$A:$B,2,FALSE),"")</f>
        <v/>
      </c>
      <c r="DN10" s="31" t="str">
        <f>IFERROR(VLOOKUP([2]Pointage!DR4,Feuil1!$A:$B,2,FALSE),"")</f>
        <v/>
      </c>
      <c r="DO10" s="31" t="str">
        <f>IFERROR(VLOOKUP([2]Pointage!DS4,Feuil1!$A:$B,2,FALSE),"")</f>
        <v/>
      </c>
      <c r="DP10" s="31" t="str">
        <f>IFERROR(VLOOKUP([2]Pointage!DT4,Feuil1!$A:$B,2,FALSE),"")</f>
        <v/>
      </c>
      <c r="DQ10" s="31" t="str">
        <f>IFERROR(VLOOKUP([2]Pointage!DU4,Feuil1!$A:$B,2,FALSE),"")</f>
        <v/>
      </c>
      <c r="DR10" s="31" t="str">
        <f>IFERROR(VLOOKUP([2]Pointage!DV4,Feuil1!$A:$B,2,FALSE),"")</f>
        <v/>
      </c>
      <c r="DS10" s="31" t="str">
        <f>IFERROR(VLOOKUP([2]Pointage!DW4,Feuil1!$A:$B,2,FALSE),"")</f>
        <v/>
      </c>
      <c r="DT10" s="31" t="str">
        <f>IFERROR(VLOOKUP([2]Pointage!DX4,Feuil1!$A:$B,2,FALSE),"")</f>
        <v/>
      </c>
      <c r="DU10" s="82" t="str">
        <f>IFERROR(VLOOKUP([2]Pointage!DY4,Feuil1!$A:$B,2,FALSE),"")</f>
        <v/>
      </c>
      <c r="DV10" s="47" t="str">
        <f>IFERROR(VLOOKUP([2]Pointage!DZ4,Feuil1!$A:$B,2,FALSE),"")</f>
        <v/>
      </c>
      <c r="DW10" s="31" t="str">
        <f>IFERROR(VLOOKUP([2]Pointage!EA4,Feuil1!$A:$B,2,FALSE),"")</f>
        <v/>
      </c>
      <c r="DX10" s="31" t="str">
        <f>IFERROR(VLOOKUP([2]Pointage!EB4,Feuil1!$A:$B,2,FALSE),"")</f>
        <v/>
      </c>
      <c r="DY10" s="31" t="str">
        <f>IFERROR(VLOOKUP([2]Pointage!EC4,Feuil1!$A:$B,2,FALSE),"")</f>
        <v/>
      </c>
      <c r="DZ10" s="31" t="str">
        <f>IFERROR(VLOOKUP([2]Pointage!ED4,Feuil1!$A:$B,2,FALSE),"")</f>
        <v/>
      </c>
      <c r="EA10" s="31" t="str">
        <f>IFERROR(VLOOKUP([2]Pointage!EE4,Feuil1!$A:$B,2,FALSE),"")</f>
        <v/>
      </c>
      <c r="EB10" s="31" t="str">
        <f>IFERROR(VLOOKUP([2]Pointage!EF4,Feuil1!$A:$B,2,FALSE),"")</f>
        <v/>
      </c>
      <c r="EC10" s="31" t="str">
        <f>IFERROR(VLOOKUP([2]Pointage!EG4,Feuil1!$A:$B,2,FALSE),"")</f>
        <v/>
      </c>
      <c r="ED10" s="31" t="str">
        <f>IFERROR(VLOOKUP([2]Pointage!EH4,Feuil1!$A:$B,2,FALSE),"")</f>
        <v/>
      </c>
      <c r="EE10" s="31" t="str">
        <f>IFERROR(VLOOKUP([2]Pointage!EI4,Feuil1!$A:$B,2,FALSE),"")</f>
        <v/>
      </c>
      <c r="EF10" s="31" t="str">
        <f>IFERROR(VLOOKUP([2]Pointage!EJ4,Feuil1!$A:$B,2,FALSE),"")</f>
        <v/>
      </c>
      <c r="EG10" s="31" t="str">
        <f>IFERROR(VLOOKUP([2]Pointage!EK4,Feuil1!$A:$B,2,FALSE),"")</f>
        <v/>
      </c>
      <c r="EH10" s="31" t="str">
        <f>IFERROR(VLOOKUP([2]Pointage!EL4,Feuil1!$A:$B,2,FALSE),"")</f>
        <v/>
      </c>
      <c r="EI10" s="31" t="str">
        <f>IFERROR(VLOOKUP([2]Pointage!EM4,Feuil1!$A:$B,2,FALSE),"")</f>
        <v/>
      </c>
      <c r="EJ10" s="31" t="str">
        <f>IFERROR(VLOOKUP([2]Pointage!EN4,Feuil1!$A:$B,2,FALSE),"")</f>
        <v/>
      </c>
      <c r="EK10" s="31" t="str">
        <f>IFERROR(VLOOKUP([2]Pointage!EO4,Feuil1!$A:$B,2,FALSE),"")</f>
        <v/>
      </c>
      <c r="EL10" s="31" t="str">
        <f>IFERROR(VLOOKUP([2]Pointage!EP4,Feuil1!$A:$B,2,FALSE),"")</f>
        <v/>
      </c>
      <c r="EM10" s="31" t="str">
        <f>IFERROR(VLOOKUP([2]Pointage!EQ4,Feuil1!$A:$B,2,FALSE),"")</f>
        <v/>
      </c>
      <c r="EN10" s="31" t="str">
        <f>IFERROR(VLOOKUP([2]Pointage!ER4,Feuil1!$A:$B,2,FALSE),"")</f>
        <v/>
      </c>
      <c r="EO10" s="31" t="str">
        <f>IFERROR(VLOOKUP([2]Pointage!ES4,Feuil1!$A:$B,2,FALSE),"")</f>
        <v/>
      </c>
      <c r="EP10" s="31" t="str">
        <f>IFERROR(VLOOKUP([2]Pointage!ET4,Feuil1!$A:$B,2,FALSE),"")</f>
        <v/>
      </c>
      <c r="EQ10" s="31" t="str">
        <f>IFERROR(VLOOKUP([2]Pointage!EU4,Feuil1!$A:$B,2,FALSE),"")</f>
        <v/>
      </c>
      <c r="ER10" s="31" t="str">
        <f>IFERROR(VLOOKUP([2]Pointage!EV4,Feuil1!$A:$B,2,FALSE),"")</f>
        <v/>
      </c>
      <c r="ES10" s="31" t="str">
        <f>IFERROR(VLOOKUP([2]Pointage!EW4,Feuil1!$A:$B,2,FALSE),"")</f>
        <v/>
      </c>
      <c r="ET10" s="31" t="str">
        <f>IFERROR(VLOOKUP([2]Pointage!EX4,Feuil1!$A:$B,2,FALSE),"")</f>
        <v/>
      </c>
      <c r="EU10" s="31" t="str">
        <f>IFERROR(VLOOKUP([2]Pointage!EY4,Feuil1!$A:$B,2,FALSE),"")</f>
        <v/>
      </c>
      <c r="EV10" s="31" t="str">
        <f>IFERROR(VLOOKUP([2]Pointage!EZ4,Feuil1!$A:$B,2,FALSE),"")</f>
        <v/>
      </c>
      <c r="EW10" s="31" t="str">
        <f>IFERROR(VLOOKUP([2]Pointage!FA4,Feuil1!$A:$B,2,FALSE),"")</f>
        <v/>
      </c>
      <c r="EX10" s="31" t="str">
        <f>IFERROR(VLOOKUP([2]Pointage!FB4,Feuil1!$A:$B,2,FALSE),"")</f>
        <v/>
      </c>
      <c r="EY10" s="31" t="str">
        <f>IFERROR(VLOOKUP([2]Pointage!FC4,Feuil1!$A:$B,2,FALSE),"")</f>
        <v/>
      </c>
      <c r="EZ10" s="82" t="str">
        <f>IFERROR(VLOOKUP([2]Pointage!FD4,Feuil1!$A:$B,2,FALSE),"")</f>
        <v/>
      </c>
      <c r="FA10" s="47" t="str">
        <f>IFERROR(VLOOKUP([2]Pointage!FE4,Feuil1!$A:$B,2,FALSE),"")</f>
        <v/>
      </c>
      <c r="FB10" s="31" t="str">
        <f>IFERROR(VLOOKUP([2]Pointage!FF4,Feuil1!$A:$B,2,FALSE),"")</f>
        <v/>
      </c>
      <c r="FC10" s="31" t="str">
        <f>IFERROR(VLOOKUP([2]Pointage!FG4,Feuil1!$A:$B,2,FALSE),"")</f>
        <v/>
      </c>
      <c r="FD10" s="31" t="str">
        <f>IFERROR(VLOOKUP([2]Pointage!FH4,Feuil1!$A:$B,2,FALSE),"")</f>
        <v/>
      </c>
      <c r="FE10" s="31" t="str">
        <f>IFERROR(VLOOKUP([2]Pointage!FI4,Feuil1!$A:$B,2,FALSE),"")</f>
        <v/>
      </c>
      <c r="FF10" s="31" t="str">
        <f>IFERROR(VLOOKUP([2]Pointage!FJ4,Feuil1!$A:$B,2,FALSE),"")</f>
        <v/>
      </c>
      <c r="FG10" s="31" t="str">
        <f>IFERROR(VLOOKUP([2]Pointage!FK4,Feuil1!$A:$B,2,FALSE),"")</f>
        <v/>
      </c>
      <c r="FH10" s="31" t="str">
        <f>IFERROR(VLOOKUP([2]Pointage!FL4,Feuil1!$A:$B,2,FALSE),"")</f>
        <v/>
      </c>
      <c r="FI10" s="31" t="str">
        <f>IFERROR(VLOOKUP([2]Pointage!FM4,Feuil1!$A:$B,2,FALSE),"")</f>
        <v/>
      </c>
      <c r="FJ10" s="31" t="str">
        <f>IFERROR(VLOOKUP([2]Pointage!FN4,Feuil1!$A:$B,2,FALSE),"")</f>
        <v/>
      </c>
      <c r="FK10" s="31" t="str">
        <f>IFERROR(VLOOKUP([2]Pointage!FO4,Feuil1!$A:$B,2,FALSE),"")</f>
        <v/>
      </c>
      <c r="FL10" s="31" t="str">
        <f>IFERROR(VLOOKUP([2]Pointage!FP4,Feuil1!$A:$B,2,FALSE),"")</f>
        <v/>
      </c>
      <c r="FM10" s="31" t="str">
        <f>IFERROR(VLOOKUP([2]Pointage!FQ4,Feuil1!$A:$B,2,FALSE),"")</f>
        <v/>
      </c>
      <c r="FN10" s="31" t="str">
        <f>IFERROR(VLOOKUP([2]Pointage!FR4,Feuil1!$A:$B,2,FALSE),"")</f>
        <v/>
      </c>
      <c r="FO10" s="31" t="str">
        <f>IFERROR(VLOOKUP([2]Pointage!FS4,Feuil1!$A:$B,2,FALSE),"")</f>
        <v/>
      </c>
      <c r="FP10" s="31" t="str">
        <f>IFERROR(VLOOKUP([2]Pointage!FT4,Feuil1!$A:$B,2,FALSE),"")</f>
        <v/>
      </c>
      <c r="FQ10" s="31" t="str">
        <f>IFERROR(VLOOKUP([2]Pointage!FU4,Feuil1!$A:$B,2,FALSE),"")</f>
        <v/>
      </c>
      <c r="FR10" s="31" t="str">
        <f>IFERROR(VLOOKUP([2]Pointage!FV4,Feuil1!$A:$B,2,FALSE),"")</f>
        <v/>
      </c>
      <c r="FS10" s="31" t="str">
        <f>IFERROR(VLOOKUP([2]Pointage!FW4,Feuil1!$A:$B,2,FALSE),"")</f>
        <v/>
      </c>
      <c r="FT10" s="31" t="str">
        <f>IFERROR(VLOOKUP([2]Pointage!FX4,Feuil1!$A:$B,2,FALSE),"")</f>
        <v/>
      </c>
      <c r="FU10" s="31" t="str">
        <f>IFERROR(VLOOKUP([2]Pointage!FY4,Feuil1!$A:$B,2,FALSE),"")</f>
        <v/>
      </c>
      <c r="FV10" s="31" t="str">
        <f>IFERROR(VLOOKUP([2]Pointage!FZ4,Feuil1!$A:$B,2,FALSE),"")</f>
        <v/>
      </c>
      <c r="FW10" s="31" t="str">
        <f>IFERROR(VLOOKUP([2]Pointage!GA4,Feuil1!$A:$B,2,FALSE),"")</f>
        <v/>
      </c>
      <c r="FX10" s="31" t="str">
        <f>IFERROR(VLOOKUP([2]Pointage!GB4,Feuil1!$A:$B,2,FALSE),"")</f>
        <v/>
      </c>
      <c r="FY10" s="31" t="str">
        <f>IFERROR(VLOOKUP([2]Pointage!GC4,Feuil1!$A:$B,2,FALSE),"")</f>
        <v/>
      </c>
      <c r="FZ10" s="31" t="str">
        <f>IFERROR(VLOOKUP([2]Pointage!GD4,Feuil1!$A:$B,2,FALSE),"")</f>
        <v/>
      </c>
      <c r="GA10" s="31" t="str">
        <f>IFERROR(VLOOKUP([2]Pointage!GE4,Feuil1!$A:$B,2,FALSE),"")</f>
        <v/>
      </c>
      <c r="GB10" s="31" t="str">
        <f>IFERROR(VLOOKUP([2]Pointage!GF4,Feuil1!$A:$B,2,FALSE),"")</f>
        <v/>
      </c>
      <c r="GC10" s="31" t="str">
        <f>IFERROR(VLOOKUP([2]Pointage!GG4,Feuil1!$A:$B,2,FALSE),"")</f>
        <v/>
      </c>
      <c r="GD10" s="82" t="str">
        <f>IFERROR(VLOOKUP([2]Pointage!GH4,Feuil1!$A:$B,2,FALSE),"")</f>
        <v/>
      </c>
      <c r="GE10" s="47" t="str">
        <f>IFERROR(VLOOKUP([2]Pointage!GI4,Feuil1!$A:$B,2,FALSE),"")</f>
        <v/>
      </c>
      <c r="GF10" s="31" t="str">
        <f>IFERROR(VLOOKUP([2]Pointage!GJ4,Feuil1!$A:$B,2,FALSE),"")</f>
        <v/>
      </c>
      <c r="GG10" s="31" t="str">
        <f>IFERROR(VLOOKUP([2]Pointage!GK4,Feuil1!$A:$B,2,FALSE),"")</f>
        <v/>
      </c>
      <c r="GH10" s="31" t="str">
        <f>IFERROR(VLOOKUP([2]Pointage!GL4,Feuil1!$A:$B,2,FALSE),"")</f>
        <v/>
      </c>
      <c r="GI10" s="31" t="str">
        <f>IFERROR(VLOOKUP([2]Pointage!GM4,Feuil1!$A:$B,2,FALSE),"")</f>
        <v/>
      </c>
      <c r="GJ10" s="31" t="str">
        <f>IFERROR(VLOOKUP([2]Pointage!GN4,Feuil1!$A:$B,2,FALSE),"")</f>
        <v/>
      </c>
      <c r="GK10" s="31" t="str">
        <f>IFERROR(VLOOKUP([2]Pointage!GO4,Feuil1!$A:$B,2,FALSE),"")</f>
        <v/>
      </c>
      <c r="GL10" s="31" t="str">
        <f>IFERROR(VLOOKUP([2]Pointage!GP4,Feuil1!$A:$B,2,FALSE),"")</f>
        <v/>
      </c>
      <c r="GM10" s="31" t="str">
        <f>IFERROR(VLOOKUP([2]Pointage!GQ4,Feuil1!$A:$B,2,FALSE),"")</f>
        <v/>
      </c>
      <c r="GN10" s="31" t="str">
        <f>IFERROR(VLOOKUP([2]Pointage!GR4,Feuil1!$A:$B,2,FALSE),"")</f>
        <v/>
      </c>
      <c r="GO10" s="31" t="str">
        <f>IFERROR(VLOOKUP([2]Pointage!GS4,Feuil1!$A:$B,2,FALSE),"")</f>
        <v/>
      </c>
      <c r="GP10" s="31" t="str">
        <f>IFERROR(VLOOKUP([2]Pointage!GT4,Feuil1!$A:$B,2,FALSE),"")</f>
        <v/>
      </c>
      <c r="GQ10" s="31" t="str">
        <f>IFERROR(VLOOKUP([2]Pointage!GU4,Feuil1!$A:$B,2,FALSE),"")</f>
        <v/>
      </c>
      <c r="GR10" s="31" t="str">
        <f>IFERROR(VLOOKUP([2]Pointage!GV4,Feuil1!$A:$B,2,FALSE),"")</f>
        <v/>
      </c>
      <c r="GS10" s="31" t="str">
        <f>IFERROR(VLOOKUP([2]Pointage!GW4,Feuil1!$A:$B,2,FALSE),"")</f>
        <v/>
      </c>
      <c r="GT10" s="31" t="str">
        <f>IFERROR(VLOOKUP([2]Pointage!GX4,Feuil1!$A:$B,2,FALSE),"")</f>
        <v>C</v>
      </c>
      <c r="GU10" s="31" t="str">
        <f>IFERROR(VLOOKUP([2]Pointage!GY4,Feuil1!$A:$B,2,FALSE),"")</f>
        <v>C</v>
      </c>
      <c r="GV10" s="31" t="str">
        <f>IFERROR(VLOOKUP([2]Pointage!GZ4,Feuil1!$A:$B,2,FALSE),"")</f>
        <v>C</v>
      </c>
      <c r="GW10" s="31" t="str">
        <f>IFERROR(VLOOKUP([2]Pointage!HA4,Feuil1!$A:$B,2,FALSE),"")</f>
        <v>C</v>
      </c>
      <c r="GX10" s="31" t="str">
        <f>IFERROR(VLOOKUP([2]Pointage!HB4,Feuil1!$A:$B,2,FALSE),"")</f>
        <v>C</v>
      </c>
      <c r="GY10" s="31" t="str">
        <f>IFERROR(VLOOKUP([2]Pointage!HC4,Feuil1!$A:$B,2,FALSE),"")</f>
        <v/>
      </c>
      <c r="GZ10" s="31" t="str">
        <f>IFERROR(VLOOKUP([2]Pointage!HD4,Feuil1!$A:$B,2,FALSE),"")</f>
        <v/>
      </c>
      <c r="HA10" s="31" t="str">
        <f>IFERROR(VLOOKUP([2]Pointage!HE4,Feuil1!$A:$B,2,FALSE),"")</f>
        <v>C</v>
      </c>
      <c r="HB10" s="31" t="str">
        <f>IFERROR(VLOOKUP([2]Pointage!HF4,Feuil1!$A:$B,2,FALSE),"")</f>
        <v>C</v>
      </c>
      <c r="HC10" s="31" t="str">
        <f>IFERROR(VLOOKUP([2]Pointage!HG4,Feuil1!$A:$B,2,FALSE),"")</f>
        <v>C</v>
      </c>
      <c r="HD10" s="31" t="str">
        <f>IFERROR(VLOOKUP([2]Pointage!HH4,Feuil1!$A:$B,2,FALSE),"")</f>
        <v>C</v>
      </c>
      <c r="HE10" s="31" t="str">
        <f>IFERROR(VLOOKUP([2]Pointage!HI4,Feuil1!$A:$B,2,FALSE),"")</f>
        <v>C</v>
      </c>
      <c r="HF10" s="31" t="str">
        <f>IFERROR(VLOOKUP([2]Pointage!HJ4,Feuil1!$A:$B,2,FALSE),"")</f>
        <v/>
      </c>
      <c r="HG10" s="31" t="str">
        <f>IFERROR(VLOOKUP([2]Pointage!HK4,Feuil1!$A:$B,2,FALSE),"")</f>
        <v/>
      </c>
      <c r="HH10" s="31" t="str">
        <f>IFERROR(VLOOKUP([2]Pointage!HL4,Feuil1!$A:$B,2,FALSE),"")</f>
        <v/>
      </c>
      <c r="HI10" s="82" t="str">
        <f>IFERROR(VLOOKUP([2]Pointage!HM4,Feuil1!$A:$B,2,FALSE),"")</f>
        <v/>
      </c>
      <c r="HJ10" s="47" t="str">
        <f>IFERROR(VLOOKUP([2]Pointage!HN4,Feuil1!$A:$B,2,FALSE),"")</f>
        <v/>
      </c>
      <c r="HK10" s="31" t="str">
        <f>IFERROR(VLOOKUP([2]Pointage!HO4,Feuil1!$A:$B,2,FALSE),"")</f>
        <v/>
      </c>
      <c r="HL10" s="31" t="str">
        <f>IFERROR(VLOOKUP([2]Pointage!HP4,Feuil1!$A:$B,2,FALSE),"")</f>
        <v/>
      </c>
      <c r="HM10" s="31" t="str">
        <f>IFERROR(VLOOKUP([2]Pointage!HQ4,Feuil1!$A:$B,2,FALSE),"")</f>
        <v/>
      </c>
      <c r="HN10" s="31" t="str">
        <f>IFERROR(VLOOKUP([2]Pointage!HR4,Feuil1!$A:$B,2,FALSE),"")</f>
        <v/>
      </c>
      <c r="HO10" s="31" t="str">
        <f>IFERROR(VLOOKUP([2]Pointage!HS4,Feuil1!$A:$B,2,FALSE),"")</f>
        <v/>
      </c>
      <c r="HP10" s="31" t="str">
        <f>IFERROR(VLOOKUP([2]Pointage!HT4,Feuil1!$A:$B,2,FALSE),"")</f>
        <v/>
      </c>
      <c r="HQ10" s="31" t="str">
        <f>IFERROR(VLOOKUP([2]Pointage!HU4,Feuil1!$A:$B,2,FALSE),"")</f>
        <v/>
      </c>
      <c r="HR10" s="31" t="str">
        <f>IFERROR(VLOOKUP([2]Pointage!HV4,Feuil1!$A:$B,2,FALSE),"")</f>
        <v/>
      </c>
      <c r="HS10" s="31" t="str">
        <f>IFERROR(VLOOKUP([2]Pointage!HW4,Feuil1!$A:$B,2,FALSE),"")</f>
        <v/>
      </c>
      <c r="HT10" s="31" t="str">
        <f>IFERROR(VLOOKUP([2]Pointage!HX4,Feuil1!$A:$B,2,FALSE),"")</f>
        <v/>
      </c>
      <c r="HU10" s="31" t="str">
        <f>IFERROR(VLOOKUP([2]Pointage!HY4,Feuil1!$A:$B,2,FALSE),"")</f>
        <v/>
      </c>
      <c r="HV10" s="31" t="str">
        <f>IFERROR(VLOOKUP([2]Pointage!HZ4,Feuil1!$A:$B,2,FALSE),"")</f>
        <v/>
      </c>
      <c r="HW10" s="31" t="str">
        <f>IFERROR(VLOOKUP([2]Pointage!IA4,Feuil1!$A:$B,2,FALSE),"")</f>
        <v/>
      </c>
      <c r="HX10" s="31" t="str">
        <f>IFERROR(VLOOKUP([2]Pointage!IB4,Feuil1!$A:$B,2,FALSE),"")</f>
        <v/>
      </c>
      <c r="HY10" s="31" t="str">
        <f>IFERROR(VLOOKUP([2]Pointage!IC4,Feuil1!$A:$B,2,FALSE),"")</f>
        <v/>
      </c>
      <c r="HZ10" s="31" t="str">
        <f>IFERROR(VLOOKUP([2]Pointage!ID4,Feuil1!$A:$B,2,FALSE),"")</f>
        <v/>
      </c>
      <c r="IA10" s="31" t="str">
        <f>IFERROR(VLOOKUP([2]Pointage!IE4,Feuil1!$A:$B,2,FALSE),"")</f>
        <v/>
      </c>
      <c r="IB10" s="31" t="str">
        <f>IFERROR(VLOOKUP([2]Pointage!IF4,Feuil1!$A:$B,2,FALSE),"")</f>
        <v/>
      </c>
      <c r="IC10" s="31" t="str">
        <f>IFERROR(VLOOKUP([2]Pointage!IG4,Feuil1!$A:$B,2,FALSE),"")</f>
        <v/>
      </c>
      <c r="ID10" s="31" t="str">
        <f>IFERROR(VLOOKUP([2]Pointage!IH4,Feuil1!$A:$B,2,FALSE),"")</f>
        <v/>
      </c>
      <c r="IE10" s="31" t="str">
        <f>IFERROR(VLOOKUP([2]Pointage!II4,Feuil1!$A:$B,2,FALSE),"")</f>
        <v/>
      </c>
      <c r="IF10" s="31" t="str">
        <f>IFERROR(VLOOKUP([2]Pointage!IJ4,Feuil1!$A:$B,2,FALSE),"")</f>
        <v/>
      </c>
      <c r="IG10" s="31" t="str">
        <f>IFERROR(VLOOKUP([2]Pointage!IK4,Feuil1!$A:$B,2,FALSE),"")</f>
        <v/>
      </c>
      <c r="IH10" s="31" t="str">
        <f>IFERROR(VLOOKUP([2]Pointage!IL4,Feuil1!$A:$B,2,FALSE),"")</f>
        <v/>
      </c>
      <c r="II10" s="31" t="str">
        <f>IFERROR(VLOOKUP([2]Pointage!IM4,Feuil1!$A:$B,2,FALSE),"")</f>
        <v/>
      </c>
      <c r="IJ10" s="31" t="str">
        <f>IFERROR(VLOOKUP([2]Pointage!IN4,Feuil1!$A:$B,2,FALSE),"")</f>
        <v/>
      </c>
      <c r="IK10" s="31" t="str">
        <f>IFERROR(VLOOKUP([2]Pointage!IO4,Feuil1!$A:$B,2,FALSE),"")</f>
        <v/>
      </c>
      <c r="IL10" s="31" t="str">
        <f>IFERROR(VLOOKUP([2]Pointage!IP4,Feuil1!$A:$B,2,FALSE),"")</f>
        <v/>
      </c>
      <c r="IM10" s="31" t="str">
        <f>IFERROR(VLOOKUP([2]Pointage!IQ4,Feuil1!$A:$B,2,FALSE),"")</f>
        <v/>
      </c>
      <c r="IN10" s="82" t="str">
        <f>IFERROR(VLOOKUP([2]Pointage!IR4,Feuil1!$A:$B,2,FALSE),"")</f>
        <v/>
      </c>
      <c r="IO10" s="47" t="str">
        <f>IFERROR(VLOOKUP([2]Pointage!IS4,Feuil1!$A:$B,2,FALSE),"")</f>
        <v/>
      </c>
      <c r="IP10" s="31" t="str">
        <f>IFERROR(VLOOKUP([2]Pointage!IT4,Feuil1!$A:$B,2,FALSE),"")</f>
        <v/>
      </c>
      <c r="IQ10" s="31" t="str">
        <f>IFERROR(VLOOKUP([2]Pointage!IU4,Feuil1!$A:$B,2,FALSE),"")</f>
        <v/>
      </c>
      <c r="IR10" s="31" t="str">
        <f>IFERROR(VLOOKUP([2]Pointage!IV4,Feuil1!$A:$B,2,FALSE),"")</f>
        <v/>
      </c>
      <c r="IS10" s="31" t="str">
        <f>IFERROR(VLOOKUP([2]Pointage!IW4,Feuil1!$A:$B,2,FALSE),"")</f>
        <v/>
      </c>
      <c r="IT10" s="31" t="str">
        <f>IFERROR(VLOOKUP([2]Pointage!IX4,Feuil1!$A:$B,2,FALSE),"")</f>
        <v/>
      </c>
      <c r="IU10" s="31" t="str">
        <f>IFERROR(VLOOKUP([2]Pointage!IY4,Feuil1!$A:$B,2,FALSE),"")</f>
        <v/>
      </c>
      <c r="IV10" s="31" t="str">
        <f>IFERROR(VLOOKUP([2]Pointage!IZ4,Feuil1!$A:$B,2,FALSE),"")</f>
        <v/>
      </c>
      <c r="IW10" s="31" t="str">
        <f>IFERROR(VLOOKUP([2]Pointage!JA4,Feuil1!$A:$B,2,FALSE),"")</f>
        <v/>
      </c>
      <c r="IX10" s="31" t="str">
        <f>IFERROR(VLOOKUP([2]Pointage!JB4,Feuil1!$A:$B,2,FALSE),"")</f>
        <v/>
      </c>
      <c r="IY10" s="31" t="str">
        <f>IFERROR(VLOOKUP([2]Pointage!JC4,Feuil1!$A:$B,2,FALSE),"")</f>
        <v/>
      </c>
      <c r="IZ10" s="31" t="str">
        <f>IFERROR(VLOOKUP([2]Pointage!JD4,Feuil1!$A:$B,2,FALSE),"")</f>
        <v/>
      </c>
      <c r="JA10" s="31" t="str">
        <f>IFERROR(VLOOKUP([2]Pointage!JE4,Feuil1!$A:$B,2,FALSE),"")</f>
        <v/>
      </c>
      <c r="JB10" s="31" t="str">
        <f>IFERROR(VLOOKUP([2]Pointage!JF4,Feuil1!$A:$B,2,FALSE),"")</f>
        <v/>
      </c>
      <c r="JC10" s="31" t="str">
        <f>IFERROR(VLOOKUP([2]Pointage!JG4,Feuil1!$A:$B,2,FALSE),"")</f>
        <v/>
      </c>
      <c r="JD10" s="31" t="str">
        <f>IFERROR(VLOOKUP([2]Pointage!JH4,Feuil1!$A:$B,2,FALSE),"")</f>
        <v/>
      </c>
      <c r="JE10" s="31" t="str">
        <f>IFERROR(VLOOKUP([2]Pointage!JI4,Feuil1!$A:$B,2,FALSE),"")</f>
        <v/>
      </c>
      <c r="JF10" s="31" t="str">
        <f>IFERROR(VLOOKUP([2]Pointage!JJ4,Feuil1!$A:$B,2,FALSE),"")</f>
        <v/>
      </c>
      <c r="JG10" s="31" t="str">
        <f>IFERROR(VLOOKUP([2]Pointage!JK4,Feuil1!$A:$B,2,FALSE),"")</f>
        <v/>
      </c>
      <c r="JH10" s="31" t="str">
        <f>IFERROR(VLOOKUP([2]Pointage!JL4,Feuil1!$A:$B,2,FALSE),"")</f>
        <v/>
      </c>
      <c r="JI10" s="31" t="str">
        <f>IFERROR(VLOOKUP([2]Pointage!JM4,Feuil1!$A:$B,2,FALSE),"")</f>
        <v/>
      </c>
      <c r="JJ10" s="31" t="str">
        <f>IFERROR(VLOOKUP([2]Pointage!JN4,Feuil1!$A:$B,2,FALSE),"")</f>
        <v/>
      </c>
      <c r="JK10" s="31" t="str">
        <f>IFERROR(VLOOKUP([2]Pointage!JO4,Feuil1!$A:$B,2,FALSE),"")</f>
        <v/>
      </c>
      <c r="JL10" s="31" t="str">
        <f>IFERROR(VLOOKUP([2]Pointage!JP4,Feuil1!$A:$B,2,FALSE),"")</f>
        <v/>
      </c>
      <c r="JM10" s="31" t="str">
        <f>IFERROR(VLOOKUP([2]Pointage!JQ4,Feuil1!$A:$B,2,FALSE),"")</f>
        <v/>
      </c>
      <c r="JN10" s="31" t="str">
        <f>IFERROR(VLOOKUP([2]Pointage!JR4,Feuil1!$A:$B,2,FALSE),"")</f>
        <v/>
      </c>
      <c r="JO10" s="31" t="str">
        <f>IFERROR(VLOOKUP([2]Pointage!JS4,Feuil1!$A:$B,2,FALSE),"")</f>
        <v/>
      </c>
      <c r="JP10" s="31" t="str">
        <f>IFERROR(VLOOKUP([2]Pointage!JT4,Feuil1!$A:$B,2,FALSE),"")</f>
        <v/>
      </c>
      <c r="JQ10" s="31" t="str">
        <f>IFERROR(VLOOKUP([2]Pointage!JU4,Feuil1!$A:$B,2,FALSE),"")</f>
        <v/>
      </c>
      <c r="JR10" s="82" t="str">
        <f>IFERROR(VLOOKUP([2]Pointage!JV4,Feuil1!$A:$B,2,FALSE),"")</f>
        <v/>
      </c>
      <c r="JS10" s="47" t="str">
        <f>IFERROR(VLOOKUP([2]Pointage!JW4,Feuil1!$A:$B,2,FALSE),"")</f>
        <v/>
      </c>
      <c r="JT10" s="31" t="str">
        <f>IFERROR(VLOOKUP([2]Pointage!JX4,Feuil1!$A:$B,2,FALSE),"")</f>
        <v/>
      </c>
      <c r="JU10" s="31" t="str">
        <f>IFERROR(VLOOKUP([2]Pointage!JY4,Feuil1!$A:$B,2,FALSE),"")</f>
        <v/>
      </c>
      <c r="JV10" s="31" t="str">
        <f>IFERROR(VLOOKUP([2]Pointage!JZ4,Feuil1!$A:$B,2,FALSE),"")</f>
        <v/>
      </c>
      <c r="JW10" s="31" t="str">
        <f>IFERROR(VLOOKUP([2]Pointage!KA4,Feuil1!$A:$B,2,FALSE),"")</f>
        <v/>
      </c>
      <c r="JX10" s="31" t="str">
        <f>IFERROR(VLOOKUP([2]Pointage!KB4,Feuil1!$A:$B,2,FALSE),"")</f>
        <v/>
      </c>
      <c r="JY10" s="31" t="str">
        <f>IFERROR(VLOOKUP([2]Pointage!KC4,Feuil1!$A:$B,2,FALSE),"")</f>
        <v/>
      </c>
      <c r="JZ10" s="31" t="str">
        <f>IFERROR(VLOOKUP([2]Pointage!KD4,Feuil1!$A:$B,2,FALSE),"")</f>
        <v/>
      </c>
      <c r="KA10" s="31" t="str">
        <f>IFERROR(VLOOKUP([2]Pointage!KE4,Feuil1!$A:$B,2,FALSE),"")</f>
        <v/>
      </c>
      <c r="KB10" s="31" t="str">
        <f>IFERROR(VLOOKUP([2]Pointage!KF4,Feuil1!$A:$B,2,FALSE),"")</f>
        <v/>
      </c>
      <c r="KC10" s="31" t="str">
        <f>IFERROR(VLOOKUP([2]Pointage!KG4,Feuil1!$A:$B,2,FALSE),"")</f>
        <v/>
      </c>
      <c r="KD10" s="31" t="str">
        <f>IFERROR(VLOOKUP([2]Pointage!KH4,Feuil1!$A:$B,2,FALSE),"")</f>
        <v/>
      </c>
      <c r="KE10" s="31" t="str">
        <f>IFERROR(VLOOKUP([2]Pointage!KI4,Feuil1!$A:$B,2,FALSE),"")</f>
        <v/>
      </c>
      <c r="KF10" s="31" t="str">
        <f>IFERROR(VLOOKUP([2]Pointage!KJ4,Feuil1!$A:$B,2,FALSE),"")</f>
        <v/>
      </c>
      <c r="KG10" s="31" t="str">
        <f>IFERROR(VLOOKUP([2]Pointage!KK4,Feuil1!$A:$B,2,FALSE),"")</f>
        <v/>
      </c>
      <c r="KH10" s="31" t="str">
        <f>IFERROR(VLOOKUP([2]Pointage!KL4,Feuil1!$A:$B,2,FALSE),"")</f>
        <v/>
      </c>
      <c r="KI10" s="31" t="str">
        <f>IFERROR(VLOOKUP([2]Pointage!KM4,Feuil1!$A:$B,2,FALSE),"")</f>
        <v/>
      </c>
      <c r="KJ10" s="31" t="str">
        <f>IFERROR(VLOOKUP([2]Pointage!KN4,Feuil1!$A:$B,2,FALSE),"")</f>
        <v/>
      </c>
      <c r="KK10" s="31" t="str">
        <f>IFERROR(VLOOKUP([2]Pointage!KO4,Feuil1!$A:$B,2,FALSE),"")</f>
        <v/>
      </c>
      <c r="KL10" s="31" t="str">
        <f>IFERROR(VLOOKUP([2]Pointage!KP4,Feuil1!$A:$B,2,FALSE),"")</f>
        <v/>
      </c>
      <c r="KM10" s="31" t="str">
        <f>IFERROR(VLOOKUP([2]Pointage!KQ4,Feuil1!$A:$B,2,FALSE),"")</f>
        <v/>
      </c>
      <c r="KN10" s="31" t="str">
        <f>IFERROR(VLOOKUP([2]Pointage!KR4,Feuil1!$A:$B,2,FALSE),"")</f>
        <v/>
      </c>
      <c r="KO10" s="31" t="str">
        <f>IFERROR(VLOOKUP([2]Pointage!KS4,Feuil1!$A:$B,2,FALSE),"")</f>
        <v/>
      </c>
      <c r="KP10" s="31" t="str">
        <f>IFERROR(VLOOKUP([2]Pointage!KT4,Feuil1!$A:$B,2,FALSE),"")</f>
        <v/>
      </c>
      <c r="KQ10" s="31" t="str">
        <f>IFERROR(VLOOKUP([2]Pointage!KU4,Feuil1!$A:$B,2,FALSE),"")</f>
        <v/>
      </c>
      <c r="KR10" s="31" t="str">
        <f>IFERROR(VLOOKUP([2]Pointage!KV4,Feuil1!$A:$B,2,FALSE),"")</f>
        <v/>
      </c>
      <c r="KS10" s="31" t="str">
        <f>IFERROR(VLOOKUP([2]Pointage!KW4,Feuil1!$A:$B,2,FALSE),"")</f>
        <v/>
      </c>
      <c r="KT10" s="31" t="str">
        <f>IFERROR(VLOOKUP([2]Pointage!KX4,Feuil1!$A:$B,2,FALSE),"")</f>
        <v/>
      </c>
      <c r="KU10" s="31" t="str">
        <f>IFERROR(VLOOKUP([2]Pointage!KY4,Feuil1!$A:$B,2,FALSE),"")</f>
        <v/>
      </c>
      <c r="KV10" s="31" t="str">
        <f>IFERROR(VLOOKUP([2]Pointage!KZ4,Feuil1!$A:$B,2,FALSE),"")</f>
        <v/>
      </c>
      <c r="KW10" s="82" t="str">
        <f>IFERROR(VLOOKUP([2]Pointage!LA4,Feuil1!$A:$B,2,FALSE),"")</f>
        <v/>
      </c>
      <c r="KX10" s="47" t="str">
        <f>IFERROR(VLOOKUP([2]Pointage!LB4,Feuil1!$A:$B,2,FALSE),"")</f>
        <v/>
      </c>
      <c r="KY10" s="31" t="str">
        <f>IFERROR(VLOOKUP([2]Pointage!LC4,Feuil1!$A:$B,2,FALSE),"")</f>
        <v/>
      </c>
      <c r="KZ10" s="31" t="str">
        <f>IFERROR(VLOOKUP([2]Pointage!LD4,Feuil1!$A:$B,2,FALSE),"")</f>
        <v/>
      </c>
      <c r="LA10" s="31" t="str">
        <f>IFERROR(VLOOKUP([2]Pointage!LE4,Feuil1!$A:$B,2,FALSE),"")</f>
        <v/>
      </c>
      <c r="LB10" s="31" t="str">
        <f>IFERROR(VLOOKUP([2]Pointage!LF4,Feuil1!$A:$B,2,FALSE),"")</f>
        <v/>
      </c>
      <c r="LC10" s="31" t="str">
        <f>IFERROR(VLOOKUP([2]Pointage!LG4,Feuil1!$A:$B,2,FALSE),"")</f>
        <v/>
      </c>
      <c r="LD10" s="31" t="str">
        <f>IFERROR(VLOOKUP([2]Pointage!LH4,Feuil1!$A:$B,2,FALSE),"")</f>
        <v/>
      </c>
      <c r="LE10" s="31" t="str">
        <f>IFERROR(VLOOKUP([2]Pointage!LI4,Feuil1!$A:$B,2,FALSE),"")</f>
        <v/>
      </c>
      <c r="LF10" s="31" t="str">
        <f>IFERROR(VLOOKUP([2]Pointage!LJ4,Feuil1!$A:$B,2,FALSE),"")</f>
        <v/>
      </c>
      <c r="LG10" s="31" t="str">
        <f>IFERROR(VLOOKUP([2]Pointage!LK4,Feuil1!$A:$B,2,FALSE),"")</f>
        <v/>
      </c>
      <c r="LH10" s="31" t="str">
        <f>IFERROR(VLOOKUP([2]Pointage!LL4,Feuil1!$A:$B,2,FALSE),"")</f>
        <v/>
      </c>
      <c r="LI10" s="31" t="str">
        <f>IFERROR(VLOOKUP([2]Pointage!LM4,Feuil1!$A:$B,2,FALSE),"")</f>
        <v/>
      </c>
      <c r="LJ10" s="31" t="str">
        <f>IFERROR(VLOOKUP([2]Pointage!LN4,Feuil1!$A:$B,2,FALSE),"")</f>
        <v/>
      </c>
      <c r="LK10" s="31" t="str">
        <f>IFERROR(VLOOKUP([2]Pointage!LO4,Feuil1!$A:$B,2,FALSE),"")</f>
        <v/>
      </c>
      <c r="LL10" s="31" t="str">
        <f>IFERROR(VLOOKUP([2]Pointage!LP4,Feuil1!$A:$B,2,FALSE),"")</f>
        <v/>
      </c>
      <c r="LM10" s="31" t="str">
        <f>IFERROR(VLOOKUP([2]Pointage!LQ4,Feuil1!$A:$B,2,FALSE),"")</f>
        <v/>
      </c>
      <c r="LN10" s="31" t="str">
        <f>IFERROR(VLOOKUP([2]Pointage!LR4,Feuil1!$A:$B,2,FALSE),"")</f>
        <v/>
      </c>
      <c r="LO10" s="31" t="str">
        <f>IFERROR(VLOOKUP([2]Pointage!LS4,Feuil1!$A:$B,2,FALSE),"")</f>
        <v/>
      </c>
      <c r="LP10" s="31" t="str">
        <f>IFERROR(VLOOKUP([2]Pointage!LT4,Feuil1!$A:$B,2,FALSE),"")</f>
        <v/>
      </c>
      <c r="LQ10" s="31" t="str">
        <f>IFERROR(VLOOKUP([2]Pointage!LU4,Feuil1!$A:$B,2,FALSE),"")</f>
        <v/>
      </c>
      <c r="LR10" s="31" t="str">
        <f>IFERROR(VLOOKUP([2]Pointage!LV4,Feuil1!$A:$B,2,FALSE),"")</f>
        <v/>
      </c>
      <c r="LS10" s="31" t="str">
        <f>IFERROR(VLOOKUP([2]Pointage!LW4,Feuil1!$A:$B,2,FALSE),"")</f>
        <v/>
      </c>
      <c r="LT10" s="31" t="str">
        <f>IFERROR(VLOOKUP([2]Pointage!LX4,Feuil1!$A:$B,2,FALSE),"")</f>
        <v/>
      </c>
      <c r="LU10" s="31" t="str">
        <f>IFERROR(VLOOKUP([2]Pointage!LY4,Feuil1!$A:$B,2,FALSE),"")</f>
        <v/>
      </c>
      <c r="LV10" s="31" t="str">
        <f>IFERROR(VLOOKUP([2]Pointage!LZ4,Feuil1!$A:$B,2,FALSE),"")</f>
        <v/>
      </c>
      <c r="LW10" s="31" t="str">
        <f>IFERROR(VLOOKUP([2]Pointage!MA4,Feuil1!$A:$B,2,FALSE),"")</f>
        <v/>
      </c>
      <c r="LX10" s="31" t="str">
        <f>IFERROR(VLOOKUP([2]Pointage!MB4,Feuil1!$A:$B,2,FALSE),"")</f>
        <v/>
      </c>
      <c r="LY10" s="31" t="str">
        <f>IFERROR(VLOOKUP([2]Pointage!MC4,Feuil1!$A:$B,2,FALSE),"")</f>
        <v/>
      </c>
      <c r="LZ10" s="31" t="str">
        <f>IFERROR(VLOOKUP([2]Pointage!MD4,Feuil1!$A:$B,2,FALSE),"")</f>
        <v/>
      </c>
      <c r="MA10" s="82" t="str">
        <f>IFERROR(VLOOKUP([2]Pointage!ME4,Feuil1!$A:$B,2,FALSE),"")</f>
        <v/>
      </c>
      <c r="MB10" s="47" t="str">
        <f>IFERROR(VLOOKUP([2]Pointage!MF4,Feuil1!$A:$B,2,FALSE),"")</f>
        <v/>
      </c>
      <c r="MC10" s="31" t="str">
        <f>IFERROR(VLOOKUP([2]Pointage!MG4,Feuil1!$A:$B,2,FALSE),"")</f>
        <v/>
      </c>
      <c r="MD10" s="31" t="str">
        <f>IFERROR(VLOOKUP([2]Pointage!MH4,Feuil1!$A:$B,2,FALSE),"")</f>
        <v/>
      </c>
      <c r="ME10" s="31" t="str">
        <f>IFERROR(VLOOKUP([2]Pointage!MI4,Feuil1!$A:$B,2,FALSE),"")</f>
        <v/>
      </c>
      <c r="MF10" s="31" t="str">
        <f>IFERROR(VLOOKUP([2]Pointage!MJ4,Feuil1!$A:$B,2,FALSE),"")</f>
        <v/>
      </c>
      <c r="MG10" s="31" t="str">
        <f>IFERROR(VLOOKUP([2]Pointage!MK4,Feuil1!$A:$B,2,FALSE),"")</f>
        <v/>
      </c>
      <c r="MH10" s="31" t="str">
        <f>IFERROR(VLOOKUP([2]Pointage!ML4,Feuil1!$A:$B,2,FALSE),"")</f>
        <v/>
      </c>
      <c r="MI10" s="31" t="str">
        <f>IFERROR(VLOOKUP([2]Pointage!MM4,Feuil1!$A:$B,2,FALSE),"")</f>
        <v/>
      </c>
      <c r="MJ10" s="31" t="str">
        <f>IFERROR(VLOOKUP([2]Pointage!MN4,Feuil1!$A:$B,2,FALSE),"")</f>
        <v/>
      </c>
      <c r="MK10" s="31" t="str">
        <f>IFERROR(VLOOKUP([2]Pointage!MO4,Feuil1!$A:$B,2,FALSE),"")</f>
        <v/>
      </c>
      <c r="ML10" s="31" t="str">
        <f>IFERROR(VLOOKUP([2]Pointage!MP4,Feuil1!$A:$B,2,FALSE),"")</f>
        <v/>
      </c>
      <c r="MM10" s="31" t="str">
        <f>IFERROR(VLOOKUP([2]Pointage!MQ4,Feuil1!$A:$B,2,FALSE),"")</f>
        <v/>
      </c>
      <c r="MN10" s="31" t="str">
        <f>IFERROR(VLOOKUP([2]Pointage!MR4,Feuil1!$A:$B,2,FALSE),"")</f>
        <v/>
      </c>
      <c r="MO10" s="31" t="str">
        <f>IFERROR(VLOOKUP([2]Pointage!MS4,Feuil1!$A:$B,2,FALSE),"")</f>
        <v/>
      </c>
      <c r="MP10" s="31" t="str">
        <f>IFERROR(VLOOKUP([2]Pointage!MT4,Feuil1!$A:$B,2,FALSE),"")</f>
        <v/>
      </c>
      <c r="MQ10" s="31" t="str">
        <f>IFERROR(VLOOKUP([2]Pointage!MU4,Feuil1!$A:$B,2,FALSE),"")</f>
        <v/>
      </c>
      <c r="MR10" s="31" t="str">
        <f>IFERROR(VLOOKUP([2]Pointage!MV4,Feuil1!$A:$B,2,FALSE),"")</f>
        <v/>
      </c>
      <c r="MS10" s="31" t="str">
        <f>IFERROR(VLOOKUP([2]Pointage!MW4,Feuil1!$A:$B,2,FALSE),"")</f>
        <v/>
      </c>
      <c r="MT10" s="31" t="str">
        <f>IFERROR(VLOOKUP([2]Pointage!MX4,Feuil1!$A:$B,2,FALSE),"")</f>
        <v/>
      </c>
      <c r="MU10" s="31" t="str">
        <f>IFERROR(VLOOKUP([2]Pointage!MY4,Feuil1!$A:$B,2,FALSE),"")</f>
        <v/>
      </c>
      <c r="MV10" s="31" t="str">
        <f>IFERROR(VLOOKUP([2]Pointage!MZ4,Feuil1!$A:$B,2,FALSE),"")</f>
        <v/>
      </c>
      <c r="MW10" s="31" t="str">
        <f>IFERROR(VLOOKUP([2]Pointage!NA4,Feuil1!$A:$B,2,FALSE),"")</f>
        <v/>
      </c>
      <c r="MX10" s="31" t="str">
        <f>IFERROR(VLOOKUP([2]Pointage!NB4,Feuil1!$A:$B,2,FALSE),"")</f>
        <v/>
      </c>
      <c r="MY10" s="31" t="str">
        <f>IFERROR(VLOOKUP([2]Pointage!NC4,Feuil1!$A:$B,2,FALSE),"")</f>
        <v/>
      </c>
      <c r="MZ10" s="31" t="str">
        <f>IFERROR(VLOOKUP([2]Pointage!ND4,Feuil1!$A:$B,2,FALSE),"")</f>
        <v/>
      </c>
      <c r="NA10" s="31" t="str">
        <f>IFERROR(VLOOKUP([2]Pointage!NE4,Feuil1!$A:$B,2,FALSE),"")</f>
        <v/>
      </c>
      <c r="NB10" s="31" t="str">
        <f>IFERROR(VLOOKUP([2]Pointage!NF4,Feuil1!$A:$B,2,FALSE),"")</f>
        <v/>
      </c>
      <c r="NC10" s="31" t="str">
        <f>IFERROR(VLOOKUP([2]Pointage!NG4,Feuil1!$A:$B,2,FALSE),"")</f>
        <v/>
      </c>
      <c r="ND10" s="31" t="str">
        <f>IFERROR(VLOOKUP([2]Pointage!NH4,Feuil1!$A:$B,2,FALSE),"")</f>
        <v/>
      </c>
      <c r="NE10" s="31" t="str">
        <f>IFERROR(VLOOKUP([2]Pointage!NI4,Feuil1!$A:$B,2,FALSE),"")</f>
        <v/>
      </c>
      <c r="NF10" s="48" t="str">
        <f>IFERROR(VLOOKUP([2]Pointage!NJ4,Feuil1!$A:$B,2,FALSE),"")</f>
        <v/>
      </c>
      <c r="NG10" s="52">
        <f>COUNTIF(Global!F10:NF10,"RTT")+(COUNTIF(Global!F10:NF10,"dRTT")/2)</f>
        <v>1</v>
      </c>
      <c r="NH10" s="42">
        <f>COUNTIF(Global!F10:NF10,"C")+(COUNTIF(Global!F10:NF10,"DC")/2)</f>
        <v>23</v>
      </c>
      <c r="NI10" s="42">
        <f>COUNTIF(Global!F10:NF10,"M")</f>
        <v>0</v>
      </c>
      <c r="NJ10" s="42">
        <f>COUNTIF(Global!G10:NG10,"AT")</f>
        <v>0</v>
      </c>
      <c r="NK10" s="42">
        <f>COUNTIF(Global!F10:NF10,"RD")</f>
        <v>0</v>
      </c>
      <c r="NL10" s="42">
        <f>COUNTIF(Global!F10:NF10,"RC")+(COUNTIF(Global!F10:NF10,"dRC")/2)</f>
        <v>0</v>
      </c>
      <c r="NM10" s="68">
        <f t="shared" ca="1" si="0"/>
        <v>4.0273972602739727</v>
      </c>
      <c r="NP10">
        <f ca="1">_xlfn.DAYS(NO2,F1)</f>
        <v>146</v>
      </c>
      <c r="NT10" s="33">
        <v>6</v>
      </c>
      <c r="NU10" s="33">
        <v>0</v>
      </c>
      <c r="NV10" s="28">
        <v>12.5</v>
      </c>
      <c r="NW10" s="28">
        <v>2.33</v>
      </c>
      <c r="NX10" s="29">
        <f>COUNTIF(F10:NF10,"C")++(COUNTIF(Global!F10:NF10,"DC")/2)</f>
        <v>23</v>
      </c>
      <c r="NY10" s="29"/>
      <c r="NZ10" s="29"/>
      <c r="OA10" s="29"/>
      <c r="OB10" s="29">
        <f>COUNTIF(Global!F10:NF10,"M")</f>
        <v>0</v>
      </c>
      <c r="OC10" s="30">
        <f t="shared" si="1"/>
        <v>-4.5</v>
      </c>
      <c r="OD10" s="30"/>
    </row>
    <row r="11" spans="1:394" ht="30" customHeight="1" x14ac:dyDescent="0.2">
      <c r="A11" s="15" t="s">
        <v>67</v>
      </c>
      <c r="B11" s="22" t="s">
        <v>138</v>
      </c>
      <c r="C11" s="22" t="s">
        <v>139</v>
      </c>
      <c r="D11" s="22" t="s">
        <v>140</v>
      </c>
      <c r="E11" s="44">
        <v>0</v>
      </c>
      <c r="F11" s="47" t="str">
        <f>IFERROR(VLOOKUP([2]Pointage!J5,Feuil1!$A:$B,2,FALSE),"")</f>
        <v/>
      </c>
      <c r="G11" s="31" t="str">
        <f>IFERROR(VLOOKUP([2]Pointage!K5,Feuil1!$A:$B,2,FALSE),"")</f>
        <v/>
      </c>
      <c r="H11" s="31" t="str">
        <f>IFERROR(VLOOKUP([2]Pointage!L5,Feuil1!$A:$B,2,FALSE),"")</f>
        <v/>
      </c>
      <c r="I11" s="31" t="str">
        <f>IFERROR(VLOOKUP([2]Pointage!M5,Feuil1!$A:$B,2,FALSE),"")</f>
        <v/>
      </c>
      <c r="J11" s="31" t="str">
        <f>IFERROR(VLOOKUP([2]Pointage!N5,Feuil1!$A:$B,2,FALSE),"")</f>
        <v/>
      </c>
      <c r="K11" s="31" t="str">
        <f>IFERROR(VLOOKUP([2]Pointage!O5,Feuil1!$A:$B,2,FALSE),"")</f>
        <v/>
      </c>
      <c r="L11" s="31" t="str">
        <f>IFERROR(VLOOKUP([2]Pointage!P5,Feuil1!$A:$B,2,FALSE),"")</f>
        <v/>
      </c>
      <c r="M11" s="31" t="str">
        <f>IFERROR(VLOOKUP([2]Pointage!Q5,Feuil1!$A:$B,2,FALSE),"")</f>
        <v/>
      </c>
      <c r="N11" s="31" t="str">
        <f>IFERROR(VLOOKUP([2]Pointage!R5,Feuil1!$A:$B,2,FALSE),"")</f>
        <v/>
      </c>
      <c r="O11" s="31" t="str">
        <f>IFERROR(VLOOKUP([2]Pointage!S5,Feuil1!$A:$B,2,FALSE),"")</f>
        <v/>
      </c>
      <c r="P11" s="31" t="str">
        <f>IFERROR(VLOOKUP([2]Pointage!T5,Feuil1!$A:$B,2,FALSE),"")</f>
        <v/>
      </c>
      <c r="Q11" s="31" t="str">
        <f>IFERROR(VLOOKUP([2]Pointage!U5,Feuil1!$A:$B,2,FALSE),"")</f>
        <v/>
      </c>
      <c r="R11" s="31" t="str">
        <f>IFERROR(VLOOKUP([2]Pointage!V5,Feuil1!$A:$B,2,FALSE),"")</f>
        <v/>
      </c>
      <c r="S11" s="31" t="str">
        <f>IFERROR(VLOOKUP([2]Pointage!W5,Feuil1!$A:$B,2,FALSE),"")</f>
        <v/>
      </c>
      <c r="T11" s="31" t="str">
        <f>IFERROR(VLOOKUP([2]Pointage!X5,Feuil1!$A:$B,2,FALSE),"")</f>
        <v/>
      </c>
      <c r="U11" s="31" t="str">
        <f>IFERROR(VLOOKUP([2]Pointage!Y5,Feuil1!$A:$B,2,FALSE),"")</f>
        <v/>
      </c>
      <c r="V11" s="31" t="str">
        <f>IFERROR(VLOOKUP([2]Pointage!Z5,Feuil1!$A:$B,2,FALSE),"")</f>
        <v/>
      </c>
      <c r="W11" s="31" t="str">
        <f>IFERROR(VLOOKUP([2]Pointage!AA5,Feuil1!$A:$B,2,FALSE),"")</f>
        <v/>
      </c>
      <c r="X11" s="31" t="str">
        <f>IFERROR(VLOOKUP([2]Pointage!AB5,Feuil1!$A:$B,2,FALSE),"")</f>
        <v/>
      </c>
      <c r="Y11" s="31" t="str">
        <f>IFERROR(VLOOKUP([2]Pointage!AC5,Feuil1!$A:$B,2,FALSE),"")</f>
        <v/>
      </c>
      <c r="Z11" s="31" t="str">
        <f>IFERROR(VLOOKUP([2]Pointage!AD5,Feuil1!$A:$B,2,FALSE),"")</f>
        <v/>
      </c>
      <c r="AA11" s="31" t="str">
        <f>IFERROR(VLOOKUP([2]Pointage!AE5,Feuil1!$A:$B,2,FALSE),"")</f>
        <v/>
      </c>
      <c r="AB11" s="31" t="str">
        <f>IFERROR(VLOOKUP([2]Pointage!AF5,Feuil1!$A:$B,2,FALSE),"")</f>
        <v/>
      </c>
      <c r="AC11" s="31" t="str">
        <f>IFERROR(VLOOKUP([2]Pointage!AG5,Feuil1!$A:$B,2,FALSE),"")</f>
        <v/>
      </c>
      <c r="AD11" s="31" t="str">
        <f>IFERROR(VLOOKUP([2]Pointage!AH5,Feuil1!$A:$B,2,FALSE),"")</f>
        <v/>
      </c>
      <c r="AE11" s="31" t="str">
        <f>IFERROR(VLOOKUP([2]Pointage!AI5,Feuil1!$A:$B,2,FALSE),"")</f>
        <v/>
      </c>
      <c r="AF11" s="31" t="str">
        <f>IFERROR(VLOOKUP([2]Pointage!AJ5,Feuil1!$A:$B,2,FALSE),"")</f>
        <v/>
      </c>
      <c r="AG11" s="31" t="str">
        <f>IFERROR(VLOOKUP([2]Pointage!AK5,Feuil1!$A:$B,2,FALSE),"")</f>
        <v/>
      </c>
      <c r="AH11" s="31" t="str">
        <f>IFERROR(VLOOKUP([2]Pointage!AL5,Feuil1!$A:$B,2,FALSE),"")</f>
        <v>RTT</v>
      </c>
      <c r="AI11" s="31" t="str">
        <f>IFERROR(VLOOKUP([2]Pointage!AM5,Feuil1!$A:$B,2,FALSE),"")</f>
        <v>RTT</v>
      </c>
      <c r="AJ11" s="82" t="str">
        <f>IFERROR(VLOOKUP([2]Pointage!AN5,Feuil1!$A:$B,2,FALSE),"")</f>
        <v>RTT</v>
      </c>
      <c r="AK11" s="47" t="str">
        <f>IFERROR(VLOOKUP([2]Pointage!AO5,Feuil1!$A:$B,2,FALSE),"")</f>
        <v>RTT</v>
      </c>
      <c r="AL11" s="31" t="str">
        <f>IFERROR(VLOOKUP([2]Pointage!AP5,Feuil1!$A:$B,2,FALSE),"")</f>
        <v>C</v>
      </c>
      <c r="AM11" s="31" t="str">
        <f>IFERROR(VLOOKUP([2]Pointage!AQ5,Feuil1!$A:$B,2,FALSE),"")</f>
        <v/>
      </c>
      <c r="AN11" s="31" t="str">
        <f>IFERROR(VLOOKUP([2]Pointage!AR5,Feuil1!$A:$B,2,FALSE),"")</f>
        <v/>
      </c>
      <c r="AO11" s="31" t="str">
        <f>IFERROR(VLOOKUP([2]Pointage!AS5,Feuil1!$A:$B,2,FALSE),"")</f>
        <v/>
      </c>
      <c r="AP11" s="31" t="str">
        <f>IFERROR(VLOOKUP([2]Pointage!AT5,Feuil1!$A:$B,2,FALSE),"")</f>
        <v>C</v>
      </c>
      <c r="AQ11" s="31" t="str">
        <f>IFERROR(VLOOKUP([2]Pointage!AU5,Feuil1!$A:$B,2,FALSE),"")</f>
        <v/>
      </c>
      <c r="AR11" s="31" t="str">
        <f>IFERROR(VLOOKUP([2]Pointage!AV5,Feuil1!$A:$B,2,FALSE),"")</f>
        <v/>
      </c>
      <c r="AS11" s="31" t="str">
        <f>IFERROR(VLOOKUP([2]Pointage!AW5,Feuil1!$A:$B,2,FALSE),"")</f>
        <v/>
      </c>
      <c r="AT11" s="31" t="str">
        <f>IFERROR(VLOOKUP([2]Pointage!AX5,Feuil1!$A:$B,2,FALSE),"")</f>
        <v/>
      </c>
      <c r="AU11" s="31" t="str">
        <f>IFERROR(VLOOKUP([2]Pointage!AY5,Feuil1!$A:$B,2,FALSE),"")</f>
        <v/>
      </c>
      <c r="AV11" s="31" t="str">
        <f>IFERROR(VLOOKUP([2]Pointage!AZ5,Feuil1!$A:$B,2,FALSE),"")</f>
        <v/>
      </c>
      <c r="AW11" s="31" t="str">
        <f>IFERROR(VLOOKUP([2]Pointage!BA5,Feuil1!$A:$B,2,FALSE),"")</f>
        <v/>
      </c>
      <c r="AX11" s="31" t="str">
        <f>IFERROR(VLOOKUP([2]Pointage!BB5,Feuil1!$A:$B,2,FALSE),"")</f>
        <v/>
      </c>
      <c r="AY11" s="31" t="str">
        <f>IFERROR(VLOOKUP([2]Pointage!BC5,Feuil1!$A:$B,2,FALSE),"")</f>
        <v/>
      </c>
      <c r="AZ11" s="31" t="str">
        <f>IFERROR(VLOOKUP([2]Pointage!BD5,Feuil1!$A:$B,2,FALSE),"")</f>
        <v/>
      </c>
      <c r="BA11" s="31" t="str">
        <f>IFERROR(VLOOKUP([2]Pointage!BE5,Feuil1!$A:$B,2,FALSE),"")</f>
        <v/>
      </c>
      <c r="BB11" s="31" t="str">
        <f>IFERROR(VLOOKUP([2]Pointage!BF5,Feuil1!$A:$B,2,FALSE),"")</f>
        <v/>
      </c>
      <c r="BC11" s="31" t="str">
        <f>IFERROR(VLOOKUP([2]Pointage!BG5,Feuil1!$A:$B,2,FALSE),"")</f>
        <v/>
      </c>
      <c r="BD11" s="31" t="str">
        <f>IFERROR(VLOOKUP([2]Pointage!BH5,Feuil1!$A:$B,2,FALSE),"")</f>
        <v/>
      </c>
      <c r="BE11" s="31" t="str">
        <f>IFERROR(VLOOKUP([2]Pointage!BI5,Feuil1!$A:$B,2,FALSE),"")</f>
        <v/>
      </c>
      <c r="BF11" s="31" t="str">
        <f>IFERROR(VLOOKUP([2]Pointage!BJ5,Feuil1!$A:$B,2,FALSE),"")</f>
        <v/>
      </c>
      <c r="BG11" s="31" t="str">
        <f>IFERROR(VLOOKUP([2]Pointage!BK5,Feuil1!$A:$B,2,FALSE),"")</f>
        <v/>
      </c>
      <c r="BH11" s="31" t="str">
        <f>IFERROR(VLOOKUP([2]Pointage!BL5,Feuil1!$A:$B,2,FALSE),"")</f>
        <v/>
      </c>
      <c r="BI11" s="31" t="str">
        <f>IFERROR(VLOOKUP([2]Pointage!BM5,Feuil1!$A:$B,2,FALSE),"")</f>
        <v/>
      </c>
      <c r="BJ11" s="31" t="str">
        <f>IFERROR(VLOOKUP([2]Pointage!BN5,Feuil1!$A:$B,2,FALSE),"")</f>
        <v/>
      </c>
      <c r="BK11" s="31" t="str">
        <f>IFERROR(VLOOKUP([2]Pointage!BO5,Feuil1!$A:$B,2,FALSE),"")</f>
        <v/>
      </c>
      <c r="BL11" s="82" t="str">
        <f>IFERROR(VLOOKUP([2]Pointage!BP5,Feuil1!$A:$B,2,FALSE),"")</f>
        <v/>
      </c>
      <c r="BM11" s="47" t="str">
        <f>IFERROR(VLOOKUP([2]Pointage!BQ5,Feuil1!$A:$B,2,FALSE),"")</f>
        <v/>
      </c>
      <c r="BN11" s="31" t="str">
        <f>IFERROR(VLOOKUP([2]Pointage!BR5,Feuil1!$A:$B,2,FALSE),"")</f>
        <v/>
      </c>
      <c r="BO11" s="31" t="str">
        <f>IFERROR(VLOOKUP([2]Pointage!BS5,Feuil1!$A:$B,2,FALSE),"")</f>
        <v/>
      </c>
      <c r="BP11" s="31" t="str">
        <f>IFERROR(VLOOKUP([2]Pointage!BT5,Feuil1!$A:$B,2,FALSE),"")</f>
        <v/>
      </c>
      <c r="BQ11" s="31" t="str">
        <f>IFERROR(VLOOKUP([2]Pointage!BU5,Feuil1!$A:$B,2,FALSE),"")</f>
        <v/>
      </c>
      <c r="BR11" s="31" t="str">
        <f>IFERROR(VLOOKUP([2]Pointage!BV5,Feuil1!$A:$B,2,FALSE),"")</f>
        <v/>
      </c>
      <c r="BS11" s="31" t="str">
        <f>IFERROR(VLOOKUP([2]Pointage!BW5,Feuil1!$A:$B,2,FALSE),"")</f>
        <v/>
      </c>
      <c r="BT11" s="31" t="str">
        <f>IFERROR(VLOOKUP([2]Pointage!BX5,Feuil1!$A:$B,2,FALSE),"")</f>
        <v/>
      </c>
      <c r="BU11" s="31" t="str">
        <f>IFERROR(VLOOKUP([2]Pointage!BY5,Feuil1!$A:$B,2,FALSE),"")</f>
        <v/>
      </c>
      <c r="BV11" s="31" t="str">
        <f>IFERROR(VLOOKUP([2]Pointage!BZ5,Feuil1!$A:$B,2,FALSE),"")</f>
        <v/>
      </c>
      <c r="BW11" s="31" t="str">
        <f>IFERROR(VLOOKUP([2]Pointage!CA5,Feuil1!$A:$B,2,FALSE),"")</f>
        <v/>
      </c>
      <c r="BX11" s="31" t="str">
        <f>IFERROR(VLOOKUP([2]Pointage!CB5,Feuil1!$A:$B,2,FALSE),"")</f>
        <v>RTT</v>
      </c>
      <c r="BY11" s="31" t="str">
        <f>IFERROR(VLOOKUP([2]Pointage!CC5,Feuil1!$A:$B,2,FALSE),"")</f>
        <v/>
      </c>
      <c r="BZ11" s="31" t="str">
        <f>IFERROR(VLOOKUP([2]Pointage!CD5,Feuil1!$A:$B,2,FALSE),"")</f>
        <v/>
      </c>
      <c r="CA11" s="31" t="str">
        <f>IFERROR(VLOOKUP([2]Pointage!CE5,Feuil1!$A:$B,2,FALSE),"")</f>
        <v/>
      </c>
      <c r="CB11" s="31" t="str">
        <f>IFERROR(VLOOKUP([2]Pointage!CF5,Feuil1!$A:$B,2,FALSE),"")</f>
        <v/>
      </c>
      <c r="CC11" s="31" t="str">
        <f>IFERROR(VLOOKUP([2]Pointage!CG5,Feuil1!$A:$B,2,FALSE),"")</f>
        <v/>
      </c>
      <c r="CD11" s="31" t="str">
        <f>IFERROR(VLOOKUP([2]Pointage!CH5,Feuil1!$A:$B,2,FALSE),"")</f>
        <v/>
      </c>
      <c r="CE11" s="31" t="str">
        <f>IFERROR(VLOOKUP([2]Pointage!CI5,Feuil1!$A:$B,2,FALSE),"")</f>
        <v/>
      </c>
      <c r="CF11" s="31" t="str">
        <f>IFERROR(VLOOKUP([2]Pointage!CJ5,Feuil1!$A:$B,2,FALSE),"")</f>
        <v/>
      </c>
      <c r="CG11" s="31" t="str">
        <f>IFERROR(VLOOKUP([2]Pointage!CK5,Feuil1!$A:$B,2,FALSE),"")</f>
        <v/>
      </c>
      <c r="CH11" s="31" t="str">
        <f>IFERROR(VLOOKUP([2]Pointage!CL5,Feuil1!$A:$B,2,FALSE),"")</f>
        <v/>
      </c>
      <c r="CI11" s="31" t="str">
        <f>IFERROR(VLOOKUP([2]Pointage!CM5,Feuil1!$A:$B,2,FALSE),"")</f>
        <v/>
      </c>
      <c r="CJ11" s="31" t="str">
        <f>IFERROR(VLOOKUP([2]Pointage!CN5,Feuil1!$A:$B,2,FALSE),"")</f>
        <v/>
      </c>
      <c r="CK11" s="31" t="str">
        <f>IFERROR(VLOOKUP([2]Pointage!CO5,Feuil1!$A:$B,2,FALSE),"")</f>
        <v/>
      </c>
      <c r="CL11" s="31" t="str">
        <f>IFERROR(VLOOKUP([2]Pointage!CP5,Feuil1!$A:$B,2,FALSE),"")</f>
        <v/>
      </c>
      <c r="CM11" s="31" t="str">
        <f>IFERROR(VLOOKUP([2]Pointage!CQ5,Feuil1!$A:$B,2,FALSE),"")</f>
        <v/>
      </c>
      <c r="CN11" s="31" t="str">
        <f>IFERROR(VLOOKUP([2]Pointage!CR5,Feuil1!$A:$B,2,FALSE),"")</f>
        <v/>
      </c>
      <c r="CO11" s="31" t="str">
        <f>IFERROR(VLOOKUP([2]Pointage!CS5,Feuil1!$A:$B,2,FALSE),"")</f>
        <v/>
      </c>
      <c r="CP11" s="31" t="str">
        <f>IFERROR(VLOOKUP([2]Pointage!CT5,Feuil1!$A:$B,2,FALSE),"")</f>
        <v/>
      </c>
      <c r="CQ11" s="82" t="str">
        <f>IFERROR(VLOOKUP([2]Pointage!CU5,Feuil1!$A:$B,2,FALSE),"")</f>
        <v/>
      </c>
      <c r="CR11" s="47" t="str">
        <f>IFERROR(VLOOKUP([2]Pointage!CV5,Feuil1!$A:$B,2,FALSE),"")</f>
        <v/>
      </c>
      <c r="CS11" s="31" t="str">
        <f>IFERROR(VLOOKUP([2]Pointage!CW5,Feuil1!$A:$B,2,FALSE),"")</f>
        <v/>
      </c>
      <c r="CT11" s="31" t="str">
        <f>IFERROR(VLOOKUP([2]Pointage!CX5,Feuil1!$A:$B,2,FALSE),"")</f>
        <v/>
      </c>
      <c r="CU11" s="31" t="str">
        <f>IFERROR(VLOOKUP([2]Pointage!CY5,Feuil1!$A:$B,2,FALSE),"")</f>
        <v/>
      </c>
      <c r="CV11" s="31" t="str">
        <f>IFERROR(VLOOKUP([2]Pointage!CZ5,Feuil1!$A:$B,2,FALSE),"")</f>
        <v/>
      </c>
      <c r="CW11" s="31" t="str">
        <f>IFERROR(VLOOKUP([2]Pointage!DA5,Feuil1!$A:$B,2,FALSE),"")</f>
        <v/>
      </c>
      <c r="CX11" s="31" t="str">
        <f>IFERROR(VLOOKUP([2]Pointage!DB5,Feuil1!$A:$B,2,FALSE),"")</f>
        <v/>
      </c>
      <c r="CY11" s="31" t="str">
        <f>IFERROR(VLOOKUP([2]Pointage!DC5,Feuil1!$A:$B,2,FALSE),"")</f>
        <v/>
      </c>
      <c r="CZ11" s="31" t="str">
        <f>IFERROR(VLOOKUP([2]Pointage!DD5,Feuil1!$A:$B,2,FALSE),"")</f>
        <v>C</v>
      </c>
      <c r="DA11" s="31" t="str">
        <f>IFERROR(VLOOKUP([2]Pointage!DE5,Feuil1!$A:$B,2,FALSE),"")</f>
        <v>C</v>
      </c>
      <c r="DB11" s="31" t="str">
        <f>IFERROR(VLOOKUP([2]Pointage!DF5,Feuil1!$A:$B,2,FALSE),"")</f>
        <v>C</v>
      </c>
      <c r="DC11" s="31" t="str">
        <f>IFERROR(VLOOKUP([2]Pointage!DG5,Feuil1!$A:$B,2,FALSE),"")</f>
        <v>C</v>
      </c>
      <c r="DD11" s="31" t="str">
        <f>IFERROR(VLOOKUP([2]Pointage!DH5,Feuil1!$A:$B,2,FALSE),"")</f>
        <v/>
      </c>
      <c r="DE11" s="31" t="str">
        <f>IFERROR(VLOOKUP([2]Pointage!DI5,Feuil1!$A:$B,2,FALSE),"")</f>
        <v/>
      </c>
      <c r="DF11" s="31" t="str">
        <f>IFERROR(VLOOKUP([2]Pointage!DJ5,Feuil1!$A:$B,2,FALSE),"")</f>
        <v/>
      </c>
      <c r="DG11" s="31" t="str">
        <f>IFERROR(VLOOKUP([2]Pointage!DK5,Feuil1!$A:$B,2,FALSE),"")</f>
        <v/>
      </c>
      <c r="DH11" s="31" t="str">
        <f>IFERROR(VLOOKUP([2]Pointage!DL5,Feuil1!$A:$B,2,FALSE),"")</f>
        <v/>
      </c>
      <c r="DI11" s="31" t="str">
        <f>IFERROR(VLOOKUP([2]Pointage!DM5,Feuil1!$A:$B,2,FALSE),"")</f>
        <v/>
      </c>
      <c r="DJ11" s="31" t="str">
        <f>IFERROR(VLOOKUP([2]Pointage!DN5,Feuil1!$A:$B,2,FALSE),"")</f>
        <v/>
      </c>
      <c r="DK11" s="31" t="str">
        <f>IFERROR(VLOOKUP([2]Pointage!DO5,Feuil1!$A:$B,2,FALSE),"")</f>
        <v/>
      </c>
      <c r="DL11" s="31" t="str">
        <f>IFERROR(VLOOKUP([2]Pointage!DP5,Feuil1!$A:$B,2,FALSE),"")</f>
        <v/>
      </c>
      <c r="DM11" s="31" t="str">
        <f>IFERROR(VLOOKUP([2]Pointage!DQ5,Feuil1!$A:$B,2,FALSE),"")</f>
        <v/>
      </c>
      <c r="DN11" s="31" t="str">
        <f>IFERROR(VLOOKUP([2]Pointage!DR5,Feuil1!$A:$B,2,FALSE),"")</f>
        <v/>
      </c>
      <c r="DO11" s="31" t="str">
        <f>IFERROR(VLOOKUP([2]Pointage!DS5,Feuil1!$A:$B,2,FALSE),"")</f>
        <v/>
      </c>
      <c r="DP11" s="31" t="str">
        <f>IFERROR(VLOOKUP([2]Pointage!DT5,Feuil1!$A:$B,2,FALSE),"")</f>
        <v/>
      </c>
      <c r="DQ11" s="31" t="str">
        <f>IFERROR(VLOOKUP([2]Pointage!DU5,Feuil1!$A:$B,2,FALSE),"")</f>
        <v/>
      </c>
      <c r="DR11" s="31" t="str">
        <f>IFERROR(VLOOKUP([2]Pointage!DV5,Feuil1!$A:$B,2,FALSE),"")</f>
        <v/>
      </c>
      <c r="DS11" s="31" t="str">
        <f>IFERROR(VLOOKUP([2]Pointage!DW5,Feuil1!$A:$B,2,FALSE),"")</f>
        <v/>
      </c>
      <c r="DT11" s="31" t="str">
        <f>IFERROR(VLOOKUP([2]Pointage!DX5,Feuil1!$A:$B,2,FALSE),"")</f>
        <v/>
      </c>
      <c r="DU11" s="82" t="str">
        <f>IFERROR(VLOOKUP([2]Pointage!DY5,Feuil1!$A:$B,2,FALSE),"")</f>
        <v/>
      </c>
      <c r="DV11" s="47" t="str">
        <f>IFERROR(VLOOKUP([2]Pointage!DZ5,Feuil1!$A:$B,2,FALSE),"")</f>
        <v/>
      </c>
      <c r="DW11" s="31" t="str">
        <f>IFERROR(VLOOKUP([2]Pointage!EA5,Feuil1!$A:$B,2,FALSE),"")</f>
        <v/>
      </c>
      <c r="DX11" s="31" t="str">
        <f>IFERROR(VLOOKUP([2]Pointage!EB5,Feuil1!$A:$B,2,FALSE),"")</f>
        <v/>
      </c>
      <c r="DY11" s="31" t="str">
        <f>IFERROR(VLOOKUP([2]Pointage!EC5,Feuil1!$A:$B,2,FALSE),"")</f>
        <v/>
      </c>
      <c r="DZ11" s="31" t="str">
        <f>IFERROR(VLOOKUP([2]Pointage!ED5,Feuil1!$A:$B,2,FALSE),"")</f>
        <v/>
      </c>
      <c r="EA11" s="31" t="str">
        <f>IFERROR(VLOOKUP([2]Pointage!EE5,Feuil1!$A:$B,2,FALSE),"")</f>
        <v/>
      </c>
      <c r="EB11" s="31" t="str">
        <f>IFERROR(VLOOKUP([2]Pointage!EF5,Feuil1!$A:$B,2,FALSE),"")</f>
        <v/>
      </c>
      <c r="EC11" s="31" t="str">
        <f>IFERROR(VLOOKUP([2]Pointage!EG5,Feuil1!$A:$B,2,FALSE),"")</f>
        <v/>
      </c>
      <c r="ED11" s="31" t="str">
        <f>IFERROR(VLOOKUP([2]Pointage!EH5,Feuil1!$A:$B,2,FALSE),"")</f>
        <v/>
      </c>
      <c r="EE11" s="31" t="str">
        <f>IFERROR(VLOOKUP([2]Pointage!EI5,Feuil1!$A:$B,2,FALSE),"")</f>
        <v/>
      </c>
      <c r="EF11" s="31" t="str">
        <f>IFERROR(VLOOKUP([2]Pointage!EJ5,Feuil1!$A:$B,2,FALSE),"")</f>
        <v>RTT</v>
      </c>
      <c r="EG11" s="31" t="str">
        <f>IFERROR(VLOOKUP([2]Pointage!EK5,Feuil1!$A:$B,2,FALSE),"")</f>
        <v/>
      </c>
      <c r="EH11" s="31" t="str">
        <f>IFERROR(VLOOKUP([2]Pointage!EL5,Feuil1!$A:$B,2,FALSE),"")</f>
        <v/>
      </c>
      <c r="EI11" s="31" t="str">
        <f>IFERROR(VLOOKUP([2]Pointage!EM5,Feuil1!$A:$B,2,FALSE),"")</f>
        <v/>
      </c>
      <c r="EJ11" s="31" t="str">
        <f>IFERROR(VLOOKUP([2]Pointage!EN5,Feuil1!$A:$B,2,FALSE),"")</f>
        <v/>
      </c>
      <c r="EK11" s="31" t="str">
        <f>IFERROR(VLOOKUP([2]Pointage!EO5,Feuil1!$A:$B,2,FALSE),"")</f>
        <v/>
      </c>
      <c r="EL11" s="31" t="str">
        <f>IFERROR(VLOOKUP([2]Pointage!EP5,Feuil1!$A:$B,2,FALSE),"")</f>
        <v/>
      </c>
      <c r="EM11" s="31" t="str">
        <f>IFERROR(VLOOKUP([2]Pointage!EQ5,Feuil1!$A:$B,2,FALSE),"")</f>
        <v/>
      </c>
      <c r="EN11" s="31" t="str">
        <f>IFERROR(VLOOKUP([2]Pointage!ER5,Feuil1!$A:$B,2,FALSE),"")</f>
        <v/>
      </c>
      <c r="EO11" s="31" t="str">
        <f>IFERROR(VLOOKUP([2]Pointage!ES5,Feuil1!$A:$B,2,FALSE),"")</f>
        <v/>
      </c>
      <c r="EP11" s="31" t="str">
        <f>IFERROR(VLOOKUP([2]Pointage!ET5,Feuil1!$A:$B,2,FALSE),"")</f>
        <v/>
      </c>
      <c r="EQ11" s="31" t="str">
        <f>IFERROR(VLOOKUP([2]Pointage!EU5,Feuil1!$A:$B,2,FALSE),"")</f>
        <v/>
      </c>
      <c r="ER11" s="31" t="str">
        <f>IFERROR(VLOOKUP([2]Pointage!EV5,Feuil1!$A:$B,2,FALSE),"")</f>
        <v/>
      </c>
      <c r="ES11" s="31" t="str">
        <f>IFERROR(VLOOKUP([2]Pointage!EW5,Feuil1!$A:$B,2,FALSE),"")</f>
        <v/>
      </c>
      <c r="ET11" s="31" t="str">
        <f>IFERROR(VLOOKUP([2]Pointage!EX5,Feuil1!$A:$B,2,FALSE),"")</f>
        <v/>
      </c>
      <c r="EU11" s="31" t="str">
        <f>IFERROR(VLOOKUP([2]Pointage!EY5,Feuil1!$A:$B,2,FALSE),"")</f>
        <v/>
      </c>
      <c r="EV11" s="31" t="str">
        <f>IFERROR(VLOOKUP([2]Pointage!EZ5,Feuil1!$A:$B,2,FALSE),"")</f>
        <v/>
      </c>
      <c r="EW11" s="31" t="str">
        <f>IFERROR(VLOOKUP([2]Pointage!FA5,Feuil1!$A:$B,2,FALSE),"")</f>
        <v/>
      </c>
      <c r="EX11" s="31" t="str">
        <f>IFERROR(VLOOKUP([2]Pointage!FB5,Feuil1!$A:$B,2,FALSE),"")</f>
        <v/>
      </c>
      <c r="EY11" s="31" t="str">
        <f>IFERROR(VLOOKUP([2]Pointage!FC5,Feuil1!$A:$B,2,FALSE),"")</f>
        <v/>
      </c>
      <c r="EZ11" s="82" t="str">
        <f>IFERROR(VLOOKUP([2]Pointage!FD5,Feuil1!$A:$B,2,FALSE),"")</f>
        <v/>
      </c>
      <c r="FA11" s="47" t="str">
        <f>IFERROR(VLOOKUP([2]Pointage!FE5,Feuil1!$A:$B,2,FALSE),"")</f>
        <v/>
      </c>
      <c r="FB11" s="31" t="str">
        <f>IFERROR(VLOOKUP([2]Pointage!FF5,Feuil1!$A:$B,2,FALSE),"")</f>
        <v/>
      </c>
      <c r="FC11" s="31" t="str">
        <f>IFERROR(VLOOKUP([2]Pointage!FG5,Feuil1!$A:$B,2,FALSE),"")</f>
        <v/>
      </c>
      <c r="FD11" s="31" t="str">
        <f>IFERROR(VLOOKUP([2]Pointage!FH5,Feuil1!$A:$B,2,FALSE),"")</f>
        <v/>
      </c>
      <c r="FE11" s="31" t="str">
        <f>IFERROR(VLOOKUP([2]Pointage!FI5,Feuil1!$A:$B,2,FALSE),"")</f>
        <v/>
      </c>
      <c r="FF11" s="31" t="str">
        <f>IFERROR(VLOOKUP([2]Pointage!FJ5,Feuil1!$A:$B,2,FALSE),"")</f>
        <v/>
      </c>
      <c r="FG11" s="31" t="str">
        <f>IFERROR(VLOOKUP([2]Pointage!FK5,Feuil1!$A:$B,2,FALSE),"")</f>
        <v/>
      </c>
      <c r="FH11" s="31" t="str">
        <f>IFERROR(VLOOKUP([2]Pointage!FL5,Feuil1!$A:$B,2,FALSE),"")</f>
        <v/>
      </c>
      <c r="FI11" s="31" t="str">
        <f>IFERROR(VLOOKUP([2]Pointage!FM5,Feuil1!$A:$B,2,FALSE),"")</f>
        <v/>
      </c>
      <c r="FJ11" s="31" t="str">
        <f>IFERROR(VLOOKUP([2]Pointage!FN5,Feuil1!$A:$B,2,FALSE),"")</f>
        <v/>
      </c>
      <c r="FK11" s="31" t="str">
        <f>IFERROR(VLOOKUP([2]Pointage!FO5,Feuil1!$A:$B,2,FALSE),"")</f>
        <v/>
      </c>
      <c r="FL11" s="31" t="str">
        <f>IFERROR(VLOOKUP([2]Pointage!FP5,Feuil1!$A:$B,2,FALSE),"")</f>
        <v/>
      </c>
      <c r="FM11" s="31" t="str">
        <f>IFERROR(VLOOKUP([2]Pointage!FQ5,Feuil1!$A:$B,2,FALSE),"")</f>
        <v/>
      </c>
      <c r="FN11" s="31" t="str">
        <f>IFERROR(VLOOKUP([2]Pointage!FR5,Feuil1!$A:$B,2,FALSE),"")</f>
        <v/>
      </c>
      <c r="FO11" s="31" t="str">
        <f>IFERROR(VLOOKUP([2]Pointage!FS5,Feuil1!$A:$B,2,FALSE),"")</f>
        <v/>
      </c>
      <c r="FP11" s="31" t="str">
        <f>IFERROR(VLOOKUP([2]Pointage!FT5,Feuil1!$A:$B,2,FALSE),"")</f>
        <v/>
      </c>
      <c r="FQ11" s="31" t="str">
        <f>IFERROR(VLOOKUP([2]Pointage!FU5,Feuil1!$A:$B,2,FALSE),"")</f>
        <v/>
      </c>
      <c r="FR11" s="31" t="str">
        <f>IFERROR(VLOOKUP([2]Pointage!FV5,Feuil1!$A:$B,2,FALSE),"")</f>
        <v/>
      </c>
      <c r="FS11" s="31" t="str">
        <f>IFERROR(VLOOKUP([2]Pointage!FW5,Feuil1!$A:$B,2,FALSE),"")</f>
        <v/>
      </c>
      <c r="FT11" s="31" t="str">
        <f>IFERROR(VLOOKUP([2]Pointage!FX5,Feuil1!$A:$B,2,FALSE),"")</f>
        <v/>
      </c>
      <c r="FU11" s="31" t="str">
        <f>IFERROR(VLOOKUP([2]Pointage!FY5,Feuil1!$A:$B,2,FALSE),"")</f>
        <v/>
      </c>
      <c r="FV11" s="31" t="str">
        <f>IFERROR(VLOOKUP([2]Pointage!FZ5,Feuil1!$A:$B,2,FALSE),"")</f>
        <v/>
      </c>
      <c r="FW11" s="31" t="str">
        <f>IFERROR(VLOOKUP([2]Pointage!GA5,Feuil1!$A:$B,2,FALSE),"")</f>
        <v/>
      </c>
      <c r="FX11" s="31" t="str">
        <f>IFERROR(VLOOKUP([2]Pointage!GB5,Feuil1!$A:$B,2,FALSE),"")</f>
        <v/>
      </c>
      <c r="FY11" s="31" t="str">
        <f>IFERROR(VLOOKUP([2]Pointage!GC5,Feuil1!$A:$B,2,FALSE),"")</f>
        <v>C</v>
      </c>
      <c r="FZ11" s="31" t="str">
        <f>IFERROR(VLOOKUP([2]Pointage!GD5,Feuil1!$A:$B,2,FALSE),"")</f>
        <v/>
      </c>
      <c r="GA11" s="31" t="str">
        <f>IFERROR(VLOOKUP([2]Pointage!GE5,Feuil1!$A:$B,2,FALSE),"")</f>
        <v/>
      </c>
      <c r="GB11" s="31" t="str">
        <f>IFERROR(VLOOKUP([2]Pointage!GF5,Feuil1!$A:$B,2,FALSE),"")</f>
        <v/>
      </c>
      <c r="GC11" s="31" t="str">
        <f>IFERROR(VLOOKUP([2]Pointage!GG5,Feuil1!$A:$B,2,FALSE),"")</f>
        <v/>
      </c>
      <c r="GD11" s="82" t="str">
        <f>IFERROR(VLOOKUP([2]Pointage!GH5,Feuil1!$A:$B,2,FALSE),"")</f>
        <v/>
      </c>
      <c r="GE11" s="47" t="str">
        <f>IFERROR(VLOOKUP([2]Pointage!GI5,Feuil1!$A:$B,2,FALSE),"")</f>
        <v/>
      </c>
      <c r="GF11" s="31" t="str">
        <f>IFERROR(VLOOKUP([2]Pointage!GJ5,Feuil1!$A:$B,2,FALSE),"")</f>
        <v/>
      </c>
      <c r="GG11" s="31" t="str">
        <f>IFERROR(VLOOKUP([2]Pointage!GK5,Feuil1!$A:$B,2,FALSE),"")</f>
        <v/>
      </c>
      <c r="GH11" s="31" t="str">
        <f>IFERROR(VLOOKUP([2]Pointage!GL5,Feuil1!$A:$B,2,FALSE),"")</f>
        <v/>
      </c>
      <c r="GI11" s="31" t="str">
        <f>IFERROR(VLOOKUP([2]Pointage!GM5,Feuil1!$A:$B,2,FALSE),"")</f>
        <v/>
      </c>
      <c r="GJ11" s="31" t="str">
        <f>IFERROR(VLOOKUP([2]Pointage!GN5,Feuil1!$A:$B,2,FALSE),"")</f>
        <v/>
      </c>
      <c r="GK11" s="31" t="str">
        <f>IFERROR(VLOOKUP([2]Pointage!GO5,Feuil1!$A:$B,2,FALSE),"")</f>
        <v/>
      </c>
      <c r="GL11" s="31" t="str">
        <f>IFERROR(VLOOKUP([2]Pointage!GP5,Feuil1!$A:$B,2,FALSE),"")</f>
        <v/>
      </c>
      <c r="GM11" s="31" t="str">
        <f>IFERROR(VLOOKUP([2]Pointage!GQ5,Feuil1!$A:$B,2,FALSE),"")</f>
        <v/>
      </c>
      <c r="GN11" s="31" t="str">
        <f>IFERROR(VLOOKUP([2]Pointage!GR5,Feuil1!$A:$B,2,FALSE),"")</f>
        <v/>
      </c>
      <c r="GO11" s="31" t="str">
        <f>IFERROR(VLOOKUP([2]Pointage!GS5,Feuil1!$A:$B,2,FALSE),"")</f>
        <v/>
      </c>
      <c r="GP11" s="31" t="str">
        <f>IFERROR(VLOOKUP([2]Pointage!GT5,Feuil1!$A:$B,2,FALSE),"")</f>
        <v/>
      </c>
      <c r="GQ11" s="31" t="str">
        <f>IFERROR(VLOOKUP([2]Pointage!GU5,Feuil1!$A:$B,2,FALSE),"")</f>
        <v/>
      </c>
      <c r="GR11" s="31" t="str">
        <f>IFERROR(VLOOKUP([2]Pointage!GV5,Feuil1!$A:$B,2,FALSE),"")</f>
        <v/>
      </c>
      <c r="GS11" s="31" t="str">
        <f>IFERROR(VLOOKUP([2]Pointage!GW5,Feuil1!$A:$B,2,FALSE),"")</f>
        <v/>
      </c>
      <c r="GT11" s="31" t="str">
        <f>IFERROR(VLOOKUP([2]Pointage!GX5,Feuil1!$A:$B,2,FALSE),"")</f>
        <v/>
      </c>
      <c r="GU11" s="31" t="str">
        <f>IFERROR(VLOOKUP([2]Pointage!GY5,Feuil1!$A:$B,2,FALSE),"")</f>
        <v/>
      </c>
      <c r="GV11" s="31" t="str">
        <f>IFERROR(VLOOKUP([2]Pointage!GZ5,Feuil1!$A:$B,2,FALSE),"")</f>
        <v/>
      </c>
      <c r="GW11" s="31" t="str">
        <f>IFERROR(VLOOKUP([2]Pointage!HA5,Feuil1!$A:$B,2,FALSE),"")</f>
        <v/>
      </c>
      <c r="GX11" s="31" t="str">
        <f>IFERROR(VLOOKUP([2]Pointage!HB5,Feuil1!$A:$B,2,FALSE),"")</f>
        <v/>
      </c>
      <c r="GY11" s="31" t="str">
        <f>IFERROR(VLOOKUP([2]Pointage!HC5,Feuil1!$A:$B,2,FALSE),"")</f>
        <v/>
      </c>
      <c r="GZ11" s="31" t="str">
        <f>IFERROR(VLOOKUP([2]Pointage!HD5,Feuil1!$A:$B,2,FALSE),"")</f>
        <v/>
      </c>
      <c r="HA11" s="31" t="str">
        <f>IFERROR(VLOOKUP([2]Pointage!HE5,Feuil1!$A:$B,2,FALSE),"")</f>
        <v/>
      </c>
      <c r="HB11" s="31" t="str">
        <f>IFERROR(VLOOKUP([2]Pointage!HF5,Feuil1!$A:$B,2,FALSE),"")</f>
        <v/>
      </c>
      <c r="HC11" s="31" t="str">
        <f>IFERROR(VLOOKUP([2]Pointage!HG5,Feuil1!$A:$B,2,FALSE),"")</f>
        <v/>
      </c>
      <c r="HD11" s="31" t="str">
        <f>IFERROR(VLOOKUP([2]Pointage!HH5,Feuil1!$A:$B,2,FALSE),"")</f>
        <v/>
      </c>
      <c r="HE11" s="31" t="str">
        <f>IFERROR(VLOOKUP([2]Pointage!HI5,Feuil1!$A:$B,2,FALSE),"")</f>
        <v/>
      </c>
      <c r="HF11" s="31" t="str">
        <f>IFERROR(VLOOKUP([2]Pointage!HJ5,Feuil1!$A:$B,2,FALSE),"")</f>
        <v/>
      </c>
      <c r="HG11" s="31" t="str">
        <f>IFERROR(VLOOKUP([2]Pointage!HK5,Feuil1!$A:$B,2,FALSE),"")</f>
        <v/>
      </c>
      <c r="HH11" s="31" t="str">
        <f>IFERROR(VLOOKUP([2]Pointage!HL5,Feuil1!$A:$B,2,FALSE),"")</f>
        <v>C</v>
      </c>
      <c r="HI11" s="82" t="str">
        <f>IFERROR(VLOOKUP([2]Pointage!HM5,Feuil1!$A:$B,2,FALSE),"")</f>
        <v>C</v>
      </c>
      <c r="HJ11" s="47" t="str">
        <f>IFERROR(VLOOKUP([2]Pointage!HN5,Feuil1!$A:$B,2,FALSE),"")</f>
        <v>C</v>
      </c>
      <c r="HK11" s="31" t="str">
        <f>IFERROR(VLOOKUP([2]Pointage!HO5,Feuil1!$A:$B,2,FALSE),"")</f>
        <v>C</v>
      </c>
      <c r="HL11" s="31" t="str">
        <f>IFERROR(VLOOKUP([2]Pointage!HP5,Feuil1!$A:$B,2,FALSE),"")</f>
        <v>C</v>
      </c>
      <c r="HM11" s="31" t="str">
        <f>IFERROR(VLOOKUP([2]Pointage!HQ5,Feuil1!$A:$B,2,FALSE),"")</f>
        <v/>
      </c>
      <c r="HN11" s="31" t="str">
        <f>IFERROR(VLOOKUP([2]Pointage!HR5,Feuil1!$A:$B,2,FALSE),"")</f>
        <v/>
      </c>
      <c r="HO11" s="31" t="str">
        <f>IFERROR(VLOOKUP([2]Pointage!HS5,Feuil1!$A:$B,2,FALSE),"")</f>
        <v>C</v>
      </c>
      <c r="HP11" s="31" t="str">
        <f>IFERROR(VLOOKUP([2]Pointage!HT5,Feuil1!$A:$B,2,FALSE),"")</f>
        <v>C</v>
      </c>
      <c r="HQ11" s="31" t="str">
        <f>IFERROR(VLOOKUP([2]Pointage!HU5,Feuil1!$A:$B,2,FALSE),"")</f>
        <v>C</v>
      </c>
      <c r="HR11" s="31" t="str">
        <f>IFERROR(VLOOKUP([2]Pointage!HV5,Feuil1!$A:$B,2,FALSE),"")</f>
        <v>C</v>
      </c>
      <c r="HS11" s="31" t="str">
        <f>IFERROR(VLOOKUP([2]Pointage!HW5,Feuil1!$A:$B,2,FALSE),"")</f>
        <v>C</v>
      </c>
      <c r="HT11" s="31" t="str">
        <f>IFERROR(VLOOKUP([2]Pointage!HX5,Feuil1!$A:$B,2,FALSE),"")</f>
        <v/>
      </c>
      <c r="HU11" s="31" t="str">
        <f>IFERROR(VLOOKUP([2]Pointage!HY5,Feuil1!$A:$B,2,FALSE),"")</f>
        <v/>
      </c>
      <c r="HV11" s="31" t="str">
        <f>IFERROR(VLOOKUP([2]Pointage!HZ5,Feuil1!$A:$B,2,FALSE),"")</f>
        <v/>
      </c>
      <c r="HW11" s="31" t="str">
        <f>IFERROR(VLOOKUP([2]Pointage!IA5,Feuil1!$A:$B,2,FALSE),"")</f>
        <v/>
      </c>
      <c r="HX11" s="31" t="str">
        <f>IFERROR(VLOOKUP([2]Pointage!IB5,Feuil1!$A:$B,2,FALSE),"")</f>
        <v/>
      </c>
      <c r="HY11" s="31" t="str">
        <f>IFERROR(VLOOKUP([2]Pointage!IC5,Feuil1!$A:$B,2,FALSE),"")</f>
        <v/>
      </c>
      <c r="HZ11" s="31" t="str">
        <f>IFERROR(VLOOKUP([2]Pointage!ID5,Feuil1!$A:$B,2,FALSE),"")</f>
        <v/>
      </c>
      <c r="IA11" s="31" t="str">
        <f>IFERROR(VLOOKUP([2]Pointage!IE5,Feuil1!$A:$B,2,FALSE),"")</f>
        <v/>
      </c>
      <c r="IB11" s="31" t="str">
        <f>IFERROR(VLOOKUP([2]Pointage!IF5,Feuil1!$A:$B,2,FALSE),"")</f>
        <v/>
      </c>
      <c r="IC11" s="31" t="str">
        <f>IFERROR(VLOOKUP([2]Pointage!IG5,Feuil1!$A:$B,2,FALSE),"")</f>
        <v/>
      </c>
      <c r="ID11" s="31" t="str">
        <f>IFERROR(VLOOKUP([2]Pointage!IH5,Feuil1!$A:$B,2,FALSE),"")</f>
        <v/>
      </c>
      <c r="IE11" s="31" t="str">
        <f>IFERROR(VLOOKUP([2]Pointage!II5,Feuil1!$A:$B,2,FALSE),"")</f>
        <v/>
      </c>
      <c r="IF11" s="31" t="str">
        <f>IFERROR(VLOOKUP([2]Pointage!IJ5,Feuil1!$A:$B,2,FALSE),"")</f>
        <v/>
      </c>
      <c r="IG11" s="31" t="str">
        <f>IFERROR(VLOOKUP([2]Pointage!IK5,Feuil1!$A:$B,2,FALSE),"")</f>
        <v/>
      </c>
      <c r="IH11" s="31" t="str">
        <f>IFERROR(VLOOKUP([2]Pointage!IL5,Feuil1!$A:$B,2,FALSE),"")</f>
        <v/>
      </c>
      <c r="II11" s="31" t="str">
        <f>IFERROR(VLOOKUP([2]Pointage!IM5,Feuil1!$A:$B,2,FALSE),"")</f>
        <v/>
      </c>
      <c r="IJ11" s="31" t="str">
        <f>IFERROR(VLOOKUP([2]Pointage!IN5,Feuil1!$A:$B,2,FALSE),"")</f>
        <v/>
      </c>
      <c r="IK11" s="31" t="str">
        <f>IFERROR(VLOOKUP([2]Pointage!IO5,Feuil1!$A:$B,2,FALSE),"")</f>
        <v/>
      </c>
      <c r="IL11" s="31" t="str">
        <f>IFERROR(VLOOKUP([2]Pointage!IP5,Feuil1!$A:$B,2,FALSE),"")</f>
        <v/>
      </c>
      <c r="IM11" s="31" t="str">
        <f>IFERROR(VLOOKUP([2]Pointage!IQ5,Feuil1!$A:$B,2,FALSE),"")</f>
        <v/>
      </c>
      <c r="IN11" s="82" t="str">
        <f>IFERROR(VLOOKUP([2]Pointage!IR5,Feuil1!$A:$B,2,FALSE),"")</f>
        <v/>
      </c>
      <c r="IO11" s="47" t="str">
        <f>IFERROR(VLOOKUP([2]Pointage!IS5,Feuil1!$A:$B,2,FALSE),"")</f>
        <v/>
      </c>
      <c r="IP11" s="31" t="str">
        <f>IFERROR(VLOOKUP([2]Pointage!IT5,Feuil1!$A:$B,2,FALSE),"")</f>
        <v/>
      </c>
      <c r="IQ11" s="31" t="str">
        <f>IFERROR(VLOOKUP([2]Pointage!IU5,Feuil1!$A:$B,2,FALSE),"")</f>
        <v/>
      </c>
      <c r="IR11" s="31" t="str">
        <f>IFERROR(VLOOKUP([2]Pointage!IV5,Feuil1!$A:$B,2,FALSE),"")</f>
        <v/>
      </c>
      <c r="IS11" s="31" t="str">
        <f>IFERROR(VLOOKUP([2]Pointage!IW5,Feuil1!$A:$B,2,FALSE),"")</f>
        <v/>
      </c>
      <c r="IT11" s="31" t="str">
        <f>IFERROR(VLOOKUP([2]Pointage!IX5,Feuil1!$A:$B,2,FALSE),"")</f>
        <v/>
      </c>
      <c r="IU11" s="31" t="str">
        <f>IFERROR(VLOOKUP([2]Pointage!IY5,Feuil1!$A:$B,2,FALSE),"")</f>
        <v/>
      </c>
      <c r="IV11" s="31" t="str">
        <f>IFERROR(VLOOKUP([2]Pointage!IZ5,Feuil1!$A:$B,2,FALSE),"")</f>
        <v/>
      </c>
      <c r="IW11" s="31" t="str">
        <f>IFERROR(VLOOKUP([2]Pointage!JA5,Feuil1!$A:$B,2,FALSE),"")</f>
        <v/>
      </c>
      <c r="IX11" s="31" t="str">
        <f>IFERROR(VLOOKUP([2]Pointage!JB5,Feuil1!$A:$B,2,FALSE),"")</f>
        <v/>
      </c>
      <c r="IY11" s="31" t="str">
        <f>IFERROR(VLOOKUP([2]Pointage!JC5,Feuil1!$A:$B,2,FALSE),"")</f>
        <v/>
      </c>
      <c r="IZ11" s="31" t="str">
        <f>IFERROR(VLOOKUP([2]Pointage!JD5,Feuil1!$A:$B,2,FALSE),"")</f>
        <v/>
      </c>
      <c r="JA11" s="31" t="str">
        <f>IFERROR(VLOOKUP([2]Pointage!JE5,Feuil1!$A:$B,2,FALSE),"")</f>
        <v/>
      </c>
      <c r="JB11" s="31" t="str">
        <f>IFERROR(VLOOKUP([2]Pointage!JF5,Feuil1!$A:$B,2,FALSE),"")</f>
        <v/>
      </c>
      <c r="JC11" s="31" t="str">
        <f>IFERROR(VLOOKUP([2]Pointage!JG5,Feuil1!$A:$B,2,FALSE),"")</f>
        <v/>
      </c>
      <c r="JD11" s="31" t="str">
        <f>IFERROR(VLOOKUP([2]Pointage!JH5,Feuil1!$A:$B,2,FALSE),"")</f>
        <v/>
      </c>
      <c r="JE11" s="31" t="str">
        <f>IFERROR(VLOOKUP([2]Pointage!JI5,Feuil1!$A:$B,2,FALSE),"")</f>
        <v/>
      </c>
      <c r="JF11" s="31" t="str">
        <f>IFERROR(VLOOKUP([2]Pointage!JJ5,Feuil1!$A:$B,2,FALSE),"")</f>
        <v/>
      </c>
      <c r="JG11" s="31" t="str">
        <f>IFERROR(VLOOKUP([2]Pointage!JK5,Feuil1!$A:$B,2,FALSE),"")</f>
        <v/>
      </c>
      <c r="JH11" s="31" t="str">
        <f>IFERROR(VLOOKUP([2]Pointage!JL5,Feuil1!$A:$B,2,FALSE),"")</f>
        <v/>
      </c>
      <c r="JI11" s="31" t="str">
        <f>IFERROR(VLOOKUP([2]Pointage!JM5,Feuil1!$A:$B,2,FALSE),"")</f>
        <v/>
      </c>
      <c r="JJ11" s="31" t="str">
        <f>IFERROR(VLOOKUP([2]Pointage!JN5,Feuil1!$A:$B,2,FALSE),"")</f>
        <v/>
      </c>
      <c r="JK11" s="31" t="str">
        <f>IFERROR(VLOOKUP([2]Pointage!JO5,Feuil1!$A:$B,2,FALSE),"")</f>
        <v/>
      </c>
      <c r="JL11" s="31" t="str">
        <f>IFERROR(VLOOKUP([2]Pointage!JP5,Feuil1!$A:$B,2,FALSE),"")</f>
        <v/>
      </c>
      <c r="JM11" s="31" t="str">
        <f>IFERROR(VLOOKUP([2]Pointage!JQ5,Feuil1!$A:$B,2,FALSE),"")</f>
        <v/>
      </c>
      <c r="JN11" s="31" t="str">
        <f>IFERROR(VLOOKUP([2]Pointage!JR5,Feuil1!$A:$B,2,FALSE),"")</f>
        <v/>
      </c>
      <c r="JO11" s="31" t="str">
        <f>IFERROR(VLOOKUP([2]Pointage!JS5,Feuil1!$A:$B,2,FALSE),"")</f>
        <v/>
      </c>
      <c r="JP11" s="31" t="str">
        <f>IFERROR(VLOOKUP([2]Pointage!JT5,Feuil1!$A:$B,2,FALSE),"")</f>
        <v/>
      </c>
      <c r="JQ11" s="31" t="str">
        <f>IFERROR(VLOOKUP([2]Pointage!JU5,Feuil1!$A:$B,2,FALSE),"")</f>
        <v/>
      </c>
      <c r="JR11" s="82" t="str">
        <f>IFERROR(VLOOKUP([2]Pointage!JV5,Feuil1!$A:$B,2,FALSE),"")</f>
        <v/>
      </c>
      <c r="JS11" s="47" t="str">
        <f>IFERROR(VLOOKUP([2]Pointage!JW5,Feuil1!$A:$B,2,FALSE),"")</f>
        <v/>
      </c>
      <c r="JT11" s="31" t="str">
        <f>IFERROR(VLOOKUP([2]Pointage!JX5,Feuil1!$A:$B,2,FALSE),"")</f>
        <v/>
      </c>
      <c r="JU11" s="31" t="str">
        <f>IFERROR(VLOOKUP([2]Pointage!JY5,Feuil1!$A:$B,2,FALSE),"")</f>
        <v/>
      </c>
      <c r="JV11" s="31" t="str">
        <f>IFERROR(VLOOKUP([2]Pointage!JZ5,Feuil1!$A:$B,2,FALSE),"")</f>
        <v/>
      </c>
      <c r="JW11" s="31" t="str">
        <f>IFERROR(VLOOKUP([2]Pointage!KA5,Feuil1!$A:$B,2,FALSE),"")</f>
        <v/>
      </c>
      <c r="JX11" s="31" t="str">
        <f>IFERROR(VLOOKUP([2]Pointage!KB5,Feuil1!$A:$B,2,FALSE),"")</f>
        <v/>
      </c>
      <c r="JY11" s="31" t="str">
        <f>IFERROR(VLOOKUP([2]Pointage!KC5,Feuil1!$A:$B,2,FALSE),"")</f>
        <v/>
      </c>
      <c r="JZ11" s="31" t="str">
        <f>IFERROR(VLOOKUP([2]Pointage!KD5,Feuil1!$A:$B,2,FALSE),"")</f>
        <v/>
      </c>
      <c r="KA11" s="31" t="str">
        <f>IFERROR(VLOOKUP([2]Pointage!KE5,Feuil1!$A:$B,2,FALSE),"")</f>
        <v/>
      </c>
      <c r="KB11" s="31" t="str">
        <f>IFERROR(VLOOKUP([2]Pointage!KF5,Feuil1!$A:$B,2,FALSE),"")</f>
        <v/>
      </c>
      <c r="KC11" s="31" t="str">
        <f>IFERROR(VLOOKUP([2]Pointage!KG5,Feuil1!$A:$B,2,FALSE),"")</f>
        <v/>
      </c>
      <c r="KD11" s="31" t="str">
        <f>IFERROR(VLOOKUP([2]Pointage!KH5,Feuil1!$A:$B,2,FALSE),"")</f>
        <v/>
      </c>
      <c r="KE11" s="31" t="str">
        <f>IFERROR(VLOOKUP([2]Pointage!KI5,Feuil1!$A:$B,2,FALSE),"")</f>
        <v/>
      </c>
      <c r="KF11" s="31" t="str">
        <f>IFERROR(VLOOKUP([2]Pointage!KJ5,Feuil1!$A:$B,2,FALSE),"")</f>
        <v/>
      </c>
      <c r="KG11" s="31" t="str">
        <f>IFERROR(VLOOKUP([2]Pointage!KK5,Feuil1!$A:$B,2,FALSE),"")</f>
        <v/>
      </c>
      <c r="KH11" s="31" t="str">
        <f>IFERROR(VLOOKUP([2]Pointage!KL5,Feuil1!$A:$B,2,FALSE),"")</f>
        <v/>
      </c>
      <c r="KI11" s="31" t="str">
        <f>IFERROR(VLOOKUP([2]Pointage!KM5,Feuil1!$A:$B,2,FALSE),"")</f>
        <v/>
      </c>
      <c r="KJ11" s="31" t="str">
        <f>IFERROR(VLOOKUP([2]Pointage!KN5,Feuil1!$A:$B,2,FALSE),"")</f>
        <v/>
      </c>
      <c r="KK11" s="31" t="str">
        <f>IFERROR(VLOOKUP([2]Pointage!KO5,Feuil1!$A:$B,2,FALSE),"")</f>
        <v/>
      </c>
      <c r="KL11" s="31" t="str">
        <f>IFERROR(VLOOKUP([2]Pointage!KP5,Feuil1!$A:$B,2,FALSE),"")</f>
        <v/>
      </c>
      <c r="KM11" s="31" t="str">
        <f>IFERROR(VLOOKUP([2]Pointage!KQ5,Feuil1!$A:$B,2,FALSE),"")</f>
        <v/>
      </c>
      <c r="KN11" s="31" t="str">
        <f>IFERROR(VLOOKUP([2]Pointage!KR5,Feuil1!$A:$B,2,FALSE),"")</f>
        <v/>
      </c>
      <c r="KO11" s="31" t="str">
        <f>IFERROR(VLOOKUP([2]Pointage!KS5,Feuil1!$A:$B,2,FALSE),"")</f>
        <v/>
      </c>
      <c r="KP11" s="31" t="str">
        <f>IFERROR(VLOOKUP([2]Pointage!KT5,Feuil1!$A:$B,2,FALSE),"")</f>
        <v/>
      </c>
      <c r="KQ11" s="31" t="str">
        <f>IFERROR(VLOOKUP([2]Pointage!KU5,Feuil1!$A:$B,2,FALSE),"")</f>
        <v/>
      </c>
      <c r="KR11" s="31" t="str">
        <f>IFERROR(VLOOKUP([2]Pointage!KV5,Feuil1!$A:$B,2,FALSE),"")</f>
        <v/>
      </c>
      <c r="KS11" s="31" t="str">
        <f>IFERROR(VLOOKUP([2]Pointage!KW5,Feuil1!$A:$B,2,FALSE),"")</f>
        <v/>
      </c>
      <c r="KT11" s="31" t="str">
        <f>IFERROR(VLOOKUP([2]Pointage!KX5,Feuil1!$A:$B,2,FALSE),"")</f>
        <v/>
      </c>
      <c r="KU11" s="31" t="str">
        <f>IFERROR(VLOOKUP([2]Pointage!KY5,Feuil1!$A:$B,2,FALSE),"")</f>
        <v/>
      </c>
      <c r="KV11" s="31" t="str">
        <f>IFERROR(VLOOKUP([2]Pointage!KZ5,Feuil1!$A:$B,2,FALSE),"")</f>
        <v/>
      </c>
      <c r="KW11" s="82" t="str">
        <f>IFERROR(VLOOKUP([2]Pointage!LA5,Feuil1!$A:$B,2,FALSE),"")</f>
        <v/>
      </c>
      <c r="KX11" s="47" t="str">
        <f>IFERROR(VLOOKUP([2]Pointage!LB5,Feuil1!$A:$B,2,FALSE),"")</f>
        <v/>
      </c>
      <c r="KY11" s="31" t="str">
        <f>IFERROR(VLOOKUP([2]Pointage!LC5,Feuil1!$A:$B,2,FALSE),"")</f>
        <v/>
      </c>
      <c r="KZ11" s="31" t="str">
        <f>IFERROR(VLOOKUP([2]Pointage!LD5,Feuil1!$A:$B,2,FALSE),"")</f>
        <v/>
      </c>
      <c r="LA11" s="31" t="str">
        <f>IFERROR(VLOOKUP([2]Pointage!LE5,Feuil1!$A:$B,2,FALSE),"")</f>
        <v/>
      </c>
      <c r="LB11" s="31" t="str">
        <f>IFERROR(VLOOKUP([2]Pointage!LF5,Feuil1!$A:$B,2,FALSE),"")</f>
        <v/>
      </c>
      <c r="LC11" s="31" t="str">
        <f>IFERROR(VLOOKUP([2]Pointage!LG5,Feuil1!$A:$B,2,FALSE),"")</f>
        <v/>
      </c>
      <c r="LD11" s="31" t="str">
        <f>IFERROR(VLOOKUP([2]Pointage!LH5,Feuil1!$A:$B,2,FALSE),"")</f>
        <v/>
      </c>
      <c r="LE11" s="31" t="str">
        <f>IFERROR(VLOOKUP([2]Pointage!LI5,Feuil1!$A:$B,2,FALSE),"")</f>
        <v/>
      </c>
      <c r="LF11" s="31" t="str">
        <f>IFERROR(VLOOKUP([2]Pointage!LJ5,Feuil1!$A:$B,2,FALSE),"")</f>
        <v/>
      </c>
      <c r="LG11" s="31" t="str">
        <f>IFERROR(VLOOKUP([2]Pointage!LK5,Feuil1!$A:$B,2,FALSE),"")</f>
        <v/>
      </c>
      <c r="LH11" s="31" t="str">
        <f>IFERROR(VLOOKUP([2]Pointage!LL5,Feuil1!$A:$B,2,FALSE),"")</f>
        <v/>
      </c>
      <c r="LI11" s="31" t="str">
        <f>IFERROR(VLOOKUP([2]Pointage!LM5,Feuil1!$A:$B,2,FALSE),"")</f>
        <v/>
      </c>
      <c r="LJ11" s="31" t="str">
        <f>IFERROR(VLOOKUP([2]Pointage!LN5,Feuil1!$A:$B,2,FALSE),"")</f>
        <v/>
      </c>
      <c r="LK11" s="31" t="str">
        <f>IFERROR(VLOOKUP([2]Pointage!LO5,Feuil1!$A:$B,2,FALSE),"")</f>
        <v/>
      </c>
      <c r="LL11" s="31" t="str">
        <f>IFERROR(VLOOKUP([2]Pointage!LP5,Feuil1!$A:$B,2,FALSE),"")</f>
        <v/>
      </c>
      <c r="LM11" s="31" t="str">
        <f>IFERROR(VLOOKUP([2]Pointage!LQ5,Feuil1!$A:$B,2,FALSE),"")</f>
        <v/>
      </c>
      <c r="LN11" s="31" t="str">
        <f>IFERROR(VLOOKUP([2]Pointage!LR5,Feuil1!$A:$B,2,FALSE),"")</f>
        <v/>
      </c>
      <c r="LO11" s="31" t="str">
        <f>IFERROR(VLOOKUP([2]Pointage!LS5,Feuil1!$A:$B,2,FALSE),"")</f>
        <v/>
      </c>
      <c r="LP11" s="31" t="str">
        <f>IFERROR(VLOOKUP([2]Pointage!LT5,Feuil1!$A:$B,2,FALSE),"")</f>
        <v/>
      </c>
      <c r="LQ11" s="31" t="str">
        <f>IFERROR(VLOOKUP([2]Pointage!LU5,Feuil1!$A:$B,2,FALSE),"")</f>
        <v/>
      </c>
      <c r="LR11" s="31" t="str">
        <f>IFERROR(VLOOKUP([2]Pointage!LV5,Feuil1!$A:$B,2,FALSE),"")</f>
        <v/>
      </c>
      <c r="LS11" s="31" t="str">
        <f>IFERROR(VLOOKUP([2]Pointage!LW5,Feuil1!$A:$B,2,FALSE),"")</f>
        <v/>
      </c>
      <c r="LT11" s="31" t="str">
        <f>IFERROR(VLOOKUP([2]Pointage!LX5,Feuil1!$A:$B,2,FALSE),"")</f>
        <v/>
      </c>
      <c r="LU11" s="31" t="str">
        <f>IFERROR(VLOOKUP([2]Pointage!LY5,Feuil1!$A:$B,2,FALSE),"")</f>
        <v/>
      </c>
      <c r="LV11" s="31" t="str">
        <f>IFERROR(VLOOKUP([2]Pointage!LZ5,Feuil1!$A:$B,2,FALSE),"")</f>
        <v/>
      </c>
      <c r="LW11" s="31" t="str">
        <f>IFERROR(VLOOKUP([2]Pointage!MA5,Feuil1!$A:$B,2,FALSE),"")</f>
        <v/>
      </c>
      <c r="LX11" s="31" t="str">
        <f>IFERROR(VLOOKUP([2]Pointage!MB5,Feuil1!$A:$B,2,FALSE),"")</f>
        <v/>
      </c>
      <c r="LY11" s="31" t="str">
        <f>IFERROR(VLOOKUP([2]Pointage!MC5,Feuil1!$A:$B,2,FALSE),"")</f>
        <v/>
      </c>
      <c r="LZ11" s="31" t="str">
        <f>IFERROR(VLOOKUP([2]Pointage!MD5,Feuil1!$A:$B,2,FALSE),"")</f>
        <v/>
      </c>
      <c r="MA11" s="82" t="str">
        <f>IFERROR(VLOOKUP([2]Pointage!ME5,Feuil1!$A:$B,2,FALSE),"")</f>
        <v/>
      </c>
      <c r="MB11" s="47" t="str">
        <f>IFERROR(VLOOKUP([2]Pointage!MF5,Feuil1!$A:$B,2,FALSE),"")</f>
        <v/>
      </c>
      <c r="MC11" s="31" t="str">
        <f>IFERROR(VLOOKUP([2]Pointage!MG5,Feuil1!$A:$B,2,FALSE),"")</f>
        <v/>
      </c>
      <c r="MD11" s="31" t="str">
        <f>IFERROR(VLOOKUP([2]Pointage!MH5,Feuil1!$A:$B,2,FALSE),"")</f>
        <v/>
      </c>
      <c r="ME11" s="31" t="str">
        <f>IFERROR(VLOOKUP([2]Pointage!MI5,Feuil1!$A:$B,2,FALSE),"")</f>
        <v/>
      </c>
      <c r="MF11" s="31" t="str">
        <f>IFERROR(VLOOKUP([2]Pointage!MJ5,Feuil1!$A:$B,2,FALSE),"")</f>
        <v/>
      </c>
      <c r="MG11" s="31" t="str">
        <f>IFERROR(VLOOKUP([2]Pointage!MK5,Feuil1!$A:$B,2,FALSE),"")</f>
        <v/>
      </c>
      <c r="MH11" s="31" t="str">
        <f>IFERROR(VLOOKUP([2]Pointage!ML5,Feuil1!$A:$B,2,FALSE),"")</f>
        <v/>
      </c>
      <c r="MI11" s="31" t="str">
        <f>IFERROR(VLOOKUP([2]Pointage!MM5,Feuil1!$A:$B,2,FALSE),"")</f>
        <v/>
      </c>
      <c r="MJ11" s="31" t="str">
        <f>IFERROR(VLOOKUP([2]Pointage!MN5,Feuil1!$A:$B,2,FALSE),"")</f>
        <v/>
      </c>
      <c r="MK11" s="31" t="str">
        <f>IFERROR(VLOOKUP([2]Pointage!MO5,Feuil1!$A:$B,2,FALSE),"")</f>
        <v/>
      </c>
      <c r="ML11" s="31" t="str">
        <f>IFERROR(VLOOKUP([2]Pointage!MP5,Feuil1!$A:$B,2,FALSE),"")</f>
        <v/>
      </c>
      <c r="MM11" s="31" t="str">
        <f>IFERROR(VLOOKUP([2]Pointage!MQ5,Feuil1!$A:$B,2,FALSE),"")</f>
        <v/>
      </c>
      <c r="MN11" s="31" t="str">
        <f>IFERROR(VLOOKUP([2]Pointage!MR5,Feuil1!$A:$B,2,FALSE),"")</f>
        <v/>
      </c>
      <c r="MO11" s="31" t="str">
        <f>IFERROR(VLOOKUP([2]Pointage!MS5,Feuil1!$A:$B,2,FALSE),"")</f>
        <v/>
      </c>
      <c r="MP11" s="31" t="str">
        <f>IFERROR(VLOOKUP([2]Pointage!MT5,Feuil1!$A:$B,2,FALSE),"")</f>
        <v/>
      </c>
      <c r="MQ11" s="31" t="str">
        <f>IFERROR(VLOOKUP([2]Pointage!MU5,Feuil1!$A:$B,2,FALSE),"")</f>
        <v/>
      </c>
      <c r="MR11" s="31" t="str">
        <f>IFERROR(VLOOKUP([2]Pointage!MV5,Feuil1!$A:$B,2,FALSE),"")</f>
        <v/>
      </c>
      <c r="MS11" s="31" t="str">
        <f>IFERROR(VLOOKUP([2]Pointage!MW5,Feuil1!$A:$B,2,FALSE),"")</f>
        <v/>
      </c>
      <c r="MT11" s="31" t="str">
        <f>IFERROR(VLOOKUP([2]Pointage!MX5,Feuil1!$A:$B,2,FALSE),"")</f>
        <v/>
      </c>
      <c r="MU11" s="31" t="str">
        <f>IFERROR(VLOOKUP([2]Pointage!MY5,Feuil1!$A:$B,2,FALSE),"")</f>
        <v/>
      </c>
      <c r="MV11" s="31" t="str">
        <f>IFERROR(VLOOKUP([2]Pointage!MZ5,Feuil1!$A:$B,2,FALSE),"")</f>
        <v/>
      </c>
      <c r="MW11" s="31" t="str">
        <f>IFERROR(VLOOKUP([2]Pointage!NA5,Feuil1!$A:$B,2,FALSE),"")</f>
        <v/>
      </c>
      <c r="MX11" s="31" t="str">
        <f>IFERROR(VLOOKUP([2]Pointage!NB5,Feuil1!$A:$B,2,FALSE),"")</f>
        <v/>
      </c>
      <c r="MY11" s="31" t="str">
        <f>IFERROR(VLOOKUP([2]Pointage!NC5,Feuil1!$A:$B,2,FALSE),"")</f>
        <v/>
      </c>
      <c r="MZ11" s="31" t="str">
        <f>IFERROR(VLOOKUP([2]Pointage!ND5,Feuil1!$A:$B,2,FALSE),"")</f>
        <v/>
      </c>
      <c r="NA11" s="31" t="str">
        <f>IFERROR(VLOOKUP([2]Pointage!NE5,Feuil1!$A:$B,2,FALSE),"")</f>
        <v/>
      </c>
      <c r="NB11" s="31" t="str">
        <f>IFERROR(VLOOKUP([2]Pointage!NF5,Feuil1!$A:$B,2,FALSE),"")</f>
        <v/>
      </c>
      <c r="NC11" s="31" t="str">
        <f>IFERROR(VLOOKUP([2]Pointage!NG5,Feuil1!$A:$B,2,FALSE),"")</f>
        <v/>
      </c>
      <c r="ND11" s="31" t="str">
        <f>IFERROR(VLOOKUP([2]Pointage!NH5,Feuil1!$A:$B,2,FALSE),"")</f>
        <v/>
      </c>
      <c r="NE11" s="31" t="str">
        <f>IFERROR(VLOOKUP([2]Pointage!NI5,Feuil1!$A:$B,2,FALSE),"")</f>
        <v/>
      </c>
      <c r="NF11" s="48" t="str">
        <f>IFERROR(VLOOKUP([2]Pointage!NJ5,Feuil1!$A:$B,2,FALSE),"")</f>
        <v/>
      </c>
      <c r="NG11" s="52">
        <f>COUNTIF(Global!F11:NF11,"RTT")+(COUNTIF(Global!F11:NF11,"dRTT")/2)</f>
        <v>6</v>
      </c>
      <c r="NH11" s="42">
        <f>COUNTIF(Global!F11:NF11,"C")+(COUNTIF(Global!F11:NF11,"DC")/2)</f>
        <v>17</v>
      </c>
      <c r="NI11" s="42">
        <f>COUNTIF(Global!F11:NF11,"M")</f>
        <v>0</v>
      </c>
      <c r="NJ11" s="42">
        <f>COUNTIF(Global!G11:NG11,"AT")</f>
        <v>0</v>
      </c>
      <c r="NK11" s="42">
        <f>COUNTIF(Global!F11:NF11,"RD")</f>
        <v>0</v>
      </c>
      <c r="NL11" s="42">
        <f>COUNTIF(Global!F11:NF11,"RC")+(COUNTIF(Global!F11:NF11,"dRC")/2)</f>
        <v>0</v>
      </c>
      <c r="NM11" s="68">
        <f t="shared" ca="1" si="0"/>
        <v>4.0273972602739727</v>
      </c>
      <c r="NT11" s="33">
        <v>12</v>
      </c>
      <c r="NU11" s="33">
        <v>0</v>
      </c>
      <c r="NV11" s="28">
        <v>16.5</v>
      </c>
      <c r="NW11" s="28">
        <v>4.26</v>
      </c>
      <c r="NX11" s="29">
        <f>COUNTIF(F11:NF11,"C")++(COUNTIF(Global!F11:NF11,"DC")/2)</f>
        <v>17</v>
      </c>
      <c r="NY11" s="29"/>
      <c r="NZ11" s="29"/>
      <c r="OA11" s="29"/>
      <c r="OB11" s="29">
        <f>COUNTIF(Global!F11:NF11,"M")</f>
        <v>0</v>
      </c>
      <c r="OC11" s="30">
        <f t="shared" si="1"/>
        <v>11.5</v>
      </c>
      <c r="OD11" s="30"/>
    </row>
    <row r="12" spans="1:394" ht="30" customHeight="1" x14ac:dyDescent="0.2">
      <c r="A12" s="15" t="s">
        <v>68</v>
      </c>
      <c r="B12" s="22" t="s">
        <v>141</v>
      </c>
      <c r="C12" s="22" t="s">
        <v>142</v>
      </c>
      <c r="D12" s="22" t="s">
        <v>143</v>
      </c>
      <c r="E12" s="44">
        <v>0</v>
      </c>
      <c r="F12" s="47" t="str">
        <f>IFERROR(VLOOKUP([2]Pointage!J6,Feuil1!$A:$B,2,FALSE),"")</f>
        <v/>
      </c>
      <c r="G12" s="31" t="str">
        <f>IFERROR(VLOOKUP([2]Pointage!K6,Feuil1!$A:$B,2,FALSE),"")</f>
        <v>C</v>
      </c>
      <c r="H12" s="31" t="str">
        <f>IFERROR(VLOOKUP([2]Pointage!L6,Feuil1!$A:$B,2,FALSE),"")</f>
        <v>C</v>
      </c>
      <c r="I12" s="31" t="str">
        <f>IFERROR(VLOOKUP([2]Pointage!M6,Feuil1!$A:$B,2,FALSE),"")</f>
        <v>C</v>
      </c>
      <c r="J12" s="31" t="str">
        <f>IFERROR(VLOOKUP([2]Pointage!N6,Feuil1!$A:$B,2,FALSE),"")</f>
        <v>C</v>
      </c>
      <c r="K12" s="31" t="str">
        <f>IFERROR(VLOOKUP([2]Pointage!O6,Feuil1!$A:$B,2,FALSE),"")</f>
        <v/>
      </c>
      <c r="L12" s="31" t="str">
        <f>IFERROR(VLOOKUP([2]Pointage!P6,Feuil1!$A:$B,2,FALSE),"")</f>
        <v/>
      </c>
      <c r="M12" s="31" t="str">
        <f>IFERROR(VLOOKUP([2]Pointage!Q6,Feuil1!$A:$B,2,FALSE),"")</f>
        <v>C</v>
      </c>
      <c r="N12" s="31" t="str">
        <f>IFERROR(VLOOKUP([2]Pointage!R6,Feuil1!$A:$B,2,FALSE),"")</f>
        <v/>
      </c>
      <c r="O12" s="31" t="str">
        <f>IFERROR(VLOOKUP([2]Pointage!S6,Feuil1!$A:$B,2,FALSE),"")</f>
        <v/>
      </c>
      <c r="P12" s="31" t="str">
        <f>IFERROR(VLOOKUP([2]Pointage!T6,Feuil1!$A:$B,2,FALSE),"")</f>
        <v/>
      </c>
      <c r="Q12" s="31" t="str">
        <f>IFERROR(VLOOKUP([2]Pointage!U6,Feuil1!$A:$B,2,FALSE),"")</f>
        <v/>
      </c>
      <c r="R12" s="31" t="str">
        <f>IFERROR(VLOOKUP([2]Pointage!V6,Feuil1!$A:$B,2,FALSE),"")</f>
        <v/>
      </c>
      <c r="S12" s="31" t="str">
        <f>IFERROR(VLOOKUP([2]Pointage!W6,Feuil1!$A:$B,2,FALSE),"")</f>
        <v/>
      </c>
      <c r="T12" s="31" t="str">
        <f>IFERROR(VLOOKUP([2]Pointage!X6,Feuil1!$A:$B,2,FALSE),"")</f>
        <v>C</v>
      </c>
      <c r="U12" s="31" t="str">
        <f>IFERROR(VLOOKUP([2]Pointage!Y6,Feuil1!$A:$B,2,FALSE),"")</f>
        <v/>
      </c>
      <c r="V12" s="31" t="str">
        <f>IFERROR(VLOOKUP([2]Pointage!Z6,Feuil1!$A:$B,2,FALSE),"")</f>
        <v/>
      </c>
      <c r="W12" s="31" t="str">
        <f>IFERROR(VLOOKUP([2]Pointage!AA6,Feuil1!$A:$B,2,FALSE),"")</f>
        <v/>
      </c>
      <c r="X12" s="31" t="str">
        <f>IFERROR(VLOOKUP([2]Pointage!AB6,Feuil1!$A:$B,2,FALSE),"")</f>
        <v/>
      </c>
      <c r="Y12" s="31" t="str">
        <f>IFERROR(VLOOKUP([2]Pointage!AC6,Feuil1!$A:$B,2,FALSE),"")</f>
        <v/>
      </c>
      <c r="Z12" s="31" t="str">
        <f>IFERROR(VLOOKUP([2]Pointage!AD6,Feuil1!$A:$B,2,FALSE),"")</f>
        <v/>
      </c>
      <c r="AA12" s="31" t="str">
        <f>IFERROR(VLOOKUP([2]Pointage!AE6,Feuil1!$A:$B,2,FALSE),"")</f>
        <v/>
      </c>
      <c r="AB12" s="31" t="str">
        <f>IFERROR(VLOOKUP([2]Pointage!AF6,Feuil1!$A:$B,2,FALSE),"")</f>
        <v/>
      </c>
      <c r="AC12" s="31" t="str">
        <f>IFERROR(VLOOKUP([2]Pointage!AG6,Feuil1!$A:$B,2,FALSE),"")</f>
        <v/>
      </c>
      <c r="AD12" s="31" t="str">
        <f>IFERROR(VLOOKUP([2]Pointage!AH6,Feuil1!$A:$B,2,FALSE),"")</f>
        <v/>
      </c>
      <c r="AE12" s="31" t="str">
        <f>IFERROR(VLOOKUP([2]Pointage!AI6,Feuil1!$A:$B,2,FALSE),"")</f>
        <v/>
      </c>
      <c r="AF12" s="31" t="str">
        <f>IFERROR(VLOOKUP([2]Pointage!AJ6,Feuil1!$A:$B,2,FALSE),"")</f>
        <v/>
      </c>
      <c r="AG12" s="31" t="str">
        <f>IFERROR(VLOOKUP([2]Pointage!AK6,Feuil1!$A:$B,2,FALSE),"")</f>
        <v/>
      </c>
      <c r="AH12" s="31" t="str">
        <f>IFERROR(VLOOKUP([2]Pointage!AL6,Feuil1!$A:$B,2,FALSE),"")</f>
        <v/>
      </c>
      <c r="AI12" s="31" t="str">
        <f>IFERROR(VLOOKUP([2]Pointage!AM6,Feuil1!$A:$B,2,FALSE),"")</f>
        <v/>
      </c>
      <c r="AJ12" s="82" t="str">
        <f>IFERROR(VLOOKUP([2]Pointage!AN6,Feuil1!$A:$B,2,FALSE),"")</f>
        <v/>
      </c>
      <c r="AK12" s="47" t="str">
        <f>IFERROR(VLOOKUP([2]Pointage!AO6,Feuil1!$A:$B,2,FALSE),"")</f>
        <v/>
      </c>
      <c r="AL12" s="31" t="str">
        <f>IFERROR(VLOOKUP([2]Pointage!AP6,Feuil1!$A:$B,2,FALSE),"")</f>
        <v/>
      </c>
      <c r="AM12" s="31" t="str">
        <f>IFERROR(VLOOKUP([2]Pointage!AQ6,Feuil1!$A:$B,2,FALSE),"")</f>
        <v/>
      </c>
      <c r="AN12" s="31" t="str">
        <f>IFERROR(VLOOKUP([2]Pointage!AR6,Feuil1!$A:$B,2,FALSE),"")</f>
        <v/>
      </c>
      <c r="AO12" s="31" t="str">
        <f>IFERROR(VLOOKUP([2]Pointage!AS6,Feuil1!$A:$B,2,FALSE),"")</f>
        <v/>
      </c>
      <c r="AP12" s="31" t="str">
        <f>IFERROR(VLOOKUP([2]Pointage!AT6,Feuil1!$A:$B,2,FALSE),"")</f>
        <v/>
      </c>
      <c r="AQ12" s="31" t="str">
        <f>IFERROR(VLOOKUP([2]Pointage!AU6,Feuil1!$A:$B,2,FALSE),"")</f>
        <v/>
      </c>
      <c r="AR12" s="31" t="str">
        <f>IFERROR(VLOOKUP([2]Pointage!AV6,Feuil1!$A:$B,2,FALSE),"")</f>
        <v/>
      </c>
      <c r="AS12" s="31" t="str">
        <f>IFERROR(VLOOKUP([2]Pointage!AW6,Feuil1!$A:$B,2,FALSE),"")</f>
        <v>C</v>
      </c>
      <c r="AT12" s="31" t="str">
        <f>IFERROR(VLOOKUP([2]Pointage!AX6,Feuil1!$A:$B,2,FALSE),"")</f>
        <v/>
      </c>
      <c r="AU12" s="31" t="str">
        <f>IFERROR(VLOOKUP([2]Pointage!AY6,Feuil1!$A:$B,2,FALSE),"")</f>
        <v/>
      </c>
      <c r="AV12" s="31" t="str">
        <f>IFERROR(VLOOKUP([2]Pointage!AZ6,Feuil1!$A:$B,2,FALSE),"")</f>
        <v/>
      </c>
      <c r="AW12" s="31" t="str">
        <f>IFERROR(VLOOKUP([2]Pointage!BA6,Feuil1!$A:$B,2,FALSE),"")</f>
        <v/>
      </c>
      <c r="AX12" s="31" t="str">
        <f>IFERROR(VLOOKUP([2]Pointage!BB6,Feuil1!$A:$B,2,FALSE),"")</f>
        <v/>
      </c>
      <c r="AY12" s="31" t="str">
        <f>IFERROR(VLOOKUP([2]Pointage!BC6,Feuil1!$A:$B,2,FALSE),"")</f>
        <v/>
      </c>
      <c r="AZ12" s="31" t="str">
        <f>IFERROR(VLOOKUP([2]Pointage!BD6,Feuil1!$A:$B,2,FALSE),"")</f>
        <v/>
      </c>
      <c r="BA12" s="31" t="str">
        <f>IFERROR(VLOOKUP([2]Pointage!BE6,Feuil1!$A:$B,2,FALSE),"")</f>
        <v/>
      </c>
      <c r="BB12" s="31" t="str">
        <f>IFERROR(VLOOKUP([2]Pointage!BF6,Feuil1!$A:$B,2,FALSE),"")</f>
        <v/>
      </c>
      <c r="BC12" s="31" t="str">
        <f>IFERROR(VLOOKUP([2]Pointage!BG6,Feuil1!$A:$B,2,FALSE),"")</f>
        <v/>
      </c>
      <c r="BD12" s="31" t="str">
        <f>IFERROR(VLOOKUP([2]Pointage!BH6,Feuil1!$A:$B,2,FALSE),"")</f>
        <v/>
      </c>
      <c r="BE12" s="31" t="str">
        <f>IFERROR(VLOOKUP([2]Pointage!BI6,Feuil1!$A:$B,2,FALSE),"")</f>
        <v/>
      </c>
      <c r="BF12" s="31" t="str">
        <f>IFERROR(VLOOKUP([2]Pointage!BJ6,Feuil1!$A:$B,2,FALSE),"")</f>
        <v/>
      </c>
      <c r="BG12" s="31" t="str">
        <f>IFERROR(VLOOKUP([2]Pointage!BK6,Feuil1!$A:$B,2,FALSE),"")</f>
        <v/>
      </c>
      <c r="BH12" s="31" t="str">
        <f>IFERROR(VLOOKUP([2]Pointage!BL6,Feuil1!$A:$B,2,FALSE),"")</f>
        <v/>
      </c>
      <c r="BI12" s="31" t="str">
        <f>IFERROR(VLOOKUP([2]Pointage!BM6,Feuil1!$A:$B,2,FALSE),"")</f>
        <v/>
      </c>
      <c r="BJ12" s="31" t="str">
        <f>IFERROR(VLOOKUP([2]Pointage!BN6,Feuil1!$A:$B,2,FALSE),"")</f>
        <v/>
      </c>
      <c r="BK12" s="31" t="str">
        <f>IFERROR(VLOOKUP([2]Pointage!BO6,Feuil1!$A:$B,2,FALSE),"")</f>
        <v/>
      </c>
      <c r="BL12" s="82" t="str">
        <f>IFERROR(VLOOKUP([2]Pointage!BP6,Feuil1!$A:$B,2,FALSE),"")</f>
        <v/>
      </c>
      <c r="BM12" s="47" t="str">
        <f>IFERROR(VLOOKUP([2]Pointage!BQ6,Feuil1!$A:$B,2,FALSE),"")</f>
        <v>C</v>
      </c>
      <c r="BN12" s="31" t="str">
        <f>IFERROR(VLOOKUP([2]Pointage!BR6,Feuil1!$A:$B,2,FALSE),"")</f>
        <v/>
      </c>
      <c r="BO12" s="31" t="str">
        <f>IFERROR(VLOOKUP([2]Pointage!BS6,Feuil1!$A:$B,2,FALSE),"")</f>
        <v/>
      </c>
      <c r="BP12" s="31" t="str">
        <f>IFERROR(VLOOKUP([2]Pointage!BT6,Feuil1!$A:$B,2,FALSE),"")</f>
        <v/>
      </c>
      <c r="BQ12" s="31" t="str">
        <f>IFERROR(VLOOKUP([2]Pointage!BU6,Feuil1!$A:$B,2,FALSE),"")</f>
        <v/>
      </c>
      <c r="BR12" s="31" t="str">
        <f>IFERROR(VLOOKUP([2]Pointage!BV6,Feuil1!$A:$B,2,FALSE),"")</f>
        <v/>
      </c>
      <c r="BS12" s="31" t="str">
        <f>IFERROR(VLOOKUP([2]Pointage!BW6,Feuil1!$A:$B,2,FALSE),"")</f>
        <v/>
      </c>
      <c r="BT12" s="31" t="str">
        <f>IFERROR(VLOOKUP([2]Pointage!BX6,Feuil1!$A:$B,2,FALSE),"")</f>
        <v/>
      </c>
      <c r="BU12" s="31" t="str">
        <f>IFERROR(VLOOKUP([2]Pointage!BY6,Feuil1!$A:$B,2,FALSE),"")</f>
        <v/>
      </c>
      <c r="BV12" s="31" t="str">
        <f>IFERROR(VLOOKUP([2]Pointage!BZ6,Feuil1!$A:$B,2,FALSE),"")</f>
        <v/>
      </c>
      <c r="BW12" s="31" t="str">
        <f>IFERROR(VLOOKUP([2]Pointage!CA6,Feuil1!$A:$B,2,FALSE),"")</f>
        <v/>
      </c>
      <c r="BX12" s="31" t="str">
        <f>IFERROR(VLOOKUP([2]Pointage!CB6,Feuil1!$A:$B,2,FALSE),"")</f>
        <v/>
      </c>
      <c r="BY12" s="31" t="str">
        <f>IFERROR(VLOOKUP([2]Pointage!CC6,Feuil1!$A:$B,2,FALSE),"")</f>
        <v/>
      </c>
      <c r="BZ12" s="31" t="str">
        <f>IFERROR(VLOOKUP([2]Pointage!CD6,Feuil1!$A:$B,2,FALSE),"")</f>
        <v/>
      </c>
      <c r="CA12" s="31" t="str">
        <f>IFERROR(VLOOKUP([2]Pointage!CE6,Feuil1!$A:$B,2,FALSE),"")</f>
        <v/>
      </c>
      <c r="CB12" s="31" t="str">
        <f>IFERROR(VLOOKUP([2]Pointage!CF6,Feuil1!$A:$B,2,FALSE),"")</f>
        <v/>
      </c>
      <c r="CC12" s="31" t="str">
        <f>IFERROR(VLOOKUP([2]Pointage!CG6,Feuil1!$A:$B,2,FALSE),"")</f>
        <v/>
      </c>
      <c r="CD12" s="31" t="str">
        <f>IFERROR(VLOOKUP([2]Pointage!CH6,Feuil1!$A:$B,2,FALSE),"")</f>
        <v/>
      </c>
      <c r="CE12" s="31" t="str">
        <f>IFERROR(VLOOKUP([2]Pointage!CI6,Feuil1!$A:$B,2,FALSE),"")</f>
        <v/>
      </c>
      <c r="CF12" s="31" t="str">
        <f>IFERROR(VLOOKUP([2]Pointage!CJ6,Feuil1!$A:$B,2,FALSE),"")</f>
        <v/>
      </c>
      <c r="CG12" s="31" t="str">
        <f>IFERROR(VLOOKUP([2]Pointage!CK6,Feuil1!$A:$B,2,FALSE),"")</f>
        <v/>
      </c>
      <c r="CH12" s="31" t="str">
        <f>IFERROR(VLOOKUP([2]Pointage!CL6,Feuil1!$A:$B,2,FALSE),"")</f>
        <v/>
      </c>
      <c r="CI12" s="31" t="str">
        <f>IFERROR(VLOOKUP([2]Pointage!CM6,Feuil1!$A:$B,2,FALSE),"")</f>
        <v>C</v>
      </c>
      <c r="CJ12" s="31" t="str">
        <f>IFERROR(VLOOKUP([2]Pointage!CN6,Feuil1!$A:$B,2,FALSE),"")</f>
        <v/>
      </c>
      <c r="CK12" s="31" t="str">
        <f>IFERROR(VLOOKUP([2]Pointage!CO6,Feuil1!$A:$B,2,FALSE),"")</f>
        <v/>
      </c>
      <c r="CL12" s="31" t="str">
        <f>IFERROR(VLOOKUP([2]Pointage!CP6,Feuil1!$A:$B,2,FALSE),"")</f>
        <v>C</v>
      </c>
      <c r="CM12" s="31" t="str">
        <f>IFERROR(VLOOKUP([2]Pointage!CQ6,Feuil1!$A:$B,2,FALSE),"")</f>
        <v>C</v>
      </c>
      <c r="CN12" s="31" t="str">
        <f>IFERROR(VLOOKUP([2]Pointage!CR6,Feuil1!$A:$B,2,FALSE),"")</f>
        <v>C</v>
      </c>
      <c r="CO12" s="31" t="str">
        <f>IFERROR(VLOOKUP([2]Pointage!CS6,Feuil1!$A:$B,2,FALSE),"")</f>
        <v>C</v>
      </c>
      <c r="CP12" s="31" t="str">
        <f>IFERROR(VLOOKUP([2]Pointage!CT6,Feuil1!$A:$B,2,FALSE),"")</f>
        <v>C</v>
      </c>
      <c r="CQ12" s="82" t="str">
        <f>IFERROR(VLOOKUP([2]Pointage!CU6,Feuil1!$A:$B,2,FALSE),"")</f>
        <v/>
      </c>
      <c r="CR12" s="47" t="str">
        <f>IFERROR(VLOOKUP([2]Pointage!CV6,Feuil1!$A:$B,2,FALSE),"")</f>
        <v/>
      </c>
      <c r="CS12" s="31" t="str">
        <f>IFERROR(VLOOKUP([2]Pointage!CW6,Feuil1!$A:$B,2,FALSE),"")</f>
        <v/>
      </c>
      <c r="CT12" s="31" t="str">
        <f>IFERROR(VLOOKUP([2]Pointage!CX6,Feuil1!$A:$B,2,FALSE),"")</f>
        <v>RTT</v>
      </c>
      <c r="CU12" s="31" t="str">
        <f>IFERROR(VLOOKUP([2]Pointage!CY6,Feuil1!$A:$B,2,FALSE),"")</f>
        <v>RTT</v>
      </c>
      <c r="CV12" s="31" t="str">
        <f>IFERROR(VLOOKUP([2]Pointage!CZ6,Feuil1!$A:$B,2,FALSE),"")</f>
        <v>RTT</v>
      </c>
      <c r="CW12" s="31" t="str">
        <f>IFERROR(VLOOKUP([2]Pointage!DA6,Feuil1!$A:$B,2,FALSE),"")</f>
        <v>RTT</v>
      </c>
      <c r="CX12" s="31" t="str">
        <f>IFERROR(VLOOKUP([2]Pointage!DB6,Feuil1!$A:$B,2,FALSE),"")</f>
        <v/>
      </c>
      <c r="CY12" s="31" t="str">
        <f>IFERROR(VLOOKUP([2]Pointage!DC6,Feuil1!$A:$B,2,FALSE),"")</f>
        <v/>
      </c>
      <c r="CZ12" s="31" t="str">
        <f>IFERROR(VLOOKUP([2]Pointage!DD6,Feuil1!$A:$B,2,FALSE),"")</f>
        <v/>
      </c>
      <c r="DA12" s="31" t="str">
        <f>IFERROR(VLOOKUP([2]Pointage!DE6,Feuil1!$A:$B,2,FALSE),"")</f>
        <v/>
      </c>
      <c r="DB12" s="31" t="str">
        <f>IFERROR(VLOOKUP([2]Pointage!DF6,Feuil1!$A:$B,2,FALSE),"")</f>
        <v/>
      </c>
      <c r="DC12" s="31" t="str">
        <f>IFERROR(VLOOKUP([2]Pointage!DG6,Feuil1!$A:$B,2,FALSE),"")</f>
        <v/>
      </c>
      <c r="DD12" s="31" t="str">
        <f>IFERROR(VLOOKUP([2]Pointage!DH6,Feuil1!$A:$B,2,FALSE),"")</f>
        <v/>
      </c>
      <c r="DE12" s="31" t="str">
        <f>IFERROR(VLOOKUP([2]Pointage!DI6,Feuil1!$A:$B,2,FALSE),"")</f>
        <v/>
      </c>
      <c r="DF12" s="31" t="str">
        <f>IFERROR(VLOOKUP([2]Pointage!DJ6,Feuil1!$A:$B,2,FALSE),"")</f>
        <v/>
      </c>
      <c r="DG12" s="31" t="str">
        <f>IFERROR(VLOOKUP([2]Pointage!DK6,Feuil1!$A:$B,2,FALSE),"")</f>
        <v/>
      </c>
      <c r="DH12" s="31" t="str">
        <f>IFERROR(VLOOKUP([2]Pointage!DL6,Feuil1!$A:$B,2,FALSE),"")</f>
        <v/>
      </c>
      <c r="DI12" s="31" t="str">
        <f>IFERROR(VLOOKUP([2]Pointage!DM6,Feuil1!$A:$B,2,FALSE),"")</f>
        <v/>
      </c>
      <c r="DJ12" s="31" t="str">
        <f>IFERROR(VLOOKUP([2]Pointage!DN6,Feuil1!$A:$B,2,FALSE),"")</f>
        <v/>
      </c>
      <c r="DK12" s="31" t="str">
        <f>IFERROR(VLOOKUP([2]Pointage!DO6,Feuil1!$A:$B,2,FALSE),"")</f>
        <v/>
      </c>
      <c r="DL12" s="31" t="str">
        <f>IFERROR(VLOOKUP([2]Pointage!DP6,Feuil1!$A:$B,2,FALSE),"")</f>
        <v/>
      </c>
      <c r="DM12" s="31" t="str">
        <f>IFERROR(VLOOKUP([2]Pointage!DQ6,Feuil1!$A:$B,2,FALSE),"")</f>
        <v/>
      </c>
      <c r="DN12" s="31" t="str">
        <f>IFERROR(VLOOKUP([2]Pointage!DR6,Feuil1!$A:$B,2,FALSE),"")</f>
        <v/>
      </c>
      <c r="DO12" s="31" t="str">
        <f>IFERROR(VLOOKUP([2]Pointage!DS6,Feuil1!$A:$B,2,FALSE),"")</f>
        <v/>
      </c>
      <c r="DP12" s="31" t="str">
        <f>IFERROR(VLOOKUP([2]Pointage!DT6,Feuil1!$A:$B,2,FALSE),"")</f>
        <v/>
      </c>
      <c r="DQ12" s="31" t="str">
        <f>IFERROR(VLOOKUP([2]Pointage!DU6,Feuil1!$A:$B,2,FALSE),"")</f>
        <v/>
      </c>
      <c r="DR12" s="31" t="str">
        <f>IFERROR(VLOOKUP([2]Pointage!DV6,Feuil1!$A:$B,2,FALSE),"")</f>
        <v>C</v>
      </c>
      <c r="DS12" s="31" t="str">
        <f>IFERROR(VLOOKUP([2]Pointage!DW6,Feuil1!$A:$B,2,FALSE),"")</f>
        <v/>
      </c>
      <c r="DT12" s="31" t="str">
        <f>IFERROR(VLOOKUP([2]Pointage!DX6,Feuil1!$A:$B,2,FALSE),"")</f>
        <v/>
      </c>
      <c r="DU12" s="82" t="str">
        <f>IFERROR(VLOOKUP([2]Pointage!DY6,Feuil1!$A:$B,2,FALSE),"")</f>
        <v>C</v>
      </c>
      <c r="DV12" s="47" t="str">
        <f>IFERROR(VLOOKUP([2]Pointage!DZ6,Feuil1!$A:$B,2,FALSE),"")</f>
        <v/>
      </c>
      <c r="DW12" s="31" t="str">
        <f>IFERROR(VLOOKUP([2]Pointage!EA6,Feuil1!$A:$B,2,FALSE),"")</f>
        <v>C</v>
      </c>
      <c r="DX12" s="31" t="str">
        <f>IFERROR(VLOOKUP([2]Pointage!EB6,Feuil1!$A:$B,2,FALSE),"")</f>
        <v>C</v>
      </c>
      <c r="DY12" s="31" t="str">
        <f>IFERROR(VLOOKUP([2]Pointage!EC6,Feuil1!$A:$B,2,FALSE),"")</f>
        <v>C</v>
      </c>
      <c r="DZ12" s="31" t="str">
        <f>IFERROR(VLOOKUP([2]Pointage!ED6,Feuil1!$A:$B,2,FALSE),"")</f>
        <v/>
      </c>
      <c r="EA12" s="31" t="str">
        <f>IFERROR(VLOOKUP([2]Pointage!EE6,Feuil1!$A:$B,2,FALSE),"")</f>
        <v/>
      </c>
      <c r="EB12" s="31" t="str">
        <f>IFERROR(VLOOKUP([2]Pointage!EF6,Feuil1!$A:$B,2,FALSE),"")</f>
        <v/>
      </c>
      <c r="EC12" s="31" t="str">
        <f>IFERROR(VLOOKUP([2]Pointage!EG6,Feuil1!$A:$B,2,FALSE),"")</f>
        <v/>
      </c>
      <c r="ED12" s="31" t="str">
        <f>IFERROR(VLOOKUP([2]Pointage!EH6,Feuil1!$A:$B,2,FALSE),"")</f>
        <v/>
      </c>
      <c r="EE12" s="31" t="str">
        <f>IFERROR(VLOOKUP([2]Pointage!EI6,Feuil1!$A:$B,2,FALSE),"")</f>
        <v/>
      </c>
      <c r="EF12" s="31" t="str">
        <f>IFERROR(VLOOKUP([2]Pointage!EJ6,Feuil1!$A:$B,2,FALSE),"")</f>
        <v/>
      </c>
      <c r="EG12" s="31" t="str">
        <f>IFERROR(VLOOKUP([2]Pointage!EK6,Feuil1!$A:$B,2,FALSE),"")</f>
        <v/>
      </c>
      <c r="EH12" s="31" t="str">
        <f>IFERROR(VLOOKUP([2]Pointage!EL6,Feuil1!$A:$B,2,FALSE),"")</f>
        <v/>
      </c>
      <c r="EI12" s="31" t="str">
        <f>IFERROR(VLOOKUP([2]Pointage!EM6,Feuil1!$A:$B,2,FALSE),"")</f>
        <v/>
      </c>
      <c r="EJ12" s="31" t="str">
        <f>IFERROR(VLOOKUP([2]Pointage!EN6,Feuil1!$A:$B,2,FALSE),"")</f>
        <v/>
      </c>
      <c r="EK12" s="31" t="str">
        <f>IFERROR(VLOOKUP([2]Pointage!EO6,Feuil1!$A:$B,2,FALSE),"")</f>
        <v/>
      </c>
      <c r="EL12" s="31" t="str">
        <f>IFERROR(VLOOKUP([2]Pointage!EP6,Feuil1!$A:$B,2,FALSE),"")</f>
        <v/>
      </c>
      <c r="EM12" s="31" t="str">
        <f>IFERROR(VLOOKUP([2]Pointage!EQ6,Feuil1!$A:$B,2,FALSE),"")</f>
        <v/>
      </c>
      <c r="EN12" s="31" t="str">
        <f>IFERROR(VLOOKUP([2]Pointage!ER6,Feuil1!$A:$B,2,FALSE),"")</f>
        <v/>
      </c>
      <c r="EO12" s="31" t="str">
        <f>IFERROR(VLOOKUP([2]Pointage!ES6,Feuil1!$A:$B,2,FALSE),"")</f>
        <v/>
      </c>
      <c r="EP12" s="31" t="str">
        <f>IFERROR(VLOOKUP([2]Pointage!ET6,Feuil1!$A:$B,2,FALSE),"")</f>
        <v/>
      </c>
      <c r="EQ12" s="31" t="str">
        <f>IFERROR(VLOOKUP([2]Pointage!EU6,Feuil1!$A:$B,2,FALSE),"")</f>
        <v/>
      </c>
      <c r="ER12" s="31" t="str">
        <f>IFERROR(VLOOKUP([2]Pointage!EV6,Feuil1!$A:$B,2,FALSE),"")</f>
        <v/>
      </c>
      <c r="ES12" s="31" t="str">
        <f>IFERROR(VLOOKUP([2]Pointage!EW6,Feuil1!$A:$B,2,FALSE),"")</f>
        <v/>
      </c>
      <c r="ET12" s="31" t="str">
        <f>IFERROR(VLOOKUP([2]Pointage!EX6,Feuil1!$A:$B,2,FALSE),"")</f>
        <v/>
      </c>
      <c r="EU12" s="31" t="str">
        <f>IFERROR(VLOOKUP([2]Pointage!EY6,Feuil1!$A:$B,2,FALSE),"")</f>
        <v/>
      </c>
      <c r="EV12" s="31" t="str">
        <f>IFERROR(VLOOKUP([2]Pointage!EZ6,Feuil1!$A:$B,2,FALSE),"")</f>
        <v/>
      </c>
      <c r="EW12" s="31" t="str">
        <f>IFERROR(VLOOKUP([2]Pointage!FA6,Feuil1!$A:$B,2,FALSE),"")</f>
        <v/>
      </c>
      <c r="EX12" s="31" t="str">
        <f>IFERROR(VLOOKUP([2]Pointage!FB6,Feuil1!$A:$B,2,FALSE),"")</f>
        <v/>
      </c>
      <c r="EY12" s="31" t="str">
        <f>IFERROR(VLOOKUP([2]Pointage!FC6,Feuil1!$A:$B,2,FALSE),"")</f>
        <v/>
      </c>
      <c r="EZ12" s="82" t="str">
        <f>IFERROR(VLOOKUP([2]Pointage!FD6,Feuil1!$A:$B,2,FALSE),"")</f>
        <v/>
      </c>
      <c r="FA12" s="47" t="str">
        <f>IFERROR(VLOOKUP([2]Pointage!FE6,Feuil1!$A:$B,2,FALSE),"")</f>
        <v/>
      </c>
      <c r="FB12" s="31" t="str">
        <f>IFERROR(VLOOKUP([2]Pointage!FF6,Feuil1!$A:$B,2,FALSE),"")</f>
        <v/>
      </c>
      <c r="FC12" s="31" t="str">
        <f>IFERROR(VLOOKUP([2]Pointage!FG6,Feuil1!$A:$B,2,FALSE),"")</f>
        <v/>
      </c>
      <c r="FD12" s="31" t="str">
        <f>IFERROR(VLOOKUP([2]Pointage!FH6,Feuil1!$A:$B,2,FALSE),"")</f>
        <v/>
      </c>
      <c r="FE12" s="31" t="str">
        <f>IFERROR(VLOOKUP([2]Pointage!FI6,Feuil1!$A:$B,2,FALSE),"")</f>
        <v/>
      </c>
      <c r="FF12" s="31" t="str">
        <f>IFERROR(VLOOKUP([2]Pointage!FJ6,Feuil1!$A:$B,2,FALSE),"")</f>
        <v/>
      </c>
      <c r="FG12" s="31" t="str">
        <f>IFERROR(VLOOKUP([2]Pointage!FK6,Feuil1!$A:$B,2,FALSE),"")</f>
        <v/>
      </c>
      <c r="FH12" s="31" t="str">
        <f>IFERROR(VLOOKUP([2]Pointage!FL6,Feuil1!$A:$B,2,FALSE),"")</f>
        <v/>
      </c>
      <c r="FI12" s="31" t="str">
        <f>IFERROR(VLOOKUP([2]Pointage!FM6,Feuil1!$A:$B,2,FALSE),"")</f>
        <v/>
      </c>
      <c r="FJ12" s="31" t="str">
        <f>IFERROR(VLOOKUP([2]Pointage!FN6,Feuil1!$A:$B,2,FALSE),"")</f>
        <v/>
      </c>
      <c r="FK12" s="31" t="str">
        <f>IFERROR(VLOOKUP([2]Pointage!FO6,Feuil1!$A:$B,2,FALSE),"")</f>
        <v/>
      </c>
      <c r="FL12" s="31" t="str">
        <f>IFERROR(VLOOKUP([2]Pointage!FP6,Feuil1!$A:$B,2,FALSE),"")</f>
        <v/>
      </c>
      <c r="FM12" s="31" t="str">
        <f>IFERROR(VLOOKUP([2]Pointage!FQ6,Feuil1!$A:$B,2,FALSE),"")</f>
        <v/>
      </c>
      <c r="FN12" s="31" t="str">
        <f>IFERROR(VLOOKUP([2]Pointage!FR6,Feuil1!$A:$B,2,FALSE),"")</f>
        <v/>
      </c>
      <c r="FO12" s="31" t="str">
        <f>IFERROR(VLOOKUP([2]Pointage!FS6,Feuil1!$A:$B,2,FALSE),"")</f>
        <v/>
      </c>
      <c r="FP12" s="31" t="str">
        <f>IFERROR(VLOOKUP([2]Pointage!FT6,Feuil1!$A:$B,2,FALSE),"")</f>
        <v/>
      </c>
      <c r="FQ12" s="31" t="str">
        <f>IFERROR(VLOOKUP([2]Pointage!FU6,Feuil1!$A:$B,2,FALSE),"")</f>
        <v/>
      </c>
      <c r="FR12" s="31" t="str">
        <f>IFERROR(VLOOKUP([2]Pointage!FV6,Feuil1!$A:$B,2,FALSE),"")</f>
        <v/>
      </c>
      <c r="FS12" s="31" t="str">
        <f>IFERROR(VLOOKUP([2]Pointage!FW6,Feuil1!$A:$B,2,FALSE),"")</f>
        <v/>
      </c>
      <c r="FT12" s="31" t="str">
        <f>IFERROR(VLOOKUP([2]Pointage!FX6,Feuil1!$A:$B,2,FALSE),"")</f>
        <v/>
      </c>
      <c r="FU12" s="31" t="str">
        <f>IFERROR(VLOOKUP([2]Pointage!FY6,Feuil1!$A:$B,2,FALSE),"")</f>
        <v/>
      </c>
      <c r="FV12" s="31" t="str">
        <f>IFERROR(VLOOKUP([2]Pointage!FZ6,Feuil1!$A:$B,2,FALSE),"")</f>
        <v/>
      </c>
      <c r="FW12" s="31" t="str">
        <f>IFERROR(VLOOKUP([2]Pointage!GA6,Feuil1!$A:$B,2,FALSE),"")</f>
        <v/>
      </c>
      <c r="FX12" s="31" t="str">
        <f>IFERROR(VLOOKUP([2]Pointage!GB6,Feuil1!$A:$B,2,FALSE),"")</f>
        <v/>
      </c>
      <c r="FY12" s="31" t="str">
        <f>IFERROR(VLOOKUP([2]Pointage!GC6,Feuil1!$A:$B,2,FALSE),"")</f>
        <v/>
      </c>
      <c r="FZ12" s="31" t="str">
        <f>IFERROR(VLOOKUP([2]Pointage!GD6,Feuil1!$A:$B,2,FALSE),"")</f>
        <v/>
      </c>
      <c r="GA12" s="31" t="str">
        <f>IFERROR(VLOOKUP([2]Pointage!GE6,Feuil1!$A:$B,2,FALSE),"")</f>
        <v/>
      </c>
      <c r="GB12" s="31" t="str">
        <f>IFERROR(VLOOKUP([2]Pointage!GF6,Feuil1!$A:$B,2,FALSE),"")</f>
        <v/>
      </c>
      <c r="GC12" s="31" t="str">
        <f>IFERROR(VLOOKUP([2]Pointage!GG6,Feuil1!$A:$B,2,FALSE),"")</f>
        <v/>
      </c>
      <c r="GD12" s="82" t="str">
        <f>IFERROR(VLOOKUP([2]Pointage!GH6,Feuil1!$A:$B,2,FALSE),"")</f>
        <v/>
      </c>
      <c r="GE12" s="47" t="str">
        <f>IFERROR(VLOOKUP([2]Pointage!GI6,Feuil1!$A:$B,2,FALSE),"")</f>
        <v/>
      </c>
      <c r="GF12" s="31" t="str">
        <f>IFERROR(VLOOKUP([2]Pointage!GJ6,Feuil1!$A:$B,2,FALSE),"")</f>
        <v/>
      </c>
      <c r="GG12" s="31" t="str">
        <f>IFERROR(VLOOKUP([2]Pointage!GK6,Feuil1!$A:$B,2,FALSE),"")</f>
        <v/>
      </c>
      <c r="GH12" s="31" t="str">
        <f>IFERROR(VLOOKUP([2]Pointage!GL6,Feuil1!$A:$B,2,FALSE),"")</f>
        <v/>
      </c>
      <c r="GI12" s="31" t="str">
        <f>IFERROR(VLOOKUP([2]Pointage!GM6,Feuil1!$A:$B,2,FALSE),"")</f>
        <v/>
      </c>
      <c r="GJ12" s="31" t="str">
        <f>IFERROR(VLOOKUP([2]Pointage!GN6,Feuil1!$A:$B,2,FALSE),"")</f>
        <v/>
      </c>
      <c r="GK12" s="31" t="str">
        <f>IFERROR(VLOOKUP([2]Pointage!GO6,Feuil1!$A:$B,2,FALSE),"")</f>
        <v/>
      </c>
      <c r="GL12" s="31" t="str">
        <f>IFERROR(VLOOKUP([2]Pointage!GP6,Feuil1!$A:$B,2,FALSE),"")</f>
        <v/>
      </c>
      <c r="GM12" s="31" t="str">
        <f>IFERROR(VLOOKUP([2]Pointage!GQ6,Feuil1!$A:$B,2,FALSE),"")</f>
        <v/>
      </c>
      <c r="GN12" s="31" t="str">
        <f>IFERROR(VLOOKUP([2]Pointage!GR6,Feuil1!$A:$B,2,FALSE),"")</f>
        <v/>
      </c>
      <c r="GO12" s="31" t="str">
        <f>IFERROR(VLOOKUP([2]Pointage!GS6,Feuil1!$A:$B,2,FALSE),"")</f>
        <v/>
      </c>
      <c r="GP12" s="31" t="str">
        <f>IFERROR(VLOOKUP([2]Pointage!GT6,Feuil1!$A:$B,2,FALSE),"")</f>
        <v/>
      </c>
      <c r="GQ12" s="31" t="str">
        <f>IFERROR(VLOOKUP([2]Pointage!GU6,Feuil1!$A:$B,2,FALSE),"")</f>
        <v/>
      </c>
      <c r="GR12" s="31" t="str">
        <f>IFERROR(VLOOKUP([2]Pointage!GV6,Feuil1!$A:$B,2,FALSE),"")</f>
        <v/>
      </c>
      <c r="GS12" s="31" t="str">
        <f>IFERROR(VLOOKUP([2]Pointage!GW6,Feuil1!$A:$B,2,FALSE),"")</f>
        <v/>
      </c>
      <c r="GT12" s="31" t="str">
        <f>IFERROR(VLOOKUP([2]Pointage!GX6,Feuil1!$A:$B,2,FALSE),"")</f>
        <v/>
      </c>
      <c r="GU12" s="31" t="str">
        <f>IFERROR(VLOOKUP([2]Pointage!GY6,Feuil1!$A:$B,2,FALSE),"")</f>
        <v/>
      </c>
      <c r="GV12" s="31" t="str">
        <f>IFERROR(VLOOKUP([2]Pointage!GZ6,Feuil1!$A:$B,2,FALSE),"")</f>
        <v/>
      </c>
      <c r="GW12" s="31" t="str">
        <f>IFERROR(VLOOKUP([2]Pointage!HA6,Feuil1!$A:$B,2,FALSE),"")</f>
        <v/>
      </c>
      <c r="GX12" s="31" t="str">
        <f>IFERROR(VLOOKUP([2]Pointage!HB6,Feuil1!$A:$B,2,FALSE),"")</f>
        <v/>
      </c>
      <c r="GY12" s="31" t="str">
        <f>IFERROR(VLOOKUP([2]Pointage!HC6,Feuil1!$A:$B,2,FALSE),"")</f>
        <v/>
      </c>
      <c r="GZ12" s="31" t="str">
        <f>IFERROR(VLOOKUP([2]Pointage!HD6,Feuil1!$A:$B,2,FALSE),"")</f>
        <v/>
      </c>
      <c r="HA12" s="31" t="str">
        <f>IFERROR(VLOOKUP([2]Pointage!HE6,Feuil1!$A:$B,2,FALSE),"")</f>
        <v/>
      </c>
      <c r="HB12" s="31" t="str">
        <f>IFERROR(VLOOKUP([2]Pointage!HF6,Feuil1!$A:$B,2,FALSE),"")</f>
        <v/>
      </c>
      <c r="HC12" s="31" t="str">
        <f>IFERROR(VLOOKUP([2]Pointage!HG6,Feuil1!$A:$B,2,FALSE),"")</f>
        <v/>
      </c>
      <c r="HD12" s="31" t="str">
        <f>IFERROR(VLOOKUP([2]Pointage!HH6,Feuil1!$A:$B,2,FALSE),"")</f>
        <v/>
      </c>
      <c r="HE12" s="31" t="str">
        <f>IFERROR(VLOOKUP([2]Pointage!HI6,Feuil1!$A:$B,2,FALSE),"")</f>
        <v/>
      </c>
      <c r="HF12" s="31" t="str">
        <f>IFERROR(VLOOKUP([2]Pointage!HJ6,Feuil1!$A:$B,2,FALSE),"")</f>
        <v/>
      </c>
      <c r="HG12" s="31" t="str">
        <f>IFERROR(VLOOKUP([2]Pointage!HK6,Feuil1!$A:$B,2,FALSE),"")</f>
        <v/>
      </c>
      <c r="HH12" s="31" t="str">
        <f>IFERROR(VLOOKUP([2]Pointage!HL6,Feuil1!$A:$B,2,FALSE),"")</f>
        <v/>
      </c>
      <c r="HI12" s="82" t="str">
        <f>IFERROR(VLOOKUP([2]Pointage!HM6,Feuil1!$A:$B,2,FALSE),"")</f>
        <v/>
      </c>
      <c r="HJ12" s="47" t="str">
        <f>IFERROR(VLOOKUP([2]Pointage!HN6,Feuil1!$A:$B,2,FALSE),"")</f>
        <v/>
      </c>
      <c r="HK12" s="31" t="str">
        <f>IFERROR(VLOOKUP([2]Pointage!HO6,Feuil1!$A:$B,2,FALSE),"")</f>
        <v/>
      </c>
      <c r="HL12" s="31" t="str">
        <f>IFERROR(VLOOKUP([2]Pointage!HP6,Feuil1!$A:$B,2,FALSE),"")</f>
        <v/>
      </c>
      <c r="HM12" s="31" t="str">
        <f>IFERROR(VLOOKUP([2]Pointage!HQ6,Feuil1!$A:$B,2,FALSE),"")</f>
        <v/>
      </c>
      <c r="HN12" s="31" t="str">
        <f>IFERROR(VLOOKUP([2]Pointage!HR6,Feuil1!$A:$B,2,FALSE),"")</f>
        <v/>
      </c>
      <c r="HO12" s="31" t="str">
        <f>IFERROR(VLOOKUP([2]Pointage!HS6,Feuil1!$A:$B,2,FALSE),"")</f>
        <v/>
      </c>
      <c r="HP12" s="31" t="str">
        <f>IFERROR(VLOOKUP([2]Pointage!HT6,Feuil1!$A:$B,2,FALSE),"")</f>
        <v/>
      </c>
      <c r="HQ12" s="31" t="str">
        <f>IFERROR(VLOOKUP([2]Pointage!HU6,Feuil1!$A:$B,2,FALSE),"")</f>
        <v/>
      </c>
      <c r="HR12" s="31" t="str">
        <f>IFERROR(VLOOKUP([2]Pointage!HV6,Feuil1!$A:$B,2,FALSE),"")</f>
        <v/>
      </c>
      <c r="HS12" s="31" t="str">
        <f>IFERROR(VLOOKUP([2]Pointage!HW6,Feuil1!$A:$B,2,FALSE),"")</f>
        <v/>
      </c>
      <c r="HT12" s="31" t="str">
        <f>IFERROR(VLOOKUP([2]Pointage!HX6,Feuil1!$A:$B,2,FALSE),"")</f>
        <v/>
      </c>
      <c r="HU12" s="31" t="str">
        <f>IFERROR(VLOOKUP([2]Pointage!HY6,Feuil1!$A:$B,2,FALSE),"")</f>
        <v/>
      </c>
      <c r="HV12" s="31" t="str">
        <f>IFERROR(VLOOKUP([2]Pointage!HZ6,Feuil1!$A:$B,2,FALSE),"")</f>
        <v/>
      </c>
      <c r="HW12" s="31" t="str">
        <f>IFERROR(VLOOKUP([2]Pointage!IA6,Feuil1!$A:$B,2,FALSE),"")</f>
        <v/>
      </c>
      <c r="HX12" s="31" t="str">
        <f>IFERROR(VLOOKUP([2]Pointage!IB6,Feuil1!$A:$B,2,FALSE),"")</f>
        <v/>
      </c>
      <c r="HY12" s="31" t="str">
        <f>IFERROR(VLOOKUP([2]Pointage!IC6,Feuil1!$A:$B,2,FALSE),"")</f>
        <v/>
      </c>
      <c r="HZ12" s="31" t="str">
        <f>IFERROR(VLOOKUP([2]Pointage!ID6,Feuil1!$A:$B,2,FALSE),"")</f>
        <v/>
      </c>
      <c r="IA12" s="31" t="str">
        <f>IFERROR(VLOOKUP([2]Pointage!IE6,Feuil1!$A:$B,2,FALSE),"")</f>
        <v/>
      </c>
      <c r="IB12" s="31" t="str">
        <f>IFERROR(VLOOKUP([2]Pointage!IF6,Feuil1!$A:$B,2,FALSE),"")</f>
        <v/>
      </c>
      <c r="IC12" s="31" t="str">
        <f>IFERROR(VLOOKUP([2]Pointage!IG6,Feuil1!$A:$B,2,FALSE),"")</f>
        <v/>
      </c>
      <c r="ID12" s="31" t="str">
        <f>IFERROR(VLOOKUP([2]Pointage!IH6,Feuil1!$A:$B,2,FALSE),"")</f>
        <v/>
      </c>
      <c r="IE12" s="31" t="str">
        <f>IFERROR(VLOOKUP([2]Pointage!II6,Feuil1!$A:$B,2,FALSE),"")</f>
        <v/>
      </c>
      <c r="IF12" s="31" t="str">
        <f>IFERROR(VLOOKUP([2]Pointage!IJ6,Feuil1!$A:$B,2,FALSE),"")</f>
        <v/>
      </c>
      <c r="IG12" s="31" t="str">
        <f>IFERROR(VLOOKUP([2]Pointage!IK6,Feuil1!$A:$B,2,FALSE),"")</f>
        <v>C</v>
      </c>
      <c r="IH12" s="31" t="str">
        <f>IFERROR(VLOOKUP([2]Pointage!IL6,Feuil1!$A:$B,2,FALSE),"")</f>
        <v/>
      </c>
      <c r="II12" s="31" t="str">
        <f>IFERROR(VLOOKUP([2]Pointage!IM6,Feuil1!$A:$B,2,FALSE),"")</f>
        <v/>
      </c>
      <c r="IJ12" s="31" t="str">
        <f>IFERROR(VLOOKUP([2]Pointage!IN6,Feuil1!$A:$B,2,FALSE),"")</f>
        <v>C</v>
      </c>
      <c r="IK12" s="31" t="str">
        <f>IFERROR(VLOOKUP([2]Pointage!IO6,Feuil1!$A:$B,2,FALSE),"")</f>
        <v>C</v>
      </c>
      <c r="IL12" s="31" t="str">
        <f>IFERROR(VLOOKUP([2]Pointage!IP6,Feuil1!$A:$B,2,FALSE),"")</f>
        <v>C</v>
      </c>
      <c r="IM12" s="31" t="str">
        <f>IFERROR(VLOOKUP([2]Pointage!IQ6,Feuil1!$A:$B,2,FALSE),"")</f>
        <v>C</v>
      </c>
      <c r="IN12" s="82" t="str">
        <f>IFERROR(VLOOKUP([2]Pointage!IR6,Feuil1!$A:$B,2,FALSE),"")</f>
        <v>C</v>
      </c>
      <c r="IO12" s="47" t="str">
        <f>IFERROR(VLOOKUP([2]Pointage!IS6,Feuil1!$A:$B,2,FALSE),"")</f>
        <v/>
      </c>
      <c r="IP12" s="31" t="str">
        <f>IFERROR(VLOOKUP([2]Pointage!IT6,Feuil1!$A:$B,2,FALSE),"")</f>
        <v/>
      </c>
      <c r="IQ12" s="31" t="str">
        <f>IFERROR(VLOOKUP([2]Pointage!IU6,Feuil1!$A:$B,2,FALSE),"")</f>
        <v>C</v>
      </c>
      <c r="IR12" s="31" t="str">
        <f>IFERROR(VLOOKUP([2]Pointage!IV6,Feuil1!$A:$B,2,FALSE),"")</f>
        <v>C</v>
      </c>
      <c r="IS12" s="31" t="str">
        <f>IFERROR(VLOOKUP([2]Pointage!IW6,Feuil1!$A:$B,2,FALSE),"")</f>
        <v>C</v>
      </c>
      <c r="IT12" s="31" t="str">
        <f>IFERROR(VLOOKUP([2]Pointage!IX6,Feuil1!$A:$B,2,FALSE),"")</f>
        <v>C</v>
      </c>
      <c r="IU12" s="31" t="str">
        <f>IFERROR(VLOOKUP([2]Pointage!IY6,Feuil1!$A:$B,2,FALSE),"")</f>
        <v>C</v>
      </c>
      <c r="IV12" s="31" t="str">
        <f>IFERROR(VLOOKUP([2]Pointage!IZ6,Feuil1!$A:$B,2,FALSE),"")</f>
        <v/>
      </c>
      <c r="IW12" s="31" t="str">
        <f>IFERROR(VLOOKUP([2]Pointage!JA6,Feuil1!$A:$B,2,FALSE),"")</f>
        <v/>
      </c>
      <c r="IX12" s="31" t="str">
        <f>IFERROR(VLOOKUP([2]Pointage!JB6,Feuil1!$A:$B,2,FALSE),"")</f>
        <v/>
      </c>
      <c r="IY12" s="31" t="str">
        <f>IFERROR(VLOOKUP([2]Pointage!JC6,Feuil1!$A:$B,2,FALSE),"")</f>
        <v/>
      </c>
      <c r="IZ12" s="31" t="str">
        <f>IFERROR(VLOOKUP([2]Pointage!JD6,Feuil1!$A:$B,2,FALSE),"")</f>
        <v/>
      </c>
      <c r="JA12" s="31" t="str">
        <f>IFERROR(VLOOKUP([2]Pointage!JE6,Feuil1!$A:$B,2,FALSE),"")</f>
        <v/>
      </c>
      <c r="JB12" s="31" t="str">
        <f>IFERROR(VLOOKUP([2]Pointage!JF6,Feuil1!$A:$B,2,FALSE),"")</f>
        <v/>
      </c>
      <c r="JC12" s="31" t="str">
        <f>IFERROR(VLOOKUP([2]Pointage!JG6,Feuil1!$A:$B,2,FALSE),"")</f>
        <v/>
      </c>
      <c r="JD12" s="31" t="str">
        <f>IFERROR(VLOOKUP([2]Pointage!JH6,Feuil1!$A:$B,2,FALSE),"")</f>
        <v/>
      </c>
      <c r="JE12" s="31" t="str">
        <f>IFERROR(VLOOKUP([2]Pointage!JI6,Feuil1!$A:$B,2,FALSE),"")</f>
        <v/>
      </c>
      <c r="JF12" s="31" t="str">
        <f>IFERROR(VLOOKUP([2]Pointage!JJ6,Feuil1!$A:$B,2,FALSE),"")</f>
        <v/>
      </c>
      <c r="JG12" s="31" t="str">
        <f>IFERROR(VLOOKUP([2]Pointage!JK6,Feuil1!$A:$B,2,FALSE),"")</f>
        <v/>
      </c>
      <c r="JH12" s="31" t="str">
        <f>IFERROR(VLOOKUP([2]Pointage!JL6,Feuil1!$A:$B,2,FALSE),"")</f>
        <v/>
      </c>
      <c r="JI12" s="31" t="str">
        <f>IFERROR(VLOOKUP([2]Pointage!JM6,Feuil1!$A:$B,2,FALSE),"")</f>
        <v/>
      </c>
      <c r="JJ12" s="31" t="str">
        <f>IFERROR(VLOOKUP([2]Pointage!JN6,Feuil1!$A:$B,2,FALSE),"")</f>
        <v/>
      </c>
      <c r="JK12" s="31" t="str">
        <f>IFERROR(VLOOKUP([2]Pointage!JO6,Feuil1!$A:$B,2,FALSE),"")</f>
        <v/>
      </c>
      <c r="JL12" s="31" t="str">
        <f>IFERROR(VLOOKUP([2]Pointage!JP6,Feuil1!$A:$B,2,FALSE),"")</f>
        <v/>
      </c>
      <c r="JM12" s="31" t="str">
        <f>IFERROR(VLOOKUP([2]Pointage!JQ6,Feuil1!$A:$B,2,FALSE),"")</f>
        <v/>
      </c>
      <c r="JN12" s="31" t="str">
        <f>IFERROR(VLOOKUP([2]Pointage!JR6,Feuil1!$A:$B,2,FALSE),"")</f>
        <v/>
      </c>
      <c r="JO12" s="31" t="str">
        <f>IFERROR(VLOOKUP([2]Pointage!JS6,Feuil1!$A:$B,2,FALSE),"")</f>
        <v/>
      </c>
      <c r="JP12" s="31" t="str">
        <f>IFERROR(VLOOKUP([2]Pointage!JT6,Feuil1!$A:$B,2,FALSE),"")</f>
        <v/>
      </c>
      <c r="JQ12" s="31" t="str">
        <f>IFERROR(VLOOKUP([2]Pointage!JU6,Feuil1!$A:$B,2,FALSE),"")</f>
        <v/>
      </c>
      <c r="JR12" s="82" t="str">
        <f>IFERROR(VLOOKUP([2]Pointage!JV6,Feuil1!$A:$B,2,FALSE),"")</f>
        <v/>
      </c>
      <c r="JS12" s="47" t="str">
        <f>IFERROR(VLOOKUP([2]Pointage!JW6,Feuil1!$A:$B,2,FALSE),"")</f>
        <v/>
      </c>
      <c r="JT12" s="31" t="str">
        <f>IFERROR(VLOOKUP([2]Pointage!JX6,Feuil1!$A:$B,2,FALSE),"")</f>
        <v/>
      </c>
      <c r="JU12" s="31" t="str">
        <f>IFERROR(VLOOKUP([2]Pointage!JY6,Feuil1!$A:$B,2,FALSE),"")</f>
        <v/>
      </c>
      <c r="JV12" s="31" t="str">
        <f>IFERROR(VLOOKUP([2]Pointage!JZ6,Feuil1!$A:$B,2,FALSE),"")</f>
        <v/>
      </c>
      <c r="JW12" s="31" t="str">
        <f>IFERROR(VLOOKUP([2]Pointage!KA6,Feuil1!$A:$B,2,FALSE),"")</f>
        <v/>
      </c>
      <c r="JX12" s="31" t="str">
        <f>IFERROR(VLOOKUP([2]Pointage!KB6,Feuil1!$A:$B,2,FALSE),"")</f>
        <v/>
      </c>
      <c r="JY12" s="31" t="str">
        <f>IFERROR(VLOOKUP([2]Pointage!KC6,Feuil1!$A:$B,2,FALSE),"")</f>
        <v/>
      </c>
      <c r="JZ12" s="31" t="str">
        <f>IFERROR(VLOOKUP([2]Pointage!KD6,Feuil1!$A:$B,2,FALSE),"")</f>
        <v/>
      </c>
      <c r="KA12" s="31" t="str">
        <f>IFERROR(VLOOKUP([2]Pointage!KE6,Feuil1!$A:$B,2,FALSE),"")</f>
        <v/>
      </c>
      <c r="KB12" s="31" t="str">
        <f>IFERROR(VLOOKUP([2]Pointage!KF6,Feuil1!$A:$B,2,FALSE),"")</f>
        <v/>
      </c>
      <c r="KC12" s="31" t="str">
        <f>IFERROR(VLOOKUP([2]Pointage!KG6,Feuil1!$A:$B,2,FALSE),"")</f>
        <v/>
      </c>
      <c r="KD12" s="31" t="str">
        <f>IFERROR(VLOOKUP([2]Pointage!KH6,Feuil1!$A:$B,2,FALSE),"")</f>
        <v/>
      </c>
      <c r="KE12" s="31" t="str">
        <f>IFERROR(VLOOKUP([2]Pointage!KI6,Feuil1!$A:$B,2,FALSE),"")</f>
        <v/>
      </c>
      <c r="KF12" s="31" t="str">
        <f>IFERROR(VLOOKUP([2]Pointage!KJ6,Feuil1!$A:$B,2,FALSE),"")</f>
        <v/>
      </c>
      <c r="KG12" s="31" t="str">
        <f>IFERROR(VLOOKUP([2]Pointage!KK6,Feuil1!$A:$B,2,FALSE),"")</f>
        <v/>
      </c>
      <c r="KH12" s="31" t="str">
        <f>IFERROR(VLOOKUP([2]Pointage!KL6,Feuil1!$A:$B,2,FALSE),"")</f>
        <v/>
      </c>
      <c r="KI12" s="31" t="str">
        <f>IFERROR(VLOOKUP([2]Pointage!KM6,Feuil1!$A:$B,2,FALSE),"")</f>
        <v/>
      </c>
      <c r="KJ12" s="31" t="str">
        <f>IFERROR(VLOOKUP([2]Pointage!KN6,Feuil1!$A:$B,2,FALSE),"")</f>
        <v/>
      </c>
      <c r="KK12" s="31" t="str">
        <f>IFERROR(VLOOKUP([2]Pointage!KO6,Feuil1!$A:$B,2,FALSE),"")</f>
        <v/>
      </c>
      <c r="KL12" s="31" t="str">
        <f>IFERROR(VLOOKUP([2]Pointage!KP6,Feuil1!$A:$B,2,FALSE),"")</f>
        <v/>
      </c>
      <c r="KM12" s="31" t="str">
        <f>IFERROR(VLOOKUP([2]Pointage!KQ6,Feuil1!$A:$B,2,FALSE),"")</f>
        <v/>
      </c>
      <c r="KN12" s="31" t="str">
        <f>IFERROR(VLOOKUP([2]Pointage!KR6,Feuil1!$A:$B,2,FALSE),"")</f>
        <v/>
      </c>
      <c r="KO12" s="31" t="str">
        <f>IFERROR(VLOOKUP([2]Pointage!KS6,Feuil1!$A:$B,2,FALSE),"")</f>
        <v/>
      </c>
      <c r="KP12" s="31" t="str">
        <f>IFERROR(VLOOKUP([2]Pointage!KT6,Feuil1!$A:$B,2,FALSE),"")</f>
        <v/>
      </c>
      <c r="KQ12" s="31" t="str">
        <f>IFERROR(VLOOKUP([2]Pointage!KU6,Feuil1!$A:$B,2,FALSE),"")</f>
        <v/>
      </c>
      <c r="KR12" s="31" t="str">
        <f>IFERROR(VLOOKUP([2]Pointage!KV6,Feuil1!$A:$B,2,FALSE),"")</f>
        <v/>
      </c>
      <c r="KS12" s="31" t="str">
        <f>IFERROR(VLOOKUP([2]Pointage!KW6,Feuil1!$A:$B,2,FALSE),"")</f>
        <v/>
      </c>
      <c r="KT12" s="31" t="str">
        <f>IFERROR(VLOOKUP([2]Pointage!KX6,Feuil1!$A:$B,2,FALSE),"")</f>
        <v/>
      </c>
      <c r="KU12" s="31" t="str">
        <f>IFERROR(VLOOKUP([2]Pointage!KY6,Feuil1!$A:$B,2,FALSE),"")</f>
        <v/>
      </c>
      <c r="KV12" s="31" t="str">
        <f>IFERROR(VLOOKUP([2]Pointage!KZ6,Feuil1!$A:$B,2,FALSE),"")</f>
        <v/>
      </c>
      <c r="KW12" s="82" t="str">
        <f>IFERROR(VLOOKUP([2]Pointage!LA6,Feuil1!$A:$B,2,FALSE),"")</f>
        <v/>
      </c>
      <c r="KX12" s="47" t="str">
        <f>IFERROR(VLOOKUP([2]Pointage!LB6,Feuil1!$A:$B,2,FALSE),"")</f>
        <v/>
      </c>
      <c r="KY12" s="31" t="str">
        <f>IFERROR(VLOOKUP([2]Pointage!LC6,Feuil1!$A:$B,2,FALSE),"")</f>
        <v/>
      </c>
      <c r="KZ12" s="31" t="str">
        <f>IFERROR(VLOOKUP([2]Pointage!LD6,Feuil1!$A:$B,2,FALSE),"")</f>
        <v/>
      </c>
      <c r="LA12" s="31" t="str">
        <f>IFERROR(VLOOKUP([2]Pointage!LE6,Feuil1!$A:$B,2,FALSE),"")</f>
        <v/>
      </c>
      <c r="LB12" s="31" t="str">
        <f>IFERROR(VLOOKUP([2]Pointage!LF6,Feuil1!$A:$B,2,FALSE),"")</f>
        <v/>
      </c>
      <c r="LC12" s="31" t="str">
        <f>IFERROR(VLOOKUP([2]Pointage!LG6,Feuil1!$A:$B,2,FALSE),"")</f>
        <v/>
      </c>
      <c r="LD12" s="31" t="str">
        <f>IFERROR(VLOOKUP([2]Pointage!LH6,Feuil1!$A:$B,2,FALSE),"")</f>
        <v/>
      </c>
      <c r="LE12" s="31" t="str">
        <f>IFERROR(VLOOKUP([2]Pointage!LI6,Feuil1!$A:$B,2,FALSE),"")</f>
        <v/>
      </c>
      <c r="LF12" s="31" t="str">
        <f>IFERROR(VLOOKUP([2]Pointage!LJ6,Feuil1!$A:$B,2,FALSE),"")</f>
        <v/>
      </c>
      <c r="LG12" s="31" t="str">
        <f>IFERROR(VLOOKUP([2]Pointage!LK6,Feuil1!$A:$B,2,FALSE),"")</f>
        <v/>
      </c>
      <c r="LH12" s="31" t="str">
        <f>IFERROR(VLOOKUP([2]Pointage!LL6,Feuil1!$A:$B,2,FALSE),"")</f>
        <v/>
      </c>
      <c r="LI12" s="31" t="str">
        <f>IFERROR(VLOOKUP([2]Pointage!LM6,Feuil1!$A:$B,2,FALSE),"")</f>
        <v/>
      </c>
      <c r="LJ12" s="31" t="str">
        <f>IFERROR(VLOOKUP([2]Pointage!LN6,Feuil1!$A:$B,2,FALSE),"")</f>
        <v/>
      </c>
      <c r="LK12" s="31" t="str">
        <f>IFERROR(VLOOKUP([2]Pointage!LO6,Feuil1!$A:$B,2,FALSE),"")</f>
        <v/>
      </c>
      <c r="LL12" s="31" t="str">
        <f>IFERROR(VLOOKUP([2]Pointage!LP6,Feuil1!$A:$B,2,FALSE),"")</f>
        <v/>
      </c>
      <c r="LM12" s="31" t="str">
        <f>IFERROR(VLOOKUP([2]Pointage!LQ6,Feuil1!$A:$B,2,FALSE),"")</f>
        <v/>
      </c>
      <c r="LN12" s="31" t="str">
        <f>IFERROR(VLOOKUP([2]Pointage!LR6,Feuil1!$A:$B,2,FALSE),"")</f>
        <v/>
      </c>
      <c r="LO12" s="31" t="str">
        <f>IFERROR(VLOOKUP([2]Pointage!LS6,Feuil1!$A:$B,2,FALSE),"")</f>
        <v/>
      </c>
      <c r="LP12" s="31" t="str">
        <f>IFERROR(VLOOKUP([2]Pointage!LT6,Feuil1!$A:$B,2,FALSE),"")</f>
        <v/>
      </c>
      <c r="LQ12" s="31" t="str">
        <f>IFERROR(VLOOKUP([2]Pointage!LU6,Feuil1!$A:$B,2,FALSE),"")</f>
        <v/>
      </c>
      <c r="LR12" s="31" t="str">
        <f>IFERROR(VLOOKUP([2]Pointage!LV6,Feuil1!$A:$B,2,FALSE),"")</f>
        <v/>
      </c>
      <c r="LS12" s="31" t="str">
        <f>IFERROR(VLOOKUP([2]Pointage!LW6,Feuil1!$A:$B,2,FALSE),"")</f>
        <v/>
      </c>
      <c r="LT12" s="31" t="str">
        <f>IFERROR(VLOOKUP([2]Pointage!LX6,Feuil1!$A:$B,2,FALSE),"")</f>
        <v/>
      </c>
      <c r="LU12" s="31" t="str">
        <f>IFERROR(VLOOKUP([2]Pointage!LY6,Feuil1!$A:$B,2,FALSE),"")</f>
        <v/>
      </c>
      <c r="LV12" s="31" t="str">
        <f>IFERROR(VLOOKUP([2]Pointage!LZ6,Feuil1!$A:$B,2,FALSE),"")</f>
        <v/>
      </c>
      <c r="LW12" s="31" t="str">
        <f>IFERROR(VLOOKUP([2]Pointage!MA6,Feuil1!$A:$B,2,FALSE),"")</f>
        <v/>
      </c>
      <c r="LX12" s="31" t="str">
        <f>IFERROR(VLOOKUP([2]Pointage!MB6,Feuil1!$A:$B,2,FALSE),"")</f>
        <v/>
      </c>
      <c r="LY12" s="31" t="str">
        <f>IFERROR(VLOOKUP([2]Pointage!MC6,Feuil1!$A:$B,2,FALSE),"")</f>
        <v/>
      </c>
      <c r="LZ12" s="31" t="str">
        <f>IFERROR(VLOOKUP([2]Pointage!MD6,Feuil1!$A:$B,2,FALSE),"")</f>
        <v/>
      </c>
      <c r="MA12" s="82" t="str">
        <f>IFERROR(VLOOKUP([2]Pointage!ME6,Feuil1!$A:$B,2,FALSE),"")</f>
        <v/>
      </c>
      <c r="MB12" s="47" t="str">
        <f>IFERROR(VLOOKUP([2]Pointage!MF6,Feuil1!$A:$B,2,FALSE),"")</f>
        <v/>
      </c>
      <c r="MC12" s="31" t="str">
        <f>IFERROR(VLOOKUP([2]Pointage!MG6,Feuil1!$A:$B,2,FALSE),"")</f>
        <v/>
      </c>
      <c r="MD12" s="31" t="str">
        <f>IFERROR(VLOOKUP([2]Pointage!MH6,Feuil1!$A:$B,2,FALSE),"")</f>
        <v/>
      </c>
      <c r="ME12" s="31" t="str">
        <f>IFERROR(VLOOKUP([2]Pointage!MI6,Feuil1!$A:$B,2,FALSE),"")</f>
        <v/>
      </c>
      <c r="MF12" s="31" t="str">
        <f>IFERROR(VLOOKUP([2]Pointage!MJ6,Feuil1!$A:$B,2,FALSE),"")</f>
        <v/>
      </c>
      <c r="MG12" s="31" t="str">
        <f>IFERROR(VLOOKUP([2]Pointage!MK6,Feuil1!$A:$B,2,FALSE),"")</f>
        <v/>
      </c>
      <c r="MH12" s="31" t="str">
        <f>IFERROR(VLOOKUP([2]Pointage!ML6,Feuil1!$A:$B,2,FALSE),"")</f>
        <v/>
      </c>
      <c r="MI12" s="31" t="str">
        <f>IFERROR(VLOOKUP([2]Pointage!MM6,Feuil1!$A:$B,2,FALSE),"")</f>
        <v/>
      </c>
      <c r="MJ12" s="31" t="str">
        <f>IFERROR(VLOOKUP([2]Pointage!MN6,Feuil1!$A:$B,2,FALSE),"")</f>
        <v/>
      </c>
      <c r="MK12" s="31" t="str">
        <f>IFERROR(VLOOKUP([2]Pointage!MO6,Feuil1!$A:$B,2,FALSE),"")</f>
        <v/>
      </c>
      <c r="ML12" s="31" t="str">
        <f>IFERROR(VLOOKUP([2]Pointage!MP6,Feuil1!$A:$B,2,FALSE),"")</f>
        <v/>
      </c>
      <c r="MM12" s="31" t="str">
        <f>IFERROR(VLOOKUP([2]Pointage!MQ6,Feuil1!$A:$B,2,FALSE),"")</f>
        <v/>
      </c>
      <c r="MN12" s="31" t="str">
        <f>IFERROR(VLOOKUP([2]Pointage!MR6,Feuil1!$A:$B,2,FALSE),"")</f>
        <v/>
      </c>
      <c r="MO12" s="31" t="str">
        <f>IFERROR(VLOOKUP([2]Pointage!MS6,Feuil1!$A:$B,2,FALSE),"")</f>
        <v/>
      </c>
      <c r="MP12" s="31" t="str">
        <f>IFERROR(VLOOKUP([2]Pointage!MT6,Feuil1!$A:$B,2,FALSE),"")</f>
        <v/>
      </c>
      <c r="MQ12" s="31" t="str">
        <f>IFERROR(VLOOKUP([2]Pointage!MU6,Feuil1!$A:$B,2,FALSE),"")</f>
        <v/>
      </c>
      <c r="MR12" s="31" t="str">
        <f>IFERROR(VLOOKUP([2]Pointage!MV6,Feuil1!$A:$B,2,FALSE),"")</f>
        <v/>
      </c>
      <c r="MS12" s="31" t="str">
        <f>IFERROR(VLOOKUP([2]Pointage!MW6,Feuil1!$A:$B,2,FALSE),"")</f>
        <v/>
      </c>
      <c r="MT12" s="31" t="str">
        <f>IFERROR(VLOOKUP([2]Pointage!MX6,Feuil1!$A:$B,2,FALSE),"")</f>
        <v/>
      </c>
      <c r="MU12" s="31" t="str">
        <f>IFERROR(VLOOKUP([2]Pointage!MY6,Feuil1!$A:$B,2,FALSE),"")</f>
        <v/>
      </c>
      <c r="MV12" s="31" t="str">
        <f>IFERROR(VLOOKUP([2]Pointage!MZ6,Feuil1!$A:$B,2,FALSE),"")</f>
        <v/>
      </c>
      <c r="MW12" s="31" t="str">
        <f>IFERROR(VLOOKUP([2]Pointage!NA6,Feuil1!$A:$B,2,FALSE),"")</f>
        <v/>
      </c>
      <c r="MX12" s="31" t="str">
        <f>IFERROR(VLOOKUP([2]Pointage!NB6,Feuil1!$A:$B,2,FALSE),"")</f>
        <v/>
      </c>
      <c r="MY12" s="31" t="str">
        <f>IFERROR(VLOOKUP([2]Pointage!NC6,Feuil1!$A:$B,2,FALSE),"")</f>
        <v/>
      </c>
      <c r="MZ12" s="31" t="str">
        <f>IFERROR(VLOOKUP([2]Pointage!ND6,Feuil1!$A:$B,2,FALSE),"")</f>
        <v/>
      </c>
      <c r="NA12" s="31" t="str">
        <f>IFERROR(VLOOKUP([2]Pointage!NE6,Feuil1!$A:$B,2,FALSE),"")</f>
        <v/>
      </c>
      <c r="NB12" s="31" t="str">
        <f>IFERROR(VLOOKUP([2]Pointage!NF6,Feuil1!$A:$B,2,FALSE),"")</f>
        <v/>
      </c>
      <c r="NC12" s="31" t="str">
        <f>IFERROR(VLOOKUP([2]Pointage!NG6,Feuil1!$A:$B,2,FALSE),"")</f>
        <v/>
      </c>
      <c r="ND12" s="31" t="str">
        <f>IFERROR(VLOOKUP([2]Pointage!NH6,Feuil1!$A:$B,2,FALSE),"")</f>
        <v/>
      </c>
      <c r="NE12" s="31" t="str">
        <f>IFERROR(VLOOKUP([2]Pointage!NI6,Feuil1!$A:$B,2,FALSE),"")</f>
        <v/>
      </c>
      <c r="NF12" s="48" t="str">
        <f>IFERROR(VLOOKUP([2]Pointage!NJ6,Feuil1!$A:$B,2,FALSE),"")</f>
        <v/>
      </c>
      <c r="NG12" s="52">
        <f>COUNTIF(Global!F12:NF12,"RTT")+(COUNTIF(Global!F12:NF12,"dRTT")/2)</f>
        <v>4</v>
      </c>
      <c r="NH12" s="42">
        <f>COUNTIF(Global!F12:NF12,"C")+(COUNTIF(Global!F12:NF12,"DC")/2)</f>
        <v>30</v>
      </c>
      <c r="NI12" s="42">
        <f>COUNTIF(Global!F12:NF12,"M")</f>
        <v>0</v>
      </c>
      <c r="NJ12" s="42">
        <f>COUNTIF(Global!G12:NG12,"AT")</f>
        <v>0</v>
      </c>
      <c r="NK12" s="42">
        <f>COUNTIF(Global!F12:NF12,"RD")</f>
        <v>0</v>
      </c>
      <c r="NL12" s="42">
        <f>COUNTIF(Global!F12:NF12,"RC")+(COUNTIF(Global!F12:NF12,"dRC")/2)</f>
        <v>0</v>
      </c>
      <c r="NM12" s="68">
        <f t="shared" ca="1" si="0"/>
        <v>4.0273972602739727</v>
      </c>
      <c r="NT12" s="33"/>
      <c r="NU12" s="33"/>
      <c r="NV12" s="28"/>
      <c r="NW12" s="28"/>
      <c r="NX12" s="29">
        <f>COUNTIF(F12:NF12,"C")++(COUNTIF(Global!F12:NF12,"DC")/2)</f>
        <v>30</v>
      </c>
      <c r="NY12" s="29"/>
      <c r="NZ12" s="29"/>
      <c r="OA12" s="29"/>
      <c r="OB12" s="29">
        <f>COUNTIF(Global!F12:NF12,"M")</f>
        <v>0</v>
      </c>
      <c r="OC12" s="30">
        <f t="shared" si="1"/>
        <v>-30</v>
      </c>
      <c r="OD12" s="30"/>
    </row>
    <row r="13" spans="1:394" ht="30" customHeight="1" x14ac:dyDescent="0.2">
      <c r="A13" s="13" t="s">
        <v>69</v>
      </c>
      <c r="B13" s="22" t="s">
        <v>144</v>
      </c>
      <c r="C13" s="22" t="s">
        <v>145</v>
      </c>
      <c r="D13" s="22" t="s">
        <v>146</v>
      </c>
      <c r="E13" s="44">
        <v>0</v>
      </c>
      <c r="F13" s="47" t="str">
        <f>IFERROR(VLOOKUP([2]Pointage!J7,Feuil1!$A:$B,2,FALSE),"")</f>
        <v/>
      </c>
      <c r="G13" s="31" t="str">
        <f>IFERROR(VLOOKUP([2]Pointage!K7,Feuil1!$A:$B,2,FALSE),"")</f>
        <v/>
      </c>
      <c r="H13" s="31" t="str">
        <f>IFERROR(VLOOKUP([2]Pointage!L7,Feuil1!$A:$B,2,FALSE),"")</f>
        <v/>
      </c>
      <c r="I13" s="31" t="str">
        <f>IFERROR(VLOOKUP([2]Pointage!M7,Feuil1!$A:$B,2,FALSE),"")</f>
        <v/>
      </c>
      <c r="J13" s="31" t="str">
        <f>IFERROR(VLOOKUP([2]Pointage!N7,Feuil1!$A:$B,2,FALSE),"")</f>
        <v/>
      </c>
      <c r="K13" s="31" t="str">
        <f>IFERROR(VLOOKUP([2]Pointage!O7,Feuil1!$A:$B,2,FALSE),"")</f>
        <v/>
      </c>
      <c r="L13" s="31" t="str">
        <f>IFERROR(VLOOKUP([2]Pointage!P7,Feuil1!$A:$B,2,FALSE),"")</f>
        <v/>
      </c>
      <c r="M13" s="31" t="str">
        <f>IFERROR(VLOOKUP([2]Pointage!Q7,Feuil1!$A:$B,2,FALSE),"")</f>
        <v/>
      </c>
      <c r="N13" s="31" t="str">
        <f>IFERROR(VLOOKUP([2]Pointage!R7,Feuil1!$A:$B,2,FALSE),"")</f>
        <v/>
      </c>
      <c r="O13" s="31" t="str">
        <f>IFERROR(VLOOKUP([2]Pointage!S7,Feuil1!$A:$B,2,FALSE),"")</f>
        <v/>
      </c>
      <c r="P13" s="31" t="str">
        <f>IFERROR(VLOOKUP([2]Pointage!T7,Feuil1!$A:$B,2,FALSE),"")</f>
        <v>DC</v>
      </c>
      <c r="Q13" s="31" t="str">
        <f>IFERROR(VLOOKUP([2]Pointage!U7,Feuil1!$A:$B,2,FALSE),"")</f>
        <v/>
      </c>
      <c r="R13" s="31" t="str">
        <f>IFERROR(VLOOKUP([2]Pointage!V7,Feuil1!$A:$B,2,FALSE),"")</f>
        <v/>
      </c>
      <c r="S13" s="31" t="str">
        <f>IFERROR(VLOOKUP([2]Pointage!W7,Feuil1!$A:$B,2,FALSE),"")</f>
        <v/>
      </c>
      <c r="T13" s="31" t="str">
        <f>IFERROR(VLOOKUP([2]Pointage!X7,Feuil1!$A:$B,2,FALSE),"")</f>
        <v/>
      </c>
      <c r="U13" s="31" t="str">
        <f>IFERROR(VLOOKUP([2]Pointage!Y7,Feuil1!$A:$B,2,FALSE),"")</f>
        <v/>
      </c>
      <c r="V13" s="31" t="str">
        <f>IFERROR(VLOOKUP([2]Pointage!Z7,Feuil1!$A:$B,2,FALSE),"")</f>
        <v/>
      </c>
      <c r="W13" s="31" t="str">
        <f>IFERROR(VLOOKUP([2]Pointage!AA7,Feuil1!$A:$B,2,FALSE),"")</f>
        <v>AT</v>
      </c>
      <c r="X13" s="31" t="str">
        <f>IFERROR(VLOOKUP([2]Pointage!AB7,Feuil1!$A:$B,2,FALSE),"")</f>
        <v>AT</v>
      </c>
      <c r="Y13" s="31" t="str">
        <f>IFERROR(VLOOKUP([2]Pointage!AC7,Feuil1!$A:$B,2,FALSE),"")</f>
        <v>AT</v>
      </c>
      <c r="Z13" s="31" t="str">
        <f>IFERROR(VLOOKUP([2]Pointage!AD7,Feuil1!$A:$B,2,FALSE),"")</f>
        <v>AT</v>
      </c>
      <c r="AA13" s="31" t="str">
        <f>IFERROR(VLOOKUP([2]Pointage!AE7,Feuil1!$A:$B,2,FALSE),"")</f>
        <v>AT</v>
      </c>
      <c r="AB13" s="31" t="str">
        <f>IFERROR(VLOOKUP([2]Pointage!AF7,Feuil1!$A:$B,2,FALSE),"")</f>
        <v>AT</v>
      </c>
      <c r="AC13" s="31" t="str">
        <f>IFERROR(VLOOKUP([2]Pointage!AG7,Feuil1!$A:$B,2,FALSE),"")</f>
        <v>AT</v>
      </c>
      <c r="AD13" s="31" t="str">
        <f>IFERROR(VLOOKUP([2]Pointage!AH7,Feuil1!$A:$B,2,FALSE),"")</f>
        <v>AT</v>
      </c>
      <c r="AE13" s="31" t="str">
        <f>IFERROR(VLOOKUP([2]Pointage!AI7,Feuil1!$A:$B,2,FALSE),"")</f>
        <v>AT</v>
      </c>
      <c r="AF13" s="31" t="str">
        <f>IFERROR(VLOOKUP([2]Pointage!AJ7,Feuil1!$A:$B,2,FALSE),"")</f>
        <v>AT</v>
      </c>
      <c r="AG13" s="31" t="str">
        <f>IFERROR(VLOOKUP([2]Pointage!AK7,Feuil1!$A:$B,2,FALSE),"")</f>
        <v>AT</v>
      </c>
      <c r="AH13" s="31" t="str">
        <f>IFERROR(VLOOKUP([2]Pointage!AL7,Feuil1!$A:$B,2,FALSE),"")</f>
        <v>AT</v>
      </c>
      <c r="AI13" s="31" t="str">
        <f>IFERROR(VLOOKUP([2]Pointage!AM7,Feuil1!$A:$B,2,FALSE),"")</f>
        <v>AT</v>
      </c>
      <c r="AJ13" s="82" t="str">
        <f>IFERROR(VLOOKUP([2]Pointage!AN7,Feuil1!$A:$B,2,FALSE),"")</f>
        <v>AT</v>
      </c>
      <c r="AK13" s="47" t="str">
        <f>IFERROR(VLOOKUP([2]Pointage!AO7,Feuil1!$A:$B,2,FALSE),"")</f>
        <v>AT</v>
      </c>
      <c r="AL13" s="31" t="str">
        <f>IFERROR(VLOOKUP([2]Pointage!AP7,Feuil1!$A:$B,2,FALSE),"")</f>
        <v>AT</v>
      </c>
      <c r="AM13" s="31" t="str">
        <f>IFERROR(VLOOKUP([2]Pointage!AQ7,Feuil1!$A:$B,2,FALSE),"")</f>
        <v>AT</v>
      </c>
      <c r="AN13" s="31" t="str">
        <f>IFERROR(VLOOKUP([2]Pointage!AR7,Feuil1!$A:$B,2,FALSE),"")</f>
        <v>AT</v>
      </c>
      <c r="AO13" s="31" t="str">
        <f>IFERROR(VLOOKUP([2]Pointage!AS7,Feuil1!$A:$B,2,FALSE),"")</f>
        <v>AT</v>
      </c>
      <c r="AP13" s="31" t="str">
        <f>IFERROR(VLOOKUP([2]Pointage!AT7,Feuil1!$A:$B,2,FALSE),"")</f>
        <v>AT</v>
      </c>
      <c r="AQ13" s="31" t="str">
        <f>IFERROR(VLOOKUP([2]Pointage!AU7,Feuil1!$A:$B,2,FALSE),"")</f>
        <v>AT</v>
      </c>
      <c r="AR13" s="31" t="str">
        <f>IFERROR(VLOOKUP([2]Pointage!AV7,Feuil1!$A:$B,2,FALSE),"")</f>
        <v>AT</v>
      </c>
      <c r="AS13" s="31" t="str">
        <f>IFERROR(VLOOKUP([2]Pointage!AW7,Feuil1!$A:$B,2,FALSE),"")</f>
        <v>AT</v>
      </c>
      <c r="AT13" s="31" t="str">
        <f>IFERROR(VLOOKUP([2]Pointage!AX7,Feuil1!$A:$B,2,FALSE),"")</f>
        <v>AT</v>
      </c>
      <c r="AU13" s="31" t="str">
        <f>IFERROR(VLOOKUP([2]Pointage!AY7,Feuil1!$A:$B,2,FALSE),"")</f>
        <v>AT</v>
      </c>
      <c r="AV13" s="31" t="str">
        <f>IFERROR(VLOOKUP([2]Pointage!AZ7,Feuil1!$A:$B,2,FALSE),"")</f>
        <v>AT</v>
      </c>
      <c r="AW13" s="31" t="str">
        <f>IFERROR(VLOOKUP([2]Pointage!BA7,Feuil1!$A:$B,2,FALSE),"")</f>
        <v>AT</v>
      </c>
      <c r="AX13" s="31" t="str">
        <f>IFERROR(VLOOKUP([2]Pointage!BB7,Feuil1!$A:$B,2,FALSE),"")</f>
        <v>AT</v>
      </c>
      <c r="AY13" s="31" t="str">
        <f>IFERROR(VLOOKUP([2]Pointage!BC7,Feuil1!$A:$B,2,FALSE),"")</f>
        <v>AT</v>
      </c>
      <c r="AZ13" s="31" t="str">
        <f>IFERROR(VLOOKUP([2]Pointage!BD7,Feuil1!$A:$B,2,FALSE),"")</f>
        <v>AT</v>
      </c>
      <c r="BA13" s="31" t="str">
        <f>IFERROR(VLOOKUP([2]Pointage!BE7,Feuil1!$A:$B,2,FALSE),"")</f>
        <v>AT</v>
      </c>
      <c r="BB13" s="31" t="str">
        <f>IFERROR(VLOOKUP([2]Pointage!BF7,Feuil1!$A:$B,2,FALSE),"")</f>
        <v>AT</v>
      </c>
      <c r="BC13" s="31" t="str">
        <f>IFERROR(VLOOKUP([2]Pointage!BG7,Feuil1!$A:$B,2,FALSE),"")</f>
        <v>AT</v>
      </c>
      <c r="BD13" s="31" t="str">
        <f>IFERROR(VLOOKUP([2]Pointage!BH7,Feuil1!$A:$B,2,FALSE),"")</f>
        <v>AT</v>
      </c>
      <c r="BE13" s="31" t="str">
        <f>IFERROR(VLOOKUP([2]Pointage!BI7,Feuil1!$A:$B,2,FALSE),"")</f>
        <v>AT</v>
      </c>
      <c r="BF13" s="31" t="str">
        <f>IFERROR(VLOOKUP([2]Pointage!BJ7,Feuil1!$A:$B,2,FALSE),"")</f>
        <v>AT</v>
      </c>
      <c r="BG13" s="31" t="str">
        <f>IFERROR(VLOOKUP([2]Pointage!BK7,Feuil1!$A:$B,2,FALSE),"")</f>
        <v>AT</v>
      </c>
      <c r="BH13" s="31" t="str">
        <f>IFERROR(VLOOKUP([2]Pointage!BL7,Feuil1!$A:$B,2,FALSE),"")</f>
        <v>AT</v>
      </c>
      <c r="BI13" s="31" t="str">
        <f>IFERROR(VLOOKUP([2]Pointage!BM7,Feuil1!$A:$B,2,FALSE),"")</f>
        <v>AT</v>
      </c>
      <c r="BJ13" s="31" t="str">
        <f>IFERROR(VLOOKUP([2]Pointage!BN7,Feuil1!$A:$B,2,FALSE),"")</f>
        <v/>
      </c>
      <c r="BK13" s="31" t="str">
        <f>IFERROR(VLOOKUP([2]Pointage!BO7,Feuil1!$A:$B,2,FALSE),"")</f>
        <v/>
      </c>
      <c r="BL13" s="82" t="str">
        <f>IFERROR(VLOOKUP([2]Pointage!BP7,Feuil1!$A:$B,2,FALSE),"")</f>
        <v/>
      </c>
      <c r="BM13" s="47" t="str">
        <f>IFERROR(VLOOKUP([2]Pointage!BQ7,Feuil1!$A:$B,2,FALSE),"")</f>
        <v/>
      </c>
      <c r="BN13" s="31" t="str">
        <f>IFERROR(VLOOKUP([2]Pointage!BR7,Feuil1!$A:$B,2,FALSE),"")</f>
        <v/>
      </c>
      <c r="BO13" s="31" t="str">
        <f>IFERROR(VLOOKUP([2]Pointage!BS7,Feuil1!$A:$B,2,FALSE),"")</f>
        <v/>
      </c>
      <c r="BP13" s="31" t="str">
        <f>IFERROR(VLOOKUP([2]Pointage!BT7,Feuil1!$A:$B,2,FALSE),"")</f>
        <v/>
      </c>
      <c r="BQ13" s="31" t="str">
        <f>IFERROR(VLOOKUP([2]Pointage!BU7,Feuil1!$A:$B,2,FALSE),"")</f>
        <v/>
      </c>
      <c r="BR13" s="31" t="str">
        <f>IFERROR(VLOOKUP([2]Pointage!BV7,Feuil1!$A:$B,2,FALSE),"")</f>
        <v/>
      </c>
      <c r="BS13" s="31" t="str">
        <f>IFERROR(VLOOKUP([2]Pointage!BW7,Feuil1!$A:$B,2,FALSE),"")</f>
        <v/>
      </c>
      <c r="BT13" s="31" t="str">
        <f>IFERROR(VLOOKUP([2]Pointage!BX7,Feuil1!$A:$B,2,FALSE),"")</f>
        <v/>
      </c>
      <c r="BU13" s="31" t="str">
        <f>IFERROR(VLOOKUP([2]Pointage!BY7,Feuil1!$A:$B,2,FALSE),"")</f>
        <v/>
      </c>
      <c r="BV13" s="31" t="str">
        <f>IFERROR(VLOOKUP([2]Pointage!BZ7,Feuil1!$A:$B,2,FALSE),"")</f>
        <v/>
      </c>
      <c r="BW13" s="31" t="str">
        <f>IFERROR(VLOOKUP([2]Pointage!CA7,Feuil1!$A:$B,2,FALSE),"")</f>
        <v/>
      </c>
      <c r="BX13" s="31" t="str">
        <f>IFERROR(VLOOKUP([2]Pointage!CB7,Feuil1!$A:$B,2,FALSE),"")</f>
        <v/>
      </c>
      <c r="BY13" s="31" t="str">
        <f>IFERROR(VLOOKUP([2]Pointage!CC7,Feuil1!$A:$B,2,FALSE),"")</f>
        <v/>
      </c>
      <c r="BZ13" s="31" t="str">
        <f>IFERROR(VLOOKUP([2]Pointage!CD7,Feuil1!$A:$B,2,FALSE),"")</f>
        <v/>
      </c>
      <c r="CA13" s="31" t="str">
        <f>IFERROR(VLOOKUP([2]Pointage!CE7,Feuil1!$A:$B,2,FALSE),"")</f>
        <v/>
      </c>
      <c r="CB13" s="31" t="str">
        <f>IFERROR(VLOOKUP([2]Pointage!CF7,Feuil1!$A:$B,2,FALSE),"")</f>
        <v/>
      </c>
      <c r="CC13" s="31" t="str">
        <f>IFERROR(VLOOKUP([2]Pointage!CG7,Feuil1!$A:$B,2,FALSE),"")</f>
        <v/>
      </c>
      <c r="CD13" s="31" t="str">
        <f>IFERROR(VLOOKUP([2]Pointage!CH7,Feuil1!$A:$B,2,FALSE),"")</f>
        <v/>
      </c>
      <c r="CE13" s="31" t="str">
        <f>IFERROR(VLOOKUP([2]Pointage!CI7,Feuil1!$A:$B,2,FALSE),"")</f>
        <v/>
      </c>
      <c r="CF13" s="31" t="str">
        <f>IFERROR(VLOOKUP([2]Pointage!CJ7,Feuil1!$A:$B,2,FALSE),"")</f>
        <v/>
      </c>
      <c r="CG13" s="31" t="str">
        <f>IFERROR(VLOOKUP([2]Pointage!CK7,Feuil1!$A:$B,2,FALSE),"")</f>
        <v/>
      </c>
      <c r="CH13" s="31" t="str">
        <f>IFERROR(VLOOKUP([2]Pointage!CL7,Feuil1!$A:$B,2,FALSE),"")</f>
        <v/>
      </c>
      <c r="CI13" s="31" t="str">
        <f>IFERROR(VLOOKUP([2]Pointage!CM7,Feuil1!$A:$B,2,FALSE),"")</f>
        <v/>
      </c>
      <c r="CJ13" s="31" t="str">
        <f>IFERROR(VLOOKUP([2]Pointage!CN7,Feuil1!$A:$B,2,FALSE),"")</f>
        <v/>
      </c>
      <c r="CK13" s="31" t="str">
        <f>IFERROR(VLOOKUP([2]Pointage!CO7,Feuil1!$A:$B,2,FALSE),"")</f>
        <v/>
      </c>
      <c r="CL13" s="31" t="str">
        <f>IFERROR(VLOOKUP([2]Pointage!CP7,Feuil1!$A:$B,2,FALSE),"")</f>
        <v/>
      </c>
      <c r="CM13" s="31" t="str">
        <f>IFERROR(VLOOKUP([2]Pointage!CQ7,Feuil1!$A:$B,2,FALSE),"")</f>
        <v/>
      </c>
      <c r="CN13" s="31" t="str">
        <f>IFERROR(VLOOKUP([2]Pointage!CR7,Feuil1!$A:$B,2,FALSE),"")</f>
        <v/>
      </c>
      <c r="CO13" s="31" t="str">
        <f>IFERROR(VLOOKUP([2]Pointage!CS7,Feuil1!$A:$B,2,FALSE),"")</f>
        <v/>
      </c>
      <c r="CP13" s="31" t="str">
        <f>IFERROR(VLOOKUP([2]Pointage!CT7,Feuil1!$A:$B,2,FALSE),"")</f>
        <v/>
      </c>
      <c r="CQ13" s="82" t="str">
        <f>IFERROR(VLOOKUP([2]Pointage!CU7,Feuil1!$A:$B,2,FALSE),"")</f>
        <v/>
      </c>
      <c r="CR13" s="47" t="str">
        <f>IFERROR(VLOOKUP([2]Pointage!CV7,Feuil1!$A:$B,2,FALSE),"")</f>
        <v/>
      </c>
      <c r="CS13" s="31" t="str">
        <f>IFERROR(VLOOKUP([2]Pointage!CW7,Feuil1!$A:$B,2,FALSE),"")</f>
        <v/>
      </c>
      <c r="CT13" s="31" t="str">
        <f>IFERROR(VLOOKUP([2]Pointage!CX7,Feuil1!$A:$B,2,FALSE),"")</f>
        <v/>
      </c>
      <c r="CU13" s="31" t="str">
        <f>IFERROR(VLOOKUP([2]Pointage!CY7,Feuil1!$A:$B,2,FALSE),"")</f>
        <v/>
      </c>
      <c r="CV13" s="31" t="str">
        <f>IFERROR(VLOOKUP([2]Pointage!CZ7,Feuil1!$A:$B,2,FALSE),"")</f>
        <v/>
      </c>
      <c r="CW13" s="31" t="str">
        <f>IFERROR(VLOOKUP([2]Pointage!DA7,Feuil1!$A:$B,2,FALSE),"")</f>
        <v/>
      </c>
      <c r="CX13" s="31" t="str">
        <f>IFERROR(VLOOKUP([2]Pointage!DB7,Feuil1!$A:$B,2,FALSE),"")</f>
        <v/>
      </c>
      <c r="CY13" s="31" t="str">
        <f>IFERROR(VLOOKUP([2]Pointage!DC7,Feuil1!$A:$B,2,FALSE),"")</f>
        <v/>
      </c>
      <c r="CZ13" s="31" t="str">
        <f>IFERROR(VLOOKUP([2]Pointage!DD7,Feuil1!$A:$B,2,FALSE),"")</f>
        <v/>
      </c>
      <c r="DA13" s="31" t="str">
        <f>IFERROR(VLOOKUP([2]Pointage!DE7,Feuil1!$A:$B,2,FALSE),"")</f>
        <v>C</v>
      </c>
      <c r="DB13" s="31" t="str">
        <f>IFERROR(VLOOKUP([2]Pointage!DF7,Feuil1!$A:$B,2,FALSE),"")</f>
        <v/>
      </c>
      <c r="DC13" s="31" t="str">
        <f>IFERROR(VLOOKUP([2]Pointage!DG7,Feuil1!$A:$B,2,FALSE),"")</f>
        <v/>
      </c>
      <c r="DD13" s="31" t="str">
        <f>IFERROR(VLOOKUP([2]Pointage!DH7,Feuil1!$A:$B,2,FALSE),"")</f>
        <v/>
      </c>
      <c r="DE13" s="31" t="str">
        <f>IFERROR(VLOOKUP([2]Pointage!DI7,Feuil1!$A:$B,2,FALSE),"")</f>
        <v/>
      </c>
      <c r="DF13" s="31" t="str">
        <f>IFERROR(VLOOKUP([2]Pointage!DJ7,Feuil1!$A:$B,2,FALSE),"")</f>
        <v/>
      </c>
      <c r="DG13" s="31" t="str">
        <f>IFERROR(VLOOKUP([2]Pointage!DK7,Feuil1!$A:$B,2,FALSE),"")</f>
        <v/>
      </c>
      <c r="DH13" s="31" t="str">
        <f>IFERROR(VLOOKUP([2]Pointage!DL7,Feuil1!$A:$B,2,FALSE),"")</f>
        <v/>
      </c>
      <c r="DI13" s="31" t="str">
        <f>IFERROR(VLOOKUP([2]Pointage!DM7,Feuil1!$A:$B,2,FALSE),"")</f>
        <v/>
      </c>
      <c r="DJ13" s="31" t="str">
        <f>IFERROR(VLOOKUP([2]Pointage!DN7,Feuil1!$A:$B,2,FALSE),"")</f>
        <v/>
      </c>
      <c r="DK13" s="31" t="str">
        <f>IFERROR(VLOOKUP([2]Pointage!DO7,Feuil1!$A:$B,2,FALSE),"")</f>
        <v/>
      </c>
      <c r="DL13" s="31" t="str">
        <f>IFERROR(VLOOKUP([2]Pointage!DP7,Feuil1!$A:$B,2,FALSE),"")</f>
        <v/>
      </c>
      <c r="DM13" s="31" t="str">
        <f>IFERROR(VLOOKUP([2]Pointage!DQ7,Feuil1!$A:$B,2,FALSE),"")</f>
        <v/>
      </c>
      <c r="DN13" s="31" t="str">
        <f>IFERROR(VLOOKUP([2]Pointage!DR7,Feuil1!$A:$B,2,FALSE),"")</f>
        <v>C</v>
      </c>
      <c r="DO13" s="31" t="str">
        <f>IFERROR(VLOOKUP([2]Pointage!DS7,Feuil1!$A:$B,2,FALSE),"")</f>
        <v>C</v>
      </c>
      <c r="DP13" s="31" t="str">
        <f>IFERROR(VLOOKUP([2]Pointage!DT7,Feuil1!$A:$B,2,FALSE),"")</f>
        <v>C</v>
      </c>
      <c r="DQ13" s="31" t="str">
        <f>IFERROR(VLOOKUP([2]Pointage!DU7,Feuil1!$A:$B,2,FALSE),"")</f>
        <v>C</v>
      </c>
      <c r="DR13" s="31" t="str">
        <f>IFERROR(VLOOKUP([2]Pointage!DV7,Feuil1!$A:$B,2,FALSE),"")</f>
        <v>C</v>
      </c>
      <c r="DS13" s="31" t="str">
        <f>IFERROR(VLOOKUP([2]Pointage!DW7,Feuil1!$A:$B,2,FALSE),"")</f>
        <v/>
      </c>
      <c r="DT13" s="31" t="str">
        <f>IFERROR(VLOOKUP([2]Pointage!DX7,Feuil1!$A:$B,2,FALSE),"")</f>
        <v/>
      </c>
      <c r="DU13" s="82" t="str">
        <f>IFERROR(VLOOKUP([2]Pointage!DY7,Feuil1!$A:$B,2,FALSE),"")</f>
        <v>C</v>
      </c>
      <c r="DV13" s="47" t="str">
        <f>IFERROR(VLOOKUP([2]Pointage!DZ7,Feuil1!$A:$B,2,FALSE),"")</f>
        <v/>
      </c>
      <c r="DW13" s="31" t="str">
        <f>IFERROR(VLOOKUP([2]Pointage!EA7,Feuil1!$A:$B,2,FALSE),"")</f>
        <v/>
      </c>
      <c r="DX13" s="31" t="str">
        <f>IFERROR(VLOOKUP([2]Pointage!EB7,Feuil1!$A:$B,2,FALSE),"")</f>
        <v/>
      </c>
      <c r="DY13" s="31" t="str">
        <f>IFERROR(VLOOKUP([2]Pointage!EC7,Feuil1!$A:$B,2,FALSE),"")</f>
        <v/>
      </c>
      <c r="DZ13" s="31" t="str">
        <f>IFERROR(VLOOKUP([2]Pointage!ED7,Feuil1!$A:$B,2,FALSE),"")</f>
        <v/>
      </c>
      <c r="EA13" s="31" t="str">
        <f>IFERROR(VLOOKUP([2]Pointage!EE7,Feuil1!$A:$B,2,FALSE),"")</f>
        <v/>
      </c>
      <c r="EB13" s="31" t="str">
        <f>IFERROR(VLOOKUP([2]Pointage!EF7,Feuil1!$A:$B,2,FALSE),"")</f>
        <v>AT</v>
      </c>
      <c r="EC13" s="31" t="str">
        <f>IFERROR(VLOOKUP([2]Pointage!EG7,Feuil1!$A:$B,2,FALSE),"")</f>
        <v>AT</v>
      </c>
      <c r="ED13" s="31" t="str">
        <f>IFERROR(VLOOKUP([2]Pointage!EH7,Feuil1!$A:$B,2,FALSE),"")</f>
        <v>AT</v>
      </c>
      <c r="EE13" s="31" t="str">
        <f>IFERROR(VLOOKUP([2]Pointage!EI7,Feuil1!$A:$B,2,FALSE),"")</f>
        <v>AT</v>
      </c>
      <c r="EF13" s="31" t="str">
        <f>IFERROR(VLOOKUP([2]Pointage!EJ7,Feuil1!$A:$B,2,FALSE),"")</f>
        <v>AT</v>
      </c>
      <c r="EG13" s="31" t="str">
        <f>IFERROR(VLOOKUP([2]Pointage!EK7,Feuil1!$A:$B,2,FALSE),"")</f>
        <v>AT</v>
      </c>
      <c r="EH13" s="31" t="str">
        <f>IFERROR(VLOOKUP([2]Pointage!EL7,Feuil1!$A:$B,2,FALSE),"")</f>
        <v>AT</v>
      </c>
      <c r="EI13" s="31" t="str">
        <f>IFERROR(VLOOKUP([2]Pointage!EM7,Feuil1!$A:$B,2,FALSE),"")</f>
        <v>AT</v>
      </c>
      <c r="EJ13" s="31" t="str">
        <f>IFERROR(VLOOKUP([2]Pointage!EN7,Feuil1!$A:$B,2,FALSE),"")</f>
        <v>AT</v>
      </c>
      <c r="EK13" s="31" t="str">
        <f>IFERROR(VLOOKUP([2]Pointage!EO7,Feuil1!$A:$B,2,FALSE),"")</f>
        <v>AT</v>
      </c>
      <c r="EL13" s="31" t="str">
        <f>IFERROR(VLOOKUP([2]Pointage!EP7,Feuil1!$A:$B,2,FALSE),"")</f>
        <v>AT</v>
      </c>
      <c r="EM13" s="31" t="str">
        <f>IFERROR(VLOOKUP([2]Pointage!EQ7,Feuil1!$A:$B,2,FALSE),"")</f>
        <v>AT</v>
      </c>
      <c r="EN13" s="31" t="str">
        <f>IFERROR(VLOOKUP([2]Pointage!ER7,Feuil1!$A:$B,2,FALSE),"")</f>
        <v>AT</v>
      </c>
      <c r="EO13" s="31" t="str">
        <f>IFERROR(VLOOKUP([2]Pointage!ES7,Feuil1!$A:$B,2,FALSE),"")</f>
        <v>AT</v>
      </c>
      <c r="EP13" s="31" t="str">
        <f>IFERROR(VLOOKUP([2]Pointage!ET7,Feuil1!$A:$B,2,FALSE),"")</f>
        <v>AT</v>
      </c>
      <c r="EQ13" s="31" t="str">
        <f>IFERROR(VLOOKUP([2]Pointage!EU7,Feuil1!$A:$B,2,FALSE),"")</f>
        <v>AT</v>
      </c>
      <c r="ER13" s="31" t="str">
        <f>IFERROR(VLOOKUP([2]Pointage!EV7,Feuil1!$A:$B,2,FALSE),"")</f>
        <v>AT</v>
      </c>
      <c r="ES13" s="31" t="str">
        <f>IFERROR(VLOOKUP([2]Pointage!EW7,Feuil1!$A:$B,2,FALSE),"")</f>
        <v>AT</v>
      </c>
      <c r="ET13" s="31" t="str">
        <f>IFERROR(VLOOKUP([2]Pointage!EX7,Feuil1!$A:$B,2,FALSE),"")</f>
        <v>AT</v>
      </c>
      <c r="EU13" s="31" t="str">
        <f>IFERROR(VLOOKUP([2]Pointage!EY7,Feuil1!$A:$B,2,FALSE),"")</f>
        <v>AT</v>
      </c>
      <c r="EV13" s="31" t="str">
        <f>IFERROR(VLOOKUP([2]Pointage!EZ7,Feuil1!$A:$B,2,FALSE),"")</f>
        <v>AT</v>
      </c>
      <c r="EW13" s="31" t="str">
        <f>IFERROR(VLOOKUP([2]Pointage!FA7,Feuil1!$A:$B,2,FALSE),"")</f>
        <v>AT</v>
      </c>
      <c r="EX13" s="31" t="str">
        <f>IFERROR(VLOOKUP([2]Pointage!FB7,Feuil1!$A:$B,2,FALSE),"")</f>
        <v/>
      </c>
      <c r="EY13" s="31" t="str">
        <f>IFERROR(VLOOKUP([2]Pointage!FC7,Feuil1!$A:$B,2,FALSE),"")</f>
        <v/>
      </c>
      <c r="EZ13" s="82" t="str">
        <f>IFERROR(VLOOKUP([2]Pointage!FD7,Feuil1!$A:$B,2,FALSE),"")</f>
        <v/>
      </c>
      <c r="FA13" s="47" t="str">
        <f>IFERROR(VLOOKUP([2]Pointage!FE7,Feuil1!$A:$B,2,FALSE),"")</f>
        <v/>
      </c>
      <c r="FB13" s="31" t="str">
        <f>IFERROR(VLOOKUP([2]Pointage!FF7,Feuil1!$A:$B,2,FALSE),"")</f>
        <v/>
      </c>
      <c r="FC13" s="31" t="str">
        <f>IFERROR(VLOOKUP([2]Pointage!FG7,Feuil1!$A:$B,2,FALSE),"")</f>
        <v/>
      </c>
      <c r="FD13" s="31" t="str">
        <f>IFERROR(VLOOKUP([2]Pointage!FH7,Feuil1!$A:$B,2,FALSE),"")</f>
        <v/>
      </c>
      <c r="FE13" s="31" t="str">
        <f>IFERROR(VLOOKUP([2]Pointage!FI7,Feuil1!$A:$B,2,FALSE),"")</f>
        <v/>
      </c>
      <c r="FF13" s="31" t="str">
        <f>IFERROR(VLOOKUP([2]Pointage!FJ7,Feuil1!$A:$B,2,FALSE),"")</f>
        <v/>
      </c>
      <c r="FG13" s="31" t="str">
        <f>IFERROR(VLOOKUP([2]Pointage!FK7,Feuil1!$A:$B,2,FALSE),"")</f>
        <v/>
      </c>
      <c r="FH13" s="31" t="str">
        <f>IFERROR(VLOOKUP([2]Pointage!FL7,Feuil1!$A:$B,2,FALSE),"")</f>
        <v/>
      </c>
      <c r="FI13" s="31" t="str">
        <f>IFERROR(VLOOKUP([2]Pointage!FM7,Feuil1!$A:$B,2,FALSE),"")</f>
        <v/>
      </c>
      <c r="FJ13" s="31" t="str">
        <f>IFERROR(VLOOKUP([2]Pointage!FN7,Feuil1!$A:$B,2,FALSE),"")</f>
        <v/>
      </c>
      <c r="FK13" s="31" t="str">
        <f>IFERROR(VLOOKUP([2]Pointage!FO7,Feuil1!$A:$B,2,FALSE),"")</f>
        <v/>
      </c>
      <c r="FL13" s="31" t="str">
        <f>IFERROR(VLOOKUP([2]Pointage!FP7,Feuil1!$A:$B,2,FALSE),"")</f>
        <v/>
      </c>
      <c r="FM13" s="31" t="str">
        <f>IFERROR(VLOOKUP([2]Pointage!FQ7,Feuil1!$A:$B,2,FALSE),"")</f>
        <v/>
      </c>
      <c r="FN13" s="31" t="str">
        <f>IFERROR(VLOOKUP([2]Pointage!FR7,Feuil1!$A:$B,2,FALSE),"")</f>
        <v/>
      </c>
      <c r="FO13" s="31" t="str">
        <f>IFERROR(VLOOKUP([2]Pointage!FS7,Feuil1!$A:$B,2,FALSE),"")</f>
        <v/>
      </c>
      <c r="FP13" s="31" t="str">
        <f>IFERROR(VLOOKUP([2]Pointage!FT7,Feuil1!$A:$B,2,FALSE),"")</f>
        <v/>
      </c>
      <c r="FQ13" s="31" t="str">
        <f>IFERROR(VLOOKUP([2]Pointage!FU7,Feuil1!$A:$B,2,FALSE),"")</f>
        <v/>
      </c>
      <c r="FR13" s="31" t="str">
        <f>IFERROR(VLOOKUP([2]Pointage!FV7,Feuil1!$A:$B,2,FALSE),"")</f>
        <v/>
      </c>
      <c r="FS13" s="31" t="str">
        <f>IFERROR(VLOOKUP([2]Pointage!FW7,Feuil1!$A:$B,2,FALSE),"")</f>
        <v/>
      </c>
      <c r="FT13" s="31" t="str">
        <f>IFERROR(VLOOKUP([2]Pointage!FX7,Feuil1!$A:$B,2,FALSE),"")</f>
        <v/>
      </c>
      <c r="FU13" s="31" t="str">
        <f>IFERROR(VLOOKUP([2]Pointage!FY7,Feuil1!$A:$B,2,FALSE),"")</f>
        <v/>
      </c>
      <c r="FV13" s="31" t="str">
        <f>IFERROR(VLOOKUP([2]Pointage!FZ7,Feuil1!$A:$B,2,FALSE),"")</f>
        <v/>
      </c>
      <c r="FW13" s="31" t="str">
        <f>IFERROR(VLOOKUP([2]Pointage!GA7,Feuil1!$A:$B,2,FALSE),"")</f>
        <v/>
      </c>
      <c r="FX13" s="31" t="str">
        <f>IFERROR(VLOOKUP([2]Pointage!GB7,Feuil1!$A:$B,2,FALSE),"")</f>
        <v/>
      </c>
      <c r="FY13" s="31" t="str">
        <f>IFERROR(VLOOKUP([2]Pointage!GC7,Feuil1!$A:$B,2,FALSE),"")</f>
        <v/>
      </c>
      <c r="FZ13" s="31" t="str">
        <f>IFERROR(VLOOKUP([2]Pointage!GD7,Feuil1!$A:$B,2,FALSE),"")</f>
        <v/>
      </c>
      <c r="GA13" s="31" t="str">
        <f>IFERROR(VLOOKUP([2]Pointage!GE7,Feuil1!$A:$B,2,FALSE),"")</f>
        <v/>
      </c>
      <c r="GB13" s="31" t="str">
        <f>IFERROR(VLOOKUP([2]Pointage!GF7,Feuil1!$A:$B,2,FALSE),"")</f>
        <v/>
      </c>
      <c r="GC13" s="31" t="str">
        <f>IFERROR(VLOOKUP([2]Pointage!GG7,Feuil1!$A:$B,2,FALSE),"")</f>
        <v/>
      </c>
      <c r="GD13" s="82" t="str">
        <f>IFERROR(VLOOKUP([2]Pointage!GH7,Feuil1!$A:$B,2,FALSE),"")</f>
        <v/>
      </c>
      <c r="GE13" s="47" t="str">
        <f>IFERROR(VLOOKUP([2]Pointage!GI7,Feuil1!$A:$B,2,FALSE),"")</f>
        <v/>
      </c>
      <c r="GF13" s="31" t="str">
        <f>IFERROR(VLOOKUP([2]Pointage!GJ7,Feuil1!$A:$B,2,FALSE),"")</f>
        <v/>
      </c>
      <c r="GG13" s="31" t="str">
        <f>IFERROR(VLOOKUP([2]Pointage!GK7,Feuil1!$A:$B,2,FALSE),"")</f>
        <v/>
      </c>
      <c r="GH13" s="31" t="str">
        <f>IFERROR(VLOOKUP([2]Pointage!GL7,Feuil1!$A:$B,2,FALSE),"")</f>
        <v/>
      </c>
      <c r="GI13" s="31" t="str">
        <f>IFERROR(VLOOKUP([2]Pointage!GM7,Feuil1!$A:$B,2,FALSE),"")</f>
        <v/>
      </c>
      <c r="GJ13" s="31" t="str">
        <f>IFERROR(VLOOKUP([2]Pointage!GN7,Feuil1!$A:$B,2,FALSE),"")</f>
        <v/>
      </c>
      <c r="GK13" s="31" t="str">
        <f>IFERROR(VLOOKUP([2]Pointage!GO7,Feuil1!$A:$B,2,FALSE),"")</f>
        <v/>
      </c>
      <c r="GL13" s="31" t="str">
        <f>IFERROR(VLOOKUP([2]Pointage!GP7,Feuil1!$A:$B,2,FALSE),"")</f>
        <v/>
      </c>
      <c r="GM13" s="31" t="str">
        <f>IFERROR(VLOOKUP([2]Pointage!GQ7,Feuil1!$A:$B,2,FALSE),"")</f>
        <v/>
      </c>
      <c r="GN13" s="31" t="str">
        <f>IFERROR(VLOOKUP([2]Pointage!GR7,Feuil1!$A:$B,2,FALSE),"")</f>
        <v/>
      </c>
      <c r="GO13" s="31" t="str">
        <f>IFERROR(VLOOKUP([2]Pointage!GS7,Feuil1!$A:$B,2,FALSE),"")</f>
        <v/>
      </c>
      <c r="GP13" s="31" t="str">
        <f>IFERROR(VLOOKUP([2]Pointage!GT7,Feuil1!$A:$B,2,FALSE),"")</f>
        <v/>
      </c>
      <c r="GQ13" s="31" t="str">
        <f>IFERROR(VLOOKUP([2]Pointage!GU7,Feuil1!$A:$B,2,FALSE),"")</f>
        <v/>
      </c>
      <c r="GR13" s="31" t="str">
        <f>IFERROR(VLOOKUP([2]Pointage!GV7,Feuil1!$A:$B,2,FALSE),"")</f>
        <v/>
      </c>
      <c r="GS13" s="31" t="str">
        <f>IFERROR(VLOOKUP([2]Pointage!GW7,Feuil1!$A:$B,2,FALSE),"")</f>
        <v/>
      </c>
      <c r="GT13" s="31" t="str">
        <f>IFERROR(VLOOKUP([2]Pointage!GX7,Feuil1!$A:$B,2,FALSE),"")</f>
        <v/>
      </c>
      <c r="GU13" s="31" t="str">
        <f>IFERROR(VLOOKUP([2]Pointage!GY7,Feuil1!$A:$B,2,FALSE),"")</f>
        <v/>
      </c>
      <c r="GV13" s="31" t="str">
        <f>IFERROR(VLOOKUP([2]Pointage!GZ7,Feuil1!$A:$B,2,FALSE),"")</f>
        <v/>
      </c>
      <c r="GW13" s="31" t="str">
        <f>IFERROR(VLOOKUP([2]Pointage!HA7,Feuil1!$A:$B,2,FALSE),"")</f>
        <v/>
      </c>
      <c r="GX13" s="31" t="str">
        <f>IFERROR(VLOOKUP([2]Pointage!HB7,Feuil1!$A:$B,2,FALSE),"")</f>
        <v/>
      </c>
      <c r="GY13" s="31" t="str">
        <f>IFERROR(VLOOKUP([2]Pointage!HC7,Feuil1!$A:$B,2,FALSE),"")</f>
        <v/>
      </c>
      <c r="GZ13" s="31" t="str">
        <f>IFERROR(VLOOKUP([2]Pointage!HD7,Feuil1!$A:$B,2,FALSE),"")</f>
        <v/>
      </c>
      <c r="HA13" s="31" t="str">
        <f>IFERROR(VLOOKUP([2]Pointage!HE7,Feuil1!$A:$B,2,FALSE),"")</f>
        <v/>
      </c>
      <c r="HB13" s="31" t="str">
        <f>IFERROR(VLOOKUP([2]Pointage!HF7,Feuil1!$A:$B,2,FALSE),"")</f>
        <v/>
      </c>
      <c r="HC13" s="31" t="str">
        <f>IFERROR(VLOOKUP([2]Pointage!HG7,Feuil1!$A:$B,2,FALSE),"")</f>
        <v/>
      </c>
      <c r="HD13" s="31" t="str">
        <f>IFERROR(VLOOKUP([2]Pointage!HH7,Feuil1!$A:$B,2,FALSE),"")</f>
        <v/>
      </c>
      <c r="HE13" s="31" t="str">
        <f>IFERROR(VLOOKUP([2]Pointage!HI7,Feuil1!$A:$B,2,FALSE),"")</f>
        <v/>
      </c>
      <c r="HF13" s="31" t="str">
        <f>IFERROR(VLOOKUP([2]Pointage!HJ7,Feuil1!$A:$B,2,FALSE),"")</f>
        <v/>
      </c>
      <c r="HG13" s="31" t="str">
        <f>IFERROR(VLOOKUP([2]Pointage!HK7,Feuil1!$A:$B,2,FALSE),"")</f>
        <v/>
      </c>
      <c r="HH13" s="31" t="str">
        <f>IFERROR(VLOOKUP([2]Pointage!HL7,Feuil1!$A:$B,2,FALSE),"")</f>
        <v/>
      </c>
      <c r="HI13" s="82" t="str">
        <f>IFERROR(VLOOKUP([2]Pointage!HM7,Feuil1!$A:$B,2,FALSE),"")</f>
        <v/>
      </c>
      <c r="HJ13" s="47" t="str">
        <f>IFERROR(VLOOKUP([2]Pointage!HN7,Feuil1!$A:$B,2,FALSE),"")</f>
        <v/>
      </c>
      <c r="HK13" s="31" t="str">
        <f>IFERROR(VLOOKUP([2]Pointage!HO7,Feuil1!$A:$B,2,FALSE),"")</f>
        <v/>
      </c>
      <c r="HL13" s="31" t="str">
        <f>IFERROR(VLOOKUP([2]Pointage!HP7,Feuil1!$A:$B,2,FALSE),"")</f>
        <v/>
      </c>
      <c r="HM13" s="31" t="str">
        <f>IFERROR(VLOOKUP([2]Pointage!HQ7,Feuil1!$A:$B,2,FALSE),"")</f>
        <v/>
      </c>
      <c r="HN13" s="31" t="str">
        <f>IFERROR(VLOOKUP([2]Pointage!HR7,Feuil1!$A:$B,2,FALSE),"")</f>
        <v/>
      </c>
      <c r="HO13" s="31" t="str">
        <f>IFERROR(VLOOKUP([2]Pointage!HS7,Feuil1!$A:$B,2,FALSE),"")</f>
        <v/>
      </c>
      <c r="HP13" s="31" t="str">
        <f>IFERROR(VLOOKUP([2]Pointage!HT7,Feuil1!$A:$B,2,FALSE),"")</f>
        <v/>
      </c>
      <c r="HQ13" s="31" t="str">
        <f>IFERROR(VLOOKUP([2]Pointage!HU7,Feuil1!$A:$B,2,FALSE),"")</f>
        <v/>
      </c>
      <c r="HR13" s="31" t="str">
        <f>IFERROR(VLOOKUP([2]Pointage!HV7,Feuil1!$A:$B,2,FALSE),"")</f>
        <v/>
      </c>
      <c r="HS13" s="31" t="str">
        <f>IFERROR(VLOOKUP([2]Pointage!HW7,Feuil1!$A:$B,2,FALSE),"")</f>
        <v/>
      </c>
      <c r="HT13" s="31" t="str">
        <f>IFERROR(VLOOKUP([2]Pointage!HX7,Feuil1!$A:$B,2,FALSE),"")</f>
        <v/>
      </c>
      <c r="HU13" s="31" t="str">
        <f>IFERROR(VLOOKUP([2]Pointage!HY7,Feuil1!$A:$B,2,FALSE),"")</f>
        <v/>
      </c>
      <c r="HV13" s="31" t="str">
        <f>IFERROR(VLOOKUP([2]Pointage!HZ7,Feuil1!$A:$B,2,FALSE),"")</f>
        <v/>
      </c>
      <c r="HW13" s="31" t="str">
        <f>IFERROR(VLOOKUP([2]Pointage!IA7,Feuil1!$A:$B,2,FALSE),"")</f>
        <v/>
      </c>
      <c r="HX13" s="31" t="str">
        <f>IFERROR(VLOOKUP([2]Pointage!IB7,Feuil1!$A:$B,2,FALSE),"")</f>
        <v/>
      </c>
      <c r="HY13" s="31" t="str">
        <f>IFERROR(VLOOKUP([2]Pointage!IC7,Feuil1!$A:$B,2,FALSE),"")</f>
        <v/>
      </c>
      <c r="HZ13" s="31" t="str">
        <f>IFERROR(VLOOKUP([2]Pointage!ID7,Feuil1!$A:$B,2,FALSE),"")</f>
        <v/>
      </c>
      <c r="IA13" s="31" t="str">
        <f>IFERROR(VLOOKUP([2]Pointage!IE7,Feuil1!$A:$B,2,FALSE),"")</f>
        <v/>
      </c>
      <c r="IB13" s="31" t="str">
        <f>IFERROR(VLOOKUP([2]Pointage!IF7,Feuil1!$A:$B,2,FALSE),"")</f>
        <v/>
      </c>
      <c r="IC13" s="31" t="str">
        <f>IFERROR(VLOOKUP([2]Pointage!IG7,Feuil1!$A:$B,2,FALSE),"")</f>
        <v>C</v>
      </c>
      <c r="ID13" s="31" t="str">
        <f>IFERROR(VLOOKUP([2]Pointage!IH7,Feuil1!$A:$B,2,FALSE),"")</f>
        <v>C</v>
      </c>
      <c r="IE13" s="31" t="str">
        <f>IFERROR(VLOOKUP([2]Pointage!II7,Feuil1!$A:$B,2,FALSE),"")</f>
        <v>C</v>
      </c>
      <c r="IF13" s="31" t="str">
        <f>IFERROR(VLOOKUP([2]Pointage!IJ7,Feuil1!$A:$B,2,FALSE),"")</f>
        <v>C</v>
      </c>
      <c r="IG13" s="31" t="str">
        <f>IFERROR(VLOOKUP([2]Pointage!IK7,Feuil1!$A:$B,2,FALSE),"")</f>
        <v>C</v>
      </c>
      <c r="IH13" s="31" t="str">
        <f>IFERROR(VLOOKUP([2]Pointage!IL7,Feuil1!$A:$B,2,FALSE),"")</f>
        <v/>
      </c>
      <c r="II13" s="31" t="str">
        <f>IFERROR(VLOOKUP([2]Pointage!IM7,Feuil1!$A:$B,2,FALSE),"")</f>
        <v/>
      </c>
      <c r="IJ13" s="31" t="str">
        <f>IFERROR(VLOOKUP([2]Pointage!IN7,Feuil1!$A:$B,2,FALSE),"")</f>
        <v/>
      </c>
      <c r="IK13" s="31" t="str">
        <f>IFERROR(VLOOKUP([2]Pointage!IO7,Feuil1!$A:$B,2,FALSE),"")</f>
        <v/>
      </c>
      <c r="IL13" s="31" t="str">
        <f>IFERROR(VLOOKUP([2]Pointage!IP7,Feuil1!$A:$B,2,FALSE),"")</f>
        <v/>
      </c>
      <c r="IM13" s="31" t="str">
        <f>IFERROR(VLOOKUP([2]Pointage!IQ7,Feuil1!$A:$B,2,FALSE),"")</f>
        <v/>
      </c>
      <c r="IN13" s="82" t="str">
        <f>IFERROR(VLOOKUP([2]Pointage!IR7,Feuil1!$A:$B,2,FALSE),"")</f>
        <v/>
      </c>
      <c r="IO13" s="47" t="str">
        <f>IFERROR(VLOOKUP([2]Pointage!IS7,Feuil1!$A:$B,2,FALSE),"")</f>
        <v/>
      </c>
      <c r="IP13" s="31" t="str">
        <f>IFERROR(VLOOKUP([2]Pointage!IT7,Feuil1!$A:$B,2,FALSE),"")</f>
        <v/>
      </c>
      <c r="IQ13" s="31" t="str">
        <f>IFERROR(VLOOKUP([2]Pointage!IU7,Feuil1!$A:$B,2,FALSE),"")</f>
        <v/>
      </c>
      <c r="IR13" s="31" t="str">
        <f>IFERROR(VLOOKUP([2]Pointage!IV7,Feuil1!$A:$B,2,FALSE),"")</f>
        <v/>
      </c>
      <c r="IS13" s="31" t="str">
        <f>IFERROR(VLOOKUP([2]Pointage!IW7,Feuil1!$A:$B,2,FALSE),"")</f>
        <v/>
      </c>
      <c r="IT13" s="31" t="str">
        <f>IFERROR(VLOOKUP([2]Pointage!IX7,Feuil1!$A:$B,2,FALSE),"")</f>
        <v/>
      </c>
      <c r="IU13" s="31" t="str">
        <f>IFERROR(VLOOKUP([2]Pointage!IY7,Feuil1!$A:$B,2,FALSE),"")</f>
        <v/>
      </c>
      <c r="IV13" s="31" t="str">
        <f>IFERROR(VLOOKUP([2]Pointage!IZ7,Feuil1!$A:$B,2,FALSE),"")</f>
        <v/>
      </c>
      <c r="IW13" s="31" t="str">
        <f>IFERROR(VLOOKUP([2]Pointage!JA7,Feuil1!$A:$B,2,FALSE),"")</f>
        <v/>
      </c>
      <c r="IX13" s="31" t="str">
        <f>IFERROR(VLOOKUP([2]Pointage!JB7,Feuil1!$A:$B,2,FALSE),"")</f>
        <v/>
      </c>
      <c r="IY13" s="31" t="str">
        <f>IFERROR(VLOOKUP([2]Pointage!JC7,Feuil1!$A:$B,2,FALSE),"")</f>
        <v/>
      </c>
      <c r="IZ13" s="31" t="str">
        <f>IFERROR(VLOOKUP([2]Pointage!JD7,Feuil1!$A:$B,2,FALSE),"")</f>
        <v/>
      </c>
      <c r="JA13" s="31" t="str">
        <f>IFERROR(VLOOKUP([2]Pointage!JE7,Feuil1!$A:$B,2,FALSE),"")</f>
        <v/>
      </c>
      <c r="JB13" s="31" t="str">
        <f>IFERROR(VLOOKUP([2]Pointage!JF7,Feuil1!$A:$B,2,FALSE),"")</f>
        <v/>
      </c>
      <c r="JC13" s="31" t="str">
        <f>IFERROR(VLOOKUP([2]Pointage!JG7,Feuil1!$A:$B,2,FALSE),"")</f>
        <v/>
      </c>
      <c r="JD13" s="31" t="str">
        <f>IFERROR(VLOOKUP([2]Pointage!JH7,Feuil1!$A:$B,2,FALSE),"")</f>
        <v/>
      </c>
      <c r="JE13" s="31" t="str">
        <f>IFERROR(VLOOKUP([2]Pointage!JI7,Feuil1!$A:$B,2,FALSE),"")</f>
        <v/>
      </c>
      <c r="JF13" s="31" t="str">
        <f>IFERROR(VLOOKUP([2]Pointage!JJ7,Feuil1!$A:$B,2,FALSE),"")</f>
        <v/>
      </c>
      <c r="JG13" s="31" t="str">
        <f>IFERROR(VLOOKUP([2]Pointage!JK7,Feuil1!$A:$B,2,FALSE),"")</f>
        <v/>
      </c>
      <c r="JH13" s="31" t="str">
        <f>IFERROR(VLOOKUP([2]Pointage!JL7,Feuil1!$A:$B,2,FALSE),"")</f>
        <v/>
      </c>
      <c r="JI13" s="31" t="str">
        <f>IFERROR(VLOOKUP([2]Pointage!JM7,Feuil1!$A:$B,2,FALSE),"")</f>
        <v/>
      </c>
      <c r="JJ13" s="31" t="str">
        <f>IFERROR(VLOOKUP([2]Pointage!JN7,Feuil1!$A:$B,2,FALSE),"")</f>
        <v/>
      </c>
      <c r="JK13" s="31" t="str">
        <f>IFERROR(VLOOKUP([2]Pointage!JO7,Feuil1!$A:$B,2,FALSE),"")</f>
        <v/>
      </c>
      <c r="JL13" s="31" t="str">
        <f>IFERROR(VLOOKUP([2]Pointage!JP7,Feuil1!$A:$B,2,FALSE),"")</f>
        <v/>
      </c>
      <c r="JM13" s="31" t="str">
        <f>IFERROR(VLOOKUP([2]Pointage!JQ7,Feuil1!$A:$B,2,FALSE),"")</f>
        <v/>
      </c>
      <c r="JN13" s="31" t="str">
        <f>IFERROR(VLOOKUP([2]Pointage!JR7,Feuil1!$A:$B,2,FALSE),"")</f>
        <v/>
      </c>
      <c r="JO13" s="31" t="str">
        <f>IFERROR(VLOOKUP([2]Pointage!JS7,Feuil1!$A:$B,2,FALSE),"")</f>
        <v/>
      </c>
      <c r="JP13" s="31" t="str">
        <f>IFERROR(VLOOKUP([2]Pointage!JT7,Feuil1!$A:$B,2,FALSE),"")</f>
        <v/>
      </c>
      <c r="JQ13" s="31" t="str">
        <f>IFERROR(VLOOKUP([2]Pointage!JU7,Feuil1!$A:$B,2,FALSE),"")</f>
        <v/>
      </c>
      <c r="JR13" s="82" t="str">
        <f>IFERROR(VLOOKUP([2]Pointage!JV7,Feuil1!$A:$B,2,FALSE),"")</f>
        <v/>
      </c>
      <c r="JS13" s="47" t="str">
        <f>IFERROR(VLOOKUP([2]Pointage!JW7,Feuil1!$A:$B,2,FALSE),"")</f>
        <v/>
      </c>
      <c r="JT13" s="31" t="str">
        <f>IFERROR(VLOOKUP([2]Pointage!JX7,Feuil1!$A:$B,2,FALSE),"")</f>
        <v/>
      </c>
      <c r="JU13" s="31" t="str">
        <f>IFERROR(VLOOKUP([2]Pointage!JY7,Feuil1!$A:$B,2,FALSE),"")</f>
        <v/>
      </c>
      <c r="JV13" s="31" t="str">
        <f>IFERROR(VLOOKUP([2]Pointage!JZ7,Feuil1!$A:$B,2,FALSE),"")</f>
        <v/>
      </c>
      <c r="JW13" s="31" t="str">
        <f>IFERROR(VLOOKUP([2]Pointage!KA7,Feuil1!$A:$B,2,FALSE),"")</f>
        <v/>
      </c>
      <c r="JX13" s="31" t="str">
        <f>IFERROR(VLOOKUP([2]Pointage!KB7,Feuil1!$A:$B,2,FALSE),"")</f>
        <v/>
      </c>
      <c r="JY13" s="31" t="str">
        <f>IFERROR(VLOOKUP([2]Pointage!KC7,Feuil1!$A:$B,2,FALSE),"")</f>
        <v/>
      </c>
      <c r="JZ13" s="31" t="str">
        <f>IFERROR(VLOOKUP([2]Pointage!KD7,Feuil1!$A:$B,2,FALSE),"")</f>
        <v/>
      </c>
      <c r="KA13" s="31" t="str">
        <f>IFERROR(VLOOKUP([2]Pointage!KE7,Feuil1!$A:$B,2,FALSE),"")</f>
        <v/>
      </c>
      <c r="KB13" s="31" t="str">
        <f>IFERROR(VLOOKUP([2]Pointage!KF7,Feuil1!$A:$B,2,FALSE),"")</f>
        <v/>
      </c>
      <c r="KC13" s="31" t="str">
        <f>IFERROR(VLOOKUP([2]Pointage!KG7,Feuil1!$A:$B,2,FALSE),"")</f>
        <v/>
      </c>
      <c r="KD13" s="31" t="str">
        <f>IFERROR(VLOOKUP([2]Pointage!KH7,Feuil1!$A:$B,2,FALSE),"")</f>
        <v/>
      </c>
      <c r="KE13" s="31" t="str">
        <f>IFERROR(VLOOKUP([2]Pointage!KI7,Feuil1!$A:$B,2,FALSE),"")</f>
        <v/>
      </c>
      <c r="KF13" s="31" t="str">
        <f>IFERROR(VLOOKUP([2]Pointage!KJ7,Feuil1!$A:$B,2,FALSE),"")</f>
        <v/>
      </c>
      <c r="KG13" s="31" t="str">
        <f>IFERROR(VLOOKUP([2]Pointage!KK7,Feuil1!$A:$B,2,FALSE),"")</f>
        <v/>
      </c>
      <c r="KH13" s="31" t="str">
        <f>IFERROR(VLOOKUP([2]Pointage!KL7,Feuil1!$A:$B,2,FALSE),"")</f>
        <v/>
      </c>
      <c r="KI13" s="31" t="str">
        <f>IFERROR(VLOOKUP([2]Pointage!KM7,Feuil1!$A:$B,2,FALSE),"")</f>
        <v/>
      </c>
      <c r="KJ13" s="31" t="str">
        <f>IFERROR(VLOOKUP([2]Pointage!KN7,Feuil1!$A:$B,2,FALSE),"")</f>
        <v/>
      </c>
      <c r="KK13" s="31" t="str">
        <f>IFERROR(VLOOKUP([2]Pointage!KO7,Feuil1!$A:$B,2,FALSE),"")</f>
        <v/>
      </c>
      <c r="KL13" s="31" t="str">
        <f>IFERROR(VLOOKUP([2]Pointage!KP7,Feuil1!$A:$B,2,FALSE),"")</f>
        <v/>
      </c>
      <c r="KM13" s="31" t="str">
        <f>IFERROR(VLOOKUP([2]Pointage!KQ7,Feuil1!$A:$B,2,FALSE),"")</f>
        <v/>
      </c>
      <c r="KN13" s="31" t="str">
        <f>IFERROR(VLOOKUP([2]Pointage!KR7,Feuil1!$A:$B,2,FALSE),"")</f>
        <v/>
      </c>
      <c r="KO13" s="31" t="str">
        <f>IFERROR(VLOOKUP([2]Pointage!KS7,Feuil1!$A:$B,2,FALSE),"")</f>
        <v/>
      </c>
      <c r="KP13" s="31" t="str">
        <f>IFERROR(VLOOKUP([2]Pointage!KT7,Feuil1!$A:$B,2,FALSE),"")</f>
        <v/>
      </c>
      <c r="KQ13" s="31" t="str">
        <f>IFERROR(VLOOKUP([2]Pointage!KU7,Feuil1!$A:$B,2,FALSE),"")</f>
        <v/>
      </c>
      <c r="KR13" s="31" t="str">
        <f>IFERROR(VLOOKUP([2]Pointage!KV7,Feuil1!$A:$B,2,FALSE),"")</f>
        <v/>
      </c>
      <c r="KS13" s="31" t="str">
        <f>IFERROR(VLOOKUP([2]Pointage!KW7,Feuil1!$A:$B,2,FALSE),"")</f>
        <v/>
      </c>
      <c r="KT13" s="31" t="str">
        <f>IFERROR(VLOOKUP([2]Pointage!KX7,Feuil1!$A:$B,2,FALSE),"")</f>
        <v/>
      </c>
      <c r="KU13" s="31" t="str">
        <f>IFERROR(VLOOKUP([2]Pointage!KY7,Feuil1!$A:$B,2,FALSE),"")</f>
        <v/>
      </c>
      <c r="KV13" s="31" t="str">
        <f>IFERROR(VLOOKUP([2]Pointage!KZ7,Feuil1!$A:$B,2,FALSE),"")</f>
        <v/>
      </c>
      <c r="KW13" s="82" t="str">
        <f>IFERROR(VLOOKUP([2]Pointage!LA7,Feuil1!$A:$B,2,FALSE),"")</f>
        <v/>
      </c>
      <c r="KX13" s="47" t="str">
        <f>IFERROR(VLOOKUP([2]Pointage!LB7,Feuil1!$A:$B,2,FALSE),"")</f>
        <v/>
      </c>
      <c r="KY13" s="31" t="str">
        <f>IFERROR(VLOOKUP([2]Pointage!LC7,Feuil1!$A:$B,2,FALSE),"")</f>
        <v/>
      </c>
      <c r="KZ13" s="31" t="str">
        <f>IFERROR(VLOOKUP([2]Pointage!LD7,Feuil1!$A:$B,2,FALSE),"")</f>
        <v/>
      </c>
      <c r="LA13" s="31" t="str">
        <f>IFERROR(VLOOKUP([2]Pointage!LE7,Feuil1!$A:$B,2,FALSE),"")</f>
        <v/>
      </c>
      <c r="LB13" s="31" t="str">
        <f>IFERROR(VLOOKUP([2]Pointage!LF7,Feuil1!$A:$B,2,FALSE),"")</f>
        <v/>
      </c>
      <c r="LC13" s="31" t="str">
        <f>IFERROR(VLOOKUP([2]Pointage!LG7,Feuil1!$A:$B,2,FALSE),"")</f>
        <v/>
      </c>
      <c r="LD13" s="31" t="str">
        <f>IFERROR(VLOOKUP([2]Pointage!LH7,Feuil1!$A:$B,2,FALSE),"")</f>
        <v/>
      </c>
      <c r="LE13" s="31" t="str">
        <f>IFERROR(VLOOKUP([2]Pointage!LI7,Feuil1!$A:$B,2,FALSE),"")</f>
        <v/>
      </c>
      <c r="LF13" s="31" t="str">
        <f>IFERROR(VLOOKUP([2]Pointage!LJ7,Feuil1!$A:$B,2,FALSE),"")</f>
        <v/>
      </c>
      <c r="LG13" s="31" t="str">
        <f>IFERROR(VLOOKUP([2]Pointage!LK7,Feuil1!$A:$B,2,FALSE),"")</f>
        <v/>
      </c>
      <c r="LH13" s="31" t="str">
        <f>IFERROR(VLOOKUP([2]Pointage!LL7,Feuil1!$A:$B,2,FALSE),"")</f>
        <v/>
      </c>
      <c r="LI13" s="31" t="str">
        <f>IFERROR(VLOOKUP([2]Pointage!LM7,Feuil1!$A:$B,2,FALSE),"")</f>
        <v/>
      </c>
      <c r="LJ13" s="31" t="str">
        <f>IFERROR(VLOOKUP([2]Pointage!LN7,Feuil1!$A:$B,2,FALSE),"")</f>
        <v/>
      </c>
      <c r="LK13" s="31" t="str">
        <f>IFERROR(VLOOKUP([2]Pointage!LO7,Feuil1!$A:$B,2,FALSE),"")</f>
        <v/>
      </c>
      <c r="LL13" s="31" t="str">
        <f>IFERROR(VLOOKUP([2]Pointage!LP7,Feuil1!$A:$B,2,FALSE),"")</f>
        <v/>
      </c>
      <c r="LM13" s="31" t="str">
        <f>IFERROR(VLOOKUP([2]Pointage!LQ7,Feuil1!$A:$B,2,FALSE),"")</f>
        <v/>
      </c>
      <c r="LN13" s="31" t="str">
        <f>IFERROR(VLOOKUP([2]Pointage!LR7,Feuil1!$A:$B,2,FALSE),"")</f>
        <v/>
      </c>
      <c r="LO13" s="31" t="str">
        <f>IFERROR(VLOOKUP([2]Pointage!LS7,Feuil1!$A:$B,2,FALSE),"")</f>
        <v/>
      </c>
      <c r="LP13" s="31" t="str">
        <f>IFERROR(VLOOKUP([2]Pointage!LT7,Feuil1!$A:$B,2,FALSE),"")</f>
        <v/>
      </c>
      <c r="LQ13" s="31" t="str">
        <f>IFERROR(VLOOKUP([2]Pointage!LU7,Feuil1!$A:$B,2,FALSE),"")</f>
        <v/>
      </c>
      <c r="LR13" s="31" t="str">
        <f>IFERROR(VLOOKUP([2]Pointage!LV7,Feuil1!$A:$B,2,FALSE),"")</f>
        <v/>
      </c>
      <c r="LS13" s="31" t="str">
        <f>IFERROR(VLOOKUP([2]Pointage!LW7,Feuil1!$A:$B,2,FALSE),"")</f>
        <v/>
      </c>
      <c r="LT13" s="31" t="str">
        <f>IFERROR(VLOOKUP([2]Pointage!LX7,Feuil1!$A:$B,2,FALSE),"")</f>
        <v/>
      </c>
      <c r="LU13" s="31" t="str">
        <f>IFERROR(VLOOKUP([2]Pointage!LY7,Feuil1!$A:$B,2,FALSE),"")</f>
        <v/>
      </c>
      <c r="LV13" s="31" t="str">
        <f>IFERROR(VLOOKUP([2]Pointage!LZ7,Feuil1!$A:$B,2,FALSE),"")</f>
        <v/>
      </c>
      <c r="LW13" s="31" t="str">
        <f>IFERROR(VLOOKUP([2]Pointage!MA7,Feuil1!$A:$B,2,FALSE),"")</f>
        <v/>
      </c>
      <c r="LX13" s="31" t="str">
        <f>IFERROR(VLOOKUP([2]Pointage!MB7,Feuil1!$A:$B,2,FALSE),"")</f>
        <v/>
      </c>
      <c r="LY13" s="31" t="str">
        <f>IFERROR(VLOOKUP([2]Pointage!MC7,Feuil1!$A:$B,2,FALSE),"")</f>
        <v/>
      </c>
      <c r="LZ13" s="31" t="str">
        <f>IFERROR(VLOOKUP([2]Pointage!MD7,Feuil1!$A:$B,2,FALSE),"")</f>
        <v/>
      </c>
      <c r="MA13" s="82" t="str">
        <f>IFERROR(VLOOKUP([2]Pointage!ME7,Feuil1!$A:$B,2,FALSE),"")</f>
        <v/>
      </c>
      <c r="MB13" s="47" t="str">
        <f>IFERROR(VLOOKUP([2]Pointage!MF7,Feuil1!$A:$B,2,FALSE),"")</f>
        <v/>
      </c>
      <c r="MC13" s="31" t="str">
        <f>IFERROR(VLOOKUP([2]Pointage!MG7,Feuil1!$A:$B,2,FALSE),"")</f>
        <v/>
      </c>
      <c r="MD13" s="31" t="str">
        <f>IFERROR(VLOOKUP([2]Pointage!MH7,Feuil1!$A:$B,2,FALSE),"")</f>
        <v/>
      </c>
      <c r="ME13" s="31" t="str">
        <f>IFERROR(VLOOKUP([2]Pointage!MI7,Feuil1!$A:$B,2,FALSE),"")</f>
        <v/>
      </c>
      <c r="MF13" s="31" t="str">
        <f>IFERROR(VLOOKUP([2]Pointage!MJ7,Feuil1!$A:$B,2,FALSE),"")</f>
        <v/>
      </c>
      <c r="MG13" s="31" t="str">
        <f>IFERROR(VLOOKUP([2]Pointage!MK7,Feuil1!$A:$B,2,FALSE),"")</f>
        <v/>
      </c>
      <c r="MH13" s="31" t="str">
        <f>IFERROR(VLOOKUP([2]Pointage!ML7,Feuil1!$A:$B,2,FALSE),"")</f>
        <v/>
      </c>
      <c r="MI13" s="31" t="str">
        <f>IFERROR(VLOOKUP([2]Pointage!MM7,Feuil1!$A:$B,2,FALSE),"")</f>
        <v/>
      </c>
      <c r="MJ13" s="31" t="str">
        <f>IFERROR(VLOOKUP([2]Pointage!MN7,Feuil1!$A:$B,2,FALSE),"")</f>
        <v/>
      </c>
      <c r="MK13" s="31" t="str">
        <f>IFERROR(VLOOKUP([2]Pointage!MO7,Feuil1!$A:$B,2,FALSE),"")</f>
        <v/>
      </c>
      <c r="ML13" s="31" t="str">
        <f>IFERROR(VLOOKUP([2]Pointage!MP7,Feuil1!$A:$B,2,FALSE),"")</f>
        <v/>
      </c>
      <c r="MM13" s="31" t="str">
        <f>IFERROR(VLOOKUP([2]Pointage!MQ7,Feuil1!$A:$B,2,FALSE),"")</f>
        <v/>
      </c>
      <c r="MN13" s="31" t="str">
        <f>IFERROR(VLOOKUP([2]Pointage!MR7,Feuil1!$A:$B,2,FALSE),"")</f>
        <v/>
      </c>
      <c r="MO13" s="31" t="str">
        <f>IFERROR(VLOOKUP([2]Pointage!MS7,Feuil1!$A:$B,2,FALSE),"")</f>
        <v/>
      </c>
      <c r="MP13" s="31" t="str">
        <f>IFERROR(VLOOKUP([2]Pointage!MT7,Feuil1!$A:$B,2,FALSE),"")</f>
        <v/>
      </c>
      <c r="MQ13" s="31" t="str">
        <f>IFERROR(VLOOKUP([2]Pointage!MU7,Feuil1!$A:$B,2,FALSE),"")</f>
        <v/>
      </c>
      <c r="MR13" s="31" t="str">
        <f>IFERROR(VLOOKUP([2]Pointage!MV7,Feuil1!$A:$B,2,FALSE),"")</f>
        <v/>
      </c>
      <c r="MS13" s="31" t="str">
        <f>IFERROR(VLOOKUP([2]Pointage!MW7,Feuil1!$A:$B,2,FALSE),"")</f>
        <v/>
      </c>
      <c r="MT13" s="31" t="str">
        <f>IFERROR(VLOOKUP([2]Pointage!MX7,Feuil1!$A:$B,2,FALSE),"")</f>
        <v/>
      </c>
      <c r="MU13" s="31" t="str">
        <f>IFERROR(VLOOKUP([2]Pointage!MY7,Feuil1!$A:$B,2,FALSE),"")</f>
        <v/>
      </c>
      <c r="MV13" s="31" t="str">
        <f>IFERROR(VLOOKUP([2]Pointage!MZ7,Feuil1!$A:$B,2,FALSE),"")</f>
        <v/>
      </c>
      <c r="MW13" s="31" t="str">
        <f>IFERROR(VLOOKUP([2]Pointage!NA7,Feuil1!$A:$B,2,FALSE),"")</f>
        <v/>
      </c>
      <c r="MX13" s="31" t="str">
        <f>IFERROR(VLOOKUP([2]Pointage!NB7,Feuil1!$A:$B,2,FALSE),"")</f>
        <v/>
      </c>
      <c r="MY13" s="31" t="str">
        <f>IFERROR(VLOOKUP([2]Pointage!NC7,Feuil1!$A:$B,2,FALSE),"")</f>
        <v/>
      </c>
      <c r="MZ13" s="31" t="str">
        <f>IFERROR(VLOOKUP([2]Pointage!ND7,Feuil1!$A:$B,2,FALSE),"")</f>
        <v/>
      </c>
      <c r="NA13" s="31" t="str">
        <f>IFERROR(VLOOKUP([2]Pointage!NE7,Feuil1!$A:$B,2,FALSE),"")</f>
        <v/>
      </c>
      <c r="NB13" s="31" t="str">
        <f>IFERROR(VLOOKUP([2]Pointage!NF7,Feuil1!$A:$B,2,FALSE),"")</f>
        <v/>
      </c>
      <c r="NC13" s="31" t="str">
        <f>IFERROR(VLOOKUP([2]Pointage!NG7,Feuil1!$A:$B,2,FALSE),"")</f>
        <v/>
      </c>
      <c r="ND13" s="31" t="str">
        <f>IFERROR(VLOOKUP([2]Pointage!NH7,Feuil1!$A:$B,2,FALSE),"")</f>
        <v/>
      </c>
      <c r="NE13" s="31" t="str">
        <f>IFERROR(VLOOKUP([2]Pointage!NI7,Feuil1!$A:$B,2,FALSE),"")</f>
        <v/>
      </c>
      <c r="NF13" s="48" t="str">
        <f>IFERROR(VLOOKUP([2]Pointage!NJ7,Feuil1!$A:$B,2,FALSE),"")</f>
        <v/>
      </c>
      <c r="NG13" s="52">
        <f>COUNTIF(Global!F13:NF13,"RTT")+(COUNTIF(Global!F13:NF13,"dRTT")/2)</f>
        <v>0</v>
      </c>
      <c r="NH13" s="42">
        <f>COUNTIF(Global!F13:NF13,"C")+(COUNTIF(Global!F13:NF13,"DC")/2)</f>
        <v>12.5</v>
      </c>
      <c r="NI13" s="42">
        <f>COUNTIF(Global!F13:NF13,"M")</f>
        <v>0</v>
      </c>
      <c r="NJ13" s="42">
        <f>COUNTIF(Global!G13:NG13,"AT")</f>
        <v>61</v>
      </c>
      <c r="NK13" s="42">
        <f>COUNTIF(Global!F13:NF13,"RD")</f>
        <v>0</v>
      </c>
      <c r="NL13" s="42">
        <f>COUNTIF(Global!F13:NF13,"RC")+(COUNTIF(Global!F13:NF13,"dRC")/2)</f>
        <v>0</v>
      </c>
      <c r="NM13" s="68">
        <f t="shared" ca="1" si="0"/>
        <v>2.3561643835616439</v>
      </c>
      <c r="NT13" s="33"/>
      <c r="NU13" s="33"/>
      <c r="NV13" s="28"/>
      <c r="NW13" s="28"/>
      <c r="NX13" s="29">
        <f>COUNTIF(F13:NF13,"C")++(COUNTIF(Global!F13:NF13,"DC")/2)</f>
        <v>12.5</v>
      </c>
      <c r="NY13" s="29"/>
      <c r="NZ13" s="29"/>
      <c r="OA13" s="29"/>
      <c r="OB13" s="29">
        <f>COUNTIF(Global!F13:NF13,"M")</f>
        <v>0</v>
      </c>
      <c r="OC13" s="30">
        <f t="shared" si="1"/>
        <v>-12.5</v>
      </c>
      <c r="OD13" s="30"/>
    </row>
    <row r="14" spans="1:394" ht="30" customHeight="1" x14ac:dyDescent="0.2">
      <c r="A14" s="15" t="s">
        <v>70</v>
      </c>
      <c r="B14" s="22" t="s">
        <v>147</v>
      </c>
      <c r="C14" s="22" t="s">
        <v>148</v>
      </c>
      <c r="D14" s="22" t="s">
        <v>149</v>
      </c>
      <c r="E14" s="44">
        <v>0</v>
      </c>
      <c r="F14" s="47" t="str">
        <f>IFERROR(VLOOKUP([2]Pointage!J8,Feuil1!$A:$B,2,FALSE),"")</f>
        <v/>
      </c>
      <c r="G14" s="31" t="str">
        <f>IFERROR(VLOOKUP([2]Pointage!K8,Feuil1!$A:$B,2,FALSE),"")</f>
        <v/>
      </c>
      <c r="H14" s="31" t="str">
        <f>IFERROR(VLOOKUP([2]Pointage!L8,Feuil1!$A:$B,2,FALSE),"")</f>
        <v/>
      </c>
      <c r="I14" s="31" t="str">
        <f>IFERROR(VLOOKUP([2]Pointage!M8,Feuil1!$A:$B,2,FALSE),"")</f>
        <v/>
      </c>
      <c r="J14" s="31" t="str">
        <f>IFERROR(VLOOKUP([2]Pointage!N8,Feuil1!$A:$B,2,FALSE),"")</f>
        <v/>
      </c>
      <c r="K14" s="31" t="str">
        <f>IFERROR(VLOOKUP([2]Pointage!O8,Feuil1!$A:$B,2,FALSE),"")</f>
        <v/>
      </c>
      <c r="L14" s="31" t="str">
        <f>IFERROR(VLOOKUP([2]Pointage!P8,Feuil1!$A:$B,2,FALSE),"")</f>
        <v/>
      </c>
      <c r="M14" s="31" t="str">
        <f>IFERROR(VLOOKUP([2]Pointage!Q8,Feuil1!$A:$B,2,FALSE),"")</f>
        <v/>
      </c>
      <c r="N14" s="31" t="str">
        <f>IFERROR(VLOOKUP([2]Pointage!R8,Feuil1!$A:$B,2,FALSE),"")</f>
        <v/>
      </c>
      <c r="O14" s="31" t="str">
        <f>IFERROR(VLOOKUP([2]Pointage!S8,Feuil1!$A:$B,2,FALSE),"")</f>
        <v/>
      </c>
      <c r="P14" s="31" t="str">
        <f>IFERROR(VLOOKUP([2]Pointage!T8,Feuil1!$A:$B,2,FALSE),"")</f>
        <v/>
      </c>
      <c r="Q14" s="31" t="str">
        <f>IFERROR(VLOOKUP([2]Pointage!U8,Feuil1!$A:$B,2,FALSE),"")</f>
        <v/>
      </c>
      <c r="R14" s="31" t="str">
        <f>IFERROR(VLOOKUP([2]Pointage!V8,Feuil1!$A:$B,2,FALSE),"")</f>
        <v/>
      </c>
      <c r="S14" s="31" t="str">
        <f>IFERROR(VLOOKUP([2]Pointage!W8,Feuil1!$A:$B,2,FALSE),"")</f>
        <v/>
      </c>
      <c r="T14" s="31" t="str">
        <f>IFERROR(VLOOKUP([2]Pointage!X8,Feuil1!$A:$B,2,FALSE),"")</f>
        <v/>
      </c>
      <c r="U14" s="31" t="str">
        <f>IFERROR(VLOOKUP([2]Pointage!Y8,Feuil1!$A:$B,2,FALSE),"")</f>
        <v/>
      </c>
      <c r="V14" s="31" t="str">
        <f>IFERROR(VLOOKUP([2]Pointage!Z8,Feuil1!$A:$B,2,FALSE),"")</f>
        <v/>
      </c>
      <c r="W14" s="31" t="str">
        <f>IFERROR(VLOOKUP([2]Pointage!AA8,Feuil1!$A:$B,2,FALSE),"")</f>
        <v/>
      </c>
      <c r="X14" s="31" t="str">
        <f>IFERROR(VLOOKUP([2]Pointage!AB8,Feuil1!$A:$B,2,FALSE),"")</f>
        <v/>
      </c>
      <c r="Y14" s="31" t="str">
        <f>IFERROR(VLOOKUP([2]Pointage!AC8,Feuil1!$A:$B,2,FALSE),"")</f>
        <v/>
      </c>
      <c r="Z14" s="31" t="str">
        <f>IFERROR(VLOOKUP([2]Pointage!AD8,Feuil1!$A:$B,2,FALSE),"")</f>
        <v/>
      </c>
      <c r="AA14" s="31" t="str">
        <f>IFERROR(VLOOKUP([2]Pointage!AE8,Feuil1!$A:$B,2,FALSE),"")</f>
        <v/>
      </c>
      <c r="AB14" s="31" t="str">
        <f>IFERROR(VLOOKUP([2]Pointage!AF8,Feuil1!$A:$B,2,FALSE),"")</f>
        <v/>
      </c>
      <c r="AC14" s="31" t="str">
        <f>IFERROR(VLOOKUP([2]Pointage!AG8,Feuil1!$A:$B,2,FALSE),"")</f>
        <v/>
      </c>
      <c r="AD14" s="31" t="str">
        <f>IFERROR(VLOOKUP([2]Pointage!AH8,Feuil1!$A:$B,2,FALSE),"")</f>
        <v/>
      </c>
      <c r="AE14" s="31" t="str">
        <f>IFERROR(VLOOKUP([2]Pointage!AI8,Feuil1!$A:$B,2,FALSE),"")</f>
        <v/>
      </c>
      <c r="AF14" s="31" t="str">
        <f>IFERROR(VLOOKUP([2]Pointage!AJ8,Feuil1!$A:$B,2,FALSE),"")</f>
        <v/>
      </c>
      <c r="AG14" s="31" t="str">
        <f>IFERROR(VLOOKUP([2]Pointage!AK8,Feuil1!$A:$B,2,FALSE),"")</f>
        <v/>
      </c>
      <c r="AH14" s="31" t="str">
        <f>IFERROR(VLOOKUP([2]Pointage!AL8,Feuil1!$A:$B,2,FALSE),"")</f>
        <v/>
      </c>
      <c r="AI14" s="31" t="str">
        <f>IFERROR(VLOOKUP([2]Pointage!AM8,Feuil1!$A:$B,2,FALSE),"")</f>
        <v/>
      </c>
      <c r="AJ14" s="82" t="str">
        <f>IFERROR(VLOOKUP([2]Pointage!AN8,Feuil1!$A:$B,2,FALSE),"")</f>
        <v/>
      </c>
      <c r="AK14" s="47" t="str">
        <f>IFERROR(VLOOKUP([2]Pointage!AO8,Feuil1!$A:$B,2,FALSE),"")</f>
        <v/>
      </c>
      <c r="AL14" s="31" t="str">
        <f>IFERROR(VLOOKUP([2]Pointage!AP8,Feuil1!$A:$B,2,FALSE),"")</f>
        <v>C</v>
      </c>
      <c r="AM14" s="31" t="str">
        <f>IFERROR(VLOOKUP([2]Pointage!AQ8,Feuil1!$A:$B,2,FALSE),"")</f>
        <v/>
      </c>
      <c r="AN14" s="31" t="str">
        <f>IFERROR(VLOOKUP([2]Pointage!AR8,Feuil1!$A:$B,2,FALSE),"")</f>
        <v/>
      </c>
      <c r="AO14" s="31" t="str">
        <f>IFERROR(VLOOKUP([2]Pointage!AS8,Feuil1!$A:$B,2,FALSE),"")</f>
        <v/>
      </c>
      <c r="AP14" s="31" t="str">
        <f>IFERROR(VLOOKUP([2]Pointage!AT8,Feuil1!$A:$B,2,FALSE),"")</f>
        <v/>
      </c>
      <c r="AQ14" s="31" t="str">
        <f>IFERROR(VLOOKUP([2]Pointage!AU8,Feuil1!$A:$B,2,FALSE),"")</f>
        <v/>
      </c>
      <c r="AR14" s="31" t="str">
        <f>IFERROR(VLOOKUP([2]Pointage!AV8,Feuil1!$A:$B,2,FALSE),"")</f>
        <v/>
      </c>
      <c r="AS14" s="31" t="str">
        <f>IFERROR(VLOOKUP([2]Pointage!AW8,Feuil1!$A:$B,2,FALSE),"")</f>
        <v/>
      </c>
      <c r="AT14" s="31" t="str">
        <f>IFERROR(VLOOKUP([2]Pointage!AX8,Feuil1!$A:$B,2,FALSE),"")</f>
        <v/>
      </c>
      <c r="AU14" s="31" t="str">
        <f>IFERROR(VLOOKUP([2]Pointage!AY8,Feuil1!$A:$B,2,FALSE),"")</f>
        <v/>
      </c>
      <c r="AV14" s="31" t="str">
        <f>IFERROR(VLOOKUP([2]Pointage!AZ8,Feuil1!$A:$B,2,FALSE),"")</f>
        <v/>
      </c>
      <c r="AW14" s="31" t="str">
        <f>IFERROR(VLOOKUP([2]Pointage!BA8,Feuil1!$A:$B,2,FALSE),"")</f>
        <v/>
      </c>
      <c r="AX14" s="31" t="str">
        <f>IFERROR(VLOOKUP([2]Pointage!BB8,Feuil1!$A:$B,2,FALSE),"")</f>
        <v/>
      </c>
      <c r="AY14" s="31" t="str">
        <f>IFERROR(VLOOKUP([2]Pointage!BC8,Feuil1!$A:$B,2,FALSE),"")</f>
        <v>C</v>
      </c>
      <c r="AZ14" s="31" t="str">
        <f>IFERROR(VLOOKUP([2]Pointage!BD8,Feuil1!$A:$B,2,FALSE),"")</f>
        <v>C</v>
      </c>
      <c r="BA14" s="31" t="str">
        <f>IFERROR(VLOOKUP([2]Pointage!BE8,Feuil1!$A:$B,2,FALSE),"")</f>
        <v/>
      </c>
      <c r="BB14" s="31" t="str">
        <f>IFERROR(VLOOKUP([2]Pointage!BF8,Feuil1!$A:$B,2,FALSE),"")</f>
        <v/>
      </c>
      <c r="BC14" s="31" t="str">
        <f>IFERROR(VLOOKUP([2]Pointage!BG8,Feuil1!$A:$B,2,FALSE),"")</f>
        <v/>
      </c>
      <c r="BD14" s="31" t="str">
        <f>IFERROR(VLOOKUP([2]Pointage!BH8,Feuil1!$A:$B,2,FALSE),"")</f>
        <v>M</v>
      </c>
      <c r="BE14" s="31" t="str">
        <f>IFERROR(VLOOKUP([2]Pointage!BI8,Feuil1!$A:$B,2,FALSE),"")</f>
        <v>M</v>
      </c>
      <c r="BF14" s="31" t="str">
        <f>IFERROR(VLOOKUP([2]Pointage!BJ8,Feuil1!$A:$B,2,FALSE),"")</f>
        <v>M</v>
      </c>
      <c r="BG14" s="31" t="str">
        <f>IFERROR(VLOOKUP([2]Pointage!BK8,Feuil1!$A:$B,2,FALSE),"")</f>
        <v>M</v>
      </c>
      <c r="BH14" s="31" t="str">
        <f>IFERROR(VLOOKUP([2]Pointage!BL8,Feuil1!$A:$B,2,FALSE),"")</f>
        <v>M</v>
      </c>
      <c r="BI14" s="31" t="str">
        <f>IFERROR(VLOOKUP([2]Pointage!BM8,Feuil1!$A:$B,2,FALSE),"")</f>
        <v>M</v>
      </c>
      <c r="BJ14" s="31" t="str">
        <f>IFERROR(VLOOKUP([2]Pointage!BN8,Feuil1!$A:$B,2,FALSE),"")</f>
        <v>M</v>
      </c>
      <c r="BK14" s="31" t="str">
        <f>IFERROR(VLOOKUP([2]Pointage!BO8,Feuil1!$A:$B,2,FALSE),"")</f>
        <v>M</v>
      </c>
      <c r="BL14" s="82" t="str">
        <f>IFERROR(VLOOKUP([2]Pointage!BP8,Feuil1!$A:$B,2,FALSE),"")</f>
        <v>M</v>
      </c>
      <c r="BM14" s="47" t="str">
        <f>IFERROR(VLOOKUP([2]Pointage!BQ8,Feuil1!$A:$B,2,FALSE),"")</f>
        <v>M</v>
      </c>
      <c r="BN14" s="31" t="str">
        <f>IFERROR(VLOOKUP([2]Pointage!BR8,Feuil1!$A:$B,2,FALSE),"")</f>
        <v>M</v>
      </c>
      <c r="BO14" s="31" t="str">
        <f>IFERROR(VLOOKUP([2]Pointage!BS8,Feuil1!$A:$B,2,FALSE),"")</f>
        <v>M</v>
      </c>
      <c r="BP14" s="31" t="str">
        <f>IFERROR(VLOOKUP([2]Pointage!BT8,Feuil1!$A:$B,2,FALSE),"")</f>
        <v>M</v>
      </c>
      <c r="BQ14" s="31" t="str">
        <f>IFERROR(VLOOKUP([2]Pointage!BU8,Feuil1!$A:$B,2,FALSE),"")</f>
        <v>M</v>
      </c>
      <c r="BR14" s="31" t="str">
        <f>IFERROR(VLOOKUP([2]Pointage!BV8,Feuil1!$A:$B,2,FALSE),"")</f>
        <v>M</v>
      </c>
      <c r="BS14" s="31" t="str">
        <f>IFERROR(VLOOKUP([2]Pointage!BW8,Feuil1!$A:$B,2,FALSE),"")</f>
        <v>M</v>
      </c>
      <c r="BT14" s="31" t="str">
        <f>IFERROR(VLOOKUP([2]Pointage!BX8,Feuil1!$A:$B,2,FALSE),"")</f>
        <v>M</v>
      </c>
      <c r="BU14" s="31" t="str">
        <f>IFERROR(VLOOKUP([2]Pointage!BY8,Feuil1!$A:$B,2,FALSE),"")</f>
        <v>M</v>
      </c>
      <c r="BV14" s="31" t="str">
        <f>IFERROR(VLOOKUP([2]Pointage!BZ8,Feuil1!$A:$B,2,FALSE),"")</f>
        <v>M</v>
      </c>
      <c r="BW14" s="31" t="str">
        <f>IFERROR(VLOOKUP([2]Pointage!CA8,Feuil1!$A:$B,2,FALSE),"")</f>
        <v>M</v>
      </c>
      <c r="BX14" s="31" t="str">
        <f>IFERROR(VLOOKUP([2]Pointage!CB8,Feuil1!$A:$B,2,FALSE),"")</f>
        <v>M</v>
      </c>
      <c r="BY14" s="31" t="str">
        <f>IFERROR(VLOOKUP([2]Pointage!CC8,Feuil1!$A:$B,2,FALSE),"")</f>
        <v>M</v>
      </c>
      <c r="BZ14" s="31" t="str">
        <f>IFERROR(VLOOKUP([2]Pointage!CD8,Feuil1!$A:$B,2,FALSE),"")</f>
        <v>M</v>
      </c>
      <c r="CA14" s="31" t="str">
        <f>IFERROR(VLOOKUP([2]Pointage!CE8,Feuil1!$A:$B,2,FALSE),"")</f>
        <v>M</v>
      </c>
      <c r="CB14" s="31" t="str">
        <f>IFERROR(VLOOKUP([2]Pointage!CF8,Feuil1!$A:$B,2,FALSE),"")</f>
        <v>M</v>
      </c>
      <c r="CC14" s="31" t="str">
        <f>IFERROR(VLOOKUP([2]Pointage!CG8,Feuil1!$A:$B,2,FALSE),"")</f>
        <v>M</v>
      </c>
      <c r="CD14" s="31" t="str">
        <f>IFERROR(VLOOKUP([2]Pointage!CH8,Feuil1!$A:$B,2,FALSE),"")</f>
        <v>M</v>
      </c>
      <c r="CE14" s="31" t="str">
        <f>IFERROR(VLOOKUP([2]Pointage!CI8,Feuil1!$A:$B,2,FALSE),"")</f>
        <v>M</v>
      </c>
      <c r="CF14" s="31" t="str">
        <f>IFERROR(VLOOKUP([2]Pointage!CJ8,Feuil1!$A:$B,2,FALSE),"")</f>
        <v>M</v>
      </c>
      <c r="CG14" s="31" t="str">
        <f>IFERROR(VLOOKUP([2]Pointage!CK8,Feuil1!$A:$B,2,FALSE),"")</f>
        <v>M</v>
      </c>
      <c r="CH14" s="31" t="str">
        <f>IFERROR(VLOOKUP([2]Pointage!CL8,Feuil1!$A:$B,2,FALSE),"")</f>
        <v>M</v>
      </c>
      <c r="CI14" s="31" t="str">
        <f>IFERROR(VLOOKUP([2]Pointage!CM8,Feuil1!$A:$B,2,FALSE),"")</f>
        <v>M</v>
      </c>
      <c r="CJ14" s="31" t="str">
        <f>IFERROR(VLOOKUP([2]Pointage!CN8,Feuil1!$A:$B,2,FALSE),"")</f>
        <v>M</v>
      </c>
      <c r="CK14" s="31" t="str">
        <f>IFERROR(VLOOKUP([2]Pointage!CO8,Feuil1!$A:$B,2,FALSE),"")</f>
        <v>M</v>
      </c>
      <c r="CL14" s="31" t="str">
        <f>IFERROR(VLOOKUP([2]Pointage!CP8,Feuil1!$A:$B,2,FALSE),"")</f>
        <v>M</v>
      </c>
      <c r="CM14" s="31" t="str">
        <f>IFERROR(VLOOKUP([2]Pointage!CQ8,Feuil1!$A:$B,2,FALSE),"")</f>
        <v>M</v>
      </c>
      <c r="CN14" s="31" t="str">
        <f>IFERROR(VLOOKUP([2]Pointage!CR8,Feuil1!$A:$B,2,FALSE),"")</f>
        <v>M</v>
      </c>
      <c r="CO14" s="31" t="str">
        <f>IFERROR(VLOOKUP([2]Pointage!CS8,Feuil1!$A:$B,2,FALSE),"")</f>
        <v>M</v>
      </c>
      <c r="CP14" s="31" t="str">
        <f>IFERROR(VLOOKUP([2]Pointage!CT8,Feuil1!$A:$B,2,FALSE),"")</f>
        <v>M</v>
      </c>
      <c r="CQ14" s="82" t="str">
        <f>IFERROR(VLOOKUP([2]Pointage!CU8,Feuil1!$A:$B,2,FALSE),"")</f>
        <v>M</v>
      </c>
      <c r="CR14" s="47" t="str">
        <f>IFERROR(VLOOKUP([2]Pointage!CV8,Feuil1!$A:$B,2,FALSE),"")</f>
        <v>M</v>
      </c>
      <c r="CS14" s="31" t="str">
        <f>IFERROR(VLOOKUP([2]Pointage!CW8,Feuil1!$A:$B,2,FALSE),"")</f>
        <v>M</v>
      </c>
      <c r="CT14" s="31" t="str">
        <f>IFERROR(VLOOKUP([2]Pointage!CX8,Feuil1!$A:$B,2,FALSE),"")</f>
        <v>M</v>
      </c>
      <c r="CU14" s="31" t="str">
        <f>IFERROR(VLOOKUP([2]Pointage!CY8,Feuil1!$A:$B,2,FALSE),"")</f>
        <v>M</v>
      </c>
      <c r="CV14" s="31" t="str">
        <f>IFERROR(VLOOKUP([2]Pointage!CZ8,Feuil1!$A:$B,2,FALSE),"")</f>
        <v>M</v>
      </c>
      <c r="CW14" s="31" t="str">
        <f>IFERROR(VLOOKUP([2]Pointage!DA8,Feuil1!$A:$B,2,FALSE),"")</f>
        <v>M</v>
      </c>
      <c r="CX14" s="31" t="str">
        <f>IFERROR(VLOOKUP([2]Pointage!DB8,Feuil1!$A:$B,2,FALSE),"")</f>
        <v>M</v>
      </c>
      <c r="CY14" s="31" t="str">
        <f>IFERROR(VLOOKUP([2]Pointage!DC8,Feuil1!$A:$B,2,FALSE),"")</f>
        <v>M</v>
      </c>
      <c r="CZ14" s="31" t="str">
        <f>IFERROR(VLOOKUP([2]Pointage!DD8,Feuil1!$A:$B,2,FALSE),"")</f>
        <v>M</v>
      </c>
      <c r="DA14" s="31" t="str">
        <f>IFERROR(VLOOKUP([2]Pointage!DE8,Feuil1!$A:$B,2,FALSE),"")</f>
        <v>M</v>
      </c>
      <c r="DB14" s="31" t="str">
        <f>IFERROR(VLOOKUP([2]Pointage!DF8,Feuil1!$A:$B,2,FALSE),"")</f>
        <v>M</v>
      </c>
      <c r="DC14" s="31" t="str">
        <f>IFERROR(VLOOKUP([2]Pointage!DG8,Feuil1!$A:$B,2,FALSE),"")</f>
        <v>M</v>
      </c>
      <c r="DD14" s="31" t="str">
        <f>IFERROR(VLOOKUP([2]Pointage!DH8,Feuil1!$A:$B,2,FALSE),"")</f>
        <v>M</v>
      </c>
      <c r="DE14" s="31" t="str">
        <f>IFERROR(VLOOKUP([2]Pointage!DI8,Feuil1!$A:$B,2,FALSE),"")</f>
        <v>M</v>
      </c>
      <c r="DF14" s="31" t="str">
        <f>IFERROR(VLOOKUP([2]Pointage!DJ8,Feuil1!$A:$B,2,FALSE),"")</f>
        <v>M</v>
      </c>
      <c r="DG14" s="31" t="str">
        <f>IFERROR(VLOOKUP([2]Pointage!DK8,Feuil1!$A:$B,2,FALSE),"")</f>
        <v>M</v>
      </c>
      <c r="DH14" s="31" t="str">
        <f>IFERROR(VLOOKUP([2]Pointage!DL8,Feuil1!$A:$B,2,FALSE),"")</f>
        <v>M</v>
      </c>
      <c r="DI14" s="31" t="str">
        <f>IFERROR(VLOOKUP([2]Pointage!DM8,Feuil1!$A:$B,2,FALSE),"")</f>
        <v>M</v>
      </c>
      <c r="DJ14" s="31" t="str">
        <f>IFERROR(VLOOKUP([2]Pointage!DN8,Feuil1!$A:$B,2,FALSE),"")</f>
        <v>M</v>
      </c>
      <c r="DK14" s="31" t="str">
        <f>IFERROR(VLOOKUP([2]Pointage!DO8,Feuil1!$A:$B,2,FALSE),"")</f>
        <v>M</v>
      </c>
      <c r="DL14" s="31" t="str">
        <f>IFERROR(VLOOKUP([2]Pointage!DP8,Feuil1!$A:$B,2,FALSE),"")</f>
        <v>M</v>
      </c>
      <c r="DM14" s="31" t="str">
        <f>IFERROR(VLOOKUP([2]Pointage!DQ8,Feuil1!$A:$B,2,FALSE),"")</f>
        <v>M</v>
      </c>
      <c r="DN14" s="31" t="str">
        <f>IFERROR(VLOOKUP([2]Pointage!DR8,Feuil1!$A:$B,2,FALSE),"")</f>
        <v>M</v>
      </c>
      <c r="DO14" s="31" t="str">
        <f>IFERROR(VLOOKUP([2]Pointage!DS8,Feuil1!$A:$B,2,FALSE),"")</f>
        <v>M</v>
      </c>
      <c r="DP14" s="31" t="str">
        <f>IFERROR(VLOOKUP([2]Pointage!DT8,Feuil1!$A:$B,2,FALSE),"")</f>
        <v>M</v>
      </c>
      <c r="DQ14" s="31" t="str">
        <f>IFERROR(VLOOKUP([2]Pointage!DU8,Feuil1!$A:$B,2,FALSE),"")</f>
        <v>M</v>
      </c>
      <c r="DR14" s="31" t="str">
        <f>IFERROR(VLOOKUP([2]Pointage!DV8,Feuil1!$A:$B,2,FALSE),"")</f>
        <v>M</v>
      </c>
      <c r="DS14" s="31" t="str">
        <f>IFERROR(VLOOKUP([2]Pointage!DW8,Feuil1!$A:$B,2,FALSE),"")</f>
        <v>M</v>
      </c>
      <c r="DT14" s="31" t="str">
        <f>IFERROR(VLOOKUP([2]Pointage!DX8,Feuil1!$A:$B,2,FALSE),"")</f>
        <v>M</v>
      </c>
      <c r="DU14" s="82" t="str">
        <f>IFERROR(VLOOKUP([2]Pointage!DY8,Feuil1!$A:$B,2,FALSE),"")</f>
        <v>M</v>
      </c>
      <c r="DV14" s="47" t="str">
        <f>IFERROR(VLOOKUP([2]Pointage!DZ8,Feuil1!$A:$B,2,FALSE),"")</f>
        <v>M</v>
      </c>
      <c r="DW14" s="31" t="str">
        <f>IFERROR(VLOOKUP([2]Pointage!EA8,Feuil1!$A:$B,2,FALSE),"")</f>
        <v>M</v>
      </c>
      <c r="DX14" s="31" t="str">
        <f>IFERROR(VLOOKUP([2]Pointage!EB8,Feuil1!$A:$B,2,FALSE),"")</f>
        <v>M</v>
      </c>
      <c r="DY14" s="31" t="str">
        <f>IFERROR(VLOOKUP([2]Pointage!EC8,Feuil1!$A:$B,2,FALSE),"")</f>
        <v>M</v>
      </c>
      <c r="DZ14" s="31" t="str">
        <f>IFERROR(VLOOKUP([2]Pointage!ED8,Feuil1!$A:$B,2,FALSE),"")</f>
        <v>M</v>
      </c>
      <c r="EA14" s="31" t="str">
        <f>IFERROR(VLOOKUP([2]Pointage!EE8,Feuil1!$A:$B,2,FALSE),"")</f>
        <v>M</v>
      </c>
      <c r="EB14" s="31" t="str">
        <f>IFERROR(VLOOKUP([2]Pointage!EF8,Feuil1!$A:$B,2,FALSE),"")</f>
        <v>M</v>
      </c>
      <c r="EC14" s="31" t="str">
        <f>IFERROR(VLOOKUP([2]Pointage!EG8,Feuil1!$A:$B,2,FALSE),"")</f>
        <v>M</v>
      </c>
      <c r="ED14" s="31" t="str">
        <f>IFERROR(VLOOKUP([2]Pointage!EH8,Feuil1!$A:$B,2,FALSE),"")</f>
        <v>M</v>
      </c>
      <c r="EE14" s="31" t="str">
        <f>IFERROR(VLOOKUP([2]Pointage!EI8,Feuil1!$A:$B,2,FALSE),"")</f>
        <v>M</v>
      </c>
      <c r="EF14" s="31" t="str">
        <f>IFERROR(VLOOKUP([2]Pointage!EJ8,Feuil1!$A:$B,2,FALSE),"")</f>
        <v>M</v>
      </c>
      <c r="EG14" s="31" t="str">
        <f>IFERROR(VLOOKUP([2]Pointage!EK8,Feuil1!$A:$B,2,FALSE),"")</f>
        <v>M</v>
      </c>
      <c r="EH14" s="31" t="str">
        <f>IFERROR(VLOOKUP([2]Pointage!EL8,Feuil1!$A:$B,2,FALSE),"")</f>
        <v>M</v>
      </c>
      <c r="EI14" s="31" t="str">
        <f>IFERROR(VLOOKUP([2]Pointage!EM8,Feuil1!$A:$B,2,FALSE),"")</f>
        <v>M</v>
      </c>
      <c r="EJ14" s="31" t="str">
        <f>IFERROR(VLOOKUP([2]Pointage!EN8,Feuil1!$A:$B,2,FALSE),"")</f>
        <v>M</v>
      </c>
      <c r="EK14" s="31" t="str">
        <f>IFERROR(VLOOKUP([2]Pointage!EO8,Feuil1!$A:$B,2,FALSE),"")</f>
        <v>M</v>
      </c>
      <c r="EL14" s="31" t="str">
        <f>IFERROR(VLOOKUP([2]Pointage!EP8,Feuil1!$A:$B,2,FALSE),"")</f>
        <v>M</v>
      </c>
      <c r="EM14" s="31" t="str">
        <f>IFERROR(VLOOKUP([2]Pointage!EQ8,Feuil1!$A:$B,2,FALSE),"")</f>
        <v>M</v>
      </c>
      <c r="EN14" s="31" t="str">
        <f>IFERROR(VLOOKUP([2]Pointage!ER8,Feuil1!$A:$B,2,FALSE),"")</f>
        <v>M</v>
      </c>
      <c r="EO14" s="31" t="str">
        <f>IFERROR(VLOOKUP([2]Pointage!ES8,Feuil1!$A:$B,2,FALSE),"")</f>
        <v>M</v>
      </c>
      <c r="EP14" s="31" t="str">
        <f>IFERROR(VLOOKUP([2]Pointage!ET8,Feuil1!$A:$B,2,FALSE),"")</f>
        <v>M</v>
      </c>
      <c r="EQ14" s="31" t="str">
        <f>IFERROR(VLOOKUP([2]Pointage!EU8,Feuil1!$A:$B,2,FALSE),"")</f>
        <v>M</v>
      </c>
      <c r="ER14" s="31" t="str">
        <f>IFERROR(VLOOKUP([2]Pointage!EV8,Feuil1!$A:$B,2,FALSE),"")</f>
        <v>M</v>
      </c>
      <c r="ES14" s="31" t="str">
        <f>IFERROR(VLOOKUP([2]Pointage!EW8,Feuil1!$A:$B,2,FALSE),"")</f>
        <v>M</v>
      </c>
      <c r="ET14" s="31" t="str">
        <f>IFERROR(VLOOKUP([2]Pointage!EX8,Feuil1!$A:$B,2,FALSE),"")</f>
        <v>M</v>
      </c>
      <c r="EU14" s="31" t="str">
        <f>IFERROR(VLOOKUP([2]Pointage!EY8,Feuil1!$A:$B,2,FALSE),"")</f>
        <v>M</v>
      </c>
      <c r="EV14" s="31" t="str">
        <f>IFERROR(VLOOKUP([2]Pointage!EZ8,Feuil1!$A:$B,2,FALSE),"")</f>
        <v>M</v>
      </c>
      <c r="EW14" s="31" t="str">
        <f>IFERROR(VLOOKUP([2]Pointage!FA8,Feuil1!$A:$B,2,FALSE),"")</f>
        <v>M</v>
      </c>
      <c r="EX14" s="31" t="str">
        <f>IFERROR(VLOOKUP([2]Pointage!FB8,Feuil1!$A:$B,2,FALSE),"")</f>
        <v>M</v>
      </c>
      <c r="EY14" s="31" t="str">
        <f>IFERROR(VLOOKUP([2]Pointage!FC8,Feuil1!$A:$B,2,FALSE),"")</f>
        <v>M</v>
      </c>
      <c r="EZ14" s="82" t="str">
        <f>IFERROR(VLOOKUP([2]Pointage!FD8,Feuil1!$A:$B,2,FALSE),"")</f>
        <v>M</v>
      </c>
      <c r="FA14" s="47" t="str">
        <f>IFERROR(VLOOKUP([2]Pointage!FE8,Feuil1!$A:$B,2,FALSE),"")</f>
        <v>M</v>
      </c>
      <c r="FB14" s="31" t="str">
        <f>IFERROR(VLOOKUP([2]Pointage!FF8,Feuil1!$A:$B,2,FALSE),"")</f>
        <v>M</v>
      </c>
      <c r="FC14" s="31" t="str">
        <f>IFERROR(VLOOKUP([2]Pointage!FG8,Feuil1!$A:$B,2,FALSE),"")</f>
        <v>M</v>
      </c>
      <c r="FD14" s="31" t="str">
        <f>IFERROR(VLOOKUP([2]Pointage!FH8,Feuil1!$A:$B,2,FALSE),"")</f>
        <v>M</v>
      </c>
      <c r="FE14" s="31" t="str">
        <f>IFERROR(VLOOKUP([2]Pointage!FI8,Feuil1!$A:$B,2,FALSE),"")</f>
        <v/>
      </c>
      <c r="FF14" s="31" t="str">
        <f>IFERROR(VLOOKUP([2]Pointage!FJ8,Feuil1!$A:$B,2,FALSE),"")</f>
        <v/>
      </c>
      <c r="FG14" s="31" t="str">
        <f>IFERROR(VLOOKUP([2]Pointage!FK8,Feuil1!$A:$B,2,FALSE),"")</f>
        <v/>
      </c>
      <c r="FH14" s="31" t="str">
        <f>IFERROR(VLOOKUP([2]Pointage!FL8,Feuil1!$A:$B,2,FALSE),"")</f>
        <v/>
      </c>
      <c r="FI14" s="31" t="str">
        <f>IFERROR(VLOOKUP([2]Pointage!FM8,Feuil1!$A:$B,2,FALSE),"")</f>
        <v/>
      </c>
      <c r="FJ14" s="31" t="str">
        <f>IFERROR(VLOOKUP([2]Pointage!FN8,Feuil1!$A:$B,2,FALSE),"")</f>
        <v/>
      </c>
      <c r="FK14" s="31" t="str">
        <f>IFERROR(VLOOKUP([2]Pointage!FO8,Feuil1!$A:$B,2,FALSE),"")</f>
        <v/>
      </c>
      <c r="FL14" s="31" t="str">
        <f>IFERROR(VLOOKUP([2]Pointage!FP8,Feuil1!$A:$B,2,FALSE),"")</f>
        <v/>
      </c>
      <c r="FM14" s="31" t="str">
        <f>IFERROR(VLOOKUP([2]Pointage!FQ8,Feuil1!$A:$B,2,FALSE),"")</f>
        <v/>
      </c>
      <c r="FN14" s="31" t="str">
        <f>IFERROR(VLOOKUP([2]Pointage!FR8,Feuil1!$A:$B,2,FALSE),"")</f>
        <v/>
      </c>
      <c r="FO14" s="31" t="str">
        <f>IFERROR(VLOOKUP([2]Pointage!FS8,Feuil1!$A:$B,2,FALSE),"")</f>
        <v/>
      </c>
      <c r="FP14" s="31" t="str">
        <f>IFERROR(VLOOKUP([2]Pointage!FT8,Feuil1!$A:$B,2,FALSE),"")</f>
        <v/>
      </c>
      <c r="FQ14" s="31" t="str">
        <f>IFERROR(VLOOKUP([2]Pointage!FU8,Feuil1!$A:$B,2,FALSE),"")</f>
        <v/>
      </c>
      <c r="FR14" s="31" t="str">
        <f>IFERROR(VLOOKUP([2]Pointage!FV8,Feuil1!$A:$B,2,FALSE),"")</f>
        <v/>
      </c>
      <c r="FS14" s="31" t="str">
        <f>IFERROR(VLOOKUP([2]Pointage!FW8,Feuil1!$A:$B,2,FALSE),"")</f>
        <v/>
      </c>
      <c r="FT14" s="31" t="str">
        <f>IFERROR(VLOOKUP([2]Pointage!FX8,Feuil1!$A:$B,2,FALSE),"")</f>
        <v/>
      </c>
      <c r="FU14" s="31" t="str">
        <f>IFERROR(VLOOKUP([2]Pointage!FY8,Feuil1!$A:$B,2,FALSE),"")</f>
        <v/>
      </c>
      <c r="FV14" s="31" t="str">
        <f>IFERROR(VLOOKUP([2]Pointage!FZ8,Feuil1!$A:$B,2,FALSE),"")</f>
        <v/>
      </c>
      <c r="FW14" s="31" t="str">
        <f>IFERROR(VLOOKUP([2]Pointage!GA8,Feuil1!$A:$B,2,FALSE),"")</f>
        <v/>
      </c>
      <c r="FX14" s="31" t="str">
        <f>IFERROR(VLOOKUP([2]Pointage!GB8,Feuil1!$A:$B,2,FALSE),"")</f>
        <v/>
      </c>
      <c r="FY14" s="31" t="str">
        <f>IFERROR(VLOOKUP([2]Pointage!GC8,Feuil1!$A:$B,2,FALSE),"")</f>
        <v/>
      </c>
      <c r="FZ14" s="31" t="str">
        <f>IFERROR(VLOOKUP([2]Pointage!GD8,Feuil1!$A:$B,2,FALSE),"")</f>
        <v/>
      </c>
      <c r="GA14" s="31" t="str">
        <f>IFERROR(VLOOKUP([2]Pointage!GE8,Feuil1!$A:$B,2,FALSE),"")</f>
        <v/>
      </c>
      <c r="GB14" s="31" t="str">
        <f>IFERROR(VLOOKUP([2]Pointage!GF8,Feuil1!$A:$B,2,FALSE),"")</f>
        <v/>
      </c>
      <c r="GC14" s="31" t="str">
        <f>IFERROR(VLOOKUP([2]Pointage!GG8,Feuil1!$A:$B,2,FALSE),"")</f>
        <v/>
      </c>
      <c r="GD14" s="82" t="str">
        <f>IFERROR(VLOOKUP([2]Pointage!GH8,Feuil1!$A:$B,2,FALSE),"")</f>
        <v/>
      </c>
      <c r="GE14" s="47" t="str">
        <f>IFERROR(VLOOKUP([2]Pointage!GI8,Feuil1!$A:$B,2,FALSE),"")</f>
        <v/>
      </c>
      <c r="GF14" s="31" t="str">
        <f>IFERROR(VLOOKUP([2]Pointage!GJ8,Feuil1!$A:$B,2,FALSE),"")</f>
        <v/>
      </c>
      <c r="GG14" s="31" t="str">
        <f>IFERROR(VLOOKUP([2]Pointage!GK8,Feuil1!$A:$B,2,FALSE),"")</f>
        <v/>
      </c>
      <c r="GH14" s="31" t="str">
        <f>IFERROR(VLOOKUP([2]Pointage!GL8,Feuil1!$A:$B,2,FALSE),"")</f>
        <v/>
      </c>
      <c r="GI14" s="31" t="str">
        <f>IFERROR(VLOOKUP([2]Pointage!GM8,Feuil1!$A:$B,2,FALSE),"")</f>
        <v/>
      </c>
      <c r="GJ14" s="31" t="str">
        <f>IFERROR(VLOOKUP([2]Pointage!GN8,Feuil1!$A:$B,2,FALSE),"")</f>
        <v/>
      </c>
      <c r="GK14" s="31" t="str">
        <f>IFERROR(VLOOKUP([2]Pointage!GO8,Feuil1!$A:$B,2,FALSE),"")</f>
        <v/>
      </c>
      <c r="GL14" s="31" t="str">
        <f>IFERROR(VLOOKUP([2]Pointage!GP8,Feuil1!$A:$B,2,FALSE),"")</f>
        <v/>
      </c>
      <c r="GM14" s="31" t="str">
        <f>IFERROR(VLOOKUP([2]Pointage!GQ8,Feuil1!$A:$B,2,FALSE),"")</f>
        <v>C</v>
      </c>
      <c r="GN14" s="31" t="str">
        <f>IFERROR(VLOOKUP([2]Pointage!GR8,Feuil1!$A:$B,2,FALSE),"")</f>
        <v>C</v>
      </c>
      <c r="GO14" s="31" t="str">
        <f>IFERROR(VLOOKUP([2]Pointage!GS8,Feuil1!$A:$B,2,FALSE),"")</f>
        <v>C</v>
      </c>
      <c r="GP14" s="31" t="str">
        <f>IFERROR(VLOOKUP([2]Pointage!GT8,Feuil1!$A:$B,2,FALSE),"")</f>
        <v>C</v>
      </c>
      <c r="GQ14" s="31" t="str">
        <f>IFERROR(VLOOKUP([2]Pointage!GU8,Feuil1!$A:$B,2,FALSE),"")</f>
        <v>C</v>
      </c>
      <c r="GR14" s="31" t="str">
        <f>IFERROR(VLOOKUP([2]Pointage!GV8,Feuil1!$A:$B,2,FALSE),"")</f>
        <v/>
      </c>
      <c r="GS14" s="31" t="str">
        <f>IFERROR(VLOOKUP([2]Pointage!GW8,Feuil1!$A:$B,2,FALSE),"")</f>
        <v/>
      </c>
      <c r="GT14" s="31" t="str">
        <f>IFERROR(VLOOKUP([2]Pointage!GX8,Feuil1!$A:$B,2,FALSE),"")</f>
        <v/>
      </c>
      <c r="GU14" s="31" t="str">
        <f>IFERROR(VLOOKUP([2]Pointage!GY8,Feuil1!$A:$B,2,FALSE),"")</f>
        <v/>
      </c>
      <c r="GV14" s="31" t="str">
        <f>IFERROR(VLOOKUP([2]Pointage!GZ8,Feuil1!$A:$B,2,FALSE),"")</f>
        <v/>
      </c>
      <c r="GW14" s="31" t="str">
        <f>IFERROR(VLOOKUP([2]Pointage!HA8,Feuil1!$A:$B,2,FALSE),"")</f>
        <v/>
      </c>
      <c r="GX14" s="31" t="str">
        <f>IFERROR(VLOOKUP([2]Pointage!HB8,Feuil1!$A:$B,2,FALSE),"")</f>
        <v/>
      </c>
      <c r="GY14" s="31" t="str">
        <f>IFERROR(VLOOKUP([2]Pointage!HC8,Feuil1!$A:$B,2,FALSE),"")</f>
        <v/>
      </c>
      <c r="GZ14" s="31" t="str">
        <f>IFERROR(VLOOKUP([2]Pointage!HD8,Feuil1!$A:$B,2,FALSE),"")</f>
        <v/>
      </c>
      <c r="HA14" s="31" t="str">
        <f>IFERROR(VLOOKUP([2]Pointage!HE8,Feuil1!$A:$B,2,FALSE),"")</f>
        <v/>
      </c>
      <c r="HB14" s="31" t="str">
        <f>IFERROR(VLOOKUP([2]Pointage!HF8,Feuil1!$A:$B,2,FALSE),"")</f>
        <v/>
      </c>
      <c r="HC14" s="31" t="str">
        <f>IFERROR(VLOOKUP([2]Pointage!HG8,Feuil1!$A:$B,2,FALSE),"")</f>
        <v/>
      </c>
      <c r="HD14" s="31" t="str">
        <f>IFERROR(VLOOKUP([2]Pointage!HH8,Feuil1!$A:$B,2,FALSE),"")</f>
        <v/>
      </c>
      <c r="HE14" s="31" t="str">
        <f>IFERROR(VLOOKUP([2]Pointage!HI8,Feuil1!$A:$B,2,FALSE),"")</f>
        <v/>
      </c>
      <c r="HF14" s="31" t="str">
        <f>IFERROR(VLOOKUP([2]Pointage!HJ8,Feuil1!$A:$B,2,FALSE),"")</f>
        <v/>
      </c>
      <c r="HG14" s="31" t="str">
        <f>IFERROR(VLOOKUP([2]Pointage!HK8,Feuil1!$A:$B,2,FALSE),"")</f>
        <v/>
      </c>
      <c r="HH14" s="31" t="str">
        <f>IFERROR(VLOOKUP([2]Pointage!HL8,Feuil1!$A:$B,2,FALSE),"")</f>
        <v>C</v>
      </c>
      <c r="HI14" s="82" t="str">
        <f>IFERROR(VLOOKUP([2]Pointage!HM8,Feuil1!$A:$B,2,FALSE),"")</f>
        <v>C</v>
      </c>
      <c r="HJ14" s="47" t="str">
        <f>IFERROR(VLOOKUP([2]Pointage!HN8,Feuil1!$A:$B,2,FALSE),"")</f>
        <v>C</v>
      </c>
      <c r="HK14" s="31" t="str">
        <f>IFERROR(VLOOKUP([2]Pointage!HO8,Feuil1!$A:$B,2,FALSE),"")</f>
        <v>C</v>
      </c>
      <c r="HL14" s="31" t="str">
        <f>IFERROR(VLOOKUP([2]Pointage!HP8,Feuil1!$A:$B,2,FALSE),"")</f>
        <v>C</v>
      </c>
      <c r="HM14" s="31" t="str">
        <f>IFERROR(VLOOKUP([2]Pointage!HQ8,Feuil1!$A:$B,2,FALSE),"")</f>
        <v/>
      </c>
      <c r="HN14" s="31" t="str">
        <f>IFERROR(VLOOKUP([2]Pointage!HR8,Feuil1!$A:$B,2,FALSE),"")</f>
        <v/>
      </c>
      <c r="HO14" s="31" t="str">
        <f>IFERROR(VLOOKUP([2]Pointage!HS8,Feuil1!$A:$B,2,FALSE),"")</f>
        <v>C</v>
      </c>
      <c r="HP14" s="31" t="str">
        <f>IFERROR(VLOOKUP([2]Pointage!HT8,Feuil1!$A:$B,2,FALSE),"")</f>
        <v>C</v>
      </c>
      <c r="HQ14" s="31" t="str">
        <f>IFERROR(VLOOKUP([2]Pointage!HU8,Feuil1!$A:$B,2,FALSE),"")</f>
        <v>C</v>
      </c>
      <c r="HR14" s="31" t="str">
        <f>IFERROR(VLOOKUP([2]Pointage!HV8,Feuil1!$A:$B,2,FALSE),"")</f>
        <v>C</v>
      </c>
      <c r="HS14" s="31" t="str">
        <f>IFERROR(VLOOKUP([2]Pointage!HW8,Feuil1!$A:$B,2,FALSE),"")</f>
        <v>C</v>
      </c>
      <c r="HT14" s="31" t="str">
        <f>IFERROR(VLOOKUP([2]Pointage!HX8,Feuil1!$A:$B,2,FALSE),"")</f>
        <v/>
      </c>
      <c r="HU14" s="31" t="str">
        <f>IFERROR(VLOOKUP([2]Pointage!HY8,Feuil1!$A:$B,2,FALSE),"")</f>
        <v/>
      </c>
      <c r="HV14" s="31" t="str">
        <f>IFERROR(VLOOKUP([2]Pointage!HZ8,Feuil1!$A:$B,2,FALSE),"")</f>
        <v/>
      </c>
      <c r="HW14" s="31" t="str">
        <f>IFERROR(VLOOKUP([2]Pointage!IA8,Feuil1!$A:$B,2,FALSE),"")</f>
        <v/>
      </c>
      <c r="HX14" s="31" t="str">
        <f>IFERROR(VLOOKUP([2]Pointage!IB8,Feuil1!$A:$B,2,FALSE),"")</f>
        <v/>
      </c>
      <c r="HY14" s="31" t="str">
        <f>IFERROR(VLOOKUP([2]Pointage!IC8,Feuil1!$A:$B,2,FALSE),"")</f>
        <v/>
      </c>
      <c r="HZ14" s="31" t="str">
        <f>IFERROR(VLOOKUP([2]Pointage!ID8,Feuil1!$A:$B,2,FALSE),"")</f>
        <v/>
      </c>
      <c r="IA14" s="31" t="str">
        <f>IFERROR(VLOOKUP([2]Pointage!IE8,Feuil1!$A:$B,2,FALSE),"")</f>
        <v/>
      </c>
      <c r="IB14" s="31" t="str">
        <f>IFERROR(VLOOKUP([2]Pointage!IF8,Feuil1!$A:$B,2,FALSE),"")</f>
        <v/>
      </c>
      <c r="IC14" s="31" t="str">
        <f>IFERROR(VLOOKUP([2]Pointage!IG8,Feuil1!$A:$B,2,FALSE),"")</f>
        <v/>
      </c>
      <c r="ID14" s="31" t="str">
        <f>IFERROR(VLOOKUP([2]Pointage!IH8,Feuil1!$A:$B,2,FALSE),"")</f>
        <v/>
      </c>
      <c r="IE14" s="31" t="str">
        <f>IFERROR(VLOOKUP([2]Pointage!II8,Feuil1!$A:$B,2,FALSE),"")</f>
        <v/>
      </c>
      <c r="IF14" s="31" t="str">
        <f>IFERROR(VLOOKUP([2]Pointage!IJ8,Feuil1!$A:$B,2,FALSE),"")</f>
        <v/>
      </c>
      <c r="IG14" s="31" t="str">
        <f>IFERROR(VLOOKUP([2]Pointage!IK8,Feuil1!$A:$B,2,FALSE),"")</f>
        <v/>
      </c>
      <c r="IH14" s="31" t="str">
        <f>IFERROR(VLOOKUP([2]Pointage!IL8,Feuil1!$A:$B,2,FALSE),"")</f>
        <v/>
      </c>
      <c r="II14" s="31" t="str">
        <f>IFERROR(VLOOKUP([2]Pointage!IM8,Feuil1!$A:$B,2,FALSE),"")</f>
        <v/>
      </c>
      <c r="IJ14" s="31" t="str">
        <f>IFERROR(VLOOKUP([2]Pointage!IN8,Feuil1!$A:$B,2,FALSE),"")</f>
        <v/>
      </c>
      <c r="IK14" s="31" t="str">
        <f>IFERROR(VLOOKUP([2]Pointage!IO8,Feuil1!$A:$B,2,FALSE),"")</f>
        <v/>
      </c>
      <c r="IL14" s="31" t="str">
        <f>IFERROR(VLOOKUP([2]Pointage!IP8,Feuil1!$A:$B,2,FALSE),"")</f>
        <v/>
      </c>
      <c r="IM14" s="31" t="str">
        <f>IFERROR(VLOOKUP([2]Pointage!IQ8,Feuil1!$A:$B,2,FALSE),"")</f>
        <v/>
      </c>
      <c r="IN14" s="82" t="str">
        <f>IFERROR(VLOOKUP([2]Pointage!IR8,Feuil1!$A:$B,2,FALSE),"")</f>
        <v/>
      </c>
      <c r="IO14" s="47" t="str">
        <f>IFERROR(VLOOKUP([2]Pointage!IS8,Feuil1!$A:$B,2,FALSE),"")</f>
        <v/>
      </c>
      <c r="IP14" s="31" t="str">
        <f>IFERROR(VLOOKUP([2]Pointage!IT8,Feuil1!$A:$B,2,FALSE),"")</f>
        <v/>
      </c>
      <c r="IQ14" s="31" t="str">
        <f>IFERROR(VLOOKUP([2]Pointage!IU8,Feuil1!$A:$B,2,FALSE),"")</f>
        <v/>
      </c>
      <c r="IR14" s="31" t="str">
        <f>IFERROR(VLOOKUP([2]Pointage!IV8,Feuil1!$A:$B,2,FALSE),"")</f>
        <v/>
      </c>
      <c r="IS14" s="31" t="str">
        <f>IFERROR(VLOOKUP([2]Pointage!IW8,Feuil1!$A:$B,2,FALSE),"")</f>
        <v/>
      </c>
      <c r="IT14" s="31" t="str">
        <f>IFERROR(VLOOKUP([2]Pointage!IX8,Feuil1!$A:$B,2,FALSE),"")</f>
        <v/>
      </c>
      <c r="IU14" s="31" t="str">
        <f>IFERROR(VLOOKUP([2]Pointage!IY8,Feuil1!$A:$B,2,FALSE),"")</f>
        <v/>
      </c>
      <c r="IV14" s="31" t="str">
        <f>IFERROR(VLOOKUP([2]Pointage!IZ8,Feuil1!$A:$B,2,FALSE),"")</f>
        <v/>
      </c>
      <c r="IW14" s="31" t="str">
        <f>IFERROR(VLOOKUP([2]Pointage!JA8,Feuil1!$A:$B,2,FALSE),"")</f>
        <v/>
      </c>
      <c r="IX14" s="31" t="str">
        <f>IFERROR(VLOOKUP([2]Pointage!JB8,Feuil1!$A:$B,2,FALSE),"")</f>
        <v/>
      </c>
      <c r="IY14" s="31" t="str">
        <f>IFERROR(VLOOKUP([2]Pointage!JC8,Feuil1!$A:$B,2,FALSE),"")</f>
        <v/>
      </c>
      <c r="IZ14" s="31" t="str">
        <f>IFERROR(VLOOKUP([2]Pointage!JD8,Feuil1!$A:$B,2,FALSE),"")</f>
        <v/>
      </c>
      <c r="JA14" s="31" t="str">
        <f>IFERROR(VLOOKUP([2]Pointage!JE8,Feuil1!$A:$B,2,FALSE),"")</f>
        <v/>
      </c>
      <c r="JB14" s="31" t="str">
        <f>IFERROR(VLOOKUP([2]Pointage!JF8,Feuil1!$A:$B,2,FALSE),"")</f>
        <v/>
      </c>
      <c r="JC14" s="31" t="str">
        <f>IFERROR(VLOOKUP([2]Pointage!JG8,Feuil1!$A:$B,2,FALSE),"")</f>
        <v/>
      </c>
      <c r="JD14" s="31" t="str">
        <f>IFERROR(VLOOKUP([2]Pointage!JH8,Feuil1!$A:$B,2,FALSE),"")</f>
        <v/>
      </c>
      <c r="JE14" s="31" t="str">
        <f>IFERROR(VLOOKUP([2]Pointage!JI8,Feuil1!$A:$B,2,FALSE),"")</f>
        <v/>
      </c>
      <c r="JF14" s="31" t="str">
        <f>IFERROR(VLOOKUP([2]Pointage!JJ8,Feuil1!$A:$B,2,FALSE),"")</f>
        <v/>
      </c>
      <c r="JG14" s="31" t="str">
        <f>IFERROR(VLOOKUP([2]Pointage!JK8,Feuil1!$A:$B,2,FALSE),"")</f>
        <v/>
      </c>
      <c r="JH14" s="31" t="str">
        <f>IFERROR(VLOOKUP([2]Pointage!JL8,Feuil1!$A:$B,2,FALSE),"")</f>
        <v/>
      </c>
      <c r="JI14" s="31" t="str">
        <f>IFERROR(VLOOKUP([2]Pointage!JM8,Feuil1!$A:$B,2,FALSE),"")</f>
        <v/>
      </c>
      <c r="JJ14" s="31" t="str">
        <f>IFERROR(VLOOKUP([2]Pointage!JN8,Feuil1!$A:$B,2,FALSE),"")</f>
        <v/>
      </c>
      <c r="JK14" s="31" t="str">
        <f>IFERROR(VLOOKUP([2]Pointage!JO8,Feuil1!$A:$B,2,FALSE),"")</f>
        <v/>
      </c>
      <c r="JL14" s="31" t="str">
        <f>IFERROR(VLOOKUP([2]Pointage!JP8,Feuil1!$A:$B,2,FALSE),"")</f>
        <v/>
      </c>
      <c r="JM14" s="31" t="str">
        <f>IFERROR(VLOOKUP([2]Pointage!JQ8,Feuil1!$A:$B,2,FALSE),"")</f>
        <v/>
      </c>
      <c r="JN14" s="31" t="str">
        <f>IFERROR(VLOOKUP([2]Pointage!JR8,Feuil1!$A:$B,2,FALSE),"")</f>
        <v/>
      </c>
      <c r="JO14" s="31" t="str">
        <f>IFERROR(VLOOKUP([2]Pointage!JS8,Feuil1!$A:$B,2,FALSE),"")</f>
        <v/>
      </c>
      <c r="JP14" s="31" t="str">
        <f>IFERROR(VLOOKUP([2]Pointage!JT8,Feuil1!$A:$B,2,FALSE),"")</f>
        <v/>
      </c>
      <c r="JQ14" s="31" t="str">
        <f>IFERROR(VLOOKUP([2]Pointage!JU8,Feuil1!$A:$B,2,FALSE),"")</f>
        <v/>
      </c>
      <c r="JR14" s="82" t="str">
        <f>IFERROR(VLOOKUP([2]Pointage!JV8,Feuil1!$A:$B,2,FALSE),"")</f>
        <v/>
      </c>
      <c r="JS14" s="47" t="str">
        <f>IFERROR(VLOOKUP([2]Pointage!JW8,Feuil1!$A:$B,2,FALSE),"")</f>
        <v/>
      </c>
      <c r="JT14" s="31" t="str">
        <f>IFERROR(VLOOKUP([2]Pointage!JX8,Feuil1!$A:$B,2,FALSE),"")</f>
        <v/>
      </c>
      <c r="JU14" s="31" t="str">
        <f>IFERROR(VLOOKUP([2]Pointage!JY8,Feuil1!$A:$B,2,FALSE),"")</f>
        <v/>
      </c>
      <c r="JV14" s="31" t="str">
        <f>IFERROR(VLOOKUP([2]Pointage!JZ8,Feuil1!$A:$B,2,FALSE),"")</f>
        <v/>
      </c>
      <c r="JW14" s="31" t="str">
        <f>IFERROR(VLOOKUP([2]Pointage!KA8,Feuil1!$A:$B,2,FALSE),"")</f>
        <v/>
      </c>
      <c r="JX14" s="31" t="str">
        <f>IFERROR(VLOOKUP([2]Pointage!KB8,Feuil1!$A:$B,2,FALSE),"")</f>
        <v/>
      </c>
      <c r="JY14" s="31" t="str">
        <f>IFERROR(VLOOKUP([2]Pointage!KC8,Feuil1!$A:$B,2,FALSE),"")</f>
        <v/>
      </c>
      <c r="JZ14" s="31" t="str">
        <f>IFERROR(VLOOKUP([2]Pointage!KD8,Feuil1!$A:$B,2,FALSE),"")</f>
        <v/>
      </c>
      <c r="KA14" s="31" t="str">
        <f>IFERROR(VLOOKUP([2]Pointage!KE8,Feuil1!$A:$B,2,FALSE),"")</f>
        <v/>
      </c>
      <c r="KB14" s="31" t="str">
        <f>IFERROR(VLOOKUP([2]Pointage!KF8,Feuil1!$A:$B,2,FALSE),"")</f>
        <v/>
      </c>
      <c r="KC14" s="31" t="str">
        <f>IFERROR(VLOOKUP([2]Pointage!KG8,Feuil1!$A:$B,2,FALSE),"")</f>
        <v/>
      </c>
      <c r="KD14" s="31" t="str">
        <f>IFERROR(VLOOKUP([2]Pointage!KH8,Feuil1!$A:$B,2,FALSE),"")</f>
        <v/>
      </c>
      <c r="KE14" s="31" t="str">
        <f>IFERROR(VLOOKUP([2]Pointage!KI8,Feuil1!$A:$B,2,FALSE),"")</f>
        <v/>
      </c>
      <c r="KF14" s="31" t="str">
        <f>IFERROR(VLOOKUP([2]Pointage!KJ8,Feuil1!$A:$B,2,FALSE),"")</f>
        <v/>
      </c>
      <c r="KG14" s="31" t="str">
        <f>IFERROR(VLOOKUP([2]Pointage!KK8,Feuil1!$A:$B,2,FALSE),"")</f>
        <v/>
      </c>
      <c r="KH14" s="31" t="str">
        <f>IFERROR(VLOOKUP([2]Pointage!KL8,Feuil1!$A:$B,2,FALSE),"")</f>
        <v/>
      </c>
      <c r="KI14" s="31" t="str">
        <f>IFERROR(VLOOKUP([2]Pointage!KM8,Feuil1!$A:$B,2,FALSE),"")</f>
        <v/>
      </c>
      <c r="KJ14" s="31" t="str">
        <f>IFERROR(VLOOKUP([2]Pointage!KN8,Feuil1!$A:$B,2,FALSE),"")</f>
        <v/>
      </c>
      <c r="KK14" s="31" t="str">
        <f>IFERROR(VLOOKUP([2]Pointage!KO8,Feuil1!$A:$B,2,FALSE),"")</f>
        <v/>
      </c>
      <c r="KL14" s="31" t="str">
        <f>IFERROR(VLOOKUP([2]Pointage!KP8,Feuil1!$A:$B,2,FALSE),"")</f>
        <v/>
      </c>
      <c r="KM14" s="31" t="str">
        <f>IFERROR(VLOOKUP([2]Pointage!KQ8,Feuil1!$A:$B,2,FALSE),"")</f>
        <v/>
      </c>
      <c r="KN14" s="31" t="str">
        <f>IFERROR(VLOOKUP([2]Pointage!KR8,Feuil1!$A:$B,2,FALSE),"")</f>
        <v/>
      </c>
      <c r="KO14" s="31" t="str">
        <f>IFERROR(VLOOKUP([2]Pointage!KS8,Feuil1!$A:$B,2,FALSE),"")</f>
        <v/>
      </c>
      <c r="KP14" s="31" t="str">
        <f>IFERROR(VLOOKUP([2]Pointage!KT8,Feuil1!$A:$B,2,FALSE),"")</f>
        <v/>
      </c>
      <c r="KQ14" s="31" t="str">
        <f>IFERROR(VLOOKUP([2]Pointage!KU8,Feuil1!$A:$B,2,FALSE),"")</f>
        <v/>
      </c>
      <c r="KR14" s="31" t="str">
        <f>IFERROR(VLOOKUP([2]Pointage!KV8,Feuil1!$A:$B,2,FALSE),"")</f>
        <v/>
      </c>
      <c r="KS14" s="31" t="str">
        <f>IFERROR(VLOOKUP([2]Pointage!KW8,Feuil1!$A:$B,2,FALSE),"")</f>
        <v/>
      </c>
      <c r="KT14" s="31" t="str">
        <f>IFERROR(VLOOKUP([2]Pointage!KX8,Feuil1!$A:$B,2,FALSE),"")</f>
        <v/>
      </c>
      <c r="KU14" s="31" t="str">
        <f>IFERROR(VLOOKUP([2]Pointage!KY8,Feuil1!$A:$B,2,FALSE),"")</f>
        <v/>
      </c>
      <c r="KV14" s="31" t="str">
        <f>IFERROR(VLOOKUP([2]Pointage!KZ8,Feuil1!$A:$B,2,FALSE),"")</f>
        <v/>
      </c>
      <c r="KW14" s="82" t="str">
        <f>IFERROR(VLOOKUP([2]Pointage!LA8,Feuil1!$A:$B,2,FALSE),"")</f>
        <v/>
      </c>
      <c r="KX14" s="47" t="str">
        <f>IFERROR(VLOOKUP([2]Pointage!LB8,Feuil1!$A:$B,2,FALSE),"")</f>
        <v/>
      </c>
      <c r="KY14" s="31" t="str">
        <f>IFERROR(VLOOKUP([2]Pointage!LC8,Feuil1!$A:$B,2,FALSE),"")</f>
        <v/>
      </c>
      <c r="KZ14" s="31" t="str">
        <f>IFERROR(VLOOKUP([2]Pointage!LD8,Feuil1!$A:$B,2,FALSE),"")</f>
        <v/>
      </c>
      <c r="LA14" s="31" t="str">
        <f>IFERROR(VLOOKUP([2]Pointage!LE8,Feuil1!$A:$B,2,FALSE),"")</f>
        <v/>
      </c>
      <c r="LB14" s="31" t="str">
        <f>IFERROR(VLOOKUP([2]Pointage!LF8,Feuil1!$A:$B,2,FALSE),"")</f>
        <v/>
      </c>
      <c r="LC14" s="31" t="str">
        <f>IFERROR(VLOOKUP([2]Pointage!LG8,Feuil1!$A:$B,2,FALSE),"")</f>
        <v/>
      </c>
      <c r="LD14" s="31" t="str">
        <f>IFERROR(VLOOKUP([2]Pointage!LH8,Feuil1!$A:$B,2,FALSE),"")</f>
        <v/>
      </c>
      <c r="LE14" s="31" t="str">
        <f>IFERROR(VLOOKUP([2]Pointage!LI8,Feuil1!$A:$B,2,FALSE),"")</f>
        <v/>
      </c>
      <c r="LF14" s="31" t="str">
        <f>IFERROR(VLOOKUP([2]Pointage!LJ8,Feuil1!$A:$B,2,FALSE),"")</f>
        <v/>
      </c>
      <c r="LG14" s="31" t="str">
        <f>IFERROR(VLOOKUP([2]Pointage!LK8,Feuil1!$A:$B,2,FALSE),"")</f>
        <v/>
      </c>
      <c r="LH14" s="31" t="str">
        <f>IFERROR(VLOOKUP([2]Pointage!LL8,Feuil1!$A:$B,2,FALSE),"")</f>
        <v/>
      </c>
      <c r="LI14" s="31" t="str">
        <f>IFERROR(VLOOKUP([2]Pointage!LM8,Feuil1!$A:$B,2,FALSE),"")</f>
        <v/>
      </c>
      <c r="LJ14" s="31" t="str">
        <f>IFERROR(VLOOKUP([2]Pointage!LN8,Feuil1!$A:$B,2,FALSE),"")</f>
        <v/>
      </c>
      <c r="LK14" s="31" t="str">
        <f>IFERROR(VLOOKUP([2]Pointage!LO8,Feuil1!$A:$B,2,FALSE),"")</f>
        <v/>
      </c>
      <c r="LL14" s="31" t="str">
        <f>IFERROR(VLOOKUP([2]Pointage!LP8,Feuil1!$A:$B,2,FALSE),"")</f>
        <v/>
      </c>
      <c r="LM14" s="31" t="str">
        <f>IFERROR(VLOOKUP([2]Pointage!LQ8,Feuil1!$A:$B,2,FALSE),"")</f>
        <v/>
      </c>
      <c r="LN14" s="31" t="str">
        <f>IFERROR(VLOOKUP([2]Pointage!LR8,Feuil1!$A:$B,2,FALSE),"")</f>
        <v/>
      </c>
      <c r="LO14" s="31" t="str">
        <f>IFERROR(VLOOKUP([2]Pointage!LS8,Feuil1!$A:$B,2,FALSE),"")</f>
        <v/>
      </c>
      <c r="LP14" s="31" t="str">
        <f>IFERROR(VLOOKUP([2]Pointage!LT8,Feuil1!$A:$B,2,FALSE),"")</f>
        <v/>
      </c>
      <c r="LQ14" s="31" t="str">
        <f>IFERROR(VLOOKUP([2]Pointage!LU8,Feuil1!$A:$B,2,FALSE),"")</f>
        <v/>
      </c>
      <c r="LR14" s="31" t="str">
        <f>IFERROR(VLOOKUP([2]Pointage!LV8,Feuil1!$A:$B,2,FALSE),"")</f>
        <v/>
      </c>
      <c r="LS14" s="31" t="str">
        <f>IFERROR(VLOOKUP([2]Pointage!LW8,Feuil1!$A:$B,2,FALSE),"")</f>
        <v/>
      </c>
      <c r="LT14" s="31" t="str">
        <f>IFERROR(VLOOKUP([2]Pointage!LX8,Feuil1!$A:$B,2,FALSE),"")</f>
        <v/>
      </c>
      <c r="LU14" s="31" t="str">
        <f>IFERROR(VLOOKUP([2]Pointage!LY8,Feuil1!$A:$B,2,FALSE),"")</f>
        <v/>
      </c>
      <c r="LV14" s="31" t="str">
        <f>IFERROR(VLOOKUP([2]Pointage!LZ8,Feuil1!$A:$B,2,FALSE),"")</f>
        <v/>
      </c>
      <c r="LW14" s="31" t="str">
        <f>IFERROR(VLOOKUP([2]Pointage!MA8,Feuil1!$A:$B,2,FALSE),"")</f>
        <v/>
      </c>
      <c r="LX14" s="31" t="str">
        <f>IFERROR(VLOOKUP([2]Pointage!MB8,Feuil1!$A:$B,2,FALSE),"")</f>
        <v/>
      </c>
      <c r="LY14" s="31" t="str">
        <f>IFERROR(VLOOKUP([2]Pointage!MC8,Feuil1!$A:$B,2,FALSE),"")</f>
        <v/>
      </c>
      <c r="LZ14" s="31" t="str">
        <f>IFERROR(VLOOKUP([2]Pointage!MD8,Feuil1!$A:$B,2,FALSE),"")</f>
        <v/>
      </c>
      <c r="MA14" s="82" t="str">
        <f>IFERROR(VLOOKUP([2]Pointage!ME8,Feuil1!$A:$B,2,FALSE),"")</f>
        <v/>
      </c>
      <c r="MB14" s="47" t="str">
        <f>IFERROR(VLOOKUP([2]Pointage!MF8,Feuil1!$A:$B,2,FALSE),"")</f>
        <v/>
      </c>
      <c r="MC14" s="31" t="str">
        <f>IFERROR(VLOOKUP([2]Pointage!MG8,Feuil1!$A:$B,2,FALSE),"")</f>
        <v/>
      </c>
      <c r="MD14" s="31" t="str">
        <f>IFERROR(VLOOKUP([2]Pointage!MH8,Feuil1!$A:$B,2,FALSE),"")</f>
        <v/>
      </c>
      <c r="ME14" s="31" t="str">
        <f>IFERROR(VLOOKUP([2]Pointage!MI8,Feuil1!$A:$B,2,FALSE),"")</f>
        <v/>
      </c>
      <c r="MF14" s="31" t="str">
        <f>IFERROR(VLOOKUP([2]Pointage!MJ8,Feuil1!$A:$B,2,FALSE),"")</f>
        <v/>
      </c>
      <c r="MG14" s="31" t="str">
        <f>IFERROR(VLOOKUP([2]Pointage!MK8,Feuil1!$A:$B,2,FALSE),"")</f>
        <v/>
      </c>
      <c r="MH14" s="31" t="str">
        <f>IFERROR(VLOOKUP([2]Pointage!ML8,Feuil1!$A:$B,2,FALSE),"")</f>
        <v/>
      </c>
      <c r="MI14" s="31" t="str">
        <f>IFERROR(VLOOKUP([2]Pointage!MM8,Feuil1!$A:$B,2,FALSE),"")</f>
        <v/>
      </c>
      <c r="MJ14" s="31" t="str">
        <f>IFERROR(VLOOKUP([2]Pointage!MN8,Feuil1!$A:$B,2,FALSE),"")</f>
        <v/>
      </c>
      <c r="MK14" s="31" t="str">
        <f>IFERROR(VLOOKUP([2]Pointage!MO8,Feuil1!$A:$B,2,FALSE),"")</f>
        <v/>
      </c>
      <c r="ML14" s="31" t="str">
        <f>IFERROR(VLOOKUP([2]Pointage!MP8,Feuil1!$A:$B,2,FALSE),"")</f>
        <v/>
      </c>
      <c r="MM14" s="31" t="str">
        <f>IFERROR(VLOOKUP([2]Pointage!MQ8,Feuil1!$A:$B,2,FALSE),"")</f>
        <v/>
      </c>
      <c r="MN14" s="31" t="str">
        <f>IFERROR(VLOOKUP([2]Pointage!MR8,Feuil1!$A:$B,2,FALSE),"")</f>
        <v/>
      </c>
      <c r="MO14" s="31" t="str">
        <f>IFERROR(VLOOKUP([2]Pointage!MS8,Feuil1!$A:$B,2,FALSE),"")</f>
        <v/>
      </c>
      <c r="MP14" s="31" t="str">
        <f>IFERROR(VLOOKUP([2]Pointage!MT8,Feuil1!$A:$B,2,FALSE),"")</f>
        <v/>
      </c>
      <c r="MQ14" s="31" t="str">
        <f>IFERROR(VLOOKUP([2]Pointage!MU8,Feuil1!$A:$B,2,FALSE),"")</f>
        <v/>
      </c>
      <c r="MR14" s="31" t="str">
        <f>IFERROR(VLOOKUP([2]Pointage!MV8,Feuil1!$A:$B,2,FALSE),"")</f>
        <v/>
      </c>
      <c r="MS14" s="31" t="str">
        <f>IFERROR(VLOOKUP([2]Pointage!MW8,Feuil1!$A:$B,2,FALSE),"")</f>
        <v/>
      </c>
      <c r="MT14" s="31" t="str">
        <f>IFERROR(VLOOKUP([2]Pointage!MX8,Feuil1!$A:$B,2,FALSE),"")</f>
        <v/>
      </c>
      <c r="MU14" s="31" t="str">
        <f>IFERROR(VLOOKUP([2]Pointage!MY8,Feuil1!$A:$B,2,FALSE),"")</f>
        <v/>
      </c>
      <c r="MV14" s="31" t="str">
        <f>IFERROR(VLOOKUP([2]Pointage!MZ8,Feuil1!$A:$B,2,FALSE),"")</f>
        <v/>
      </c>
      <c r="MW14" s="31" t="str">
        <f>IFERROR(VLOOKUP([2]Pointage!NA8,Feuil1!$A:$B,2,FALSE),"")</f>
        <v/>
      </c>
      <c r="MX14" s="31" t="str">
        <f>IFERROR(VLOOKUP([2]Pointage!NB8,Feuil1!$A:$B,2,FALSE),"")</f>
        <v/>
      </c>
      <c r="MY14" s="31" t="str">
        <f>IFERROR(VLOOKUP([2]Pointage!NC8,Feuil1!$A:$B,2,FALSE),"")</f>
        <v/>
      </c>
      <c r="MZ14" s="31" t="str">
        <f>IFERROR(VLOOKUP([2]Pointage!ND8,Feuil1!$A:$B,2,FALSE),"")</f>
        <v/>
      </c>
      <c r="NA14" s="31" t="str">
        <f>IFERROR(VLOOKUP([2]Pointage!NE8,Feuil1!$A:$B,2,FALSE),"")</f>
        <v/>
      </c>
      <c r="NB14" s="31" t="str">
        <f>IFERROR(VLOOKUP([2]Pointage!NF8,Feuil1!$A:$B,2,FALSE),"")</f>
        <v/>
      </c>
      <c r="NC14" s="31" t="str">
        <f>IFERROR(VLOOKUP([2]Pointage!NG8,Feuil1!$A:$B,2,FALSE),"")</f>
        <v/>
      </c>
      <c r="ND14" s="31" t="str">
        <f>IFERROR(VLOOKUP([2]Pointage!NH8,Feuil1!$A:$B,2,FALSE),"")</f>
        <v/>
      </c>
      <c r="NE14" s="31" t="str">
        <f>IFERROR(VLOOKUP([2]Pointage!NI8,Feuil1!$A:$B,2,FALSE),"")</f>
        <v/>
      </c>
      <c r="NF14" s="48" t="str">
        <f>IFERROR(VLOOKUP([2]Pointage!NJ8,Feuil1!$A:$B,2,FALSE),"")</f>
        <v/>
      </c>
      <c r="NG14" s="52">
        <f>COUNTIF(Global!F14:NF14,"RTT")+(COUNTIF(Global!F14:NF14,"dRTT")/2)</f>
        <v>0</v>
      </c>
      <c r="NH14" s="42">
        <f>COUNTIF(Global!F14:NF14,"C")+(COUNTIF(Global!F14:NF14,"DC")/2)</f>
        <v>18</v>
      </c>
      <c r="NI14" s="42">
        <f>COUNTIF(Global!F14:NF14,"M")</f>
        <v>105</v>
      </c>
      <c r="NJ14" s="42">
        <f>COUNTIF(Global!G14:NG14,"AT")</f>
        <v>0</v>
      </c>
      <c r="NK14" s="42">
        <f>COUNTIF(Global!F14:NF14,"RD")</f>
        <v>0</v>
      </c>
      <c r="NL14" s="42">
        <f>COUNTIF(Global!F14:NF14,"RC")+(COUNTIF(Global!F14:NF14,"dRC")/2)</f>
        <v>0</v>
      </c>
      <c r="NM14" s="68">
        <f t="shared" ca="1" si="0"/>
        <v>1.1506849315068493</v>
      </c>
      <c r="NP14">
        <f>(10*31)/365</f>
        <v>0.84931506849315064</v>
      </c>
      <c r="NT14" s="33"/>
      <c r="NU14" s="33"/>
      <c r="NV14" s="28"/>
      <c r="NW14" s="28"/>
      <c r="NX14" s="29">
        <f>COUNTIF(F14:NF14,"C")++(COUNTIF(Global!F14:NF14,"DC")/2)</f>
        <v>18</v>
      </c>
      <c r="NY14" s="29"/>
      <c r="NZ14" s="29"/>
      <c r="OA14" s="29"/>
      <c r="OB14" s="29">
        <f>COUNTIF(Global!F14:NF14,"M")</f>
        <v>105</v>
      </c>
      <c r="OC14" s="30">
        <f t="shared" si="1"/>
        <v>-18</v>
      </c>
      <c r="OD14" s="30"/>
    </row>
    <row r="15" spans="1:394" ht="30" customHeight="1" x14ac:dyDescent="0.2">
      <c r="A15" s="15" t="s">
        <v>71</v>
      </c>
      <c r="B15" s="22" t="s">
        <v>150</v>
      </c>
      <c r="C15" s="22" t="s">
        <v>151</v>
      </c>
      <c r="D15" s="22" t="s">
        <v>152</v>
      </c>
      <c r="E15" s="44">
        <v>0</v>
      </c>
      <c r="F15" s="47" t="str">
        <f>IFERROR(VLOOKUP([2]Pointage!J9,Feuil1!$A:$B,2,FALSE),"")</f>
        <v/>
      </c>
      <c r="G15" s="31" t="str">
        <f>IFERROR(VLOOKUP([2]Pointage!K9,Feuil1!$A:$B,2,FALSE),"")</f>
        <v/>
      </c>
      <c r="H15" s="31" t="str">
        <f>IFERROR(VLOOKUP([2]Pointage!L9,Feuil1!$A:$B,2,FALSE),"")</f>
        <v/>
      </c>
      <c r="I15" s="31" t="str">
        <f>IFERROR(VLOOKUP([2]Pointage!M9,Feuil1!$A:$B,2,FALSE),"")</f>
        <v/>
      </c>
      <c r="J15" s="31" t="str">
        <f>IFERROR(VLOOKUP([2]Pointage!N9,Feuil1!$A:$B,2,FALSE),"")</f>
        <v/>
      </c>
      <c r="K15" s="31" t="str">
        <f>IFERROR(VLOOKUP([2]Pointage!O9,Feuil1!$A:$B,2,FALSE),"")</f>
        <v/>
      </c>
      <c r="L15" s="31" t="str">
        <f>IFERROR(VLOOKUP([2]Pointage!P9,Feuil1!$A:$B,2,FALSE),"")</f>
        <v/>
      </c>
      <c r="M15" s="31" t="str">
        <f>IFERROR(VLOOKUP([2]Pointage!Q9,Feuil1!$A:$B,2,FALSE),"")</f>
        <v/>
      </c>
      <c r="N15" s="31" t="str">
        <f>IFERROR(VLOOKUP([2]Pointage!R9,Feuil1!$A:$B,2,FALSE),"")</f>
        <v/>
      </c>
      <c r="O15" s="31" t="str">
        <f>IFERROR(VLOOKUP([2]Pointage!S9,Feuil1!$A:$B,2,FALSE),"")</f>
        <v/>
      </c>
      <c r="P15" s="31" t="str">
        <f>IFERROR(VLOOKUP([2]Pointage!T9,Feuil1!$A:$B,2,FALSE),"")</f>
        <v/>
      </c>
      <c r="Q15" s="31" t="str">
        <f>IFERROR(VLOOKUP([2]Pointage!U9,Feuil1!$A:$B,2,FALSE),"")</f>
        <v/>
      </c>
      <c r="R15" s="31" t="str">
        <f>IFERROR(VLOOKUP([2]Pointage!V9,Feuil1!$A:$B,2,FALSE),"")</f>
        <v/>
      </c>
      <c r="S15" s="31" t="str">
        <f>IFERROR(VLOOKUP([2]Pointage!W9,Feuil1!$A:$B,2,FALSE),"")</f>
        <v/>
      </c>
      <c r="T15" s="31" t="str">
        <f>IFERROR(VLOOKUP([2]Pointage!X9,Feuil1!$A:$B,2,FALSE),"")</f>
        <v/>
      </c>
      <c r="U15" s="31" t="str">
        <f>IFERROR(VLOOKUP([2]Pointage!Y9,Feuil1!$A:$B,2,FALSE),"")</f>
        <v/>
      </c>
      <c r="V15" s="31" t="str">
        <f>IFERROR(VLOOKUP([2]Pointage!Z9,Feuil1!$A:$B,2,FALSE),"")</f>
        <v/>
      </c>
      <c r="W15" s="31" t="str">
        <f>IFERROR(VLOOKUP([2]Pointage!AA9,Feuil1!$A:$B,2,FALSE),"")</f>
        <v/>
      </c>
      <c r="X15" s="31" t="str">
        <f>IFERROR(VLOOKUP([2]Pointage!AB9,Feuil1!$A:$B,2,FALSE),"")</f>
        <v/>
      </c>
      <c r="Y15" s="31" t="str">
        <f>IFERROR(VLOOKUP([2]Pointage!AC9,Feuil1!$A:$B,2,FALSE),"")</f>
        <v/>
      </c>
      <c r="Z15" s="31" t="str">
        <f>IFERROR(VLOOKUP([2]Pointage!AD9,Feuil1!$A:$B,2,FALSE),"")</f>
        <v/>
      </c>
      <c r="AA15" s="31" t="str">
        <f>IFERROR(VLOOKUP([2]Pointage!AE9,Feuil1!$A:$B,2,FALSE),"")</f>
        <v/>
      </c>
      <c r="AB15" s="31" t="str">
        <f>IFERROR(VLOOKUP([2]Pointage!AF9,Feuil1!$A:$B,2,FALSE),"")</f>
        <v/>
      </c>
      <c r="AC15" s="31" t="str">
        <f>IFERROR(VLOOKUP([2]Pointage!AG9,Feuil1!$A:$B,2,FALSE),"")</f>
        <v/>
      </c>
      <c r="AD15" s="31" t="str">
        <f>IFERROR(VLOOKUP([2]Pointage!AH9,Feuil1!$A:$B,2,FALSE),"")</f>
        <v>C</v>
      </c>
      <c r="AE15" s="31" t="str">
        <f>IFERROR(VLOOKUP([2]Pointage!AI9,Feuil1!$A:$B,2,FALSE),"")</f>
        <v/>
      </c>
      <c r="AF15" s="31" t="str">
        <f>IFERROR(VLOOKUP([2]Pointage!AJ9,Feuil1!$A:$B,2,FALSE),"")</f>
        <v/>
      </c>
      <c r="AG15" s="31" t="str">
        <f>IFERROR(VLOOKUP([2]Pointage!AK9,Feuil1!$A:$B,2,FALSE),"")</f>
        <v/>
      </c>
      <c r="AH15" s="31" t="str">
        <f>IFERROR(VLOOKUP([2]Pointage!AL9,Feuil1!$A:$B,2,FALSE),"")</f>
        <v/>
      </c>
      <c r="AI15" s="31" t="str">
        <f>IFERROR(VLOOKUP([2]Pointage!AM9,Feuil1!$A:$B,2,FALSE),"")</f>
        <v/>
      </c>
      <c r="AJ15" s="82" t="str">
        <f>IFERROR(VLOOKUP([2]Pointage!AN9,Feuil1!$A:$B,2,FALSE),"")</f>
        <v/>
      </c>
      <c r="AK15" s="47" t="str">
        <f>IFERROR(VLOOKUP([2]Pointage!AO9,Feuil1!$A:$B,2,FALSE),"")</f>
        <v/>
      </c>
      <c r="AL15" s="31" t="str">
        <f>IFERROR(VLOOKUP([2]Pointage!AP9,Feuil1!$A:$B,2,FALSE),"")</f>
        <v/>
      </c>
      <c r="AM15" s="31" t="str">
        <f>IFERROR(VLOOKUP([2]Pointage!AQ9,Feuil1!$A:$B,2,FALSE),"")</f>
        <v/>
      </c>
      <c r="AN15" s="31" t="str">
        <f>IFERROR(VLOOKUP([2]Pointage!AR9,Feuil1!$A:$B,2,FALSE),"")</f>
        <v/>
      </c>
      <c r="AO15" s="31" t="str">
        <f>IFERROR(VLOOKUP([2]Pointage!AS9,Feuil1!$A:$B,2,FALSE),"")</f>
        <v/>
      </c>
      <c r="AP15" s="31" t="str">
        <f>IFERROR(VLOOKUP([2]Pointage!AT9,Feuil1!$A:$B,2,FALSE),"")</f>
        <v/>
      </c>
      <c r="AQ15" s="31" t="str">
        <f>IFERROR(VLOOKUP([2]Pointage!AU9,Feuil1!$A:$B,2,FALSE),"")</f>
        <v/>
      </c>
      <c r="AR15" s="31" t="str">
        <f>IFERROR(VLOOKUP([2]Pointage!AV9,Feuil1!$A:$B,2,FALSE),"")</f>
        <v/>
      </c>
      <c r="AS15" s="31" t="str">
        <f>IFERROR(VLOOKUP([2]Pointage!AW9,Feuil1!$A:$B,2,FALSE),"")</f>
        <v>C</v>
      </c>
      <c r="AT15" s="31" t="str">
        <f>IFERROR(VLOOKUP([2]Pointage!AX9,Feuil1!$A:$B,2,FALSE),"")</f>
        <v/>
      </c>
      <c r="AU15" s="31" t="str">
        <f>IFERROR(VLOOKUP([2]Pointage!AY9,Feuil1!$A:$B,2,FALSE),"")</f>
        <v/>
      </c>
      <c r="AV15" s="31" t="str">
        <f>IFERROR(VLOOKUP([2]Pointage!AZ9,Feuil1!$A:$B,2,FALSE),"")</f>
        <v/>
      </c>
      <c r="AW15" s="31" t="str">
        <f>IFERROR(VLOOKUP([2]Pointage!BA9,Feuil1!$A:$B,2,FALSE),"")</f>
        <v/>
      </c>
      <c r="AX15" s="31" t="str">
        <f>IFERROR(VLOOKUP([2]Pointage!BB9,Feuil1!$A:$B,2,FALSE),"")</f>
        <v/>
      </c>
      <c r="AY15" s="31" t="str">
        <f>IFERROR(VLOOKUP([2]Pointage!BC9,Feuil1!$A:$B,2,FALSE),"")</f>
        <v/>
      </c>
      <c r="AZ15" s="31" t="str">
        <f>IFERROR(VLOOKUP([2]Pointage!BD9,Feuil1!$A:$B,2,FALSE),"")</f>
        <v/>
      </c>
      <c r="BA15" s="31" t="str">
        <f>IFERROR(VLOOKUP([2]Pointage!BE9,Feuil1!$A:$B,2,FALSE),"")</f>
        <v/>
      </c>
      <c r="BB15" s="31" t="str">
        <f>IFERROR(VLOOKUP([2]Pointage!BF9,Feuil1!$A:$B,2,FALSE),"")</f>
        <v/>
      </c>
      <c r="BC15" s="31" t="str">
        <f>IFERROR(VLOOKUP([2]Pointage!BG9,Feuil1!$A:$B,2,FALSE),"")</f>
        <v/>
      </c>
      <c r="BD15" s="31" t="str">
        <f>IFERROR(VLOOKUP([2]Pointage!BH9,Feuil1!$A:$B,2,FALSE),"")</f>
        <v/>
      </c>
      <c r="BE15" s="31" t="str">
        <f>IFERROR(VLOOKUP([2]Pointage!BI9,Feuil1!$A:$B,2,FALSE),"")</f>
        <v/>
      </c>
      <c r="BF15" s="31" t="str">
        <f>IFERROR(VLOOKUP([2]Pointage!BJ9,Feuil1!$A:$B,2,FALSE),"")</f>
        <v/>
      </c>
      <c r="BG15" s="31" t="str">
        <f>IFERROR(VLOOKUP([2]Pointage!BK9,Feuil1!$A:$B,2,FALSE),"")</f>
        <v/>
      </c>
      <c r="BH15" s="31" t="str">
        <f>IFERROR(VLOOKUP([2]Pointage!BL9,Feuil1!$A:$B,2,FALSE),"")</f>
        <v/>
      </c>
      <c r="BI15" s="31" t="str">
        <f>IFERROR(VLOOKUP([2]Pointage!BM9,Feuil1!$A:$B,2,FALSE),"")</f>
        <v/>
      </c>
      <c r="BJ15" s="31" t="str">
        <f>IFERROR(VLOOKUP([2]Pointage!BN9,Feuil1!$A:$B,2,FALSE),"")</f>
        <v/>
      </c>
      <c r="BK15" s="31" t="str">
        <f>IFERROR(VLOOKUP([2]Pointage!BO9,Feuil1!$A:$B,2,FALSE),"")</f>
        <v/>
      </c>
      <c r="BL15" s="82" t="str">
        <f>IFERROR(VLOOKUP([2]Pointage!BP9,Feuil1!$A:$B,2,FALSE),"")</f>
        <v>C</v>
      </c>
      <c r="BM15" s="47" t="str">
        <f>IFERROR(VLOOKUP([2]Pointage!BQ9,Feuil1!$A:$B,2,FALSE),"")</f>
        <v/>
      </c>
      <c r="BN15" s="31" t="str">
        <f>IFERROR(VLOOKUP([2]Pointage!BR9,Feuil1!$A:$B,2,FALSE),"")</f>
        <v/>
      </c>
      <c r="BO15" s="31" t="str">
        <f>IFERROR(VLOOKUP([2]Pointage!BS9,Feuil1!$A:$B,2,FALSE),"")</f>
        <v/>
      </c>
      <c r="BP15" s="31" t="str">
        <f>IFERROR(VLOOKUP([2]Pointage!BT9,Feuil1!$A:$B,2,FALSE),"")</f>
        <v/>
      </c>
      <c r="BQ15" s="31" t="str">
        <f>IFERROR(VLOOKUP([2]Pointage!BU9,Feuil1!$A:$B,2,FALSE),"")</f>
        <v/>
      </c>
      <c r="BR15" s="31" t="str">
        <f>IFERROR(VLOOKUP([2]Pointage!BV9,Feuil1!$A:$B,2,FALSE),"")</f>
        <v/>
      </c>
      <c r="BS15" s="31" t="str">
        <f>IFERROR(VLOOKUP([2]Pointage!BW9,Feuil1!$A:$B,2,FALSE),"")</f>
        <v/>
      </c>
      <c r="BT15" s="31" t="str">
        <f>IFERROR(VLOOKUP([2]Pointage!BX9,Feuil1!$A:$B,2,FALSE),"")</f>
        <v/>
      </c>
      <c r="BU15" s="31" t="str">
        <f>IFERROR(VLOOKUP([2]Pointage!BY9,Feuil1!$A:$B,2,FALSE),"")</f>
        <v/>
      </c>
      <c r="BV15" s="31" t="str">
        <f>IFERROR(VLOOKUP([2]Pointage!BZ9,Feuil1!$A:$B,2,FALSE),"")</f>
        <v/>
      </c>
      <c r="BW15" s="31" t="str">
        <f>IFERROR(VLOOKUP([2]Pointage!CA9,Feuil1!$A:$B,2,FALSE),"")</f>
        <v/>
      </c>
      <c r="BX15" s="31" t="str">
        <f>IFERROR(VLOOKUP([2]Pointage!CB9,Feuil1!$A:$B,2,FALSE),"")</f>
        <v/>
      </c>
      <c r="BY15" s="31" t="str">
        <f>IFERROR(VLOOKUP([2]Pointage!CC9,Feuil1!$A:$B,2,FALSE),"")</f>
        <v/>
      </c>
      <c r="BZ15" s="31" t="str">
        <f>IFERROR(VLOOKUP([2]Pointage!CD9,Feuil1!$A:$B,2,FALSE),"")</f>
        <v/>
      </c>
      <c r="CA15" s="31" t="str">
        <f>IFERROR(VLOOKUP([2]Pointage!CE9,Feuil1!$A:$B,2,FALSE),"")</f>
        <v/>
      </c>
      <c r="CB15" s="31" t="str">
        <f>IFERROR(VLOOKUP([2]Pointage!CF9,Feuil1!$A:$B,2,FALSE),"")</f>
        <v/>
      </c>
      <c r="CC15" s="31" t="str">
        <f>IFERROR(VLOOKUP([2]Pointage!CG9,Feuil1!$A:$B,2,FALSE),"")</f>
        <v/>
      </c>
      <c r="CD15" s="31" t="str">
        <f>IFERROR(VLOOKUP([2]Pointage!CH9,Feuil1!$A:$B,2,FALSE),"")</f>
        <v/>
      </c>
      <c r="CE15" s="31" t="str">
        <f>IFERROR(VLOOKUP([2]Pointage!CI9,Feuil1!$A:$B,2,FALSE),"")</f>
        <v/>
      </c>
      <c r="CF15" s="31" t="str">
        <f>IFERROR(VLOOKUP([2]Pointage!CJ9,Feuil1!$A:$B,2,FALSE),"")</f>
        <v/>
      </c>
      <c r="CG15" s="31" t="str">
        <f>IFERROR(VLOOKUP([2]Pointage!CK9,Feuil1!$A:$B,2,FALSE),"")</f>
        <v/>
      </c>
      <c r="CH15" s="31" t="str">
        <f>IFERROR(VLOOKUP([2]Pointage!CL9,Feuil1!$A:$B,2,FALSE),"")</f>
        <v/>
      </c>
      <c r="CI15" s="31" t="str">
        <f>IFERROR(VLOOKUP([2]Pointage!CM9,Feuil1!$A:$B,2,FALSE),"")</f>
        <v/>
      </c>
      <c r="CJ15" s="31" t="str">
        <f>IFERROR(VLOOKUP([2]Pointage!CN9,Feuil1!$A:$B,2,FALSE),"")</f>
        <v/>
      </c>
      <c r="CK15" s="31" t="str">
        <f>IFERROR(VLOOKUP([2]Pointage!CO9,Feuil1!$A:$B,2,FALSE),"")</f>
        <v/>
      </c>
      <c r="CL15" s="31" t="str">
        <f>IFERROR(VLOOKUP([2]Pointage!CP9,Feuil1!$A:$B,2,FALSE),"")</f>
        <v>C</v>
      </c>
      <c r="CM15" s="31" t="str">
        <f>IFERROR(VLOOKUP([2]Pointage!CQ9,Feuil1!$A:$B,2,FALSE),"")</f>
        <v>C</v>
      </c>
      <c r="CN15" s="31" t="str">
        <f>IFERROR(VLOOKUP([2]Pointage!CR9,Feuil1!$A:$B,2,FALSE),"")</f>
        <v>C</v>
      </c>
      <c r="CO15" s="31" t="str">
        <f>IFERROR(VLOOKUP([2]Pointage!CS9,Feuil1!$A:$B,2,FALSE),"")</f>
        <v>C</v>
      </c>
      <c r="CP15" s="31" t="str">
        <f>IFERROR(VLOOKUP([2]Pointage!CT9,Feuil1!$A:$B,2,FALSE),"")</f>
        <v>C</v>
      </c>
      <c r="CQ15" s="82" t="str">
        <f>IFERROR(VLOOKUP([2]Pointage!CU9,Feuil1!$A:$B,2,FALSE),"")</f>
        <v/>
      </c>
      <c r="CR15" s="47" t="str">
        <f>IFERROR(VLOOKUP([2]Pointage!CV9,Feuil1!$A:$B,2,FALSE),"")</f>
        <v/>
      </c>
      <c r="CS15" s="31" t="str">
        <f>IFERROR(VLOOKUP([2]Pointage!CW9,Feuil1!$A:$B,2,FALSE),"")</f>
        <v/>
      </c>
      <c r="CT15" s="31" t="str">
        <f>IFERROR(VLOOKUP([2]Pointage!CX9,Feuil1!$A:$B,2,FALSE),"")</f>
        <v/>
      </c>
      <c r="CU15" s="31" t="str">
        <f>IFERROR(VLOOKUP([2]Pointage!CY9,Feuil1!$A:$B,2,FALSE),"")</f>
        <v/>
      </c>
      <c r="CV15" s="31" t="str">
        <f>IFERROR(VLOOKUP([2]Pointage!CZ9,Feuil1!$A:$B,2,FALSE),"")</f>
        <v/>
      </c>
      <c r="CW15" s="31" t="str">
        <f>IFERROR(VLOOKUP([2]Pointage!DA9,Feuil1!$A:$B,2,FALSE),"")</f>
        <v/>
      </c>
      <c r="CX15" s="31" t="str">
        <f>IFERROR(VLOOKUP([2]Pointage!DB9,Feuil1!$A:$B,2,FALSE),"")</f>
        <v/>
      </c>
      <c r="CY15" s="31" t="str">
        <f>IFERROR(VLOOKUP([2]Pointage!DC9,Feuil1!$A:$B,2,FALSE),"")</f>
        <v/>
      </c>
      <c r="CZ15" s="31" t="str">
        <f>IFERROR(VLOOKUP([2]Pointage!DD9,Feuil1!$A:$B,2,FALSE),"")</f>
        <v/>
      </c>
      <c r="DA15" s="31" t="str">
        <f>IFERROR(VLOOKUP([2]Pointage!DE9,Feuil1!$A:$B,2,FALSE),"")</f>
        <v/>
      </c>
      <c r="DB15" s="31" t="str">
        <f>IFERROR(VLOOKUP([2]Pointage!DF9,Feuil1!$A:$B,2,FALSE),"")</f>
        <v/>
      </c>
      <c r="DC15" s="31" t="str">
        <f>IFERROR(VLOOKUP([2]Pointage!DG9,Feuil1!$A:$B,2,FALSE),"")</f>
        <v/>
      </c>
      <c r="DD15" s="31" t="str">
        <f>IFERROR(VLOOKUP([2]Pointage!DH9,Feuil1!$A:$B,2,FALSE),"")</f>
        <v/>
      </c>
      <c r="DE15" s="31" t="str">
        <f>IFERROR(VLOOKUP([2]Pointage!DI9,Feuil1!$A:$B,2,FALSE),"")</f>
        <v>C</v>
      </c>
      <c r="DF15" s="31" t="str">
        <f>IFERROR(VLOOKUP([2]Pointage!DJ9,Feuil1!$A:$B,2,FALSE),"")</f>
        <v/>
      </c>
      <c r="DG15" s="31" t="str">
        <f>IFERROR(VLOOKUP([2]Pointage!DK9,Feuil1!$A:$B,2,FALSE),"")</f>
        <v/>
      </c>
      <c r="DH15" s="31" t="str">
        <f>IFERROR(VLOOKUP([2]Pointage!DL9,Feuil1!$A:$B,2,FALSE),"")</f>
        <v/>
      </c>
      <c r="DI15" s="31" t="str">
        <f>IFERROR(VLOOKUP([2]Pointage!DM9,Feuil1!$A:$B,2,FALSE),"")</f>
        <v/>
      </c>
      <c r="DJ15" s="31" t="str">
        <f>IFERROR(VLOOKUP([2]Pointage!DN9,Feuil1!$A:$B,2,FALSE),"")</f>
        <v/>
      </c>
      <c r="DK15" s="31" t="str">
        <f>IFERROR(VLOOKUP([2]Pointage!DO9,Feuil1!$A:$B,2,FALSE),"")</f>
        <v/>
      </c>
      <c r="DL15" s="31" t="str">
        <f>IFERROR(VLOOKUP([2]Pointage!DP9,Feuil1!$A:$B,2,FALSE),"")</f>
        <v/>
      </c>
      <c r="DM15" s="31" t="str">
        <f>IFERROR(VLOOKUP([2]Pointage!DQ9,Feuil1!$A:$B,2,FALSE),"")</f>
        <v/>
      </c>
      <c r="DN15" s="31" t="str">
        <f>IFERROR(VLOOKUP([2]Pointage!DR9,Feuil1!$A:$B,2,FALSE),"")</f>
        <v/>
      </c>
      <c r="DO15" s="31" t="str">
        <f>IFERROR(VLOOKUP([2]Pointage!DS9,Feuil1!$A:$B,2,FALSE),"")</f>
        <v/>
      </c>
      <c r="DP15" s="31" t="str">
        <f>IFERROR(VLOOKUP([2]Pointage!DT9,Feuil1!$A:$B,2,FALSE),"")</f>
        <v/>
      </c>
      <c r="DQ15" s="31" t="str">
        <f>IFERROR(VLOOKUP([2]Pointage!DU9,Feuil1!$A:$B,2,FALSE),"")</f>
        <v/>
      </c>
      <c r="DR15" s="31" t="str">
        <f>IFERROR(VLOOKUP([2]Pointage!DV9,Feuil1!$A:$B,2,FALSE),"")</f>
        <v/>
      </c>
      <c r="DS15" s="31" t="str">
        <f>IFERROR(VLOOKUP([2]Pointage!DW9,Feuil1!$A:$B,2,FALSE),"")</f>
        <v/>
      </c>
      <c r="DT15" s="31" t="str">
        <f>IFERROR(VLOOKUP([2]Pointage!DX9,Feuil1!$A:$B,2,FALSE),"")</f>
        <v/>
      </c>
      <c r="DU15" s="82" t="str">
        <f>IFERROR(VLOOKUP([2]Pointage!DY9,Feuil1!$A:$B,2,FALSE),"")</f>
        <v/>
      </c>
      <c r="DV15" s="47" t="str">
        <f>IFERROR(VLOOKUP([2]Pointage!DZ9,Feuil1!$A:$B,2,FALSE),"")</f>
        <v/>
      </c>
      <c r="DW15" s="31" t="str">
        <f>IFERROR(VLOOKUP([2]Pointage!EA9,Feuil1!$A:$B,2,FALSE),"")</f>
        <v/>
      </c>
      <c r="DX15" s="31" t="str">
        <f>IFERROR(VLOOKUP([2]Pointage!EB9,Feuil1!$A:$B,2,FALSE),"")</f>
        <v/>
      </c>
      <c r="DY15" s="31" t="str">
        <f>IFERROR(VLOOKUP([2]Pointage!EC9,Feuil1!$A:$B,2,FALSE),"")</f>
        <v/>
      </c>
      <c r="DZ15" s="31" t="str">
        <f>IFERROR(VLOOKUP([2]Pointage!ED9,Feuil1!$A:$B,2,FALSE),"")</f>
        <v/>
      </c>
      <c r="EA15" s="31" t="str">
        <f>IFERROR(VLOOKUP([2]Pointage!EE9,Feuil1!$A:$B,2,FALSE),"")</f>
        <v/>
      </c>
      <c r="EB15" s="31" t="str">
        <f>IFERROR(VLOOKUP([2]Pointage!EF9,Feuil1!$A:$B,2,FALSE),"")</f>
        <v/>
      </c>
      <c r="EC15" s="31" t="str">
        <f>IFERROR(VLOOKUP([2]Pointage!EG9,Feuil1!$A:$B,2,FALSE),"")</f>
        <v/>
      </c>
      <c r="ED15" s="31" t="str">
        <f>IFERROR(VLOOKUP([2]Pointage!EH9,Feuil1!$A:$B,2,FALSE),"")</f>
        <v/>
      </c>
      <c r="EE15" s="31" t="str">
        <f>IFERROR(VLOOKUP([2]Pointage!EI9,Feuil1!$A:$B,2,FALSE),"")</f>
        <v/>
      </c>
      <c r="EF15" s="31" t="str">
        <f>IFERROR(VLOOKUP([2]Pointage!EJ9,Feuil1!$A:$B,2,FALSE),"")</f>
        <v/>
      </c>
      <c r="EG15" s="31" t="str">
        <f>IFERROR(VLOOKUP([2]Pointage!EK9,Feuil1!$A:$B,2,FALSE),"")</f>
        <v/>
      </c>
      <c r="EH15" s="31" t="str">
        <f>IFERROR(VLOOKUP([2]Pointage!EL9,Feuil1!$A:$B,2,FALSE),"")</f>
        <v/>
      </c>
      <c r="EI15" s="31" t="str">
        <f>IFERROR(VLOOKUP([2]Pointage!EM9,Feuil1!$A:$B,2,FALSE),"")</f>
        <v>C</v>
      </c>
      <c r="EJ15" s="31" t="str">
        <f>IFERROR(VLOOKUP([2]Pointage!EN9,Feuil1!$A:$B,2,FALSE),"")</f>
        <v/>
      </c>
      <c r="EK15" s="31" t="str">
        <f>IFERROR(VLOOKUP([2]Pointage!EO9,Feuil1!$A:$B,2,FALSE),"")</f>
        <v/>
      </c>
      <c r="EL15" s="31" t="str">
        <f>IFERROR(VLOOKUP([2]Pointage!EP9,Feuil1!$A:$B,2,FALSE),"")</f>
        <v/>
      </c>
      <c r="EM15" s="31" t="str">
        <f>IFERROR(VLOOKUP([2]Pointage!EQ9,Feuil1!$A:$B,2,FALSE),"")</f>
        <v/>
      </c>
      <c r="EN15" s="31" t="str">
        <f>IFERROR(VLOOKUP([2]Pointage!ER9,Feuil1!$A:$B,2,FALSE),"")</f>
        <v/>
      </c>
      <c r="EO15" s="31" t="str">
        <f>IFERROR(VLOOKUP([2]Pointage!ES9,Feuil1!$A:$B,2,FALSE),"")</f>
        <v/>
      </c>
      <c r="EP15" s="31" t="str">
        <f>IFERROR(VLOOKUP([2]Pointage!ET9,Feuil1!$A:$B,2,FALSE),"")</f>
        <v/>
      </c>
      <c r="EQ15" s="31" t="str">
        <f>IFERROR(VLOOKUP([2]Pointage!EU9,Feuil1!$A:$B,2,FALSE),"")</f>
        <v/>
      </c>
      <c r="ER15" s="31" t="str">
        <f>IFERROR(VLOOKUP([2]Pointage!EV9,Feuil1!$A:$B,2,FALSE),"")</f>
        <v/>
      </c>
      <c r="ES15" s="31" t="str">
        <f>IFERROR(VLOOKUP([2]Pointage!EW9,Feuil1!$A:$B,2,FALSE),"")</f>
        <v/>
      </c>
      <c r="ET15" s="31" t="str">
        <f>IFERROR(VLOOKUP([2]Pointage!EX9,Feuil1!$A:$B,2,FALSE),"")</f>
        <v/>
      </c>
      <c r="EU15" s="31" t="str">
        <f>IFERROR(VLOOKUP([2]Pointage!EY9,Feuil1!$A:$B,2,FALSE),"")</f>
        <v/>
      </c>
      <c r="EV15" s="31" t="str">
        <f>IFERROR(VLOOKUP([2]Pointage!EZ9,Feuil1!$A:$B,2,FALSE),"")</f>
        <v/>
      </c>
      <c r="EW15" s="31" t="str">
        <f>IFERROR(VLOOKUP([2]Pointage!FA9,Feuil1!$A:$B,2,FALSE),"")</f>
        <v/>
      </c>
      <c r="EX15" s="31" t="str">
        <f>IFERROR(VLOOKUP([2]Pointage!FB9,Feuil1!$A:$B,2,FALSE),"")</f>
        <v/>
      </c>
      <c r="EY15" s="31" t="str">
        <f>IFERROR(VLOOKUP([2]Pointage!FC9,Feuil1!$A:$B,2,FALSE),"")</f>
        <v/>
      </c>
      <c r="EZ15" s="82" t="str">
        <f>IFERROR(VLOOKUP([2]Pointage!FD9,Feuil1!$A:$B,2,FALSE),"")</f>
        <v/>
      </c>
      <c r="FA15" s="47" t="str">
        <f>IFERROR(VLOOKUP([2]Pointage!FE9,Feuil1!$A:$B,2,FALSE),"")</f>
        <v/>
      </c>
      <c r="FB15" s="31" t="str">
        <f>IFERROR(VLOOKUP([2]Pointage!FF9,Feuil1!$A:$B,2,FALSE),"")</f>
        <v/>
      </c>
      <c r="FC15" s="31" t="str">
        <f>IFERROR(VLOOKUP([2]Pointage!FG9,Feuil1!$A:$B,2,FALSE),"")</f>
        <v/>
      </c>
      <c r="FD15" s="31" t="str">
        <f>IFERROR(VLOOKUP([2]Pointage!FH9,Feuil1!$A:$B,2,FALSE),"")</f>
        <v/>
      </c>
      <c r="FE15" s="31" t="str">
        <f>IFERROR(VLOOKUP([2]Pointage!FI9,Feuil1!$A:$B,2,FALSE),"")</f>
        <v/>
      </c>
      <c r="FF15" s="31" t="str">
        <f>IFERROR(VLOOKUP([2]Pointage!FJ9,Feuil1!$A:$B,2,FALSE),"")</f>
        <v/>
      </c>
      <c r="FG15" s="31" t="str">
        <f>IFERROR(VLOOKUP([2]Pointage!FK9,Feuil1!$A:$B,2,FALSE),"")</f>
        <v/>
      </c>
      <c r="FH15" s="31" t="str">
        <f>IFERROR(VLOOKUP([2]Pointage!FL9,Feuil1!$A:$B,2,FALSE),"")</f>
        <v/>
      </c>
      <c r="FI15" s="31" t="str">
        <f>IFERROR(VLOOKUP([2]Pointage!FM9,Feuil1!$A:$B,2,FALSE),"")</f>
        <v/>
      </c>
      <c r="FJ15" s="31" t="str">
        <f>IFERROR(VLOOKUP([2]Pointage!FN9,Feuil1!$A:$B,2,FALSE),"")</f>
        <v/>
      </c>
      <c r="FK15" s="31" t="str">
        <f>IFERROR(VLOOKUP([2]Pointage!FO9,Feuil1!$A:$B,2,FALSE),"")</f>
        <v/>
      </c>
      <c r="FL15" s="31" t="str">
        <f>IFERROR(VLOOKUP([2]Pointage!FP9,Feuil1!$A:$B,2,FALSE),"")</f>
        <v/>
      </c>
      <c r="FM15" s="31" t="str">
        <f>IFERROR(VLOOKUP([2]Pointage!FQ9,Feuil1!$A:$B,2,FALSE),"")</f>
        <v/>
      </c>
      <c r="FN15" s="31" t="str">
        <f>IFERROR(VLOOKUP([2]Pointage!FR9,Feuil1!$A:$B,2,FALSE),"")</f>
        <v/>
      </c>
      <c r="FO15" s="31" t="str">
        <f>IFERROR(VLOOKUP([2]Pointage!FS9,Feuil1!$A:$B,2,FALSE),"")</f>
        <v/>
      </c>
      <c r="FP15" s="31" t="str">
        <f>IFERROR(VLOOKUP([2]Pointage!FT9,Feuil1!$A:$B,2,FALSE),"")</f>
        <v/>
      </c>
      <c r="FQ15" s="31" t="str">
        <f>IFERROR(VLOOKUP([2]Pointage!FU9,Feuil1!$A:$B,2,FALSE),"")</f>
        <v/>
      </c>
      <c r="FR15" s="31" t="str">
        <f>IFERROR(VLOOKUP([2]Pointage!FV9,Feuil1!$A:$B,2,FALSE),"")</f>
        <v/>
      </c>
      <c r="FS15" s="31" t="str">
        <f>IFERROR(VLOOKUP([2]Pointage!FW9,Feuil1!$A:$B,2,FALSE),"")</f>
        <v/>
      </c>
      <c r="FT15" s="31" t="str">
        <f>IFERROR(VLOOKUP([2]Pointage!FX9,Feuil1!$A:$B,2,FALSE),"")</f>
        <v/>
      </c>
      <c r="FU15" s="31" t="str">
        <f>IFERROR(VLOOKUP([2]Pointage!FY9,Feuil1!$A:$B,2,FALSE),"")</f>
        <v/>
      </c>
      <c r="FV15" s="31" t="str">
        <f>IFERROR(VLOOKUP([2]Pointage!FZ9,Feuil1!$A:$B,2,FALSE),"")</f>
        <v/>
      </c>
      <c r="FW15" s="31" t="str">
        <f>IFERROR(VLOOKUP([2]Pointage!GA9,Feuil1!$A:$B,2,FALSE),"")</f>
        <v/>
      </c>
      <c r="FX15" s="31" t="str">
        <f>IFERROR(VLOOKUP([2]Pointage!GB9,Feuil1!$A:$B,2,FALSE),"")</f>
        <v/>
      </c>
      <c r="FY15" s="31" t="str">
        <f>IFERROR(VLOOKUP([2]Pointage!GC9,Feuil1!$A:$B,2,FALSE),"")</f>
        <v/>
      </c>
      <c r="FZ15" s="31" t="str">
        <f>IFERROR(VLOOKUP([2]Pointage!GD9,Feuil1!$A:$B,2,FALSE),"")</f>
        <v/>
      </c>
      <c r="GA15" s="31" t="str">
        <f>IFERROR(VLOOKUP([2]Pointage!GE9,Feuil1!$A:$B,2,FALSE),"")</f>
        <v/>
      </c>
      <c r="GB15" s="31" t="str">
        <f>IFERROR(VLOOKUP([2]Pointage!GF9,Feuil1!$A:$B,2,FALSE),"")</f>
        <v/>
      </c>
      <c r="GC15" s="31" t="str">
        <f>IFERROR(VLOOKUP([2]Pointage!GG9,Feuil1!$A:$B,2,FALSE),"")</f>
        <v/>
      </c>
      <c r="GD15" s="82" t="str">
        <f>IFERROR(VLOOKUP([2]Pointage!GH9,Feuil1!$A:$B,2,FALSE),"")</f>
        <v/>
      </c>
      <c r="GE15" s="47" t="str">
        <f>IFERROR(VLOOKUP([2]Pointage!GI9,Feuil1!$A:$B,2,FALSE),"")</f>
        <v/>
      </c>
      <c r="GF15" s="31" t="str">
        <f>IFERROR(VLOOKUP([2]Pointage!GJ9,Feuil1!$A:$B,2,FALSE),"")</f>
        <v>C</v>
      </c>
      <c r="GG15" s="31" t="str">
        <f>IFERROR(VLOOKUP([2]Pointage!GK9,Feuil1!$A:$B,2,FALSE),"")</f>
        <v>C</v>
      </c>
      <c r="GH15" s="31" t="str">
        <f>IFERROR(VLOOKUP([2]Pointage!GL9,Feuil1!$A:$B,2,FALSE),"")</f>
        <v>C</v>
      </c>
      <c r="GI15" s="31" t="str">
        <f>IFERROR(VLOOKUP([2]Pointage!GM9,Feuil1!$A:$B,2,FALSE),"")</f>
        <v>C</v>
      </c>
      <c r="GJ15" s="31" t="str">
        <f>IFERROR(VLOOKUP([2]Pointage!GN9,Feuil1!$A:$B,2,FALSE),"")</f>
        <v>C</v>
      </c>
      <c r="GK15" s="31" t="str">
        <f>IFERROR(VLOOKUP([2]Pointage!GO9,Feuil1!$A:$B,2,FALSE),"")</f>
        <v/>
      </c>
      <c r="GL15" s="31" t="str">
        <f>IFERROR(VLOOKUP([2]Pointage!GP9,Feuil1!$A:$B,2,FALSE),"")</f>
        <v/>
      </c>
      <c r="GM15" s="31" t="str">
        <f>IFERROR(VLOOKUP([2]Pointage!GQ9,Feuil1!$A:$B,2,FALSE),"")</f>
        <v>C</v>
      </c>
      <c r="GN15" s="31" t="str">
        <f>IFERROR(VLOOKUP([2]Pointage!GR9,Feuil1!$A:$B,2,FALSE),"")</f>
        <v>C</v>
      </c>
      <c r="GO15" s="31" t="str">
        <f>IFERROR(VLOOKUP([2]Pointage!GS9,Feuil1!$A:$B,2,FALSE),"")</f>
        <v>C</v>
      </c>
      <c r="GP15" s="31" t="str">
        <f>IFERROR(VLOOKUP([2]Pointage!GT9,Feuil1!$A:$B,2,FALSE),"")</f>
        <v>C</v>
      </c>
      <c r="GQ15" s="31" t="str">
        <f>IFERROR(VLOOKUP([2]Pointage!GU9,Feuil1!$A:$B,2,FALSE),"")</f>
        <v>C</v>
      </c>
      <c r="GR15" s="31" t="str">
        <f>IFERROR(VLOOKUP([2]Pointage!GV9,Feuil1!$A:$B,2,FALSE),"")</f>
        <v/>
      </c>
      <c r="GS15" s="31" t="str">
        <f>IFERROR(VLOOKUP([2]Pointage!GW9,Feuil1!$A:$B,2,FALSE),"")</f>
        <v/>
      </c>
      <c r="GT15" s="31" t="str">
        <f>IFERROR(VLOOKUP([2]Pointage!GX9,Feuil1!$A:$B,2,FALSE),"")</f>
        <v/>
      </c>
      <c r="GU15" s="31" t="str">
        <f>IFERROR(VLOOKUP([2]Pointage!GY9,Feuil1!$A:$B,2,FALSE),"")</f>
        <v/>
      </c>
      <c r="GV15" s="31" t="str">
        <f>IFERROR(VLOOKUP([2]Pointage!GZ9,Feuil1!$A:$B,2,FALSE),"")</f>
        <v/>
      </c>
      <c r="GW15" s="31" t="str">
        <f>IFERROR(VLOOKUP([2]Pointage!HA9,Feuil1!$A:$B,2,FALSE),"")</f>
        <v/>
      </c>
      <c r="GX15" s="31" t="str">
        <f>IFERROR(VLOOKUP([2]Pointage!HB9,Feuil1!$A:$B,2,FALSE),"")</f>
        <v/>
      </c>
      <c r="GY15" s="31" t="str">
        <f>IFERROR(VLOOKUP([2]Pointage!HC9,Feuil1!$A:$B,2,FALSE),"")</f>
        <v/>
      </c>
      <c r="GZ15" s="31" t="str">
        <f>IFERROR(VLOOKUP([2]Pointage!HD9,Feuil1!$A:$B,2,FALSE),"")</f>
        <v/>
      </c>
      <c r="HA15" s="31" t="str">
        <f>IFERROR(VLOOKUP([2]Pointage!HE9,Feuil1!$A:$B,2,FALSE),"")</f>
        <v/>
      </c>
      <c r="HB15" s="31" t="str">
        <f>IFERROR(VLOOKUP([2]Pointage!HF9,Feuil1!$A:$B,2,FALSE),"")</f>
        <v/>
      </c>
      <c r="HC15" s="31" t="str">
        <f>IFERROR(VLOOKUP([2]Pointage!HG9,Feuil1!$A:$B,2,FALSE),"")</f>
        <v/>
      </c>
      <c r="HD15" s="31" t="str">
        <f>IFERROR(VLOOKUP([2]Pointage!HH9,Feuil1!$A:$B,2,FALSE),"")</f>
        <v/>
      </c>
      <c r="HE15" s="31" t="str">
        <f>IFERROR(VLOOKUP([2]Pointage!HI9,Feuil1!$A:$B,2,FALSE),"")</f>
        <v/>
      </c>
      <c r="HF15" s="31" t="str">
        <f>IFERROR(VLOOKUP([2]Pointage!HJ9,Feuil1!$A:$B,2,FALSE),"")</f>
        <v/>
      </c>
      <c r="HG15" s="31" t="str">
        <f>IFERROR(VLOOKUP([2]Pointage!HK9,Feuil1!$A:$B,2,FALSE),"")</f>
        <v/>
      </c>
      <c r="HH15" s="31" t="str">
        <f>IFERROR(VLOOKUP([2]Pointage!HL9,Feuil1!$A:$B,2,FALSE),"")</f>
        <v/>
      </c>
      <c r="HI15" s="82" t="str">
        <f>IFERROR(VLOOKUP([2]Pointage!HM9,Feuil1!$A:$B,2,FALSE),"")</f>
        <v/>
      </c>
      <c r="HJ15" s="47" t="str">
        <f>IFERROR(VLOOKUP([2]Pointage!HN9,Feuil1!$A:$B,2,FALSE),"")</f>
        <v/>
      </c>
      <c r="HK15" s="31" t="str">
        <f>IFERROR(VLOOKUP([2]Pointage!HO9,Feuil1!$A:$B,2,FALSE),"")</f>
        <v/>
      </c>
      <c r="HL15" s="31" t="str">
        <f>IFERROR(VLOOKUP([2]Pointage!HP9,Feuil1!$A:$B,2,FALSE),"")</f>
        <v/>
      </c>
      <c r="HM15" s="31" t="str">
        <f>IFERROR(VLOOKUP([2]Pointage!HQ9,Feuil1!$A:$B,2,FALSE),"")</f>
        <v/>
      </c>
      <c r="HN15" s="31" t="str">
        <f>IFERROR(VLOOKUP([2]Pointage!HR9,Feuil1!$A:$B,2,FALSE),"")</f>
        <v/>
      </c>
      <c r="HO15" s="31" t="str">
        <f>IFERROR(VLOOKUP([2]Pointage!HS9,Feuil1!$A:$B,2,FALSE),"")</f>
        <v/>
      </c>
      <c r="HP15" s="31" t="str">
        <f>IFERROR(VLOOKUP([2]Pointage!HT9,Feuil1!$A:$B,2,FALSE),"")</f>
        <v/>
      </c>
      <c r="HQ15" s="31" t="str">
        <f>IFERROR(VLOOKUP([2]Pointage!HU9,Feuil1!$A:$B,2,FALSE),"")</f>
        <v/>
      </c>
      <c r="HR15" s="31" t="str">
        <f>IFERROR(VLOOKUP([2]Pointage!HV9,Feuil1!$A:$B,2,FALSE),"")</f>
        <v/>
      </c>
      <c r="HS15" s="31" t="str">
        <f>IFERROR(VLOOKUP([2]Pointage!HW9,Feuil1!$A:$B,2,FALSE),"")</f>
        <v/>
      </c>
      <c r="HT15" s="31" t="str">
        <f>IFERROR(VLOOKUP([2]Pointage!HX9,Feuil1!$A:$B,2,FALSE),"")</f>
        <v/>
      </c>
      <c r="HU15" s="31" t="str">
        <f>IFERROR(VLOOKUP([2]Pointage!HY9,Feuil1!$A:$B,2,FALSE),"")</f>
        <v/>
      </c>
      <c r="HV15" s="31" t="str">
        <f>IFERROR(VLOOKUP([2]Pointage!HZ9,Feuil1!$A:$B,2,FALSE),"")</f>
        <v/>
      </c>
      <c r="HW15" s="31" t="str">
        <f>IFERROR(VLOOKUP([2]Pointage!IA9,Feuil1!$A:$B,2,FALSE),"")</f>
        <v/>
      </c>
      <c r="HX15" s="31" t="str">
        <f>IFERROR(VLOOKUP([2]Pointage!IB9,Feuil1!$A:$B,2,FALSE),"")</f>
        <v/>
      </c>
      <c r="HY15" s="31" t="str">
        <f>IFERROR(VLOOKUP([2]Pointage!IC9,Feuil1!$A:$B,2,FALSE),"")</f>
        <v/>
      </c>
      <c r="HZ15" s="31" t="str">
        <f>IFERROR(VLOOKUP([2]Pointage!ID9,Feuil1!$A:$B,2,FALSE),"")</f>
        <v/>
      </c>
      <c r="IA15" s="31" t="str">
        <f>IFERROR(VLOOKUP([2]Pointage!IE9,Feuil1!$A:$B,2,FALSE),"")</f>
        <v/>
      </c>
      <c r="IB15" s="31" t="str">
        <f>IFERROR(VLOOKUP([2]Pointage!IF9,Feuil1!$A:$B,2,FALSE),"")</f>
        <v/>
      </c>
      <c r="IC15" s="31" t="str">
        <f>IFERROR(VLOOKUP([2]Pointage!IG9,Feuil1!$A:$B,2,FALSE),"")</f>
        <v/>
      </c>
      <c r="ID15" s="31" t="str">
        <f>IFERROR(VLOOKUP([2]Pointage!IH9,Feuil1!$A:$B,2,FALSE),"")</f>
        <v/>
      </c>
      <c r="IE15" s="31" t="str">
        <f>IFERROR(VLOOKUP([2]Pointage!II9,Feuil1!$A:$B,2,FALSE),"")</f>
        <v/>
      </c>
      <c r="IF15" s="31" t="str">
        <f>IFERROR(VLOOKUP([2]Pointage!IJ9,Feuil1!$A:$B,2,FALSE),"")</f>
        <v/>
      </c>
      <c r="IG15" s="31" t="str">
        <f>IFERROR(VLOOKUP([2]Pointage!IK9,Feuil1!$A:$B,2,FALSE),"")</f>
        <v/>
      </c>
      <c r="IH15" s="31" t="str">
        <f>IFERROR(VLOOKUP([2]Pointage!IL9,Feuil1!$A:$B,2,FALSE),"")</f>
        <v/>
      </c>
      <c r="II15" s="31" t="str">
        <f>IFERROR(VLOOKUP([2]Pointage!IM9,Feuil1!$A:$B,2,FALSE),"")</f>
        <v/>
      </c>
      <c r="IJ15" s="31" t="str">
        <f>IFERROR(VLOOKUP([2]Pointage!IN9,Feuil1!$A:$B,2,FALSE),"")</f>
        <v/>
      </c>
      <c r="IK15" s="31" t="str">
        <f>IFERROR(VLOOKUP([2]Pointage!IO9,Feuil1!$A:$B,2,FALSE),"")</f>
        <v/>
      </c>
      <c r="IL15" s="31" t="str">
        <f>IFERROR(VLOOKUP([2]Pointage!IP9,Feuil1!$A:$B,2,FALSE),"")</f>
        <v/>
      </c>
      <c r="IM15" s="31" t="str">
        <f>IFERROR(VLOOKUP([2]Pointage!IQ9,Feuil1!$A:$B,2,FALSE),"")</f>
        <v/>
      </c>
      <c r="IN15" s="82" t="str">
        <f>IFERROR(VLOOKUP([2]Pointage!IR9,Feuil1!$A:$B,2,FALSE),"")</f>
        <v/>
      </c>
      <c r="IO15" s="47" t="str">
        <f>IFERROR(VLOOKUP([2]Pointage!IS9,Feuil1!$A:$B,2,FALSE),"")</f>
        <v/>
      </c>
      <c r="IP15" s="31" t="str">
        <f>IFERROR(VLOOKUP([2]Pointage!IT9,Feuil1!$A:$B,2,FALSE),"")</f>
        <v/>
      </c>
      <c r="IQ15" s="31" t="str">
        <f>IFERROR(VLOOKUP([2]Pointage!IU9,Feuil1!$A:$B,2,FALSE),"")</f>
        <v/>
      </c>
      <c r="IR15" s="31" t="str">
        <f>IFERROR(VLOOKUP([2]Pointage!IV9,Feuil1!$A:$B,2,FALSE),"")</f>
        <v/>
      </c>
      <c r="IS15" s="31" t="str">
        <f>IFERROR(VLOOKUP([2]Pointage!IW9,Feuil1!$A:$B,2,FALSE),"")</f>
        <v/>
      </c>
      <c r="IT15" s="31" t="str">
        <f>IFERROR(VLOOKUP([2]Pointage!IX9,Feuil1!$A:$B,2,FALSE),"")</f>
        <v/>
      </c>
      <c r="IU15" s="31" t="str">
        <f>IFERROR(VLOOKUP([2]Pointage!IY9,Feuil1!$A:$B,2,FALSE),"")</f>
        <v/>
      </c>
      <c r="IV15" s="31" t="str">
        <f>IFERROR(VLOOKUP([2]Pointage!IZ9,Feuil1!$A:$B,2,FALSE),"")</f>
        <v/>
      </c>
      <c r="IW15" s="31" t="str">
        <f>IFERROR(VLOOKUP([2]Pointage!JA9,Feuil1!$A:$B,2,FALSE),"")</f>
        <v/>
      </c>
      <c r="IX15" s="31" t="str">
        <f>IFERROR(VLOOKUP([2]Pointage!JB9,Feuil1!$A:$B,2,FALSE),"")</f>
        <v/>
      </c>
      <c r="IY15" s="31" t="str">
        <f>IFERROR(VLOOKUP([2]Pointage!JC9,Feuil1!$A:$B,2,FALSE),"")</f>
        <v/>
      </c>
      <c r="IZ15" s="31" t="str">
        <f>IFERROR(VLOOKUP([2]Pointage!JD9,Feuil1!$A:$B,2,FALSE),"")</f>
        <v/>
      </c>
      <c r="JA15" s="31" t="str">
        <f>IFERROR(VLOOKUP([2]Pointage!JE9,Feuil1!$A:$B,2,FALSE),"")</f>
        <v/>
      </c>
      <c r="JB15" s="31" t="str">
        <f>IFERROR(VLOOKUP([2]Pointage!JF9,Feuil1!$A:$B,2,FALSE),"")</f>
        <v/>
      </c>
      <c r="JC15" s="31" t="str">
        <f>IFERROR(VLOOKUP([2]Pointage!JG9,Feuil1!$A:$B,2,FALSE),"")</f>
        <v/>
      </c>
      <c r="JD15" s="31" t="str">
        <f>IFERROR(VLOOKUP([2]Pointage!JH9,Feuil1!$A:$B,2,FALSE),"")</f>
        <v/>
      </c>
      <c r="JE15" s="31" t="str">
        <f>IFERROR(VLOOKUP([2]Pointage!JI9,Feuil1!$A:$B,2,FALSE),"")</f>
        <v/>
      </c>
      <c r="JF15" s="31" t="str">
        <f>IFERROR(VLOOKUP([2]Pointage!JJ9,Feuil1!$A:$B,2,FALSE),"")</f>
        <v/>
      </c>
      <c r="JG15" s="31" t="str">
        <f>IFERROR(VLOOKUP([2]Pointage!JK9,Feuil1!$A:$B,2,FALSE),"")</f>
        <v/>
      </c>
      <c r="JH15" s="31" t="str">
        <f>IFERROR(VLOOKUP([2]Pointage!JL9,Feuil1!$A:$B,2,FALSE),"")</f>
        <v/>
      </c>
      <c r="JI15" s="31" t="str">
        <f>IFERROR(VLOOKUP([2]Pointage!JM9,Feuil1!$A:$B,2,FALSE),"")</f>
        <v/>
      </c>
      <c r="JJ15" s="31" t="str">
        <f>IFERROR(VLOOKUP([2]Pointage!JN9,Feuil1!$A:$B,2,FALSE),"")</f>
        <v/>
      </c>
      <c r="JK15" s="31" t="str">
        <f>IFERROR(VLOOKUP([2]Pointage!JO9,Feuil1!$A:$B,2,FALSE),"")</f>
        <v/>
      </c>
      <c r="JL15" s="31" t="str">
        <f>IFERROR(VLOOKUP([2]Pointage!JP9,Feuil1!$A:$B,2,FALSE),"")</f>
        <v/>
      </c>
      <c r="JM15" s="31" t="str">
        <f>IFERROR(VLOOKUP([2]Pointage!JQ9,Feuil1!$A:$B,2,FALSE),"")</f>
        <v/>
      </c>
      <c r="JN15" s="31" t="str">
        <f>IFERROR(VLOOKUP([2]Pointage!JR9,Feuil1!$A:$B,2,FALSE),"")</f>
        <v/>
      </c>
      <c r="JO15" s="31" t="str">
        <f>IFERROR(VLOOKUP([2]Pointage!JS9,Feuil1!$A:$B,2,FALSE),"")</f>
        <v/>
      </c>
      <c r="JP15" s="31" t="str">
        <f>IFERROR(VLOOKUP([2]Pointage!JT9,Feuil1!$A:$B,2,FALSE),"")</f>
        <v/>
      </c>
      <c r="JQ15" s="31" t="str">
        <f>IFERROR(VLOOKUP([2]Pointage!JU9,Feuil1!$A:$B,2,FALSE),"")</f>
        <v/>
      </c>
      <c r="JR15" s="82" t="str">
        <f>IFERROR(VLOOKUP([2]Pointage!JV9,Feuil1!$A:$B,2,FALSE),"")</f>
        <v/>
      </c>
      <c r="JS15" s="47" t="str">
        <f>IFERROR(VLOOKUP([2]Pointage!JW9,Feuil1!$A:$B,2,FALSE),"")</f>
        <v/>
      </c>
      <c r="JT15" s="31" t="str">
        <f>IFERROR(VLOOKUP([2]Pointage!JX9,Feuil1!$A:$B,2,FALSE),"")</f>
        <v/>
      </c>
      <c r="JU15" s="31" t="str">
        <f>IFERROR(VLOOKUP([2]Pointage!JY9,Feuil1!$A:$B,2,FALSE),"")</f>
        <v/>
      </c>
      <c r="JV15" s="31" t="str">
        <f>IFERROR(VLOOKUP([2]Pointage!JZ9,Feuil1!$A:$B,2,FALSE),"")</f>
        <v/>
      </c>
      <c r="JW15" s="31" t="str">
        <f>IFERROR(VLOOKUP([2]Pointage!KA9,Feuil1!$A:$B,2,FALSE),"")</f>
        <v/>
      </c>
      <c r="JX15" s="31" t="str">
        <f>IFERROR(VLOOKUP([2]Pointage!KB9,Feuil1!$A:$B,2,FALSE),"")</f>
        <v/>
      </c>
      <c r="JY15" s="31" t="str">
        <f>IFERROR(VLOOKUP([2]Pointage!KC9,Feuil1!$A:$B,2,FALSE),"")</f>
        <v/>
      </c>
      <c r="JZ15" s="31" t="str">
        <f>IFERROR(VLOOKUP([2]Pointage!KD9,Feuil1!$A:$B,2,FALSE),"")</f>
        <v/>
      </c>
      <c r="KA15" s="31" t="str">
        <f>IFERROR(VLOOKUP([2]Pointage!KE9,Feuil1!$A:$B,2,FALSE),"")</f>
        <v/>
      </c>
      <c r="KB15" s="31" t="str">
        <f>IFERROR(VLOOKUP([2]Pointage!KF9,Feuil1!$A:$B,2,FALSE),"")</f>
        <v/>
      </c>
      <c r="KC15" s="31" t="str">
        <f>IFERROR(VLOOKUP([2]Pointage!KG9,Feuil1!$A:$B,2,FALSE),"")</f>
        <v/>
      </c>
      <c r="KD15" s="31" t="str">
        <f>IFERROR(VLOOKUP([2]Pointage!KH9,Feuil1!$A:$B,2,FALSE),"")</f>
        <v/>
      </c>
      <c r="KE15" s="31" t="str">
        <f>IFERROR(VLOOKUP([2]Pointage!KI9,Feuil1!$A:$B,2,FALSE),"")</f>
        <v/>
      </c>
      <c r="KF15" s="31" t="str">
        <f>IFERROR(VLOOKUP([2]Pointage!KJ9,Feuil1!$A:$B,2,FALSE),"")</f>
        <v/>
      </c>
      <c r="KG15" s="31" t="str">
        <f>IFERROR(VLOOKUP([2]Pointage!KK9,Feuil1!$A:$B,2,FALSE),"")</f>
        <v/>
      </c>
      <c r="KH15" s="31" t="str">
        <f>IFERROR(VLOOKUP([2]Pointage!KL9,Feuil1!$A:$B,2,FALSE),"")</f>
        <v/>
      </c>
      <c r="KI15" s="31" t="str">
        <f>IFERROR(VLOOKUP([2]Pointage!KM9,Feuil1!$A:$B,2,FALSE),"")</f>
        <v/>
      </c>
      <c r="KJ15" s="31" t="str">
        <f>IFERROR(VLOOKUP([2]Pointage!KN9,Feuil1!$A:$B,2,FALSE),"")</f>
        <v/>
      </c>
      <c r="KK15" s="31" t="str">
        <f>IFERROR(VLOOKUP([2]Pointage!KO9,Feuil1!$A:$B,2,FALSE),"")</f>
        <v/>
      </c>
      <c r="KL15" s="31" t="str">
        <f>IFERROR(VLOOKUP([2]Pointage!KP9,Feuil1!$A:$B,2,FALSE),"")</f>
        <v/>
      </c>
      <c r="KM15" s="31" t="str">
        <f>IFERROR(VLOOKUP([2]Pointage!KQ9,Feuil1!$A:$B,2,FALSE),"")</f>
        <v/>
      </c>
      <c r="KN15" s="31" t="str">
        <f>IFERROR(VLOOKUP([2]Pointage!KR9,Feuil1!$A:$B,2,FALSE),"")</f>
        <v/>
      </c>
      <c r="KO15" s="31" t="str">
        <f>IFERROR(VLOOKUP([2]Pointage!KS9,Feuil1!$A:$B,2,FALSE),"")</f>
        <v/>
      </c>
      <c r="KP15" s="31" t="str">
        <f>IFERROR(VLOOKUP([2]Pointage!KT9,Feuil1!$A:$B,2,FALSE),"")</f>
        <v/>
      </c>
      <c r="KQ15" s="31" t="str">
        <f>IFERROR(VLOOKUP([2]Pointage!KU9,Feuil1!$A:$B,2,FALSE),"")</f>
        <v/>
      </c>
      <c r="KR15" s="31" t="str">
        <f>IFERROR(VLOOKUP([2]Pointage!KV9,Feuil1!$A:$B,2,FALSE),"")</f>
        <v/>
      </c>
      <c r="KS15" s="31" t="str">
        <f>IFERROR(VLOOKUP([2]Pointage!KW9,Feuil1!$A:$B,2,FALSE),"")</f>
        <v/>
      </c>
      <c r="KT15" s="31" t="str">
        <f>IFERROR(VLOOKUP([2]Pointage!KX9,Feuil1!$A:$B,2,FALSE),"")</f>
        <v/>
      </c>
      <c r="KU15" s="31" t="str">
        <f>IFERROR(VLOOKUP([2]Pointage!KY9,Feuil1!$A:$B,2,FALSE),"")</f>
        <v/>
      </c>
      <c r="KV15" s="31" t="str">
        <f>IFERROR(VLOOKUP([2]Pointage!KZ9,Feuil1!$A:$B,2,FALSE),"")</f>
        <v/>
      </c>
      <c r="KW15" s="82" t="str">
        <f>IFERROR(VLOOKUP([2]Pointage!LA9,Feuil1!$A:$B,2,FALSE),"")</f>
        <v/>
      </c>
      <c r="KX15" s="47" t="str">
        <f>IFERROR(VLOOKUP([2]Pointage!LB9,Feuil1!$A:$B,2,FALSE),"")</f>
        <v/>
      </c>
      <c r="KY15" s="31" t="str">
        <f>IFERROR(VLOOKUP([2]Pointage!LC9,Feuil1!$A:$B,2,FALSE),"")</f>
        <v/>
      </c>
      <c r="KZ15" s="31" t="str">
        <f>IFERROR(VLOOKUP([2]Pointage!LD9,Feuil1!$A:$B,2,FALSE),"")</f>
        <v/>
      </c>
      <c r="LA15" s="31" t="str">
        <f>IFERROR(VLOOKUP([2]Pointage!LE9,Feuil1!$A:$B,2,FALSE),"")</f>
        <v/>
      </c>
      <c r="LB15" s="31" t="str">
        <f>IFERROR(VLOOKUP([2]Pointage!LF9,Feuil1!$A:$B,2,FALSE),"")</f>
        <v/>
      </c>
      <c r="LC15" s="31" t="str">
        <f>IFERROR(VLOOKUP([2]Pointage!LG9,Feuil1!$A:$B,2,FALSE),"")</f>
        <v/>
      </c>
      <c r="LD15" s="31" t="str">
        <f>IFERROR(VLOOKUP([2]Pointage!LH9,Feuil1!$A:$B,2,FALSE),"")</f>
        <v/>
      </c>
      <c r="LE15" s="31" t="str">
        <f>IFERROR(VLOOKUP([2]Pointage!LI9,Feuil1!$A:$B,2,FALSE),"")</f>
        <v/>
      </c>
      <c r="LF15" s="31" t="str">
        <f>IFERROR(VLOOKUP([2]Pointage!LJ9,Feuil1!$A:$B,2,FALSE),"")</f>
        <v/>
      </c>
      <c r="LG15" s="31" t="str">
        <f>IFERROR(VLOOKUP([2]Pointage!LK9,Feuil1!$A:$B,2,FALSE),"")</f>
        <v/>
      </c>
      <c r="LH15" s="31" t="str">
        <f>IFERROR(VLOOKUP([2]Pointage!LL9,Feuil1!$A:$B,2,FALSE),"")</f>
        <v/>
      </c>
      <c r="LI15" s="31" t="str">
        <f>IFERROR(VLOOKUP([2]Pointage!LM9,Feuil1!$A:$B,2,FALSE),"")</f>
        <v/>
      </c>
      <c r="LJ15" s="31" t="str">
        <f>IFERROR(VLOOKUP([2]Pointage!LN9,Feuil1!$A:$B,2,FALSE),"")</f>
        <v/>
      </c>
      <c r="LK15" s="31" t="str">
        <f>IFERROR(VLOOKUP([2]Pointage!LO9,Feuil1!$A:$B,2,FALSE),"")</f>
        <v/>
      </c>
      <c r="LL15" s="31" t="str">
        <f>IFERROR(VLOOKUP([2]Pointage!LP9,Feuil1!$A:$B,2,FALSE),"")</f>
        <v/>
      </c>
      <c r="LM15" s="31" t="str">
        <f>IFERROR(VLOOKUP([2]Pointage!LQ9,Feuil1!$A:$B,2,FALSE),"")</f>
        <v/>
      </c>
      <c r="LN15" s="31" t="str">
        <f>IFERROR(VLOOKUP([2]Pointage!LR9,Feuil1!$A:$B,2,FALSE),"")</f>
        <v/>
      </c>
      <c r="LO15" s="31" t="str">
        <f>IFERROR(VLOOKUP([2]Pointage!LS9,Feuil1!$A:$B,2,FALSE),"")</f>
        <v/>
      </c>
      <c r="LP15" s="31" t="str">
        <f>IFERROR(VLOOKUP([2]Pointage!LT9,Feuil1!$A:$B,2,FALSE),"")</f>
        <v/>
      </c>
      <c r="LQ15" s="31" t="str">
        <f>IFERROR(VLOOKUP([2]Pointage!LU9,Feuil1!$A:$B,2,FALSE),"")</f>
        <v/>
      </c>
      <c r="LR15" s="31" t="str">
        <f>IFERROR(VLOOKUP([2]Pointage!LV9,Feuil1!$A:$B,2,FALSE),"")</f>
        <v/>
      </c>
      <c r="LS15" s="31" t="str">
        <f>IFERROR(VLOOKUP([2]Pointage!LW9,Feuil1!$A:$B,2,FALSE),"")</f>
        <v/>
      </c>
      <c r="LT15" s="31" t="str">
        <f>IFERROR(VLOOKUP([2]Pointage!LX9,Feuil1!$A:$B,2,FALSE),"")</f>
        <v/>
      </c>
      <c r="LU15" s="31" t="str">
        <f>IFERROR(VLOOKUP([2]Pointage!LY9,Feuil1!$A:$B,2,FALSE),"")</f>
        <v/>
      </c>
      <c r="LV15" s="31" t="str">
        <f>IFERROR(VLOOKUP([2]Pointage!LZ9,Feuil1!$A:$B,2,FALSE),"")</f>
        <v/>
      </c>
      <c r="LW15" s="31" t="str">
        <f>IFERROR(VLOOKUP([2]Pointage!MA9,Feuil1!$A:$B,2,FALSE),"")</f>
        <v/>
      </c>
      <c r="LX15" s="31" t="str">
        <f>IFERROR(VLOOKUP([2]Pointage!MB9,Feuil1!$A:$B,2,FALSE),"")</f>
        <v/>
      </c>
      <c r="LY15" s="31" t="str">
        <f>IFERROR(VLOOKUP([2]Pointage!MC9,Feuil1!$A:$B,2,FALSE),"")</f>
        <v/>
      </c>
      <c r="LZ15" s="31" t="str">
        <f>IFERROR(VLOOKUP([2]Pointage!MD9,Feuil1!$A:$B,2,FALSE),"")</f>
        <v/>
      </c>
      <c r="MA15" s="82" t="str">
        <f>IFERROR(VLOOKUP([2]Pointage!ME9,Feuil1!$A:$B,2,FALSE),"")</f>
        <v/>
      </c>
      <c r="MB15" s="47" t="str">
        <f>IFERROR(VLOOKUP([2]Pointage!MF9,Feuil1!$A:$B,2,FALSE),"")</f>
        <v/>
      </c>
      <c r="MC15" s="31" t="str">
        <f>IFERROR(VLOOKUP([2]Pointage!MG9,Feuil1!$A:$B,2,FALSE),"")</f>
        <v/>
      </c>
      <c r="MD15" s="31" t="str">
        <f>IFERROR(VLOOKUP([2]Pointage!MH9,Feuil1!$A:$B,2,FALSE),"")</f>
        <v/>
      </c>
      <c r="ME15" s="31" t="str">
        <f>IFERROR(VLOOKUP([2]Pointage!MI9,Feuil1!$A:$B,2,FALSE),"")</f>
        <v/>
      </c>
      <c r="MF15" s="31" t="str">
        <f>IFERROR(VLOOKUP([2]Pointage!MJ9,Feuil1!$A:$B,2,FALSE),"")</f>
        <v/>
      </c>
      <c r="MG15" s="31" t="str">
        <f>IFERROR(VLOOKUP([2]Pointage!MK9,Feuil1!$A:$B,2,FALSE),"")</f>
        <v/>
      </c>
      <c r="MH15" s="31" t="str">
        <f>IFERROR(VLOOKUP([2]Pointage!ML9,Feuil1!$A:$B,2,FALSE),"")</f>
        <v/>
      </c>
      <c r="MI15" s="31" t="str">
        <f>IFERROR(VLOOKUP([2]Pointage!MM9,Feuil1!$A:$B,2,FALSE),"")</f>
        <v/>
      </c>
      <c r="MJ15" s="31" t="str">
        <f>IFERROR(VLOOKUP([2]Pointage!MN9,Feuil1!$A:$B,2,FALSE),"")</f>
        <v/>
      </c>
      <c r="MK15" s="31" t="str">
        <f>IFERROR(VLOOKUP([2]Pointage!MO9,Feuil1!$A:$B,2,FALSE),"")</f>
        <v/>
      </c>
      <c r="ML15" s="31" t="str">
        <f>IFERROR(VLOOKUP([2]Pointage!MP9,Feuil1!$A:$B,2,FALSE),"")</f>
        <v/>
      </c>
      <c r="MM15" s="31" t="str">
        <f>IFERROR(VLOOKUP([2]Pointage!MQ9,Feuil1!$A:$B,2,FALSE),"")</f>
        <v/>
      </c>
      <c r="MN15" s="31" t="str">
        <f>IFERROR(VLOOKUP([2]Pointage!MR9,Feuil1!$A:$B,2,FALSE),"")</f>
        <v/>
      </c>
      <c r="MO15" s="31" t="str">
        <f>IFERROR(VLOOKUP([2]Pointage!MS9,Feuil1!$A:$B,2,FALSE),"")</f>
        <v/>
      </c>
      <c r="MP15" s="31" t="str">
        <f>IFERROR(VLOOKUP([2]Pointage!MT9,Feuil1!$A:$B,2,FALSE),"")</f>
        <v/>
      </c>
      <c r="MQ15" s="31" t="str">
        <f>IFERROR(VLOOKUP([2]Pointage!MU9,Feuil1!$A:$B,2,FALSE),"")</f>
        <v/>
      </c>
      <c r="MR15" s="31" t="str">
        <f>IFERROR(VLOOKUP([2]Pointage!MV9,Feuil1!$A:$B,2,FALSE),"")</f>
        <v/>
      </c>
      <c r="MS15" s="31" t="str">
        <f>IFERROR(VLOOKUP([2]Pointage!MW9,Feuil1!$A:$B,2,FALSE),"")</f>
        <v/>
      </c>
      <c r="MT15" s="31" t="str">
        <f>IFERROR(VLOOKUP([2]Pointage!MX9,Feuil1!$A:$B,2,FALSE),"")</f>
        <v/>
      </c>
      <c r="MU15" s="31" t="str">
        <f>IFERROR(VLOOKUP([2]Pointage!MY9,Feuil1!$A:$B,2,FALSE),"")</f>
        <v/>
      </c>
      <c r="MV15" s="31" t="str">
        <f>IFERROR(VLOOKUP([2]Pointage!MZ9,Feuil1!$A:$B,2,FALSE),"")</f>
        <v/>
      </c>
      <c r="MW15" s="31" t="str">
        <f>IFERROR(VLOOKUP([2]Pointage!NA9,Feuil1!$A:$B,2,FALSE),"")</f>
        <v/>
      </c>
      <c r="MX15" s="31" t="str">
        <f>IFERROR(VLOOKUP([2]Pointage!NB9,Feuil1!$A:$B,2,FALSE),"")</f>
        <v/>
      </c>
      <c r="MY15" s="31" t="str">
        <f>IFERROR(VLOOKUP([2]Pointage!NC9,Feuil1!$A:$B,2,FALSE),"")</f>
        <v/>
      </c>
      <c r="MZ15" s="31" t="str">
        <f>IFERROR(VLOOKUP([2]Pointage!ND9,Feuil1!$A:$B,2,FALSE),"")</f>
        <v/>
      </c>
      <c r="NA15" s="31" t="str">
        <f>IFERROR(VLOOKUP([2]Pointage!NE9,Feuil1!$A:$B,2,FALSE),"")</f>
        <v/>
      </c>
      <c r="NB15" s="31" t="str">
        <f>IFERROR(VLOOKUP([2]Pointage!NF9,Feuil1!$A:$B,2,FALSE),"")</f>
        <v/>
      </c>
      <c r="NC15" s="31" t="str">
        <f>IFERROR(VLOOKUP([2]Pointage!NG9,Feuil1!$A:$B,2,FALSE),"")</f>
        <v/>
      </c>
      <c r="ND15" s="31" t="str">
        <f>IFERROR(VLOOKUP([2]Pointage!NH9,Feuil1!$A:$B,2,FALSE),"")</f>
        <v/>
      </c>
      <c r="NE15" s="31" t="str">
        <f>IFERROR(VLOOKUP([2]Pointage!NI9,Feuil1!$A:$B,2,FALSE),"")</f>
        <v/>
      </c>
      <c r="NF15" s="48" t="str">
        <f>IFERROR(VLOOKUP([2]Pointage!NJ9,Feuil1!$A:$B,2,FALSE),"")</f>
        <v/>
      </c>
      <c r="NG15" s="52">
        <f>COUNTIF(Global!F15:NF15,"RTT")+(COUNTIF(Global!F15:NF15,"dRTT")/2)</f>
        <v>0</v>
      </c>
      <c r="NH15" s="42">
        <f>COUNTIF(Global!F15:NF15,"C")+(COUNTIF(Global!F15:NF15,"DC")/2)</f>
        <v>20</v>
      </c>
      <c r="NI15" s="42">
        <f>COUNTIF(Global!F15:NF15,"M")</f>
        <v>0</v>
      </c>
      <c r="NJ15" s="42">
        <f>COUNTIF(Global!G15:NG15,"AT")</f>
        <v>0</v>
      </c>
      <c r="NK15" s="42">
        <f>COUNTIF(Global!F15:NF15,"RD")</f>
        <v>0</v>
      </c>
      <c r="NL15" s="42">
        <f>COUNTIF(Global!F15:NF15,"RC")+(COUNTIF(Global!F15:NF15,"dRC")/2)</f>
        <v>0</v>
      </c>
      <c r="NM15" s="68">
        <f t="shared" ca="1" si="0"/>
        <v>4.0273972602739727</v>
      </c>
      <c r="NP15">
        <f>31-14</f>
        <v>17</v>
      </c>
      <c r="NT15" s="33"/>
      <c r="NU15" s="33"/>
      <c r="NV15" s="28"/>
      <c r="NW15" s="28"/>
      <c r="NX15" s="29">
        <f>COUNTIF(F15:NF15,"C")++(COUNTIF(Global!F15:NF15,"DC")/2)</f>
        <v>20</v>
      </c>
      <c r="NY15" s="29"/>
      <c r="NZ15" s="29"/>
      <c r="OA15" s="29"/>
      <c r="OB15" s="29">
        <f>COUNTIF(Global!F15:NF15,"M")</f>
        <v>0</v>
      </c>
      <c r="OC15" s="30">
        <f t="shared" si="1"/>
        <v>-20</v>
      </c>
      <c r="OD15" s="30"/>
    </row>
    <row r="16" spans="1:394" ht="30" customHeight="1" x14ac:dyDescent="0.2">
      <c r="A16" s="15" t="s">
        <v>72</v>
      </c>
      <c r="B16" s="22" t="s">
        <v>153</v>
      </c>
      <c r="C16" s="22" t="s">
        <v>154</v>
      </c>
      <c r="D16" s="22" t="s">
        <v>155</v>
      </c>
      <c r="E16" s="44">
        <v>0</v>
      </c>
      <c r="F16" s="47" t="str">
        <f>IFERROR(VLOOKUP([2]Pointage!J10,Feuil1!$A:$B,2,FALSE),"")</f>
        <v/>
      </c>
      <c r="G16" s="31" t="str">
        <f>IFERROR(VLOOKUP([2]Pointage!K10,Feuil1!$A:$B,2,FALSE),"")</f>
        <v/>
      </c>
      <c r="H16" s="31" t="str">
        <f>IFERROR(VLOOKUP([2]Pointage!L10,Feuil1!$A:$B,2,FALSE),"")</f>
        <v/>
      </c>
      <c r="I16" s="31" t="str">
        <f>IFERROR(VLOOKUP([2]Pointage!M10,Feuil1!$A:$B,2,FALSE),"")</f>
        <v/>
      </c>
      <c r="J16" s="31" t="str">
        <f>IFERROR(VLOOKUP([2]Pointage!N10,Feuil1!$A:$B,2,FALSE),"")</f>
        <v/>
      </c>
      <c r="K16" s="31" t="str">
        <f>IFERROR(VLOOKUP([2]Pointage!O10,Feuil1!$A:$B,2,FALSE),"")</f>
        <v/>
      </c>
      <c r="L16" s="31" t="str">
        <f>IFERROR(VLOOKUP([2]Pointage!P10,Feuil1!$A:$B,2,FALSE),"")</f>
        <v/>
      </c>
      <c r="M16" s="31" t="str">
        <f>IFERROR(VLOOKUP([2]Pointage!Q10,Feuil1!$A:$B,2,FALSE),"")</f>
        <v/>
      </c>
      <c r="N16" s="31" t="str">
        <f>IFERROR(VLOOKUP([2]Pointage!R10,Feuil1!$A:$B,2,FALSE),"")</f>
        <v/>
      </c>
      <c r="O16" s="31" t="str">
        <f>IFERROR(VLOOKUP([2]Pointage!S10,Feuil1!$A:$B,2,FALSE),"")</f>
        <v/>
      </c>
      <c r="P16" s="31" t="str">
        <f>IFERROR(VLOOKUP([2]Pointage!T10,Feuil1!$A:$B,2,FALSE),"")</f>
        <v/>
      </c>
      <c r="Q16" s="31" t="str">
        <f>IFERROR(VLOOKUP([2]Pointage!U10,Feuil1!$A:$B,2,FALSE),"")</f>
        <v/>
      </c>
      <c r="R16" s="31" t="str">
        <f>IFERROR(VLOOKUP([2]Pointage!V10,Feuil1!$A:$B,2,FALSE),"")</f>
        <v/>
      </c>
      <c r="S16" s="31" t="str">
        <f>IFERROR(VLOOKUP([2]Pointage!W10,Feuil1!$A:$B,2,FALSE),"")</f>
        <v/>
      </c>
      <c r="T16" s="31" t="str">
        <f>IFERROR(VLOOKUP([2]Pointage!X10,Feuil1!$A:$B,2,FALSE),"")</f>
        <v/>
      </c>
      <c r="U16" s="31" t="str">
        <f>IFERROR(VLOOKUP([2]Pointage!Y10,Feuil1!$A:$B,2,FALSE),"")</f>
        <v/>
      </c>
      <c r="V16" s="31" t="str">
        <f>IFERROR(VLOOKUP([2]Pointage!Z10,Feuil1!$A:$B,2,FALSE),"")</f>
        <v/>
      </c>
      <c r="W16" s="31" t="str">
        <f>IFERROR(VLOOKUP([2]Pointage!AA10,Feuil1!$A:$B,2,FALSE),"")</f>
        <v/>
      </c>
      <c r="X16" s="31" t="str">
        <f>IFERROR(VLOOKUP([2]Pointage!AB10,Feuil1!$A:$B,2,FALSE),"")</f>
        <v/>
      </c>
      <c r="Y16" s="31" t="str">
        <f>IFERROR(VLOOKUP([2]Pointage!AC10,Feuil1!$A:$B,2,FALSE),"")</f>
        <v/>
      </c>
      <c r="Z16" s="31" t="str">
        <f>IFERROR(VLOOKUP([2]Pointage!AD10,Feuil1!$A:$B,2,FALSE),"")</f>
        <v/>
      </c>
      <c r="AA16" s="31" t="str">
        <f>IFERROR(VLOOKUP([2]Pointage!AE10,Feuil1!$A:$B,2,FALSE),"")</f>
        <v/>
      </c>
      <c r="AB16" s="31" t="str">
        <f>IFERROR(VLOOKUP([2]Pointage!AF10,Feuil1!$A:$B,2,FALSE),"")</f>
        <v/>
      </c>
      <c r="AC16" s="31" t="str">
        <f>IFERROR(VLOOKUP([2]Pointage!AG10,Feuil1!$A:$B,2,FALSE),"")</f>
        <v/>
      </c>
      <c r="AD16" s="31" t="str">
        <f>IFERROR(VLOOKUP([2]Pointage!AH10,Feuil1!$A:$B,2,FALSE),"")</f>
        <v/>
      </c>
      <c r="AE16" s="31" t="str">
        <f>IFERROR(VLOOKUP([2]Pointage!AI10,Feuil1!$A:$B,2,FALSE),"")</f>
        <v/>
      </c>
      <c r="AF16" s="31" t="str">
        <f>IFERROR(VLOOKUP([2]Pointage!AJ10,Feuil1!$A:$B,2,FALSE),"")</f>
        <v/>
      </c>
      <c r="AG16" s="31" t="str">
        <f>IFERROR(VLOOKUP([2]Pointage!AK10,Feuil1!$A:$B,2,FALSE),"")</f>
        <v/>
      </c>
      <c r="AH16" s="31" t="str">
        <f>IFERROR(VLOOKUP([2]Pointage!AL10,Feuil1!$A:$B,2,FALSE),"")</f>
        <v/>
      </c>
      <c r="AI16" s="31" t="str">
        <f>IFERROR(VLOOKUP([2]Pointage!AM10,Feuil1!$A:$B,2,FALSE),"")</f>
        <v/>
      </c>
      <c r="AJ16" s="82" t="str">
        <f>IFERROR(VLOOKUP([2]Pointage!AN10,Feuil1!$A:$B,2,FALSE),"")</f>
        <v/>
      </c>
      <c r="AK16" s="47" t="str">
        <f>IFERROR(VLOOKUP([2]Pointage!AO10,Feuil1!$A:$B,2,FALSE),"")</f>
        <v/>
      </c>
      <c r="AL16" s="31" t="str">
        <f>IFERROR(VLOOKUP([2]Pointage!AP10,Feuil1!$A:$B,2,FALSE),"")</f>
        <v/>
      </c>
      <c r="AM16" s="31" t="str">
        <f>IFERROR(VLOOKUP([2]Pointage!AQ10,Feuil1!$A:$B,2,FALSE),"")</f>
        <v/>
      </c>
      <c r="AN16" s="31" t="str">
        <f>IFERROR(VLOOKUP([2]Pointage!AR10,Feuil1!$A:$B,2,FALSE),"")</f>
        <v/>
      </c>
      <c r="AO16" s="31" t="str">
        <f>IFERROR(VLOOKUP([2]Pointage!AS10,Feuil1!$A:$B,2,FALSE),"")</f>
        <v/>
      </c>
      <c r="AP16" s="31" t="str">
        <f>IFERROR(VLOOKUP([2]Pointage!AT10,Feuil1!$A:$B,2,FALSE),"")</f>
        <v/>
      </c>
      <c r="AQ16" s="31" t="str">
        <f>IFERROR(VLOOKUP([2]Pointage!AU10,Feuil1!$A:$B,2,FALSE),"")</f>
        <v/>
      </c>
      <c r="AR16" s="31" t="str">
        <f>IFERROR(VLOOKUP([2]Pointage!AV10,Feuil1!$A:$B,2,FALSE),"")</f>
        <v/>
      </c>
      <c r="AS16" s="31" t="str">
        <f>IFERROR(VLOOKUP([2]Pointage!AW10,Feuil1!$A:$B,2,FALSE),"")</f>
        <v/>
      </c>
      <c r="AT16" s="31" t="str">
        <f>IFERROR(VLOOKUP([2]Pointage!AX10,Feuil1!$A:$B,2,FALSE),"")</f>
        <v/>
      </c>
      <c r="AU16" s="31" t="str">
        <f>IFERROR(VLOOKUP([2]Pointage!AY10,Feuil1!$A:$B,2,FALSE),"")</f>
        <v/>
      </c>
      <c r="AV16" s="31" t="str">
        <f>IFERROR(VLOOKUP([2]Pointage!AZ10,Feuil1!$A:$B,2,FALSE),"")</f>
        <v/>
      </c>
      <c r="AW16" s="31" t="str">
        <f>IFERROR(VLOOKUP([2]Pointage!BA10,Feuil1!$A:$B,2,FALSE),"")</f>
        <v/>
      </c>
      <c r="AX16" s="31" t="str">
        <f>IFERROR(VLOOKUP([2]Pointage!BB10,Feuil1!$A:$B,2,FALSE),"")</f>
        <v/>
      </c>
      <c r="AY16" s="31" t="str">
        <f>IFERROR(VLOOKUP([2]Pointage!BC10,Feuil1!$A:$B,2,FALSE),"")</f>
        <v/>
      </c>
      <c r="AZ16" s="31" t="str">
        <f>IFERROR(VLOOKUP([2]Pointage!BD10,Feuil1!$A:$B,2,FALSE),"")</f>
        <v/>
      </c>
      <c r="BA16" s="31" t="str">
        <f>IFERROR(VLOOKUP([2]Pointage!BE10,Feuil1!$A:$B,2,FALSE),"")</f>
        <v/>
      </c>
      <c r="BB16" s="31" t="str">
        <f>IFERROR(VLOOKUP([2]Pointage!BF10,Feuil1!$A:$B,2,FALSE),"")</f>
        <v/>
      </c>
      <c r="BC16" s="31" t="str">
        <f>IFERROR(VLOOKUP([2]Pointage!BG10,Feuil1!$A:$B,2,FALSE),"")</f>
        <v>RTT</v>
      </c>
      <c r="BD16" s="31" t="str">
        <f>IFERROR(VLOOKUP([2]Pointage!BH10,Feuil1!$A:$B,2,FALSE),"")</f>
        <v>RTT</v>
      </c>
      <c r="BE16" s="31" t="str">
        <f>IFERROR(VLOOKUP([2]Pointage!BI10,Feuil1!$A:$B,2,FALSE),"")</f>
        <v>RTT</v>
      </c>
      <c r="BF16" s="31" t="str">
        <f>IFERROR(VLOOKUP([2]Pointage!BJ10,Feuil1!$A:$B,2,FALSE),"")</f>
        <v>C</v>
      </c>
      <c r="BG16" s="31" t="str">
        <f>IFERROR(VLOOKUP([2]Pointage!BK10,Feuil1!$A:$B,2,FALSE),"")</f>
        <v>C</v>
      </c>
      <c r="BH16" s="31" t="str">
        <f>IFERROR(VLOOKUP([2]Pointage!BL10,Feuil1!$A:$B,2,FALSE),"")</f>
        <v/>
      </c>
      <c r="BI16" s="31" t="str">
        <f>IFERROR(VLOOKUP([2]Pointage!BM10,Feuil1!$A:$B,2,FALSE),"")</f>
        <v/>
      </c>
      <c r="BJ16" s="31" t="str">
        <f>IFERROR(VLOOKUP([2]Pointage!BN10,Feuil1!$A:$B,2,FALSE),"")</f>
        <v/>
      </c>
      <c r="BK16" s="31" t="str">
        <f>IFERROR(VLOOKUP([2]Pointage!BO10,Feuil1!$A:$B,2,FALSE),"")</f>
        <v/>
      </c>
      <c r="BL16" s="82" t="str">
        <f>IFERROR(VLOOKUP([2]Pointage!BP10,Feuil1!$A:$B,2,FALSE),"")</f>
        <v/>
      </c>
      <c r="BM16" s="47" t="str">
        <f>IFERROR(VLOOKUP([2]Pointage!BQ10,Feuil1!$A:$B,2,FALSE),"")</f>
        <v/>
      </c>
      <c r="BN16" s="31" t="str">
        <f>IFERROR(VLOOKUP([2]Pointage!BR10,Feuil1!$A:$B,2,FALSE),"")</f>
        <v/>
      </c>
      <c r="BO16" s="31" t="str">
        <f>IFERROR(VLOOKUP([2]Pointage!BS10,Feuil1!$A:$B,2,FALSE),"")</f>
        <v/>
      </c>
      <c r="BP16" s="31" t="str">
        <f>IFERROR(VLOOKUP([2]Pointage!BT10,Feuil1!$A:$B,2,FALSE),"")</f>
        <v/>
      </c>
      <c r="BQ16" s="31" t="str">
        <f>IFERROR(VLOOKUP([2]Pointage!BU10,Feuil1!$A:$B,2,FALSE),"")</f>
        <v/>
      </c>
      <c r="BR16" s="31" t="str">
        <f>IFERROR(VLOOKUP([2]Pointage!BV10,Feuil1!$A:$B,2,FALSE),"")</f>
        <v/>
      </c>
      <c r="BS16" s="31" t="str">
        <f>IFERROR(VLOOKUP([2]Pointage!BW10,Feuil1!$A:$B,2,FALSE),"")</f>
        <v/>
      </c>
      <c r="BT16" s="31" t="str">
        <f>IFERROR(VLOOKUP([2]Pointage!BX10,Feuil1!$A:$B,2,FALSE),"")</f>
        <v/>
      </c>
      <c r="BU16" s="31" t="str">
        <f>IFERROR(VLOOKUP([2]Pointage!BY10,Feuil1!$A:$B,2,FALSE),"")</f>
        <v/>
      </c>
      <c r="BV16" s="31" t="str">
        <f>IFERROR(VLOOKUP([2]Pointage!BZ10,Feuil1!$A:$B,2,FALSE),"")</f>
        <v/>
      </c>
      <c r="BW16" s="31" t="str">
        <f>IFERROR(VLOOKUP([2]Pointage!CA10,Feuil1!$A:$B,2,FALSE),"")</f>
        <v/>
      </c>
      <c r="BX16" s="31" t="str">
        <f>IFERROR(VLOOKUP([2]Pointage!CB10,Feuil1!$A:$B,2,FALSE),"")</f>
        <v/>
      </c>
      <c r="BY16" s="31" t="str">
        <f>IFERROR(VLOOKUP([2]Pointage!CC10,Feuil1!$A:$B,2,FALSE),"")</f>
        <v/>
      </c>
      <c r="BZ16" s="31" t="str">
        <f>IFERROR(VLOOKUP([2]Pointage!CD10,Feuil1!$A:$B,2,FALSE),"")</f>
        <v/>
      </c>
      <c r="CA16" s="31" t="str">
        <f>IFERROR(VLOOKUP([2]Pointage!CE10,Feuil1!$A:$B,2,FALSE),"")</f>
        <v/>
      </c>
      <c r="CB16" s="31" t="str">
        <f>IFERROR(VLOOKUP([2]Pointage!CF10,Feuil1!$A:$B,2,FALSE),"")</f>
        <v/>
      </c>
      <c r="CC16" s="31" t="str">
        <f>IFERROR(VLOOKUP([2]Pointage!CG10,Feuil1!$A:$B,2,FALSE),"")</f>
        <v/>
      </c>
      <c r="CD16" s="31" t="str">
        <f>IFERROR(VLOOKUP([2]Pointage!CH10,Feuil1!$A:$B,2,FALSE),"")</f>
        <v/>
      </c>
      <c r="CE16" s="31" t="str">
        <f>IFERROR(VLOOKUP([2]Pointage!CI10,Feuil1!$A:$B,2,FALSE),"")</f>
        <v/>
      </c>
      <c r="CF16" s="31" t="str">
        <f>IFERROR(VLOOKUP([2]Pointage!CJ10,Feuil1!$A:$B,2,FALSE),"")</f>
        <v/>
      </c>
      <c r="CG16" s="31" t="str">
        <f>IFERROR(VLOOKUP([2]Pointage!CK10,Feuil1!$A:$B,2,FALSE),"")</f>
        <v/>
      </c>
      <c r="CH16" s="31" t="str">
        <f>IFERROR(VLOOKUP([2]Pointage!CL10,Feuil1!$A:$B,2,FALSE),"")</f>
        <v/>
      </c>
      <c r="CI16" s="31" t="str">
        <f>IFERROR(VLOOKUP([2]Pointage!CM10,Feuil1!$A:$B,2,FALSE),"")</f>
        <v/>
      </c>
      <c r="CJ16" s="31" t="str">
        <f>IFERROR(VLOOKUP([2]Pointage!CN10,Feuil1!$A:$B,2,FALSE),"")</f>
        <v/>
      </c>
      <c r="CK16" s="31" t="str">
        <f>IFERROR(VLOOKUP([2]Pointage!CO10,Feuil1!$A:$B,2,FALSE),"")</f>
        <v/>
      </c>
      <c r="CL16" s="31" t="str">
        <f>IFERROR(VLOOKUP([2]Pointage!CP10,Feuil1!$A:$B,2,FALSE),"")</f>
        <v/>
      </c>
      <c r="CM16" s="31" t="str">
        <f>IFERROR(VLOOKUP([2]Pointage!CQ10,Feuil1!$A:$B,2,FALSE),"")</f>
        <v/>
      </c>
      <c r="CN16" s="31" t="str">
        <f>IFERROR(VLOOKUP([2]Pointage!CR10,Feuil1!$A:$B,2,FALSE),"")</f>
        <v/>
      </c>
      <c r="CO16" s="31" t="str">
        <f>IFERROR(VLOOKUP([2]Pointage!CS10,Feuil1!$A:$B,2,FALSE),"")</f>
        <v/>
      </c>
      <c r="CP16" s="31" t="str">
        <f>IFERROR(VLOOKUP([2]Pointage!CT10,Feuil1!$A:$B,2,FALSE),"")</f>
        <v/>
      </c>
      <c r="CQ16" s="82" t="str">
        <f>IFERROR(VLOOKUP([2]Pointage!CU10,Feuil1!$A:$B,2,FALSE),"")</f>
        <v/>
      </c>
      <c r="CR16" s="47" t="str">
        <f>IFERROR(VLOOKUP([2]Pointage!CV10,Feuil1!$A:$B,2,FALSE),"")</f>
        <v/>
      </c>
      <c r="CS16" s="31" t="str">
        <f>IFERROR(VLOOKUP([2]Pointage!CW10,Feuil1!$A:$B,2,FALSE),"")</f>
        <v/>
      </c>
      <c r="CT16" s="31" t="str">
        <f>IFERROR(VLOOKUP([2]Pointage!CX10,Feuil1!$A:$B,2,FALSE),"")</f>
        <v/>
      </c>
      <c r="CU16" s="31" t="str">
        <f>IFERROR(VLOOKUP([2]Pointage!CY10,Feuil1!$A:$B,2,FALSE),"")</f>
        <v/>
      </c>
      <c r="CV16" s="31" t="str">
        <f>IFERROR(VLOOKUP([2]Pointage!CZ10,Feuil1!$A:$B,2,FALSE),"")</f>
        <v>C</v>
      </c>
      <c r="CW16" s="31" t="str">
        <f>IFERROR(VLOOKUP([2]Pointage!DA10,Feuil1!$A:$B,2,FALSE),"")</f>
        <v/>
      </c>
      <c r="CX16" s="31" t="str">
        <f>IFERROR(VLOOKUP([2]Pointage!DB10,Feuil1!$A:$B,2,FALSE),"")</f>
        <v/>
      </c>
      <c r="CY16" s="31" t="str">
        <f>IFERROR(VLOOKUP([2]Pointage!DC10,Feuil1!$A:$B,2,FALSE),"")</f>
        <v/>
      </c>
      <c r="CZ16" s="31" t="str">
        <f>IFERROR(VLOOKUP([2]Pointage!DD10,Feuil1!$A:$B,2,FALSE),"")</f>
        <v/>
      </c>
      <c r="DA16" s="31" t="str">
        <f>IFERROR(VLOOKUP([2]Pointage!DE10,Feuil1!$A:$B,2,FALSE),"")</f>
        <v/>
      </c>
      <c r="DB16" s="31" t="str">
        <f>IFERROR(VLOOKUP([2]Pointage!DF10,Feuil1!$A:$B,2,FALSE),"")</f>
        <v>dRTT</v>
      </c>
      <c r="DC16" s="31" t="str">
        <f>IFERROR(VLOOKUP([2]Pointage!DG10,Feuil1!$A:$B,2,FALSE),"")</f>
        <v/>
      </c>
      <c r="DD16" s="31" t="str">
        <f>IFERROR(VLOOKUP([2]Pointage!DH10,Feuil1!$A:$B,2,FALSE),"")</f>
        <v/>
      </c>
      <c r="DE16" s="31" t="str">
        <f>IFERROR(VLOOKUP([2]Pointage!DI10,Feuil1!$A:$B,2,FALSE),"")</f>
        <v/>
      </c>
      <c r="DF16" s="31" t="str">
        <f>IFERROR(VLOOKUP([2]Pointage!DJ10,Feuil1!$A:$B,2,FALSE),"")</f>
        <v/>
      </c>
      <c r="DG16" s="31" t="str">
        <f>IFERROR(VLOOKUP([2]Pointage!DK10,Feuil1!$A:$B,2,FALSE),"")</f>
        <v/>
      </c>
      <c r="DH16" s="31" t="str">
        <f>IFERROR(VLOOKUP([2]Pointage!DL10,Feuil1!$A:$B,2,FALSE),"")</f>
        <v/>
      </c>
      <c r="DI16" s="31" t="str">
        <f>IFERROR(VLOOKUP([2]Pointage!DM10,Feuil1!$A:$B,2,FALSE),"")</f>
        <v/>
      </c>
      <c r="DJ16" s="31" t="str">
        <f>IFERROR(VLOOKUP([2]Pointage!DN10,Feuil1!$A:$B,2,FALSE),"")</f>
        <v/>
      </c>
      <c r="DK16" s="31" t="str">
        <f>IFERROR(VLOOKUP([2]Pointage!DO10,Feuil1!$A:$B,2,FALSE),"")</f>
        <v/>
      </c>
      <c r="DL16" s="31" t="str">
        <f>IFERROR(VLOOKUP([2]Pointage!DP10,Feuil1!$A:$B,2,FALSE),"")</f>
        <v/>
      </c>
      <c r="DM16" s="31" t="str">
        <f>IFERROR(VLOOKUP([2]Pointage!DQ10,Feuil1!$A:$B,2,FALSE),"")</f>
        <v/>
      </c>
      <c r="DN16" s="31" t="str">
        <f>IFERROR(VLOOKUP([2]Pointage!DR10,Feuil1!$A:$B,2,FALSE),"")</f>
        <v/>
      </c>
      <c r="DO16" s="31" t="str">
        <f>IFERROR(VLOOKUP([2]Pointage!DS10,Feuil1!$A:$B,2,FALSE),"")</f>
        <v/>
      </c>
      <c r="DP16" s="31" t="str">
        <f>IFERROR(VLOOKUP([2]Pointage!DT10,Feuil1!$A:$B,2,FALSE),"")</f>
        <v/>
      </c>
      <c r="DQ16" s="31" t="str">
        <f>IFERROR(VLOOKUP([2]Pointage!DU10,Feuil1!$A:$B,2,FALSE),"")</f>
        <v/>
      </c>
      <c r="DR16" s="31" t="str">
        <f>IFERROR(VLOOKUP([2]Pointage!DV10,Feuil1!$A:$B,2,FALSE),"")</f>
        <v/>
      </c>
      <c r="DS16" s="31" t="str">
        <f>IFERROR(VLOOKUP([2]Pointage!DW10,Feuil1!$A:$B,2,FALSE),"")</f>
        <v/>
      </c>
      <c r="DT16" s="31" t="str">
        <f>IFERROR(VLOOKUP([2]Pointage!DX10,Feuil1!$A:$B,2,FALSE),"")</f>
        <v/>
      </c>
      <c r="DU16" s="82" t="str">
        <f>IFERROR(VLOOKUP([2]Pointage!DY10,Feuil1!$A:$B,2,FALSE),"")</f>
        <v/>
      </c>
      <c r="DV16" s="47" t="str">
        <f>IFERROR(VLOOKUP([2]Pointage!DZ10,Feuil1!$A:$B,2,FALSE),"")</f>
        <v/>
      </c>
      <c r="DW16" s="31" t="str">
        <f>IFERROR(VLOOKUP([2]Pointage!EA10,Feuil1!$A:$B,2,FALSE),"")</f>
        <v/>
      </c>
      <c r="DX16" s="31" t="str">
        <f>IFERROR(VLOOKUP([2]Pointage!EB10,Feuil1!$A:$B,2,FALSE),"")</f>
        <v/>
      </c>
      <c r="DY16" s="31" t="str">
        <f>IFERROR(VLOOKUP([2]Pointage!EC10,Feuil1!$A:$B,2,FALSE),"")</f>
        <v/>
      </c>
      <c r="DZ16" s="31" t="str">
        <f>IFERROR(VLOOKUP([2]Pointage!ED10,Feuil1!$A:$B,2,FALSE),"")</f>
        <v/>
      </c>
      <c r="EA16" s="31" t="str">
        <f>IFERROR(VLOOKUP([2]Pointage!EE10,Feuil1!$A:$B,2,FALSE),"")</f>
        <v/>
      </c>
      <c r="EB16" s="31" t="str">
        <f>IFERROR(VLOOKUP([2]Pointage!EF10,Feuil1!$A:$B,2,FALSE),"")</f>
        <v/>
      </c>
      <c r="EC16" s="31" t="str">
        <f>IFERROR(VLOOKUP([2]Pointage!EG10,Feuil1!$A:$B,2,FALSE),"")</f>
        <v/>
      </c>
      <c r="ED16" s="31" t="str">
        <f>IFERROR(VLOOKUP([2]Pointage!EH10,Feuil1!$A:$B,2,FALSE),"")</f>
        <v/>
      </c>
      <c r="EE16" s="31" t="str">
        <f>IFERROR(VLOOKUP([2]Pointage!EI10,Feuil1!$A:$B,2,FALSE),"")</f>
        <v/>
      </c>
      <c r="EF16" s="31" t="str">
        <f>IFERROR(VLOOKUP([2]Pointage!EJ10,Feuil1!$A:$B,2,FALSE),"")</f>
        <v/>
      </c>
      <c r="EG16" s="31" t="str">
        <f>IFERROR(VLOOKUP([2]Pointage!EK10,Feuil1!$A:$B,2,FALSE),"")</f>
        <v/>
      </c>
      <c r="EH16" s="31" t="str">
        <f>IFERROR(VLOOKUP([2]Pointage!EL10,Feuil1!$A:$B,2,FALSE),"")</f>
        <v/>
      </c>
      <c r="EI16" s="31" t="str">
        <f>IFERROR(VLOOKUP([2]Pointage!EM10,Feuil1!$A:$B,2,FALSE),"")</f>
        <v/>
      </c>
      <c r="EJ16" s="31" t="str">
        <f>IFERROR(VLOOKUP([2]Pointage!EN10,Feuil1!$A:$B,2,FALSE),"")</f>
        <v/>
      </c>
      <c r="EK16" s="31" t="str">
        <f>IFERROR(VLOOKUP([2]Pointage!EO10,Feuil1!$A:$B,2,FALSE),"")</f>
        <v>C</v>
      </c>
      <c r="EL16" s="31" t="str">
        <f>IFERROR(VLOOKUP([2]Pointage!EP10,Feuil1!$A:$B,2,FALSE),"")</f>
        <v/>
      </c>
      <c r="EM16" s="31" t="str">
        <f>IFERROR(VLOOKUP([2]Pointage!EQ10,Feuil1!$A:$B,2,FALSE),"")</f>
        <v/>
      </c>
      <c r="EN16" s="31" t="str">
        <f>IFERROR(VLOOKUP([2]Pointage!ER10,Feuil1!$A:$B,2,FALSE),"")</f>
        <v/>
      </c>
      <c r="EO16" s="31" t="str">
        <f>IFERROR(VLOOKUP([2]Pointage!ES10,Feuil1!$A:$B,2,FALSE),"")</f>
        <v/>
      </c>
      <c r="EP16" s="31" t="str">
        <f>IFERROR(VLOOKUP([2]Pointage!ET10,Feuil1!$A:$B,2,FALSE),"")</f>
        <v>RTT</v>
      </c>
      <c r="EQ16" s="31" t="str">
        <f>IFERROR(VLOOKUP([2]Pointage!EU10,Feuil1!$A:$B,2,FALSE),"")</f>
        <v/>
      </c>
      <c r="ER16" s="31" t="str">
        <f>IFERROR(VLOOKUP([2]Pointage!EV10,Feuil1!$A:$B,2,FALSE),"")</f>
        <v/>
      </c>
      <c r="ES16" s="31" t="str">
        <f>IFERROR(VLOOKUP([2]Pointage!EW10,Feuil1!$A:$B,2,FALSE),"")</f>
        <v/>
      </c>
      <c r="ET16" s="31" t="str">
        <f>IFERROR(VLOOKUP([2]Pointage!EX10,Feuil1!$A:$B,2,FALSE),"")</f>
        <v/>
      </c>
      <c r="EU16" s="31" t="str">
        <f>IFERROR(VLOOKUP([2]Pointage!EY10,Feuil1!$A:$B,2,FALSE),"")</f>
        <v/>
      </c>
      <c r="EV16" s="31" t="str">
        <f>IFERROR(VLOOKUP([2]Pointage!EZ10,Feuil1!$A:$B,2,FALSE),"")</f>
        <v/>
      </c>
      <c r="EW16" s="31" t="str">
        <f>IFERROR(VLOOKUP([2]Pointage!FA10,Feuil1!$A:$B,2,FALSE),"")</f>
        <v/>
      </c>
      <c r="EX16" s="31" t="str">
        <f>IFERROR(VLOOKUP([2]Pointage!FB10,Feuil1!$A:$B,2,FALSE),"")</f>
        <v/>
      </c>
      <c r="EY16" s="31" t="str">
        <f>IFERROR(VLOOKUP([2]Pointage!FC10,Feuil1!$A:$B,2,FALSE),"")</f>
        <v/>
      </c>
      <c r="EZ16" s="82" t="str">
        <f>IFERROR(VLOOKUP([2]Pointage!FD10,Feuil1!$A:$B,2,FALSE),"")</f>
        <v/>
      </c>
      <c r="FA16" s="47" t="str">
        <f>IFERROR(VLOOKUP([2]Pointage!FE10,Feuil1!$A:$B,2,FALSE),"")</f>
        <v/>
      </c>
      <c r="FB16" s="31" t="str">
        <f>IFERROR(VLOOKUP([2]Pointage!FF10,Feuil1!$A:$B,2,FALSE),"")</f>
        <v/>
      </c>
      <c r="FC16" s="31" t="str">
        <f>IFERROR(VLOOKUP([2]Pointage!FG10,Feuil1!$A:$B,2,FALSE),"")</f>
        <v/>
      </c>
      <c r="FD16" s="31" t="str">
        <f>IFERROR(VLOOKUP([2]Pointage!FH10,Feuil1!$A:$B,2,FALSE),"")</f>
        <v/>
      </c>
      <c r="FE16" s="31" t="str">
        <f>IFERROR(VLOOKUP([2]Pointage!FI10,Feuil1!$A:$B,2,FALSE),"")</f>
        <v/>
      </c>
      <c r="FF16" s="31" t="str">
        <f>IFERROR(VLOOKUP([2]Pointage!FJ10,Feuil1!$A:$B,2,FALSE),"")</f>
        <v/>
      </c>
      <c r="FG16" s="31" t="str">
        <f>IFERROR(VLOOKUP([2]Pointage!FK10,Feuil1!$A:$B,2,FALSE),"")</f>
        <v/>
      </c>
      <c r="FH16" s="31" t="str">
        <f>IFERROR(VLOOKUP([2]Pointage!FL10,Feuil1!$A:$B,2,FALSE),"")</f>
        <v/>
      </c>
      <c r="FI16" s="31" t="str">
        <f>IFERROR(VLOOKUP([2]Pointage!FM10,Feuil1!$A:$B,2,FALSE),"")</f>
        <v/>
      </c>
      <c r="FJ16" s="31" t="str">
        <f>IFERROR(VLOOKUP([2]Pointage!FN10,Feuil1!$A:$B,2,FALSE),"")</f>
        <v/>
      </c>
      <c r="FK16" s="31" t="str">
        <f>IFERROR(VLOOKUP([2]Pointage!FO10,Feuil1!$A:$B,2,FALSE),"")</f>
        <v/>
      </c>
      <c r="FL16" s="31" t="str">
        <f>IFERROR(VLOOKUP([2]Pointage!FP10,Feuil1!$A:$B,2,FALSE),"")</f>
        <v/>
      </c>
      <c r="FM16" s="31" t="str">
        <f>IFERROR(VLOOKUP([2]Pointage!FQ10,Feuil1!$A:$B,2,FALSE),"")</f>
        <v/>
      </c>
      <c r="FN16" s="31" t="str">
        <f>IFERROR(VLOOKUP([2]Pointage!FR10,Feuil1!$A:$B,2,FALSE),"")</f>
        <v/>
      </c>
      <c r="FO16" s="31" t="str">
        <f>IFERROR(VLOOKUP([2]Pointage!FS10,Feuil1!$A:$B,2,FALSE),"")</f>
        <v/>
      </c>
      <c r="FP16" s="31" t="str">
        <f>IFERROR(VLOOKUP([2]Pointage!FT10,Feuil1!$A:$B,2,FALSE),"")</f>
        <v/>
      </c>
      <c r="FQ16" s="31" t="str">
        <f>IFERROR(VLOOKUP([2]Pointage!FU10,Feuil1!$A:$B,2,FALSE),"")</f>
        <v/>
      </c>
      <c r="FR16" s="31" t="str">
        <f>IFERROR(VLOOKUP([2]Pointage!FV10,Feuil1!$A:$B,2,FALSE),"")</f>
        <v/>
      </c>
      <c r="FS16" s="31" t="str">
        <f>IFERROR(VLOOKUP([2]Pointage!FW10,Feuil1!$A:$B,2,FALSE),"")</f>
        <v/>
      </c>
      <c r="FT16" s="31" t="str">
        <f>IFERROR(VLOOKUP([2]Pointage!FX10,Feuil1!$A:$B,2,FALSE),"")</f>
        <v>dRTT</v>
      </c>
      <c r="FU16" s="31" t="str">
        <f>IFERROR(VLOOKUP([2]Pointage!FY10,Feuil1!$A:$B,2,FALSE),"")</f>
        <v/>
      </c>
      <c r="FV16" s="31" t="str">
        <f>IFERROR(VLOOKUP([2]Pointage!FZ10,Feuil1!$A:$B,2,FALSE),"")</f>
        <v/>
      </c>
      <c r="FW16" s="31" t="str">
        <f>IFERROR(VLOOKUP([2]Pointage!GA10,Feuil1!$A:$B,2,FALSE),"")</f>
        <v/>
      </c>
      <c r="FX16" s="31" t="str">
        <f>IFERROR(VLOOKUP([2]Pointage!GB10,Feuil1!$A:$B,2,FALSE),"")</f>
        <v/>
      </c>
      <c r="FY16" s="31" t="str">
        <f>IFERROR(VLOOKUP([2]Pointage!GC10,Feuil1!$A:$B,2,FALSE),"")</f>
        <v>RTT</v>
      </c>
      <c r="FZ16" s="31" t="str">
        <f>IFERROR(VLOOKUP([2]Pointage!GD10,Feuil1!$A:$B,2,FALSE),"")</f>
        <v>C</v>
      </c>
      <c r="GA16" s="31" t="str">
        <f>IFERROR(VLOOKUP([2]Pointage!GE10,Feuil1!$A:$B,2,FALSE),"")</f>
        <v/>
      </c>
      <c r="GB16" s="31" t="str">
        <f>IFERROR(VLOOKUP([2]Pointage!GF10,Feuil1!$A:$B,2,FALSE),"")</f>
        <v/>
      </c>
      <c r="GC16" s="31" t="str">
        <f>IFERROR(VLOOKUP([2]Pointage!GG10,Feuil1!$A:$B,2,FALSE),"")</f>
        <v/>
      </c>
      <c r="GD16" s="82" t="str">
        <f>IFERROR(VLOOKUP([2]Pointage!GH10,Feuil1!$A:$B,2,FALSE),"")</f>
        <v/>
      </c>
      <c r="GE16" s="47" t="str">
        <f>IFERROR(VLOOKUP([2]Pointage!GI10,Feuil1!$A:$B,2,FALSE),"")</f>
        <v/>
      </c>
      <c r="GF16" s="31" t="str">
        <f>IFERROR(VLOOKUP([2]Pointage!GJ10,Feuil1!$A:$B,2,FALSE),"")</f>
        <v/>
      </c>
      <c r="GG16" s="31" t="str">
        <f>IFERROR(VLOOKUP([2]Pointage!GK10,Feuil1!$A:$B,2,FALSE),"")</f>
        <v/>
      </c>
      <c r="GH16" s="31" t="str">
        <f>IFERROR(VLOOKUP([2]Pointage!GL10,Feuil1!$A:$B,2,FALSE),"")</f>
        <v/>
      </c>
      <c r="GI16" s="31" t="str">
        <f>IFERROR(VLOOKUP([2]Pointage!GM10,Feuil1!$A:$B,2,FALSE),"")</f>
        <v/>
      </c>
      <c r="GJ16" s="31" t="str">
        <f>IFERROR(VLOOKUP([2]Pointage!GN10,Feuil1!$A:$B,2,FALSE),"")</f>
        <v/>
      </c>
      <c r="GK16" s="31" t="str">
        <f>IFERROR(VLOOKUP([2]Pointage!GO10,Feuil1!$A:$B,2,FALSE),"")</f>
        <v/>
      </c>
      <c r="GL16" s="31" t="str">
        <f>IFERROR(VLOOKUP([2]Pointage!GP10,Feuil1!$A:$B,2,FALSE),"")</f>
        <v/>
      </c>
      <c r="GM16" s="31" t="str">
        <f>IFERROR(VLOOKUP([2]Pointage!GQ10,Feuil1!$A:$B,2,FALSE),"")</f>
        <v/>
      </c>
      <c r="GN16" s="31" t="str">
        <f>IFERROR(VLOOKUP([2]Pointage!GR10,Feuil1!$A:$B,2,FALSE),"")</f>
        <v/>
      </c>
      <c r="GO16" s="31" t="str">
        <f>IFERROR(VLOOKUP([2]Pointage!GS10,Feuil1!$A:$B,2,FALSE),"")</f>
        <v/>
      </c>
      <c r="GP16" s="31" t="str">
        <f>IFERROR(VLOOKUP([2]Pointage!GT10,Feuil1!$A:$B,2,FALSE),"")</f>
        <v/>
      </c>
      <c r="GQ16" s="31" t="str">
        <f>IFERROR(VLOOKUP([2]Pointage!GU10,Feuil1!$A:$B,2,FALSE),"")</f>
        <v/>
      </c>
      <c r="GR16" s="31" t="str">
        <f>IFERROR(VLOOKUP([2]Pointage!GV10,Feuil1!$A:$B,2,FALSE),"")</f>
        <v/>
      </c>
      <c r="GS16" s="31" t="str">
        <f>IFERROR(VLOOKUP([2]Pointage!GW10,Feuil1!$A:$B,2,FALSE),"")</f>
        <v/>
      </c>
      <c r="GT16" s="31" t="str">
        <f>IFERROR(VLOOKUP([2]Pointage!GX10,Feuil1!$A:$B,2,FALSE),"")</f>
        <v/>
      </c>
      <c r="GU16" s="31" t="str">
        <f>IFERROR(VLOOKUP([2]Pointage!GY10,Feuil1!$A:$B,2,FALSE),"")</f>
        <v/>
      </c>
      <c r="GV16" s="31" t="str">
        <f>IFERROR(VLOOKUP([2]Pointage!GZ10,Feuil1!$A:$B,2,FALSE),"")</f>
        <v/>
      </c>
      <c r="GW16" s="31" t="str">
        <f>IFERROR(VLOOKUP([2]Pointage!HA10,Feuil1!$A:$B,2,FALSE),"")</f>
        <v/>
      </c>
      <c r="GX16" s="31" t="str">
        <f>IFERROR(VLOOKUP([2]Pointage!HB10,Feuil1!$A:$B,2,FALSE),"")</f>
        <v/>
      </c>
      <c r="GY16" s="31" t="str">
        <f>IFERROR(VLOOKUP([2]Pointage!HC10,Feuil1!$A:$B,2,FALSE),"")</f>
        <v/>
      </c>
      <c r="GZ16" s="31" t="str">
        <f>IFERROR(VLOOKUP([2]Pointage!HD10,Feuil1!$A:$B,2,FALSE),"")</f>
        <v/>
      </c>
      <c r="HA16" s="31" t="str">
        <f>IFERROR(VLOOKUP([2]Pointage!HE10,Feuil1!$A:$B,2,FALSE),"")</f>
        <v/>
      </c>
      <c r="HB16" s="31" t="str">
        <f>IFERROR(VLOOKUP([2]Pointage!HF10,Feuil1!$A:$B,2,FALSE),"")</f>
        <v/>
      </c>
      <c r="HC16" s="31" t="str">
        <f>IFERROR(VLOOKUP([2]Pointage!HG10,Feuil1!$A:$B,2,FALSE),"")</f>
        <v/>
      </c>
      <c r="HD16" s="31" t="str">
        <f>IFERROR(VLOOKUP([2]Pointage!HH10,Feuil1!$A:$B,2,FALSE),"")</f>
        <v/>
      </c>
      <c r="HE16" s="31" t="str">
        <f>IFERROR(VLOOKUP([2]Pointage!HI10,Feuil1!$A:$B,2,FALSE),"")</f>
        <v/>
      </c>
      <c r="HF16" s="31" t="str">
        <f>IFERROR(VLOOKUP([2]Pointage!HJ10,Feuil1!$A:$B,2,FALSE),"")</f>
        <v/>
      </c>
      <c r="HG16" s="31" t="str">
        <f>IFERROR(VLOOKUP([2]Pointage!HK10,Feuil1!$A:$B,2,FALSE),"")</f>
        <v/>
      </c>
      <c r="HH16" s="31" t="str">
        <f>IFERROR(VLOOKUP([2]Pointage!HL10,Feuil1!$A:$B,2,FALSE),"")</f>
        <v/>
      </c>
      <c r="HI16" s="82" t="str">
        <f>IFERROR(VLOOKUP([2]Pointage!HM10,Feuil1!$A:$B,2,FALSE),"")</f>
        <v/>
      </c>
      <c r="HJ16" s="47" t="str">
        <f>IFERROR(VLOOKUP([2]Pointage!HN10,Feuil1!$A:$B,2,FALSE),"")</f>
        <v/>
      </c>
      <c r="HK16" s="31" t="str">
        <f>IFERROR(VLOOKUP([2]Pointage!HO10,Feuil1!$A:$B,2,FALSE),"")</f>
        <v/>
      </c>
      <c r="HL16" s="31" t="str">
        <f>IFERROR(VLOOKUP([2]Pointage!HP10,Feuil1!$A:$B,2,FALSE),"")</f>
        <v/>
      </c>
      <c r="HM16" s="31" t="str">
        <f>IFERROR(VLOOKUP([2]Pointage!HQ10,Feuil1!$A:$B,2,FALSE),"")</f>
        <v/>
      </c>
      <c r="HN16" s="31" t="str">
        <f>IFERROR(VLOOKUP([2]Pointage!HR10,Feuil1!$A:$B,2,FALSE),"")</f>
        <v/>
      </c>
      <c r="HO16" s="31" t="str">
        <f>IFERROR(VLOOKUP([2]Pointage!HS10,Feuil1!$A:$B,2,FALSE),"")</f>
        <v/>
      </c>
      <c r="HP16" s="31" t="str">
        <f>IFERROR(VLOOKUP([2]Pointage!HT10,Feuil1!$A:$B,2,FALSE),"")</f>
        <v/>
      </c>
      <c r="HQ16" s="31" t="str">
        <f>IFERROR(VLOOKUP([2]Pointage!HU10,Feuil1!$A:$B,2,FALSE),"")</f>
        <v/>
      </c>
      <c r="HR16" s="31" t="str">
        <f>IFERROR(VLOOKUP([2]Pointage!HV10,Feuil1!$A:$B,2,FALSE),"")</f>
        <v/>
      </c>
      <c r="HS16" s="31" t="str">
        <f>IFERROR(VLOOKUP([2]Pointage!HW10,Feuil1!$A:$B,2,FALSE),"")</f>
        <v/>
      </c>
      <c r="HT16" s="31" t="str">
        <f>IFERROR(VLOOKUP([2]Pointage!HX10,Feuil1!$A:$B,2,FALSE),"")</f>
        <v/>
      </c>
      <c r="HU16" s="31" t="str">
        <f>IFERROR(VLOOKUP([2]Pointage!HY10,Feuil1!$A:$B,2,FALSE),"")</f>
        <v/>
      </c>
      <c r="HV16" s="31" t="str">
        <f>IFERROR(VLOOKUP([2]Pointage!HZ10,Feuil1!$A:$B,2,FALSE),"")</f>
        <v>C</v>
      </c>
      <c r="HW16" s="31" t="str">
        <f>IFERROR(VLOOKUP([2]Pointage!IA10,Feuil1!$A:$B,2,FALSE),"")</f>
        <v>C</v>
      </c>
      <c r="HX16" s="31" t="str">
        <f>IFERROR(VLOOKUP([2]Pointage!IB10,Feuil1!$A:$B,2,FALSE),"")</f>
        <v/>
      </c>
      <c r="HY16" s="31" t="str">
        <f>IFERROR(VLOOKUP([2]Pointage!IC10,Feuil1!$A:$B,2,FALSE),"")</f>
        <v>C</v>
      </c>
      <c r="HZ16" s="31" t="str">
        <f>IFERROR(VLOOKUP([2]Pointage!ID10,Feuil1!$A:$B,2,FALSE),"")</f>
        <v>C</v>
      </c>
      <c r="IA16" s="31" t="str">
        <f>IFERROR(VLOOKUP([2]Pointage!IE10,Feuil1!$A:$B,2,FALSE),"")</f>
        <v/>
      </c>
      <c r="IB16" s="31" t="str">
        <f>IFERROR(VLOOKUP([2]Pointage!IF10,Feuil1!$A:$B,2,FALSE),"")</f>
        <v/>
      </c>
      <c r="IC16" s="31" t="str">
        <f>IFERROR(VLOOKUP([2]Pointage!IG10,Feuil1!$A:$B,2,FALSE),"")</f>
        <v>C</v>
      </c>
      <c r="ID16" s="31" t="str">
        <f>IFERROR(VLOOKUP([2]Pointage!IH10,Feuil1!$A:$B,2,FALSE),"")</f>
        <v>C</v>
      </c>
      <c r="IE16" s="31" t="str">
        <f>IFERROR(VLOOKUP([2]Pointage!II10,Feuil1!$A:$B,2,FALSE),"")</f>
        <v>C</v>
      </c>
      <c r="IF16" s="31" t="str">
        <f>IFERROR(VLOOKUP([2]Pointage!IJ10,Feuil1!$A:$B,2,FALSE),"")</f>
        <v>C</v>
      </c>
      <c r="IG16" s="31" t="str">
        <f>IFERROR(VLOOKUP([2]Pointage!IK10,Feuil1!$A:$B,2,FALSE),"")</f>
        <v>C</v>
      </c>
      <c r="IH16" s="31" t="str">
        <f>IFERROR(VLOOKUP([2]Pointage!IL10,Feuil1!$A:$B,2,FALSE),"")</f>
        <v/>
      </c>
      <c r="II16" s="31" t="str">
        <f>IFERROR(VLOOKUP([2]Pointage!IM10,Feuil1!$A:$B,2,FALSE),"")</f>
        <v/>
      </c>
      <c r="IJ16" s="31" t="str">
        <f>IFERROR(VLOOKUP([2]Pointage!IN10,Feuil1!$A:$B,2,FALSE),"")</f>
        <v/>
      </c>
      <c r="IK16" s="31" t="str">
        <f>IFERROR(VLOOKUP([2]Pointage!IO10,Feuil1!$A:$B,2,FALSE),"")</f>
        <v/>
      </c>
      <c r="IL16" s="31" t="str">
        <f>IFERROR(VLOOKUP([2]Pointage!IP10,Feuil1!$A:$B,2,FALSE),"")</f>
        <v/>
      </c>
      <c r="IM16" s="31" t="str">
        <f>IFERROR(VLOOKUP([2]Pointage!IQ10,Feuil1!$A:$B,2,FALSE),"")</f>
        <v/>
      </c>
      <c r="IN16" s="82" t="str">
        <f>IFERROR(VLOOKUP([2]Pointage!IR10,Feuil1!$A:$B,2,FALSE),"")</f>
        <v/>
      </c>
      <c r="IO16" s="47" t="str">
        <f>IFERROR(VLOOKUP([2]Pointage!IS10,Feuil1!$A:$B,2,FALSE),"")</f>
        <v/>
      </c>
      <c r="IP16" s="31" t="str">
        <f>IFERROR(VLOOKUP([2]Pointage!IT10,Feuil1!$A:$B,2,FALSE),"")</f>
        <v/>
      </c>
      <c r="IQ16" s="31" t="str">
        <f>IFERROR(VLOOKUP([2]Pointage!IU10,Feuil1!$A:$B,2,FALSE),"")</f>
        <v/>
      </c>
      <c r="IR16" s="31" t="str">
        <f>IFERROR(VLOOKUP([2]Pointage!IV10,Feuil1!$A:$B,2,FALSE),"")</f>
        <v/>
      </c>
      <c r="IS16" s="31" t="str">
        <f>IFERROR(VLOOKUP([2]Pointage!IW10,Feuil1!$A:$B,2,FALSE),"")</f>
        <v/>
      </c>
      <c r="IT16" s="31" t="str">
        <f>IFERROR(VLOOKUP([2]Pointage!IX10,Feuil1!$A:$B,2,FALSE),"")</f>
        <v/>
      </c>
      <c r="IU16" s="31" t="str">
        <f>IFERROR(VLOOKUP([2]Pointage!IY10,Feuil1!$A:$B,2,FALSE),"")</f>
        <v/>
      </c>
      <c r="IV16" s="31" t="str">
        <f>IFERROR(VLOOKUP([2]Pointage!IZ10,Feuil1!$A:$B,2,FALSE),"")</f>
        <v/>
      </c>
      <c r="IW16" s="31" t="str">
        <f>IFERROR(VLOOKUP([2]Pointage!JA10,Feuil1!$A:$B,2,FALSE),"")</f>
        <v/>
      </c>
      <c r="IX16" s="31" t="str">
        <f>IFERROR(VLOOKUP([2]Pointage!JB10,Feuil1!$A:$B,2,FALSE),"")</f>
        <v/>
      </c>
      <c r="IY16" s="31" t="str">
        <f>IFERROR(VLOOKUP([2]Pointage!JC10,Feuil1!$A:$B,2,FALSE),"")</f>
        <v/>
      </c>
      <c r="IZ16" s="31" t="str">
        <f>IFERROR(VLOOKUP([2]Pointage!JD10,Feuil1!$A:$B,2,FALSE),"")</f>
        <v/>
      </c>
      <c r="JA16" s="31" t="str">
        <f>IFERROR(VLOOKUP([2]Pointage!JE10,Feuil1!$A:$B,2,FALSE),"")</f>
        <v/>
      </c>
      <c r="JB16" s="31" t="str">
        <f>IFERROR(VLOOKUP([2]Pointage!JF10,Feuil1!$A:$B,2,FALSE),"")</f>
        <v/>
      </c>
      <c r="JC16" s="31" t="str">
        <f>IFERROR(VLOOKUP([2]Pointage!JG10,Feuil1!$A:$B,2,FALSE),"")</f>
        <v/>
      </c>
      <c r="JD16" s="31" t="str">
        <f>IFERROR(VLOOKUP([2]Pointage!JH10,Feuil1!$A:$B,2,FALSE),"")</f>
        <v/>
      </c>
      <c r="JE16" s="31" t="str">
        <f>IFERROR(VLOOKUP([2]Pointage!JI10,Feuil1!$A:$B,2,FALSE),"")</f>
        <v/>
      </c>
      <c r="JF16" s="31" t="str">
        <f>IFERROR(VLOOKUP([2]Pointage!JJ10,Feuil1!$A:$B,2,FALSE),"")</f>
        <v/>
      </c>
      <c r="JG16" s="31" t="str">
        <f>IFERROR(VLOOKUP([2]Pointage!JK10,Feuil1!$A:$B,2,FALSE),"")</f>
        <v/>
      </c>
      <c r="JH16" s="31" t="str">
        <f>IFERROR(VLOOKUP([2]Pointage!JL10,Feuil1!$A:$B,2,FALSE),"")</f>
        <v/>
      </c>
      <c r="JI16" s="31" t="str">
        <f>IFERROR(VLOOKUP([2]Pointage!JM10,Feuil1!$A:$B,2,FALSE),"")</f>
        <v/>
      </c>
      <c r="JJ16" s="31" t="str">
        <f>IFERROR(VLOOKUP([2]Pointage!JN10,Feuil1!$A:$B,2,FALSE),"")</f>
        <v/>
      </c>
      <c r="JK16" s="31" t="str">
        <f>IFERROR(VLOOKUP([2]Pointage!JO10,Feuil1!$A:$B,2,FALSE),"")</f>
        <v/>
      </c>
      <c r="JL16" s="31" t="str">
        <f>IFERROR(VLOOKUP([2]Pointage!JP10,Feuil1!$A:$B,2,FALSE),"")</f>
        <v/>
      </c>
      <c r="JM16" s="31" t="str">
        <f>IFERROR(VLOOKUP([2]Pointage!JQ10,Feuil1!$A:$B,2,FALSE),"")</f>
        <v/>
      </c>
      <c r="JN16" s="31" t="str">
        <f>IFERROR(VLOOKUP([2]Pointage!JR10,Feuil1!$A:$B,2,FALSE),"")</f>
        <v/>
      </c>
      <c r="JO16" s="31" t="str">
        <f>IFERROR(VLOOKUP([2]Pointage!JS10,Feuil1!$A:$B,2,FALSE),"")</f>
        <v/>
      </c>
      <c r="JP16" s="31" t="str">
        <f>IFERROR(VLOOKUP([2]Pointage!JT10,Feuil1!$A:$B,2,FALSE),"")</f>
        <v/>
      </c>
      <c r="JQ16" s="31" t="str">
        <f>IFERROR(VLOOKUP([2]Pointage!JU10,Feuil1!$A:$B,2,FALSE),"")</f>
        <v/>
      </c>
      <c r="JR16" s="82" t="str">
        <f>IFERROR(VLOOKUP([2]Pointage!JV10,Feuil1!$A:$B,2,FALSE),"")</f>
        <v/>
      </c>
      <c r="JS16" s="47" t="str">
        <f>IFERROR(VLOOKUP([2]Pointage!JW10,Feuil1!$A:$B,2,FALSE),"")</f>
        <v/>
      </c>
      <c r="JT16" s="31" t="str">
        <f>IFERROR(VLOOKUP([2]Pointage!JX10,Feuil1!$A:$B,2,FALSE),"")</f>
        <v/>
      </c>
      <c r="JU16" s="31" t="str">
        <f>IFERROR(VLOOKUP([2]Pointage!JY10,Feuil1!$A:$B,2,FALSE),"")</f>
        <v/>
      </c>
      <c r="JV16" s="31" t="str">
        <f>IFERROR(VLOOKUP([2]Pointage!JZ10,Feuil1!$A:$B,2,FALSE),"")</f>
        <v/>
      </c>
      <c r="JW16" s="31" t="str">
        <f>IFERROR(VLOOKUP([2]Pointage!KA10,Feuil1!$A:$B,2,FALSE),"")</f>
        <v/>
      </c>
      <c r="JX16" s="31" t="str">
        <f>IFERROR(VLOOKUP([2]Pointage!KB10,Feuil1!$A:$B,2,FALSE),"")</f>
        <v/>
      </c>
      <c r="JY16" s="31" t="str">
        <f>IFERROR(VLOOKUP([2]Pointage!KC10,Feuil1!$A:$B,2,FALSE),"")</f>
        <v/>
      </c>
      <c r="JZ16" s="31" t="str">
        <f>IFERROR(VLOOKUP([2]Pointage!KD10,Feuil1!$A:$B,2,FALSE),"")</f>
        <v/>
      </c>
      <c r="KA16" s="31" t="str">
        <f>IFERROR(VLOOKUP([2]Pointage!KE10,Feuil1!$A:$B,2,FALSE),"")</f>
        <v/>
      </c>
      <c r="KB16" s="31" t="str">
        <f>IFERROR(VLOOKUP([2]Pointage!KF10,Feuil1!$A:$B,2,FALSE),"")</f>
        <v/>
      </c>
      <c r="KC16" s="31" t="str">
        <f>IFERROR(VLOOKUP([2]Pointage!KG10,Feuil1!$A:$B,2,FALSE),"")</f>
        <v/>
      </c>
      <c r="KD16" s="31" t="str">
        <f>IFERROR(VLOOKUP([2]Pointage!KH10,Feuil1!$A:$B,2,FALSE),"")</f>
        <v/>
      </c>
      <c r="KE16" s="31" t="str">
        <f>IFERROR(VLOOKUP([2]Pointage!KI10,Feuil1!$A:$B,2,FALSE),"")</f>
        <v/>
      </c>
      <c r="KF16" s="31" t="str">
        <f>IFERROR(VLOOKUP([2]Pointage!KJ10,Feuil1!$A:$B,2,FALSE),"")</f>
        <v/>
      </c>
      <c r="KG16" s="31" t="str">
        <f>IFERROR(VLOOKUP([2]Pointage!KK10,Feuil1!$A:$B,2,FALSE),"")</f>
        <v/>
      </c>
      <c r="KH16" s="31" t="str">
        <f>IFERROR(VLOOKUP([2]Pointage!KL10,Feuil1!$A:$B,2,FALSE),"")</f>
        <v/>
      </c>
      <c r="KI16" s="31" t="str">
        <f>IFERROR(VLOOKUP([2]Pointage!KM10,Feuil1!$A:$B,2,FALSE),"")</f>
        <v/>
      </c>
      <c r="KJ16" s="31" t="str">
        <f>IFERROR(VLOOKUP([2]Pointage!KN10,Feuil1!$A:$B,2,FALSE),"")</f>
        <v/>
      </c>
      <c r="KK16" s="31" t="str">
        <f>IFERROR(VLOOKUP([2]Pointage!KO10,Feuil1!$A:$B,2,FALSE),"")</f>
        <v/>
      </c>
      <c r="KL16" s="31" t="str">
        <f>IFERROR(VLOOKUP([2]Pointage!KP10,Feuil1!$A:$B,2,FALSE),"")</f>
        <v/>
      </c>
      <c r="KM16" s="31" t="str">
        <f>IFERROR(VLOOKUP([2]Pointage!KQ10,Feuil1!$A:$B,2,FALSE),"")</f>
        <v/>
      </c>
      <c r="KN16" s="31" t="str">
        <f>IFERROR(VLOOKUP([2]Pointage!KR10,Feuil1!$A:$B,2,FALSE),"")</f>
        <v/>
      </c>
      <c r="KO16" s="31" t="str">
        <f>IFERROR(VLOOKUP([2]Pointage!KS10,Feuil1!$A:$B,2,FALSE),"")</f>
        <v/>
      </c>
      <c r="KP16" s="31" t="str">
        <f>IFERROR(VLOOKUP([2]Pointage!KT10,Feuil1!$A:$B,2,FALSE),"")</f>
        <v/>
      </c>
      <c r="KQ16" s="31" t="str">
        <f>IFERROR(VLOOKUP([2]Pointage!KU10,Feuil1!$A:$B,2,FALSE),"")</f>
        <v/>
      </c>
      <c r="KR16" s="31" t="str">
        <f>IFERROR(VLOOKUP([2]Pointage!KV10,Feuil1!$A:$B,2,FALSE),"")</f>
        <v/>
      </c>
      <c r="KS16" s="31" t="str">
        <f>IFERROR(VLOOKUP([2]Pointage!KW10,Feuil1!$A:$B,2,FALSE),"")</f>
        <v/>
      </c>
      <c r="KT16" s="31" t="str">
        <f>IFERROR(VLOOKUP([2]Pointage!KX10,Feuil1!$A:$B,2,FALSE),"")</f>
        <v/>
      </c>
      <c r="KU16" s="31" t="str">
        <f>IFERROR(VLOOKUP([2]Pointage!KY10,Feuil1!$A:$B,2,FALSE),"")</f>
        <v/>
      </c>
      <c r="KV16" s="31" t="str">
        <f>IFERROR(VLOOKUP([2]Pointage!KZ10,Feuil1!$A:$B,2,FALSE),"")</f>
        <v/>
      </c>
      <c r="KW16" s="82" t="str">
        <f>IFERROR(VLOOKUP([2]Pointage!LA10,Feuil1!$A:$B,2,FALSE),"")</f>
        <v/>
      </c>
      <c r="KX16" s="47" t="str">
        <f>IFERROR(VLOOKUP([2]Pointage!LB10,Feuil1!$A:$B,2,FALSE),"")</f>
        <v/>
      </c>
      <c r="KY16" s="31" t="str">
        <f>IFERROR(VLOOKUP([2]Pointage!LC10,Feuil1!$A:$B,2,FALSE),"")</f>
        <v/>
      </c>
      <c r="KZ16" s="31" t="str">
        <f>IFERROR(VLOOKUP([2]Pointage!LD10,Feuil1!$A:$B,2,FALSE),"")</f>
        <v/>
      </c>
      <c r="LA16" s="31" t="str">
        <f>IFERROR(VLOOKUP([2]Pointage!LE10,Feuil1!$A:$B,2,FALSE),"")</f>
        <v/>
      </c>
      <c r="LB16" s="31" t="str">
        <f>IFERROR(VLOOKUP([2]Pointage!LF10,Feuil1!$A:$B,2,FALSE),"")</f>
        <v/>
      </c>
      <c r="LC16" s="31" t="str">
        <f>IFERROR(VLOOKUP([2]Pointage!LG10,Feuil1!$A:$B,2,FALSE),"")</f>
        <v/>
      </c>
      <c r="LD16" s="31" t="str">
        <f>IFERROR(VLOOKUP([2]Pointage!LH10,Feuil1!$A:$B,2,FALSE),"")</f>
        <v/>
      </c>
      <c r="LE16" s="31" t="str">
        <f>IFERROR(VLOOKUP([2]Pointage!LI10,Feuil1!$A:$B,2,FALSE),"")</f>
        <v/>
      </c>
      <c r="LF16" s="31" t="str">
        <f>IFERROR(VLOOKUP([2]Pointage!LJ10,Feuil1!$A:$B,2,FALSE),"")</f>
        <v/>
      </c>
      <c r="LG16" s="31" t="str">
        <f>IFERROR(VLOOKUP([2]Pointage!LK10,Feuil1!$A:$B,2,FALSE),"")</f>
        <v/>
      </c>
      <c r="LH16" s="31" t="str">
        <f>IFERROR(VLOOKUP([2]Pointage!LL10,Feuil1!$A:$B,2,FALSE),"")</f>
        <v/>
      </c>
      <c r="LI16" s="31" t="str">
        <f>IFERROR(VLOOKUP([2]Pointage!LM10,Feuil1!$A:$B,2,FALSE),"")</f>
        <v/>
      </c>
      <c r="LJ16" s="31" t="str">
        <f>IFERROR(VLOOKUP([2]Pointage!LN10,Feuil1!$A:$B,2,FALSE),"")</f>
        <v/>
      </c>
      <c r="LK16" s="31" t="str">
        <f>IFERROR(VLOOKUP([2]Pointage!LO10,Feuil1!$A:$B,2,FALSE),"")</f>
        <v/>
      </c>
      <c r="LL16" s="31" t="str">
        <f>IFERROR(VLOOKUP([2]Pointage!LP10,Feuil1!$A:$B,2,FALSE),"")</f>
        <v/>
      </c>
      <c r="LM16" s="31" t="str">
        <f>IFERROR(VLOOKUP([2]Pointage!LQ10,Feuil1!$A:$B,2,FALSE),"")</f>
        <v/>
      </c>
      <c r="LN16" s="31" t="str">
        <f>IFERROR(VLOOKUP([2]Pointage!LR10,Feuil1!$A:$B,2,FALSE),"")</f>
        <v/>
      </c>
      <c r="LO16" s="31" t="str">
        <f>IFERROR(VLOOKUP([2]Pointage!LS10,Feuil1!$A:$B,2,FALSE),"")</f>
        <v/>
      </c>
      <c r="LP16" s="31" t="str">
        <f>IFERROR(VLOOKUP([2]Pointage!LT10,Feuil1!$A:$B,2,FALSE),"")</f>
        <v/>
      </c>
      <c r="LQ16" s="31" t="str">
        <f>IFERROR(VLOOKUP([2]Pointage!LU10,Feuil1!$A:$B,2,FALSE),"")</f>
        <v/>
      </c>
      <c r="LR16" s="31" t="str">
        <f>IFERROR(VLOOKUP([2]Pointage!LV10,Feuil1!$A:$B,2,FALSE),"")</f>
        <v/>
      </c>
      <c r="LS16" s="31" t="str">
        <f>IFERROR(VLOOKUP([2]Pointage!LW10,Feuil1!$A:$B,2,FALSE),"")</f>
        <v/>
      </c>
      <c r="LT16" s="31" t="str">
        <f>IFERROR(VLOOKUP([2]Pointage!LX10,Feuil1!$A:$B,2,FALSE),"")</f>
        <v/>
      </c>
      <c r="LU16" s="31" t="str">
        <f>IFERROR(VLOOKUP([2]Pointage!LY10,Feuil1!$A:$B,2,FALSE),"")</f>
        <v/>
      </c>
      <c r="LV16" s="31" t="str">
        <f>IFERROR(VLOOKUP([2]Pointage!LZ10,Feuil1!$A:$B,2,FALSE),"")</f>
        <v/>
      </c>
      <c r="LW16" s="31" t="str">
        <f>IFERROR(VLOOKUP([2]Pointage!MA10,Feuil1!$A:$B,2,FALSE),"")</f>
        <v/>
      </c>
      <c r="LX16" s="31" t="str">
        <f>IFERROR(VLOOKUP([2]Pointage!MB10,Feuil1!$A:$B,2,FALSE),"")</f>
        <v/>
      </c>
      <c r="LY16" s="31" t="str">
        <f>IFERROR(VLOOKUP([2]Pointage!MC10,Feuil1!$A:$B,2,FALSE),"")</f>
        <v/>
      </c>
      <c r="LZ16" s="31" t="str">
        <f>IFERROR(VLOOKUP([2]Pointage!MD10,Feuil1!$A:$B,2,FALSE),"")</f>
        <v/>
      </c>
      <c r="MA16" s="82" t="str">
        <f>IFERROR(VLOOKUP([2]Pointage!ME10,Feuil1!$A:$B,2,FALSE),"")</f>
        <v/>
      </c>
      <c r="MB16" s="47" t="str">
        <f>IFERROR(VLOOKUP([2]Pointage!MF10,Feuil1!$A:$B,2,FALSE),"")</f>
        <v/>
      </c>
      <c r="MC16" s="31" t="str">
        <f>IFERROR(VLOOKUP([2]Pointage!MG10,Feuil1!$A:$B,2,FALSE),"")</f>
        <v/>
      </c>
      <c r="MD16" s="31" t="str">
        <f>IFERROR(VLOOKUP([2]Pointage!MH10,Feuil1!$A:$B,2,FALSE),"")</f>
        <v/>
      </c>
      <c r="ME16" s="31" t="str">
        <f>IFERROR(VLOOKUP([2]Pointage!MI10,Feuil1!$A:$B,2,FALSE),"")</f>
        <v/>
      </c>
      <c r="MF16" s="31" t="str">
        <f>IFERROR(VLOOKUP([2]Pointage!MJ10,Feuil1!$A:$B,2,FALSE),"")</f>
        <v/>
      </c>
      <c r="MG16" s="31" t="str">
        <f>IFERROR(VLOOKUP([2]Pointage!MK10,Feuil1!$A:$B,2,FALSE),"")</f>
        <v/>
      </c>
      <c r="MH16" s="31" t="str">
        <f>IFERROR(VLOOKUP([2]Pointage!ML10,Feuil1!$A:$B,2,FALSE),"")</f>
        <v/>
      </c>
      <c r="MI16" s="31" t="str">
        <f>IFERROR(VLOOKUP([2]Pointage!MM10,Feuil1!$A:$B,2,FALSE),"")</f>
        <v/>
      </c>
      <c r="MJ16" s="31" t="str">
        <f>IFERROR(VLOOKUP([2]Pointage!MN10,Feuil1!$A:$B,2,FALSE),"")</f>
        <v/>
      </c>
      <c r="MK16" s="31" t="str">
        <f>IFERROR(VLOOKUP([2]Pointage!MO10,Feuil1!$A:$B,2,FALSE),"")</f>
        <v/>
      </c>
      <c r="ML16" s="31" t="str">
        <f>IFERROR(VLOOKUP([2]Pointage!MP10,Feuil1!$A:$B,2,FALSE),"")</f>
        <v/>
      </c>
      <c r="MM16" s="31" t="str">
        <f>IFERROR(VLOOKUP([2]Pointage!MQ10,Feuil1!$A:$B,2,FALSE),"")</f>
        <v/>
      </c>
      <c r="MN16" s="31" t="str">
        <f>IFERROR(VLOOKUP([2]Pointage!MR10,Feuil1!$A:$B,2,FALSE),"")</f>
        <v/>
      </c>
      <c r="MO16" s="31" t="str">
        <f>IFERROR(VLOOKUP([2]Pointage!MS10,Feuil1!$A:$B,2,FALSE),"")</f>
        <v/>
      </c>
      <c r="MP16" s="31" t="str">
        <f>IFERROR(VLOOKUP([2]Pointage!MT10,Feuil1!$A:$B,2,FALSE),"")</f>
        <v/>
      </c>
      <c r="MQ16" s="31" t="str">
        <f>IFERROR(VLOOKUP([2]Pointage!MU10,Feuil1!$A:$B,2,FALSE),"")</f>
        <v/>
      </c>
      <c r="MR16" s="31" t="str">
        <f>IFERROR(VLOOKUP([2]Pointage!MV10,Feuil1!$A:$B,2,FALSE),"")</f>
        <v/>
      </c>
      <c r="MS16" s="31" t="str">
        <f>IFERROR(VLOOKUP([2]Pointage!MW10,Feuil1!$A:$B,2,FALSE),"")</f>
        <v/>
      </c>
      <c r="MT16" s="31" t="str">
        <f>IFERROR(VLOOKUP([2]Pointage!MX10,Feuil1!$A:$B,2,FALSE),"")</f>
        <v/>
      </c>
      <c r="MU16" s="31" t="str">
        <f>IFERROR(VLOOKUP([2]Pointage!MY10,Feuil1!$A:$B,2,FALSE),"")</f>
        <v/>
      </c>
      <c r="MV16" s="31" t="str">
        <f>IFERROR(VLOOKUP([2]Pointage!MZ10,Feuil1!$A:$B,2,FALSE),"")</f>
        <v/>
      </c>
      <c r="MW16" s="31" t="str">
        <f>IFERROR(VLOOKUP([2]Pointage!NA10,Feuil1!$A:$B,2,FALSE),"")</f>
        <v/>
      </c>
      <c r="MX16" s="31" t="str">
        <f>IFERROR(VLOOKUP([2]Pointage!NB10,Feuil1!$A:$B,2,FALSE),"")</f>
        <v/>
      </c>
      <c r="MY16" s="31" t="str">
        <f>IFERROR(VLOOKUP([2]Pointage!NC10,Feuil1!$A:$B,2,FALSE),"")</f>
        <v/>
      </c>
      <c r="MZ16" s="31" t="str">
        <f>IFERROR(VLOOKUP([2]Pointage!ND10,Feuil1!$A:$B,2,FALSE),"")</f>
        <v/>
      </c>
      <c r="NA16" s="31" t="str">
        <f>IFERROR(VLOOKUP([2]Pointage!NE10,Feuil1!$A:$B,2,FALSE),"")</f>
        <v/>
      </c>
      <c r="NB16" s="31" t="str">
        <f>IFERROR(VLOOKUP([2]Pointage!NF10,Feuil1!$A:$B,2,FALSE),"")</f>
        <v/>
      </c>
      <c r="NC16" s="31" t="str">
        <f>IFERROR(VLOOKUP([2]Pointage!NG10,Feuil1!$A:$B,2,FALSE),"")</f>
        <v/>
      </c>
      <c r="ND16" s="31" t="str">
        <f>IFERROR(VLOOKUP([2]Pointage!NH10,Feuil1!$A:$B,2,FALSE),"")</f>
        <v/>
      </c>
      <c r="NE16" s="31" t="str">
        <f>IFERROR(VLOOKUP([2]Pointage!NI10,Feuil1!$A:$B,2,FALSE),"")</f>
        <v/>
      </c>
      <c r="NF16" s="48" t="str">
        <f>IFERROR(VLOOKUP([2]Pointage!NJ10,Feuil1!$A:$B,2,FALSE),"")</f>
        <v/>
      </c>
      <c r="NG16" s="52">
        <f>COUNTIF(Global!F16:NF16,"RTT")+(COUNTIF(Global!F16:NF16,"dRTT")/2)</f>
        <v>6</v>
      </c>
      <c r="NH16" s="42">
        <f>COUNTIF(Global!F16:NF16,"C")+(COUNTIF(Global!F16:NF16,"DC")/2)</f>
        <v>14</v>
      </c>
      <c r="NI16" s="42">
        <f>COUNTIF(Global!F16:NF16,"M")</f>
        <v>0</v>
      </c>
      <c r="NJ16" s="42">
        <f>COUNTIF(Global!G16:NG16,"AT")</f>
        <v>0</v>
      </c>
      <c r="NK16" s="42">
        <f>COUNTIF(Global!F16:NF16,"RD")</f>
        <v>0</v>
      </c>
      <c r="NL16" s="42">
        <f>COUNTIF(Global!F16:NF16,"RC")+(COUNTIF(Global!F16:NF16,"dRC")/2)</f>
        <v>0</v>
      </c>
      <c r="NM16" s="68">
        <f t="shared" ca="1" si="0"/>
        <v>4.0273972602739727</v>
      </c>
      <c r="NP16">
        <f>(NP14*NP15)/31</f>
        <v>0.46575342465753422</v>
      </c>
      <c r="NT16" s="33"/>
      <c r="NU16" s="33"/>
      <c r="NV16" s="28"/>
      <c r="NW16" s="28"/>
      <c r="NX16" s="29">
        <f>COUNTIF(F16:NF16,"C")++(COUNTIF(Global!F16:NF16,"DC")/2)</f>
        <v>14</v>
      </c>
      <c r="NY16" s="29"/>
      <c r="NZ16" s="29"/>
      <c r="OA16" s="29"/>
      <c r="OB16" s="29">
        <f>COUNTIF(Global!F16:NF16,"M")</f>
        <v>0</v>
      </c>
      <c r="OC16" s="30">
        <f t="shared" si="1"/>
        <v>-14</v>
      </c>
      <c r="OD16" s="30"/>
    </row>
    <row r="17" spans="1:394" ht="30" customHeight="1" x14ac:dyDescent="0.2">
      <c r="A17" s="15" t="s">
        <v>73</v>
      </c>
      <c r="B17" s="22" t="s">
        <v>156</v>
      </c>
      <c r="C17" s="22" t="s">
        <v>157</v>
      </c>
      <c r="D17" s="22" t="s">
        <v>158</v>
      </c>
      <c r="E17" s="44">
        <v>0</v>
      </c>
      <c r="F17" s="47" t="str">
        <f>IFERROR(VLOOKUP([2]Pointage!J11,Feuil1!$A:$B,2,FALSE),"")</f>
        <v/>
      </c>
      <c r="G17" s="31" t="str">
        <f>IFERROR(VLOOKUP([2]Pointage!K11,Feuil1!$A:$B,2,FALSE),"")</f>
        <v/>
      </c>
      <c r="H17" s="31" t="str">
        <f>IFERROR(VLOOKUP([2]Pointage!L11,Feuil1!$A:$B,2,FALSE),"")</f>
        <v/>
      </c>
      <c r="I17" s="31" t="str">
        <f>IFERROR(VLOOKUP([2]Pointage!M11,Feuil1!$A:$B,2,FALSE),"")</f>
        <v/>
      </c>
      <c r="J17" s="31" t="str">
        <f>IFERROR(VLOOKUP([2]Pointage!N11,Feuil1!$A:$B,2,FALSE),"")</f>
        <v/>
      </c>
      <c r="K17" s="31" t="str">
        <f>IFERROR(VLOOKUP([2]Pointage!O11,Feuil1!$A:$B,2,FALSE),"")</f>
        <v/>
      </c>
      <c r="L17" s="31" t="str">
        <f>IFERROR(VLOOKUP([2]Pointage!P11,Feuil1!$A:$B,2,FALSE),"")</f>
        <v/>
      </c>
      <c r="M17" s="31" t="str">
        <f>IFERROR(VLOOKUP([2]Pointage!Q11,Feuil1!$A:$B,2,FALSE),"")</f>
        <v/>
      </c>
      <c r="N17" s="31" t="str">
        <f>IFERROR(VLOOKUP([2]Pointage!R11,Feuil1!$A:$B,2,FALSE),"")</f>
        <v/>
      </c>
      <c r="O17" s="31" t="str">
        <f>IFERROR(VLOOKUP([2]Pointage!S11,Feuil1!$A:$B,2,FALSE),"")</f>
        <v/>
      </c>
      <c r="P17" s="31" t="str">
        <f>IFERROR(VLOOKUP([2]Pointage!T11,Feuil1!$A:$B,2,FALSE),"")</f>
        <v/>
      </c>
      <c r="Q17" s="31" t="str">
        <f>IFERROR(VLOOKUP([2]Pointage!U11,Feuil1!$A:$B,2,FALSE),"")</f>
        <v/>
      </c>
      <c r="R17" s="31" t="str">
        <f>IFERROR(VLOOKUP([2]Pointage!V11,Feuil1!$A:$B,2,FALSE),"")</f>
        <v/>
      </c>
      <c r="S17" s="31" t="str">
        <f>IFERROR(VLOOKUP([2]Pointage!W11,Feuil1!$A:$B,2,FALSE),"")</f>
        <v/>
      </c>
      <c r="T17" s="31" t="str">
        <f>IFERROR(VLOOKUP([2]Pointage!X11,Feuil1!$A:$B,2,FALSE),"")</f>
        <v/>
      </c>
      <c r="U17" s="31" t="str">
        <f>IFERROR(VLOOKUP([2]Pointage!Y11,Feuil1!$A:$B,2,FALSE),"")</f>
        <v/>
      </c>
      <c r="V17" s="31" t="str">
        <f>IFERROR(VLOOKUP([2]Pointage!Z11,Feuil1!$A:$B,2,FALSE),"")</f>
        <v/>
      </c>
      <c r="W17" s="31" t="str">
        <f>IFERROR(VLOOKUP([2]Pointage!AA11,Feuil1!$A:$B,2,FALSE),"")</f>
        <v/>
      </c>
      <c r="X17" s="31" t="str">
        <f>IFERROR(VLOOKUP([2]Pointage!AB11,Feuil1!$A:$B,2,FALSE),"")</f>
        <v/>
      </c>
      <c r="Y17" s="31" t="str">
        <f>IFERROR(VLOOKUP([2]Pointage!AC11,Feuil1!$A:$B,2,FALSE),"")</f>
        <v/>
      </c>
      <c r="Z17" s="31" t="str">
        <f>IFERROR(VLOOKUP([2]Pointage!AD11,Feuil1!$A:$B,2,FALSE),"")</f>
        <v/>
      </c>
      <c r="AA17" s="31" t="str">
        <f>IFERROR(VLOOKUP([2]Pointage!AE11,Feuil1!$A:$B,2,FALSE),"")</f>
        <v/>
      </c>
      <c r="AB17" s="31" t="str">
        <f>IFERROR(VLOOKUP([2]Pointage!AF11,Feuil1!$A:$B,2,FALSE),"")</f>
        <v/>
      </c>
      <c r="AC17" s="31" t="str">
        <f>IFERROR(VLOOKUP([2]Pointage!AG11,Feuil1!$A:$B,2,FALSE),"")</f>
        <v/>
      </c>
      <c r="AD17" s="31" t="str">
        <f>IFERROR(VLOOKUP([2]Pointage!AH11,Feuil1!$A:$B,2,FALSE),"")</f>
        <v/>
      </c>
      <c r="AE17" s="31" t="str">
        <f>IFERROR(VLOOKUP([2]Pointage!AI11,Feuil1!$A:$B,2,FALSE),"")</f>
        <v/>
      </c>
      <c r="AF17" s="31" t="str">
        <f>IFERROR(VLOOKUP([2]Pointage!AJ11,Feuil1!$A:$B,2,FALSE),"")</f>
        <v/>
      </c>
      <c r="AG17" s="31" t="str">
        <f>IFERROR(VLOOKUP([2]Pointage!AK11,Feuil1!$A:$B,2,FALSE),"")</f>
        <v/>
      </c>
      <c r="AH17" s="31" t="str">
        <f>IFERROR(VLOOKUP([2]Pointage!AL11,Feuil1!$A:$B,2,FALSE),"")</f>
        <v/>
      </c>
      <c r="AI17" s="31" t="str">
        <f>IFERROR(VLOOKUP([2]Pointage!AM11,Feuil1!$A:$B,2,FALSE),"")</f>
        <v/>
      </c>
      <c r="AJ17" s="82" t="str">
        <f>IFERROR(VLOOKUP([2]Pointage!AN11,Feuil1!$A:$B,2,FALSE),"")</f>
        <v/>
      </c>
      <c r="AK17" s="47" t="str">
        <f>IFERROR(VLOOKUP([2]Pointage!AO11,Feuil1!$A:$B,2,FALSE),"")</f>
        <v/>
      </c>
      <c r="AL17" s="31" t="str">
        <f>IFERROR(VLOOKUP([2]Pointage!AP11,Feuil1!$A:$B,2,FALSE),"")</f>
        <v/>
      </c>
      <c r="AM17" s="31" t="str">
        <f>IFERROR(VLOOKUP([2]Pointage!AQ11,Feuil1!$A:$B,2,FALSE),"")</f>
        <v/>
      </c>
      <c r="AN17" s="31" t="str">
        <f>IFERROR(VLOOKUP([2]Pointage!AR11,Feuil1!$A:$B,2,FALSE),"")</f>
        <v/>
      </c>
      <c r="AO17" s="31" t="str">
        <f>IFERROR(VLOOKUP([2]Pointage!AS11,Feuil1!$A:$B,2,FALSE),"")</f>
        <v/>
      </c>
      <c r="AP17" s="31" t="str">
        <f>IFERROR(VLOOKUP([2]Pointage!AT11,Feuil1!$A:$B,2,FALSE),"")</f>
        <v/>
      </c>
      <c r="AQ17" s="31" t="str">
        <f>IFERROR(VLOOKUP([2]Pointage!AU11,Feuil1!$A:$B,2,FALSE),"")</f>
        <v/>
      </c>
      <c r="AR17" s="31" t="str">
        <f>IFERROR(VLOOKUP([2]Pointage!AV11,Feuil1!$A:$B,2,FALSE),"")</f>
        <v/>
      </c>
      <c r="AS17" s="31" t="str">
        <f>IFERROR(VLOOKUP([2]Pointage!AW11,Feuil1!$A:$B,2,FALSE),"")</f>
        <v/>
      </c>
      <c r="AT17" s="31" t="str">
        <f>IFERROR(VLOOKUP([2]Pointage!AX11,Feuil1!$A:$B,2,FALSE),"")</f>
        <v/>
      </c>
      <c r="AU17" s="31" t="str">
        <f>IFERROR(VLOOKUP([2]Pointage!AY11,Feuil1!$A:$B,2,FALSE),"")</f>
        <v/>
      </c>
      <c r="AV17" s="31" t="str">
        <f>IFERROR(VLOOKUP([2]Pointage!AZ11,Feuil1!$A:$B,2,FALSE),"")</f>
        <v/>
      </c>
      <c r="AW17" s="31" t="str">
        <f>IFERROR(VLOOKUP([2]Pointage!BA11,Feuil1!$A:$B,2,FALSE),"")</f>
        <v/>
      </c>
      <c r="AX17" s="31" t="str">
        <f>IFERROR(VLOOKUP([2]Pointage!BB11,Feuil1!$A:$B,2,FALSE),"")</f>
        <v/>
      </c>
      <c r="AY17" s="31" t="str">
        <f>IFERROR(VLOOKUP([2]Pointage!BC11,Feuil1!$A:$B,2,FALSE),"")</f>
        <v/>
      </c>
      <c r="AZ17" s="31" t="str">
        <f>IFERROR(VLOOKUP([2]Pointage!BD11,Feuil1!$A:$B,2,FALSE),"")</f>
        <v/>
      </c>
      <c r="BA17" s="31" t="str">
        <f>IFERROR(VLOOKUP([2]Pointage!BE11,Feuil1!$A:$B,2,FALSE),"")</f>
        <v/>
      </c>
      <c r="BB17" s="31" t="str">
        <f>IFERROR(VLOOKUP([2]Pointage!BF11,Feuil1!$A:$B,2,FALSE),"")</f>
        <v/>
      </c>
      <c r="BC17" s="31" t="str">
        <f>IFERROR(VLOOKUP([2]Pointage!BG11,Feuil1!$A:$B,2,FALSE),"")</f>
        <v/>
      </c>
      <c r="BD17" s="31" t="str">
        <f>IFERROR(VLOOKUP([2]Pointage!BH11,Feuil1!$A:$B,2,FALSE),"")</f>
        <v/>
      </c>
      <c r="BE17" s="31" t="str">
        <f>IFERROR(VLOOKUP([2]Pointage!BI11,Feuil1!$A:$B,2,FALSE),"")</f>
        <v/>
      </c>
      <c r="BF17" s="31" t="str">
        <f>IFERROR(VLOOKUP([2]Pointage!BJ11,Feuil1!$A:$B,2,FALSE),"")</f>
        <v/>
      </c>
      <c r="BG17" s="31" t="str">
        <f>IFERROR(VLOOKUP([2]Pointage!BK11,Feuil1!$A:$B,2,FALSE),"")</f>
        <v/>
      </c>
      <c r="BH17" s="31" t="str">
        <f>IFERROR(VLOOKUP([2]Pointage!BL11,Feuil1!$A:$B,2,FALSE),"")</f>
        <v/>
      </c>
      <c r="BI17" s="31" t="str">
        <f>IFERROR(VLOOKUP([2]Pointage!BM11,Feuil1!$A:$B,2,FALSE),"")</f>
        <v/>
      </c>
      <c r="BJ17" s="31" t="str">
        <f>IFERROR(VLOOKUP([2]Pointage!BN11,Feuil1!$A:$B,2,FALSE),"")</f>
        <v/>
      </c>
      <c r="BK17" s="31" t="str">
        <f>IFERROR(VLOOKUP([2]Pointage!BO11,Feuil1!$A:$B,2,FALSE),"")</f>
        <v/>
      </c>
      <c r="BL17" s="82" t="str">
        <f>IFERROR(VLOOKUP([2]Pointage!BP11,Feuil1!$A:$B,2,FALSE),"")</f>
        <v/>
      </c>
      <c r="BM17" s="47" t="str">
        <f>IFERROR(VLOOKUP([2]Pointage!BQ11,Feuil1!$A:$B,2,FALSE),"")</f>
        <v/>
      </c>
      <c r="BN17" s="31" t="str">
        <f>IFERROR(VLOOKUP([2]Pointage!BR11,Feuil1!$A:$B,2,FALSE),"")</f>
        <v/>
      </c>
      <c r="BO17" s="31" t="str">
        <f>IFERROR(VLOOKUP([2]Pointage!BS11,Feuil1!$A:$B,2,FALSE),"")</f>
        <v/>
      </c>
      <c r="BP17" s="31" t="str">
        <f>IFERROR(VLOOKUP([2]Pointage!BT11,Feuil1!$A:$B,2,FALSE),"")</f>
        <v/>
      </c>
      <c r="BQ17" s="31" t="str">
        <f>IFERROR(VLOOKUP([2]Pointage!BU11,Feuil1!$A:$B,2,FALSE),"")</f>
        <v/>
      </c>
      <c r="BR17" s="31" t="str">
        <f>IFERROR(VLOOKUP([2]Pointage!BV11,Feuil1!$A:$B,2,FALSE),"")</f>
        <v/>
      </c>
      <c r="BS17" s="31" t="str">
        <f>IFERROR(VLOOKUP([2]Pointage!BW11,Feuil1!$A:$B,2,FALSE),"")</f>
        <v/>
      </c>
      <c r="BT17" s="31" t="str">
        <f>IFERROR(VLOOKUP([2]Pointage!BX11,Feuil1!$A:$B,2,FALSE),"")</f>
        <v/>
      </c>
      <c r="BU17" s="31" t="str">
        <f>IFERROR(VLOOKUP([2]Pointage!BY11,Feuil1!$A:$B,2,FALSE),"")</f>
        <v/>
      </c>
      <c r="BV17" s="31" t="str">
        <f>IFERROR(VLOOKUP([2]Pointage!BZ11,Feuil1!$A:$B,2,FALSE),"")</f>
        <v/>
      </c>
      <c r="BW17" s="31" t="str">
        <f>IFERROR(VLOOKUP([2]Pointage!CA11,Feuil1!$A:$B,2,FALSE),"")</f>
        <v/>
      </c>
      <c r="BX17" s="31" t="str">
        <f>IFERROR(VLOOKUP([2]Pointage!CB11,Feuil1!$A:$B,2,FALSE),"")</f>
        <v/>
      </c>
      <c r="BY17" s="31" t="str">
        <f>IFERROR(VLOOKUP([2]Pointage!CC11,Feuil1!$A:$B,2,FALSE),"")</f>
        <v/>
      </c>
      <c r="BZ17" s="31" t="str">
        <f>IFERROR(VLOOKUP([2]Pointage!CD11,Feuil1!$A:$B,2,FALSE),"")</f>
        <v/>
      </c>
      <c r="CA17" s="31" t="str">
        <f>IFERROR(VLOOKUP([2]Pointage!CE11,Feuil1!$A:$B,2,FALSE),"")</f>
        <v/>
      </c>
      <c r="CB17" s="31" t="str">
        <f>IFERROR(VLOOKUP([2]Pointage!CF11,Feuil1!$A:$B,2,FALSE),"")</f>
        <v/>
      </c>
      <c r="CC17" s="31" t="str">
        <f>IFERROR(VLOOKUP([2]Pointage!CG11,Feuil1!$A:$B,2,FALSE),"")</f>
        <v/>
      </c>
      <c r="CD17" s="31" t="str">
        <f>IFERROR(VLOOKUP([2]Pointage!CH11,Feuil1!$A:$B,2,FALSE),"")</f>
        <v/>
      </c>
      <c r="CE17" s="31" t="str">
        <f>IFERROR(VLOOKUP([2]Pointage!CI11,Feuil1!$A:$B,2,FALSE),"")</f>
        <v/>
      </c>
      <c r="CF17" s="31" t="str">
        <f>IFERROR(VLOOKUP([2]Pointage!CJ11,Feuil1!$A:$B,2,FALSE),"")</f>
        <v/>
      </c>
      <c r="CG17" s="31" t="str">
        <f>IFERROR(VLOOKUP([2]Pointage!CK11,Feuil1!$A:$B,2,FALSE),"")</f>
        <v/>
      </c>
      <c r="CH17" s="31" t="str">
        <f>IFERROR(VLOOKUP([2]Pointage!CL11,Feuil1!$A:$B,2,FALSE),"")</f>
        <v/>
      </c>
      <c r="CI17" s="31" t="str">
        <f>IFERROR(VLOOKUP([2]Pointage!CM11,Feuil1!$A:$B,2,FALSE),"")</f>
        <v/>
      </c>
      <c r="CJ17" s="31" t="str">
        <f>IFERROR(VLOOKUP([2]Pointage!CN11,Feuil1!$A:$B,2,FALSE),"")</f>
        <v/>
      </c>
      <c r="CK17" s="31" t="str">
        <f>IFERROR(VLOOKUP([2]Pointage!CO11,Feuil1!$A:$B,2,FALSE),"")</f>
        <v/>
      </c>
      <c r="CL17" s="31" t="str">
        <f>IFERROR(VLOOKUP([2]Pointage!CP11,Feuil1!$A:$B,2,FALSE),"")</f>
        <v/>
      </c>
      <c r="CM17" s="31" t="str">
        <f>IFERROR(VLOOKUP([2]Pointage!CQ11,Feuil1!$A:$B,2,FALSE),"")</f>
        <v/>
      </c>
      <c r="CN17" s="31" t="str">
        <f>IFERROR(VLOOKUP([2]Pointage!CR11,Feuil1!$A:$B,2,FALSE),"")</f>
        <v/>
      </c>
      <c r="CO17" s="31" t="str">
        <f>IFERROR(VLOOKUP([2]Pointage!CS11,Feuil1!$A:$B,2,FALSE),"")</f>
        <v/>
      </c>
      <c r="CP17" s="31" t="str">
        <f>IFERROR(VLOOKUP([2]Pointage!CT11,Feuil1!$A:$B,2,FALSE),"")</f>
        <v/>
      </c>
      <c r="CQ17" s="82" t="str">
        <f>IFERROR(VLOOKUP([2]Pointage!CU11,Feuil1!$A:$B,2,FALSE),"")</f>
        <v/>
      </c>
      <c r="CR17" s="47" t="str">
        <f>IFERROR(VLOOKUP([2]Pointage!CV11,Feuil1!$A:$B,2,FALSE),"")</f>
        <v/>
      </c>
      <c r="CS17" s="31" t="str">
        <f>IFERROR(VLOOKUP([2]Pointage!CW11,Feuil1!$A:$B,2,FALSE),"")</f>
        <v/>
      </c>
      <c r="CT17" s="31" t="str">
        <f>IFERROR(VLOOKUP([2]Pointage!CX11,Feuil1!$A:$B,2,FALSE),"")</f>
        <v/>
      </c>
      <c r="CU17" s="31" t="str">
        <f>IFERROR(VLOOKUP([2]Pointage!CY11,Feuil1!$A:$B,2,FALSE),"")</f>
        <v/>
      </c>
      <c r="CV17" s="31" t="str">
        <f>IFERROR(VLOOKUP([2]Pointage!CZ11,Feuil1!$A:$B,2,FALSE),"")</f>
        <v>AT</v>
      </c>
      <c r="CW17" s="31" t="str">
        <f>IFERROR(VLOOKUP([2]Pointage!DA11,Feuil1!$A:$B,2,FALSE),"")</f>
        <v>AT</v>
      </c>
      <c r="CX17" s="31" t="str">
        <f>IFERROR(VLOOKUP([2]Pointage!DB11,Feuil1!$A:$B,2,FALSE),"")</f>
        <v>AT</v>
      </c>
      <c r="CY17" s="31" t="str">
        <f>IFERROR(VLOOKUP([2]Pointage!DC11,Feuil1!$A:$B,2,FALSE),"")</f>
        <v>AT</v>
      </c>
      <c r="CZ17" s="31" t="str">
        <f>IFERROR(VLOOKUP([2]Pointage!DD11,Feuil1!$A:$B,2,FALSE),"")</f>
        <v>AT</v>
      </c>
      <c r="DA17" s="31" t="str">
        <f>IFERROR(VLOOKUP([2]Pointage!DE11,Feuil1!$A:$B,2,FALSE),"")</f>
        <v>AT</v>
      </c>
      <c r="DB17" s="31" t="str">
        <f>IFERROR(VLOOKUP([2]Pointage!DF11,Feuil1!$A:$B,2,FALSE),"")</f>
        <v>AT</v>
      </c>
      <c r="DC17" s="31" t="str">
        <f>IFERROR(VLOOKUP([2]Pointage!DG11,Feuil1!$A:$B,2,FALSE),"")</f>
        <v>AT</v>
      </c>
      <c r="DD17" s="31" t="str">
        <f>IFERROR(VLOOKUP([2]Pointage!DH11,Feuil1!$A:$B,2,FALSE),"")</f>
        <v>AT</v>
      </c>
      <c r="DE17" s="31" t="str">
        <f>IFERROR(VLOOKUP([2]Pointage!DI11,Feuil1!$A:$B,2,FALSE),"")</f>
        <v>AT</v>
      </c>
      <c r="DF17" s="31" t="str">
        <f>IFERROR(VLOOKUP([2]Pointage!DJ11,Feuil1!$A:$B,2,FALSE),"")</f>
        <v>AT</v>
      </c>
      <c r="DG17" s="31" t="str">
        <f>IFERROR(VLOOKUP([2]Pointage!DK11,Feuil1!$A:$B,2,FALSE),"")</f>
        <v>AT</v>
      </c>
      <c r="DH17" s="31" t="str">
        <f>IFERROR(VLOOKUP([2]Pointage!DL11,Feuil1!$A:$B,2,FALSE),"")</f>
        <v>AT</v>
      </c>
      <c r="DI17" s="31" t="str">
        <f>IFERROR(VLOOKUP([2]Pointage!DM11,Feuil1!$A:$B,2,FALSE),"")</f>
        <v>AT</v>
      </c>
      <c r="DJ17" s="31" t="str">
        <f>IFERROR(VLOOKUP([2]Pointage!DN11,Feuil1!$A:$B,2,FALSE),"")</f>
        <v>AT</v>
      </c>
      <c r="DK17" s="31" t="str">
        <f>IFERROR(VLOOKUP([2]Pointage!DO11,Feuil1!$A:$B,2,FALSE),"")</f>
        <v>AT</v>
      </c>
      <c r="DL17" s="31" t="str">
        <f>IFERROR(VLOOKUP([2]Pointage!DP11,Feuil1!$A:$B,2,FALSE),"")</f>
        <v>AT</v>
      </c>
      <c r="DM17" s="31" t="str">
        <f>IFERROR(VLOOKUP([2]Pointage!DQ11,Feuil1!$A:$B,2,FALSE),"")</f>
        <v>AT</v>
      </c>
      <c r="DN17" s="31" t="str">
        <f>IFERROR(VLOOKUP([2]Pointage!DR11,Feuil1!$A:$B,2,FALSE),"")</f>
        <v>AT</v>
      </c>
      <c r="DO17" s="31" t="str">
        <f>IFERROR(VLOOKUP([2]Pointage!DS11,Feuil1!$A:$B,2,FALSE),"")</f>
        <v/>
      </c>
      <c r="DP17" s="31" t="str">
        <f>IFERROR(VLOOKUP([2]Pointage!DT11,Feuil1!$A:$B,2,FALSE),"")</f>
        <v/>
      </c>
      <c r="DQ17" s="31" t="str">
        <f>IFERROR(VLOOKUP([2]Pointage!DU11,Feuil1!$A:$B,2,FALSE),"")</f>
        <v/>
      </c>
      <c r="DR17" s="31" t="str">
        <f>IFERROR(VLOOKUP([2]Pointage!DV11,Feuil1!$A:$B,2,FALSE),"")</f>
        <v/>
      </c>
      <c r="DS17" s="31" t="str">
        <f>IFERROR(VLOOKUP([2]Pointage!DW11,Feuil1!$A:$B,2,FALSE),"")</f>
        <v/>
      </c>
      <c r="DT17" s="31" t="str">
        <f>IFERROR(VLOOKUP([2]Pointage!DX11,Feuil1!$A:$B,2,FALSE),"")</f>
        <v/>
      </c>
      <c r="DU17" s="82" t="str">
        <f>IFERROR(VLOOKUP([2]Pointage!DY11,Feuil1!$A:$B,2,FALSE),"")</f>
        <v/>
      </c>
      <c r="DV17" s="47" t="str">
        <f>IFERROR(VLOOKUP([2]Pointage!DZ11,Feuil1!$A:$B,2,FALSE),"")</f>
        <v/>
      </c>
      <c r="DW17" s="31" t="str">
        <f>IFERROR(VLOOKUP([2]Pointage!EA11,Feuil1!$A:$B,2,FALSE),"")</f>
        <v/>
      </c>
      <c r="DX17" s="31" t="str">
        <f>IFERROR(VLOOKUP([2]Pointage!EB11,Feuil1!$A:$B,2,FALSE),"")</f>
        <v/>
      </c>
      <c r="DY17" s="31" t="str">
        <f>IFERROR(VLOOKUP([2]Pointage!EC11,Feuil1!$A:$B,2,FALSE),"")</f>
        <v/>
      </c>
      <c r="DZ17" s="31" t="str">
        <f>IFERROR(VLOOKUP([2]Pointage!ED11,Feuil1!$A:$B,2,FALSE),"")</f>
        <v/>
      </c>
      <c r="EA17" s="31" t="str">
        <f>IFERROR(VLOOKUP([2]Pointage!EE11,Feuil1!$A:$B,2,FALSE),"")</f>
        <v/>
      </c>
      <c r="EB17" s="31" t="str">
        <f>IFERROR(VLOOKUP([2]Pointage!EF11,Feuil1!$A:$B,2,FALSE),"")</f>
        <v/>
      </c>
      <c r="EC17" s="31" t="str">
        <f>IFERROR(VLOOKUP([2]Pointage!EG11,Feuil1!$A:$B,2,FALSE),"")</f>
        <v/>
      </c>
      <c r="ED17" s="31" t="str">
        <f>IFERROR(VLOOKUP([2]Pointage!EH11,Feuil1!$A:$B,2,FALSE),"")</f>
        <v/>
      </c>
      <c r="EE17" s="31" t="str">
        <f>IFERROR(VLOOKUP([2]Pointage!EI11,Feuil1!$A:$B,2,FALSE),"")</f>
        <v/>
      </c>
      <c r="EF17" s="31" t="str">
        <f>IFERROR(VLOOKUP([2]Pointage!EJ11,Feuil1!$A:$B,2,FALSE),"")</f>
        <v/>
      </c>
      <c r="EG17" s="31" t="str">
        <f>IFERROR(VLOOKUP([2]Pointage!EK11,Feuil1!$A:$B,2,FALSE),"")</f>
        <v/>
      </c>
      <c r="EH17" s="31" t="str">
        <f>IFERROR(VLOOKUP([2]Pointage!EL11,Feuil1!$A:$B,2,FALSE),"")</f>
        <v/>
      </c>
      <c r="EI17" s="31" t="str">
        <f>IFERROR(VLOOKUP([2]Pointage!EM11,Feuil1!$A:$B,2,FALSE),"")</f>
        <v/>
      </c>
      <c r="EJ17" s="31" t="str">
        <f>IFERROR(VLOOKUP([2]Pointage!EN11,Feuil1!$A:$B,2,FALSE),"")</f>
        <v/>
      </c>
      <c r="EK17" s="31" t="str">
        <f>IFERROR(VLOOKUP([2]Pointage!EO11,Feuil1!$A:$B,2,FALSE),"")</f>
        <v/>
      </c>
      <c r="EL17" s="31" t="str">
        <f>IFERROR(VLOOKUP([2]Pointage!EP11,Feuil1!$A:$B,2,FALSE),"")</f>
        <v/>
      </c>
      <c r="EM17" s="31" t="str">
        <f>IFERROR(VLOOKUP([2]Pointage!EQ11,Feuil1!$A:$B,2,FALSE),"")</f>
        <v/>
      </c>
      <c r="EN17" s="31" t="str">
        <f>IFERROR(VLOOKUP([2]Pointage!ER11,Feuil1!$A:$B,2,FALSE),"")</f>
        <v/>
      </c>
      <c r="EO17" s="31" t="str">
        <f>IFERROR(VLOOKUP([2]Pointage!ES11,Feuil1!$A:$B,2,FALSE),"")</f>
        <v/>
      </c>
      <c r="EP17" s="31" t="str">
        <f>IFERROR(VLOOKUP([2]Pointage!ET11,Feuil1!$A:$B,2,FALSE),"")</f>
        <v/>
      </c>
      <c r="EQ17" s="31" t="str">
        <f>IFERROR(VLOOKUP([2]Pointage!EU11,Feuil1!$A:$B,2,FALSE),"")</f>
        <v/>
      </c>
      <c r="ER17" s="31" t="str">
        <f>IFERROR(VLOOKUP([2]Pointage!EV11,Feuil1!$A:$B,2,FALSE),"")</f>
        <v/>
      </c>
      <c r="ES17" s="31" t="str">
        <f>IFERROR(VLOOKUP([2]Pointage!EW11,Feuil1!$A:$B,2,FALSE),"")</f>
        <v/>
      </c>
      <c r="ET17" s="31" t="str">
        <f>IFERROR(VLOOKUP([2]Pointage!EX11,Feuil1!$A:$B,2,FALSE),"")</f>
        <v/>
      </c>
      <c r="EU17" s="31" t="str">
        <f>IFERROR(VLOOKUP([2]Pointage!EY11,Feuil1!$A:$B,2,FALSE),"")</f>
        <v/>
      </c>
      <c r="EV17" s="31" t="str">
        <f>IFERROR(VLOOKUP([2]Pointage!EZ11,Feuil1!$A:$B,2,FALSE),"")</f>
        <v/>
      </c>
      <c r="EW17" s="31" t="str">
        <f>IFERROR(VLOOKUP([2]Pointage!FA11,Feuil1!$A:$B,2,FALSE),"")</f>
        <v/>
      </c>
      <c r="EX17" s="31" t="str">
        <f>IFERROR(VLOOKUP([2]Pointage!FB11,Feuil1!$A:$B,2,FALSE),"")</f>
        <v/>
      </c>
      <c r="EY17" s="31" t="str">
        <f>IFERROR(VLOOKUP([2]Pointage!FC11,Feuil1!$A:$B,2,FALSE),"")</f>
        <v/>
      </c>
      <c r="EZ17" s="82" t="str">
        <f>IFERROR(VLOOKUP([2]Pointage!FD11,Feuil1!$A:$B,2,FALSE),"")</f>
        <v/>
      </c>
      <c r="FA17" s="47" t="str">
        <f>IFERROR(VLOOKUP([2]Pointage!FE11,Feuil1!$A:$B,2,FALSE),"")</f>
        <v/>
      </c>
      <c r="FB17" s="31" t="str">
        <f>IFERROR(VLOOKUP([2]Pointage!FF11,Feuil1!$A:$B,2,FALSE),"")</f>
        <v/>
      </c>
      <c r="FC17" s="31" t="str">
        <f>IFERROR(VLOOKUP([2]Pointage!FG11,Feuil1!$A:$B,2,FALSE),"")</f>
        <v/>
      </c>
      <c r="FD17" s="31" t="str">
        <f>IFERROR(VLOOKUP([2]Pointage!FH11,Feuil1!$A:$B,2,FALSE),"")</f>
        <v/>
      </c>
      <c r="FE17" s="31" t="str">
        <f>IFERROR(VLOOKUP([2]Pointage!FI11,Feuil1!$A:$B,2,FALSE),"")</f>
        <v/>
      </c>
      <c r="FF17" s="31" t="str">
        <f>IFERROR(VLOOKUP([2]Pointage!FJ11,Feuil1!$A:$B,2,FALSE),"")</f>
        <v/>
      </c>
      <c r="FG17" s="31" t="str">
        <f>IFERROR(VLOOKUP([2]Pointage!FK11,Feuil1!$A:$B,2,FALSE),"")</f>
        <v/>
      </c>
      <c r="FH17" s="31" t="str">
        <f>IFERROR(VLOOKUP([2]Pointage!FL11,Feuil1!$A:$B,2,FALSE),"")</f>
        <v/>
      </c>
      <c r="FI17" s="31" t="str">
        <f>IFERROR(VLOOKUP([2]Pointage!FM11,Feuil1!$A:$B,2,FALSE),"")</f>
        <v/>
      </c>
      <c r="FJ17" s="31" t="str">
        <f>IFERROR(VLOOKUP([2]Pointage!FN11,Feuil1!$A:$B,2,FALSE),"")</f>
        <v/>
      </c>
      <c r="FK17" s="31" t="str">
        <f>IFERROR(VLOOKUP([2]Pointage!FO11,Feuil1!$A:$B,2,FALSE),"")</f>
        <v>C</v>
      </c>
      <c r="FL17" s="31" t="str">
        <f>IFERROR(VLOOKUP([2]Pointage!FP11,Feuil1!$A:$B,2,FALSE),"")</f>
        <v>C</v>
      </c>
      <c r="FM17" s="31" t="str">
        <f>IFERROR(VLOOKUP([2]Pointage!FQ11,Feuil1!$A:$B,2,FALSE),"")</f>
        <v>C</v>
      </c>
      <c r="FN17" s="31" t="str">
        <f>IFERROR(VLOOKUP([2]Pointage!FR11,Feuil1!$A:$B,2,FALSE),"")</f>
        <v>C</v>
      </c>
      <c r="FO17" s="31" t="str">
        <f>IFERROR(VLOOKUP([2]Pointage!FS11,Feuil1!$A:$B,2,FALSE),"")</f>
        <v>C</v>
      </c>
      <c r="FP17" s="31" t="str">
        <f>IFERROR(VLOOKUP([2]Pointage!FT11,Feuil1!$A:$B,2,FALSE),"")</f>
        <v/>
      </c>
      <c r="FQ17" s="31" t="str">
        <f>IFERROR(VLOOKUP([2]Pointage!FU11,Feuil1!$A:$B,2,FALSE),"")</f>
        <v/>
      </c>
      <c r="FR17" s="31" t="str">
        <f>IFERROR(VLOOKUP([2]Pointage!FV11,Feuil1!$A:$B,2,FALSE),"")</f>
        <v>C</v>
      </c>
      <c r="FS17" s="31" t="str">
        <f>IFERROR(VLOOKUP([2]Pointage!FW11,Feuil1!$A:$B,2,FALSE),"")</f>
        <v>C</v>
      </c>
      <c r="FT17" s="31" t="str">
        <f>IFERROR(VLOOKUP([2]Pointage!FX11,Feuil1!$A:$B,2,FALSE),"")</f>
        <v>C</v>
      </c>
      <c r="FU17" s="31" t="str">
        <f>IFERROR(VLOOKUP([2]Pointage!FY11,Feuil1!$A:$B,2,FALSE),"")</f>
        <v>C</v>
      </c>
      <c r="FV17" s="31" t="str">
        <f>IFERROR(VLOOKUP([2]Pointage!FZ11,Feuil1!$A:$B,2,FALSE),"")</f>
        <v>C</v>
      </c>
      <c r="FW17" s="31" t="str">
        <f>IFERROR(VLOOKUP([2]Pointage!GA11,Feuil1!$A:$B,2,FALSE),"")</f>
        <v/>
      </c>
      <c r="FX17" s="31" t="str">
        <f>IFERROR(VLOOKUP([2]Pointage!GB11,Feuil1!$A:$B,2,FALSE),"")</f>
        <v/>
      </c>
      <c r="FY17" s="31" t="str">
        <f>IFERROR(VLOOKUP([2]Pointage!GC11,Feuil1!$A:$B,2,FALSE),"")</f>
        <v/>
      </c>
      <c r="FZ17" s="31" t="str">
        <f>IFERROR(VLOOKUP([2]Pointage!GD11,Feuil1!$A:$B,2,FALSE),"")</f>
        <v/>
      </c>
      <c r="GA17" s="31" t="str">
        <f>IFERROR(VLOOKUP([2]Pointage!GE11,Feuil1!$A:$B,2,FALSE),"")</f>
        <v/>
      </c>
      <c r="GB17" s="31" t="str">
        <f>IFERROR(VLOOKUP([2]Pointage!GF11,Feuil1!$A:$B,2,FALSE),"")</f>
        <v/>
      </c>
      <c r="GC17" s="31" t="str">
        <f>IFERROR(VLOOKUP([2]Pointage!GG11,Feuil1!$A:$B,2,FALSE),"")</f>
        <v/>
      </c>
      <c r="GD17" s="82" t="str">
        <f>IFERROR(VLOOKUP([2]Pointage!GH11,Feuil1!$A:$B,2,FALSE),"")</f>
        <v/>
      </c>
      <c r="GE17" s="47" t="str">
        <f>IFERROR(VLOOKUP([2]Pointage!GI11,Feuil1!$A:$B,2,FALSE),"")</f>
        <v/>
      </c>
      <c r="GF17" s="31" t="str">
        <f>IFERROR(VLOOKUP([2]Pointage!GJ11,Feuil1!$A:$B,2,FALSE),"")</f>
        <v/>
      </c>
      <c r="GG17" s="31" t="str">
        <f>IFERROR(VLOOKUP([2]Pointage!GK11,Feuil1!$A:$B,2,FALSE),"")</f>
        <v/>
      </c>
      <c r="GH17" s="31" t="str">
        <f>IFERROR(VLOOKUP([2]Pointage!GL11,Feuil1!$A:$B,2,FALSE),"")</f>
        <v/>
      </c>
      <c r="GI17" s="31" t="str">
        <f>IFERROR(VLOOKUP([2]Pointage!GM11,Feuil1!$A:$B,2,FALSE),"")</f>
        <v/>
      </c>
      <c r="GJ17" s="31" t="str">
        <f>IFERROR(VLOOKUP([2]Pointage!GN11,Feuil1!$A:$B,2,FALSE),"")</f>
        <v/>
      </c>
      <c r="GK17" s="31" t="str">
        <f>IFERROR(VLOOKUP([2]Pointage!GO11,Feuil1!$A:$B,2,FALSE),"")</f>
        <v/>
      </c>
      <c r="GL17" s="31" t="str">
        <f>IFERROR(VLOOKUP([2]Pointage!GP11,Feuil1!$A:$B,2,FALSE),"")</f>
        <v/>
      </c>
      <c r="GM17" s="31" t="str">
        <f>IFERROR(VLOOKUP([2]Pointage!GQ11,Feuil1!$A:$B,2,FALSE),"")</f>
        <v/>
      </c>
      <c r="GN17" s="31" t="str">
        <f>IFERROR(VLOOKUP([2]Pointage!GR11,Feuil1!$A:$B,2,FALSE),"")</f>
        <v/>
      </c>
      <c r="GO17" s="31" t="str">
        <f>IFERROR(VLOOKUP([2]Pointage!GS11,Feuil1!$A:$B,2,FALSE),"")</f>
        <v/>
      </c>
      <c r="GP17" s="31" t="str">
        <f>IFERROR(VLOOKUP([2]Pointage!GT11,Feuil1!$A:$B,2,FALSE),"")</f>
        <v/>
      </c>
      <c r="GQ17" s="31" t="str">
        <f>IFERROR(VLOOKUP([2]Pointage!GU11,Feuil1!$A:$B,2,FALSE),"")</f>
        <v/>
      </c>
      <c r="GR17" s="31" t="str">
        <f>IFERROR(VLOOKUP([2]Pointage!GV11,Feuil1!$A:$B,2,FALSE),"")</f>
        <v/>
      </c>
      <c r="GS17" s="31" t="str">
        <f>IFERROR(VLOOKUP([2]Pointage!GW11,Feuil1!$A:$B,2,FALSE),"")</f>
        <v/>
      </c>
      <c r="GT17" s="31" t="str">
        <f>IFERROR(VLOOKUP([2]Pointage!GX11,Feuil1!$A:$B,2,FALSE),"")</f>
        <v/>
      </c>
      <c r="GU17" s="31" t="str">
        <f>IFERROR(VLOOKUP([2]Pointage!GY11,Feuil1!$A:$B,2,FALSE),"")</f>
        <v/>
      </c>
      <c r="GV17" s="31" t="str">
        <f>IFERROR(VLOOKUP([2]Pointage!GZ11,Feuil1!$A:$B,2,FALSE),"")</f>
        <v/>
      </c>
      <c r="GW17" s="31" t="str">
        <f>IFERROR(VLOOKUP([2]Pointage!HA11,Feuil1!$A:$B,2,FALSE),"")</f>
        <v/>
      </c>
      <c r="GX17" s="31" t="str">
        <f>IFERROR(VLOOKUP([2]Pointage!HB11,Feuil1!$A:$B,2,FALSE),"")</f>
        <v/>
      </c>
      <c r="GY17" s="31" t="str">
        <f>IFERROR(VLOOKUP([2]Pointage!HC11,Feuil1!$A:$B,2,FALSE),"")</f>
        <v/>
      </c>
      <c r="GZ17" s="31" t="str">
        <f>IFERROR(VLOOKUP([2]Pointage!HD11,Feuil1!$A:$B,2,FALSE),"")</f>
        <v/>
      </c>
      <c r="HA17" s="31" t="str">
        <f>IFERROR(VLOOKUP([2]Pointage!HE11,Feuil1!$A:$B,2,FALSE),"")</f>
        <v/>
      </c>
      <c r="HB17" s="31" t="str">
        <f>IFERROR(VLOOKUP([2]Pointage!HF11,Feuil1!$A:$B,2,FALSE),"")</f>
        <v/>
      </c>
      <c r="HC17" s="31" t="str">
        <f>IFERROR(VLOOKUP([2]Pointage!HG11,Feuil1!$A:$B,2,FALSE),"")</f>
        <v/>
      </c>
      <c r="HD17" s="31" t="str">
        <f>IFERROR(VLOOKUP([2]Pointage!HH11,Feuil1!$A:$B,2,FALSE),"")</f>
        <v/>
      </c>
      <c r="HE17" s="31" t="str">
        <f>IFERROR(VLOOKUP([2]Pointage!HI11,Feuil1!$A:$B,2,FALSE),"")</f>
        <v/>
      </c>
      <c r="HF17" s="31" t="str">
        <f>IFERROR(VLOOKUP([2]Pointage!HJ11,Feuil1!$A:$B,2,FALSE),"")</f>
        <v/>
      </c>
      <c r="HG17" s="31" t="str">
        <f>IFERROR(VLOOKUP([2]Pointage!HK11,Feuil1!$A:$B,2,FALSE),"")</f>
        <v/>
      </c>
      <c r="HH17" s="31" t="str">
        <f>IFERROR(VLOOKUP([2]Pointage!HL11,Feuil1!$A:$B,2,FALSE),"")</f>
        <v/>
      </c>
      <c r="HI17" s="82" t="str">
        <f>IFERROR(VLOOKUP([2]Pointage!HM11,Feuil1!$A:$B,2,FALSE),"")</f>
        <v/>
      </c>
      <c r="HJ17" s="47" t="str">
        <f>IFERROR(VLOOKUP([2]Pointage!HN11,Feuil1!$A:$B,2,FALSE),"")</f>
        <v/>
      </c>
      <c r="HK17" s="31" t="str">
        <f>IFERROR(VLOOKUP([2]Pointage!HO11,Feuil1!$A:$B,2,FALSE),"")</f>
        <v/>
      </c>
      <c r="HL17" s="31" t="str">
        <f>IFERROR(VLOOKUP([2]Pointage!HP11,Feuil1!$A:$B,2,FALSE),"")</f>
        <v/>
      </c>
      <c r="HM17" s="31" t="str">
        <f>IFERROR(VLOOKUP([2]Pointage!HQ11,Feuil1!$A:$B,2,FALSE),"")</f>
        <v/>
      </c>
      <c r="HN17" s="31" t="str">
        <f>IFERROR(VLOOKUP([2]Pointage!HR11,Feuil1!$A:$B,2,FALSE),"")</f>
        <v/>
      </c>
      <c r="HO17" s="31" t="str">
        <f>IFERROR(VLOOKUP([2]Pointage!HS11,Feuil1!$A:$B,2,FALSE),"")</f>
        <v/>
      </c>
      <c r="HP17" s="31" t="str">
        <f>IFERROR(VLOOKUP([2]Pointage!HT11,Feuil1!$A:$B,2,FALSE),"")</f>
        <v/>
      </c>
      <c r="HQ17" s="31" t="str">
        <f>IFERROR(VLOOKUP([2]Pointage!HU11,Feuil1!$A:$B,2,FALSE),"")</f>
        <v/>
      </c>
      <c r="HR17" s="31" t="str">
        <f>IFERROR(VLOOKUP([2]Pointage!HV11,Feuil1!$A:$B,2,FALSE),"")</f>
        <v/>
      </c>
      <c r="HS17" s="31" t="str">
        <f>IFERROR(VLOOKUP([2]Pointage!HW11,Feuil1!$A:$B,2,FALSE),"")</f>
        <v/>
      </c>
      <c r="HT17" s="31" t="str">
        <f>IFERROR(VLOOKUP([2]Pointage!HX11,Feuil1!$A:$B,2,FALSE),"")</f>
        <v/>
      </c>
      <c r="HU17" s="31" t="str">
        <f>IFERROR(VLOOKUP([2]Pointage!HY11,Feuil1!$A:$B,2,FALSE),"")</f>
        <v/>
      </c>
      <c r="HV17" s="31" t="str">
        <f>IFERROR(VLOOKUP([2]Pointage!HZ11,Feuil1!$A:$B,2,FALSE),"")</f>
        <v/>
      </c>
      <c r="HW17" s="31" t="str">
        <f>IFERROR(VLOOKUP([2]Pointage!IA11,Feuil1!$A:$B,2,FALSE),"")</f>
        <v/>
      </c>
      <c r="HX17" s="31" t="str">
        <f>IFERROR(VLOOKUP([2]Pointage!IB11,Feuil1!$A:$B,2,FALSE),"")</f>
        <v/>
      </c>
      <c r="HY17" s="31" t="str">
        <f>IFERROR(VLOOKUP([2]Pointage!IC11,Feuil1!$A:$B,2,FALSE),"")</f>
        <v/>
      </c>
      <c r="HZ17" s="31" t="str">
        <f>IFERROR(VLOOKUP([2]Pointage!ID11,Feuil1!$A:$B,2,FALSE),"")</f>
        <v/>
      </c>
      <c r="IA17" s="31" t="str">
        <f>IFERROR(VLOOKUP([2]Pointage!IE11,Feuil1!$A:$B,2,FALSE),"")</f>
        <v/>
      </c>
      <c r="IB17" s="31" t="str">
        <f>IFERROR(VLOOKUP([2]Pointage!IF11,Feuil1!$A:$B,2,FALSE),"")</f>
        <v/>
      </c>
      <c r="IC17" s="31" t="str">
        <f>IFERROR(VLOOKUP([2]Pointage!IG11,Feuil1!$A:$B,2,FALSE),"")</f>
        <v/>
      </c>
      <c r="ID17" s="31" t="str">
        <f>IFERROR(VLOOKUP([2]Pointage!IH11,Feuil1!$A:$B,2,FALSE),"")</f>
        <v/>
      </c>
      <c r="IE17" s="31" t="str">
        <f>IFERROR(VLOOKUP([2]Pointage!II11,Feuil1!$A:$B,2,FALSE),"")</f>
        <v/>
      </c>
      <c r="IF17" s="31" t="str">
        <f>IFERROR(VLOOKUP([2]Pointage!IJ11,Feuil1!$A:$B,2,FALSE),"")</f>
        <v/>
      </c>
      <c r="IG17" s="31" t="str">
        <f>IFERROR(VLOOKUP([2]Pointage!IK11,Feuil1!$A:$B,2,FALSE),"")</f>
        <v/>
      </c>
      <c r="IH17" s="31" t="str">
        <f>IFERROR(VLOOKUP([2]Pointage!IL11,Feuil1!$A:$B,2,FALSE),"")</f>
        <v/>
      </c>
      <c r="II17" s="31" t="str">
        <f>IFERROR(VLOOKUP([2]Pointage!IM11,Feuil1!$A:$B,2,FALSE),"")</f>
        <v/>
      </c>
      <c r="IJ17" s="31" t="str">
        <f>IFERROR(VLOOKUP([2]Pointage!IN11,Feuil1!$A:$B,2,FALSE),"")</f>
        <v/>
      </c>
      <c r="IK17" s="31" t="str">
        <f>IFERROR(VLOOKUP([2]Pointage!IO11,Feuil1!$A:$B,2,FALSE),"")</f>
        <v/>
      </c>
      <c r="IL17" s="31" t="str">
        <f>IFERROR(VLOOKUP([2]Pointage!IP11,Feuil1!$A:$B,2,FALSE),"")</f>
        <v/>
      </c>
      <c r="IM17" s="31" t="str">
        <f>IFERROR(VLOOKUP([2]Pointage!IQ11,Feuil1!$A:$B,2,FALSE),"")</f>
        <v/>
      </c>
      <c r="IN17" s="82" t="str">
        <f>IFERROR(VLOOKUP([2]Pointage!IR11,Feuil1!$A:$B,2,FALSE),"")</f>
        <v/>
      </c>
      <c r="IO17" s="47" t="str">
        <f>IFERROR(VLOOKUP([2]Pointage!IS11,Feuil1!$A:$B,2,FALSE),"")</f>
        <v/>
      </c>
      <c r="IP17" s="31" t="str">
        <f>IFERROR(VLOOKUP([2]Pointage!IT11,Feuil1!$A:$B,2,FALSE),"")</f>
        <v/>
      </c>
      <c r="IQ17" s="31" t="str">
        <f>IFERROR(VLOOKUP([2]Pointage!IU11,Feuil1!$A:$B,2,FALSE),"")</f>
        <v/>
      </c>
      <c r="IR17" s="31" t="str">
        <f>IFERROR(VLOOKUP([2]Pointage!IV11,Feuil1!$A:$B,2,FALSE),"")</f>
        <v/>
      </c>
      <c r="IS17" s="31" t="str">
        <f>IFERROR(VLOOKUP([2]Pointage!IW11,Feuil1!$A:$B,2,FALSE),"")</f>
        <v/>
      </c>
      <c r="IT17" s="31" t="str">
        <f>IFERROR(VLOOKUP([2]Pointage!IX11,Feuil1!$A:$B,2,FALSE),"")</f>
        <v/>
      </c>
      <c r="IU17" s="31" t="str">
        <f>IFERROR(VLOOKUP([2]Pointage!IY11,Feuil1!$A:$B,2,FALSE),"")</f>
        <v/>
      </c>
      <c r="IV17" s="31" t="str">
        <f>IFERROR(VLOOKUP([2]Pointage!IZ11,Feuil1!$A:$B,2,FALSE),"")</f>
        <v/>
      </c>
      <c r="IW17" s="31" t="str">
        <f>IFERROR(VLOOKUP([2]Pointage!JA11,Feuil1!$A:$B,2,FALSE),"")</f>
        <v/>
      </c>
      <c r="IX17" s="31" t="str">
        <f>IFERROR(VLOOKUP([2]Pointage!JB11,Feuil1!$A:$B,2,FALSE),"")</f>
        <v/>
      </c>
      <c r="IY17" s="31" t="str">
        <f>IFERROR(VLOOKUP([2]Pointage!JC11,Feuil1!$A:$B,2,FALSE),"")</f>
        <v/>
      </c>
      <c r="IZ17" s="31" t="str">
        <f>IFERROR(VLOOKUP([2]Pointage!JD11,Feuil1!$A:$B,2,FALSE),"")</f>
        <v/>
      </c>
      <c r="JA17" s="31" t="str">
        <f>IFERROR(VLOOKUP([2]Pointage!JE11,Feuil1!$A:$B,2,FALSE),"")</f>
        <v/>
      </c>
      <c r="JB17" s="31" t="str">
        <f>IFERROR(VLOOKUP([2]Pointage!JF11,Feuil1!$A:$B,2,FALSE),"")</f>
        <v/>
      </c>
      <c r="JC17" s="31" t="str">
        <f>IFERROR(VLOOKUP([2]Pointage!JG11,Feuil1!$A:$B,2,FALSE),"")</f>
        <v/>
      </c>
      <c r="JD17" s="31" t="str">
        <f>IFERROR(VLOOKUP([2]Pointage!JH11,Feuil1!$A:$B,2,FALSE),"")</f>
        <v/>
      </c>
      <c r="JE17" s="31" t="str">
        <f>IFERROR(VLOOKUP([2]Pointage!JI11,Feuil1!$A:$B,2,FALSE),"")</f>
        <v/>
      </c>
      <c r="JF17" s="31" t="str">
        <f>IFERROR(VLOOKUP([2]Pointage!JJ11,Feuil1!$A:$B,2,FALSE),"")</f>
        <v/>
      </c>
      <c r="JG17" s="31" t="str">
        <f>IFERROR(VLOOKUP([2]Pointage!JK11,Feuil1!$A:$B,2,FALSE),"")</f>
        <v/>
      </c>
      <c r="JH17" s="31" t="str">
        <f>IFERROR(VLOOKUP([2]Pointage!JL11,Feuil1!$A:$B,2,FALSE),"")</f>
        <v/>
      </c>
      <c r="JI17" s="31" t="str">
        <f>IFERROR(VLOOKUP([2]Pointage!JM11,Feuil1!$A:$B,2,FALSE),"")</f>
        <v/>
      </c>
      <c r="JJ17" s="31" t="str">
        <f>IFERROR(VLOOKUP([2]Pointage!JN11,Feuil1!$A:$B,2,FALSE),"")</f>
        <v/>
      </c>
      <c r="JK17" s="31" t="str">
        <f>IFERROR(VLOOKUP([2]Pointage!JO11,Feuil1!$A:$B,2,FALSE),"")</f>
        <v/>
      </c>
      <c r="JL17" s="31" t="str">
        <f>IFERROR(VLOOKUP([2]Pointage!JP11,Feuil1!$A:$B,2,FALSE),"")</f>
        <v/>
      </c>
      <c r="JM17" s="31" t="str">
        <f>IFERROR(VLOOKUP([2]Pointage!JQ11,Feuil1!$A:$B,2,FALSE),"")</f>
        <v/>
      </c>
      <c r="JN17" s="31" t="str">
        <f>IFERROR(VLOOKUP([2]Pointage!JR11,Feuil1!$A:$B,2,FALSE),"")</f>
        <v/>
      </c>
      <c r="JO17" s="31" t="str">
        <f>IFERROR(VLOOKUP([2]Pointage!JS11,Feuil1!$A:$B,2,FALSE),"")</f>
        <v/>
      </c>
      <c r="JP17" s="31" t="str">
        <f>IFERROR(VLOOKUP([2]Pointage!JT11,Feuil1!$A:$B,2,FALSE),"")</f>
        <v/>
      </c>
      <c r="JQ17" s="31" t="str">
        <f>IFERROR(VLOOKUP([2]Pointage!JU11,Feuil1!$A:$B,2,FALSE),"")</f>
        <v/>
      </c>
      <c r="JR17" s="82" t="str">
        <f>IFERROR(VLOOKUP([2]Pointage!JV11,Feuil1!$A:$B,2,FALSE),"")</f>
        <v/>
      </c>
      <c r="JS17" s="47" t="str">
        <f>IFERROR(VLOOKUP([2]Pointage!JW11,Feuil1!$A:$B,2,FALSE),"")</f>
        <v/>
      </c>
      <c r="JT17" s="31" t="str">
        <f>IFERROR(VLOOKUP([2]Pointage!JX11,Feuil1!$A:$B,2,FALSE),"")</f>
        <v/>
      </c>
      <c r="JU17" s="31" t="str">
        <f>IFERROR(VLOOKUP([2]Pointage!JY11,Feuil1!$A:$B,2,FALSE),"")</f>
        <v/>
      </c>
      <c r="JV17" s="31" t="str">
        <f>IFERROR(VLOOKUP([2]Pointage!JZ11,Feuil1!$A:$B,2,FALSE),"")</f>
        <v/>
      </c>
      <c r="JW17" s="31" t="str">
        <f>IFERROR(VLOOKUP([2]Pointage!KA11,Feuil1!$A:$B,2,FALSE),"")</f>
        <v/>
      </c>
      <c r="JX17" s="31" t="str">
        <f>IFERROR(VLOOKUP([2]Pointage!KB11,Feuil1!$A:$B,2,FALSE),"")</f>
        <v/>
      </c>
      <c r="JY17" s="31" t="str">
        <f>IFERROR(VLOOKUP([2]Pointage!KC11,Feuil1!$A:$B,2,FALSE),"")</f>
        <v/>
      </c>
      <c r="JZ17" s="31" t="str">
        <f>IFERROR(VLOOKUP([2]Pointage!KD11,Feuil1!$A:$B,2,FALSE),"")</f>
        <v/>
      </c>
      <c r="KA17" s="31" t="str">
        <f>IFERROR(VLOOKUP([2]Pointage!KE11,Feuil1!$A:$B,2,FALSE),"")</f>
        <v/>
      </c>
      <c r="KB17" s="31" t="str">
        <f>IFERROR(VLOOKUP([2]Pointage!KF11,Feuil1!$A:$B,2,FALSE),"")</f>
        <v/>
      </c>
      <c r="KC17" s="31" t="str">
        <f>IFERROR(VLOOKUP([2]Pointage!KG11,Feuil1!$A:$B,2,FALSE),"")</f>
        <v/>
      </c>
      <c r="KD17" s="31" t="str">
        <f>IFERROR(VLOOKUP([2]Pointage!KH11,Feuil1!$A:$B,2,FALSE),"")</f>
        <v/>
      </c>
      <c r="KE17" s="31" t="str">
        <f>IFERROR(VLOOKUP([2]Pointage!KI11,Feuil1!$A:$B,2,FALSE),"")</f>
        <v/>
      </c>
      <c r="KF17" s="31" t="str">
        <f>IFERROR(VLOOKUP([2]Pointage!KJ11,Feuil1!$A:$B,2,FALSE),"")</f>
        <v/>
      </c>
      <c r="KG17" s="31" t="str">
        <f>IFERROR(VLOOKUP([2]Pointage!KK11,Feuil1!$A:$B,2,FALSE),"")</f>
        <v/>
      </c>
      <c r="KH17" s="31" t="str">
        <f>IFERROR(VLOOKUP([2]Pointage!KL11,Feuil1!$A:$B,2,FALSE),"")</f>
        <v/>
      </c>
      <c r="KI17" s="31" t="str">
        <f>IFERROR(VLOOKUP([2]Pointage!KM11,Feuil1!$A:$B,2,FALSE),"")</f>
        <v/>
      </c>
      <c r="KJ17" s="31" t="str">
        <f>IFERROR(VLOOKUP([2]Pointage!KN11,Feuil1!$A:$B,2,FALSE),"")</f>
        <v/>
      </c>
      <c r="KK17" s="31" t="str">
        <f>IFERROR(VLOOKUP([2]Pointage!KO11,Feuil1!$A:$B,2,FALSE),"")</f>
        <v/>
      </c>
      <c r="KL17" s="31" t="str">
        <f>IFERROR(VLOOKUP([2]Pointage!KP11,Feuil1!$A:$B,2,FALSE),"")</f>
        <v/>
      </c>
      <c r="KM17" s="31" t="str">
        <f>IFERROR(VLOOKUP([2]Pointage!KQ11,Feuil1!$A:$B,2,FALSE),"")</f>
        <v/>
      </c>
      <c r="KN17" s="31" t="str">
        <f>IFERROR(VLOOKUP([2]Pointage!KR11,Feuil1!$A:$B,2,FALSE),"")</f>
        <v/>
      </c>
      <c r="KO17" s="31" t="str">
        <f>IFERROR(VLOOKUP([2]Pointage!KS11,Feuil1!$A:$B,2,FALSE),"")</f>
        <v/>
      </c>
      <c r="KP17" s="31" t="str">
        <f>IFERROR(VLOOKUP([2]Pointage!KT11,Feuil1!$A:$B,2,FALSE),"")</f>
        <v/>
      </c>
      <c r="KQ17" s="31" t="str">
        <f>IFERROR(VLOOKUP([2]Pointage!KU11,Feuil1!$A:$B,2,FALSE),"")</f>
        <v/>
      </c>
      <c r="KR17" s="31" t="str">
        <f>IFERROR(VLOOKUP([2]Pointage!KV11,Feuil1!$A:$B,2,FALSE),"")</f>
        <v/>
      </c>
      <c r="KS17" s="31" t="str">
        <f>IFERROR(VLOOKUP([2]Pointage!KW11,Feuil1!$A:$B,2,FALSE),"")</f>
        <v/>
      </c>
      <c r="KT17" s="31" t="str">
        <f>IFERROR(VLOOKUP([2]Pointage!KX11,Feuil1!$A:$B,2,FALSE),"")</f>
        <v/>
      </c>
      <c r="KU17" s="31" t="str">
        <f>IFERROR(VLOOKUP([2]Pointage!KY11,Feuil1!$A:$B,2,FALSE),"")</f>
        <v/>
      </c>
      <c r="KV17" s="31" t="str">
        <f>IFERROR(VLOOKUP([2]Pointage!KZ11,Feuil1!$A:$B,2,FALSE),"")</f>
        <v/>
      </c>
      <c r="KW17" s="82" t="str">
        <f>IFERROR(VLOOKUP([2]Pointage!LA11,Feuil1!$A:$B,2,FALSE),"")</f>
        <v/>
      </c>
      <c r="KX17" s="47" t="str">
        <f>IFERROR(VLOOKUP([2]Pointage!LB11,Feuil1!$A:$B,2,FALSE),"")</f>
        <v/>
      </c>
      <c r="KY17" s="31" t="str">
        <f>IFERROR(VLOOKUP([2]Pointage!LC11,Feuil1!$A:$B,2,FALSE),"")</f>
        <v/>
      </c>
      <c r="KZ17" s="31" t="str">
        <f>IFERROR(VLOOKUP([2]Pointage!LD11,Feuil1!$A:$B,2,FALSE),"")</f>
        <v/>
      </c>
      <c r="LA17" s="31" t="str">
        <f>IFERROR(VLOOKUP([2]Pointage!LE11,Feuil1!$A:$B,2,FALSE),"")</f>
        <v/>
      </c>
      <c r="LB17" s="31" t="str">
        <f>IFERROR(VLOOKUP([2]Pointage!LF11,Feuil1!$A:$B,2,FALSE),"")</f>
        <v/>
      </c>
      <c r="LC17" s="31" t="str">
        <f>IFERROR(VLOOKUP([2]Pointage!LG11,Feuil1!$A:$B,2,FALSE),"")</f>
        <v/>
      </c>
      <c r="LD17" s="31" t="str">
        <f>IFERROR(VLOOKUP([2]Pointage!LH11,Feuil1!$A:$B,2,FALSE),"")</f>
        <v/>
      </c>
      <c r="LE17" s="31" t="str">
        <f>IFERROR(VLOOKUP([2]Pointage!LI11,Feuil1!$A:$B,2,FALSE),"")</f>
        <v/>
      </c>
      <c r="LF17" s="31" t="str">
        <f>IFERROR(VLOOKUP([2]Pointage!LJ11,Feuil1!$A:$B,2,FALSE),"")</f>
        <v/>
      </c>
      <c r="LG17" s="31" t="str">
        <f>IFERROR(VLOOKUP([2]Pointage!LK11,Feuil1!$A:$B,2,FALSE),"")</f>
        <v/>
      </c>
      <c r="LH17" s="31" t="str">
        <f>IFERROR(VLOOKUP([2]Pointage!LL11,Feuil1!$A:$B,2,FALSE),"")</f>
        <v/>
      </c>
      <c r="LI17" s="31" t="str">
        <f>IFERROR(VLOOKUP([2]Pointage!LM11,Feuil1!$A:$B,2,FALSE),"")</f>
        <v/>
      </c>
      <c r="LJ17" s="31" t="str">
        <f>IFERROR(VLOOKUP([2]Pointage!LN11,Feuil1!$A:$B,2,FALSE),"")</f>
        <v/>
      </c>
      <c r="LK17" s="31" t="str">
        <f>IFERROR(VLOOKUP([2]Pointage!LO11,Feuil1!$A:$B,2,FALSE),"")</f>
        <v/>
      </c>
      <c r="LL17" s="31" t="str">
        <f>IFERROR(VLOOKUP([2]Pointage!LP11,Feuil1!$A:$B,2,FALSE),"")</f>
        <v/>
      </c>
      <c r="LM17" s="31" t="str">
        <f>IFERROR(VLOOKUP([2]Pointage!LQ11,Feuil1!$A:$B,2,FALSE),"")</f>
        <v/>
      </c>
      <c r="LN17" s="31" t="str">
        <f>IFERROR(VLOOKUP([2]Pointage!LR11,Feuil1!$A:$B,2,FALSE),"")</f>
        <v/>
      </c>
      <c r="LO17" s="31" t="str">
        <f>IFERROR(VLOOKUP([2]Pointage!LS11,Feuil1!$A:$B,2,FALSE),"")</f>
        <v/>
      </c>
      <c r="LP17" s="31" t="str">
        <f>IFERROR(VLOOKUP([2]Pointage!LT11,Feuil1!$A:$B,2,FALSE),"")</f>
        <v/>
      </c>
      <c r="LQ17" s="31" t="str">
        <f>IFERROR(VLOOKUP([2]Pointage!LU11,Feuil1!$A:$B,2,FALSE),"")</f>
        <v/>
      </c>
      <c r="LR17" s="31" t="str">
        <f>IFERROR(VLOOKUP([2]Pointage!LV11,Feuil1!$A:$B,2,FALSE),"")</f>
        <v/>
      </c>
      <c r="LS17" s="31" t="str">
        <f>IFERROR(VLOOKUP([2]Pointage!LW11,Feuil1!$A:$B,2,FALSE),"")</f>
        <v/>
      </c>
      <c r="LT17" s="31" t="str">
        <f>IFERROR(VLOOKUP([2]Pointage!LX11,Feuil1!$A:$B,2,FALSE),"")</f>
        <v/>
      </c>
      <c r="LU17" s="31" t="str">
        <f>IFERROR(VLOOKUP([2]Pointage!LY11,Feuil1!$A:$B,2,FALSE),"")</f>
        <v/>
      </c>
      <c r="LV17" s="31" t="str">
        <f>IFERROR(VLOOKUP([2]Pointage!LZ11,Feuil1!$A:$B,2,FALSE),"")</f>
        <v/>
      </c>
      <c r="LW17" s="31" t="str">
        <f>IFERROR(VLOOKUP([2]Pointage!MA11,Feuil1!$A:$B,2,FALSE),"")</f>
        <v/>
      </c>
      <c r="LX17" s="31" t="str">
        <f>IFERROR(VLOOKUP([2]Pointage!MB11,Feuil1!$A:$B,2,FALSE),"")</f>
        <v/>
      </c>
      <c r="LY17" s="31" t="str">
        <f>IFERROR(VLOOKUP([2]Pointage!MC11,Feuil1!$A:$B,2,FALSE),"")</f>
        <v/>
      </c>
      <c r="LZ17" s="31" t="str">
        <f>IFERROR(VLOOKUP([2]Pointage!MD11,Feuil1!$A:$B,2,FALSE),"")</f>
        <v/>
      </c>
      <c r="MA17" s="82" t="str">
        <f>IFERROR(VLOOKUP([2]Pointage!ME11,Feuil1!$A:$B,2,FALSE),"")</f>
        <v/>
      </c>
      <c r="MB17" s="47" t="str">
        <f>IFERROR(VLOOKUP([2]Pointage!MF11,Feuil1!$A:$B,2,FALSE),"")</f>
        <v/>
      </c>
      <c r="MC17" s="31" t="str">
        <f>IFERROR(VLOOKUP([2]Pointage!MG11,Feuil1!$A:$B,2,FALSE),"")</f>
        <v/>
      </c>
      <c r="MD17" s="31" t="str">
        <f>IFERROR(VLOOKUP([2]Pointage!MH11,Feuil1!$A:$B,2,FALSE),"")</f>
        <v/>
      </c>
      <c r="ME17" s="31" t="str">
        <f>IFERROR(VLOOKUP([2]Pointage!MI11,Feuil1!$A:$B,2,FALSE),"")</f>
        <v/>
      </c>
      <c r="MF17" s="31" t="str">
        <f>IFERROR(VLOOKUP([2]Pointage!MJ11,Feuil1!$A:$B,2,FALSE),"")</f>
        <v/>
      </c>
      <c r="MG17" s="31" t="str">
        <f>IFERROR(VLOOKUP([2]Pointage!MK11,Feuil1!$A:$B,2,FALSE),"")</f>
        <v/>
      </c>
      <c r="MH17" s="31" t="str">
        <f>IFERROR(VLOOKUP([2]Pointage!ML11,Feuil1!$A:$B,2,FALSE),"")</f>
        <v/>
      </c>
      <c r="MI17" s="31" t="str">
        <f>IFERROR(VLOOKUP([2]Pointage!MM11,Feuil1!$A:$B,2,FALSE),"")</f>
        <v/>
      </c>
      <c r="MJ17" s="31" t="str">
        <f>IFERROR(VLOOKUP([2]Pointage!MN11,Feuil1!$A:$B,2,FALSE),"")</f>
        <v/>
      </c>
      <c r="MK17" s="31" t="str">
        <f>IFERROR(VLOOKUP([2]Pointage!MO11,Feuil1!$A:$B,2,FALSE),"")</f>
        <v/>
      </c>
      <c r="ML17" s="31" t="str">
        <f>IFERROR(VLOOKUP([2]Pointage!MP11,Feuil1!$A:$B,2,FALSE),"")</f>
        <v/>
      </c>
      <c r="MM17" s="31" t="str">
        <f>IFERROR(VLOOKUP([2]Pointage!MQ11,Feuil1!$A:$B,2,FALSE),"")</f>
        <v/>
      </c>
      <c r="MN17" s="31" t="str">
        <f>IFERROR(VLOOKUP([2]Pointage!MR11,Feuil1!$A:$B,2,FALSE),"")</f>
        <v/>
      </c>
      <c r="MO17" s="31" t="str">
        <f>IFERROR(VLOOKUP([2]Pointage!MS11,Feuil1!$A:$B,2,FALSE),"")</f>
        <v/>
      </c>
      <c r="MP17" s="31" t="str">
        <f>IFERROR(VLOOKUP([2]Pointage!MT11,Feuil1!$A:$B,2,FALSE),"")</f>
        <v/>
      </c>
      <c r="MQ17" s="31" t="str">
        <f>IFERROR(VLOOKUP([2]Pointage!MU11,Feuil1!$A:$B,2,FALSE),"")</f>
        <v/>
      </c>
      <c r="MR17" s="31" t="str">
        <f>IFERROR(VLOOKUP([2]Pointage!MV11,Feuil1!$A:$B,2,FALSE),"")</f>
        <v/>
      </c>
      <c r="MS17" s="31" t="str">
        <f>IFERROR(VLOOKUP([2]Pointage!MW11,Feuil1!$A:$B,2,FALSE),"")</f>
        <v/>
      </c>
      <c r="MT17" s="31" t="str">
        <f>IFERROR(VLOOKUP([2]Pointage!MX11,Feuil1!$A:$B,2,FALSE),"")</f>
        <v/>
      </c>
      <c r="MU17" s="31" t="str">
        <f>IFERROR(VLOOKUP([2]Pointage!MY11,Feuil1!$A:$B,2,FALSE),"")</f>
        <v/>
      </c>
      <c r="MV17" s="31" t="str">
        <f>IFERROR(VLOOKUP([2]Pointage!MZ11,Feuil1!$A:$B,2,FALSE),"")</f>
        <v/>
      </c>
      <c r="MW17" s="31" t="str">
        <f>IFERROR(VLOOKUP([2]Pointage!NA11,Feuil1!$A:$B,2,FALSE),"")</f>
        <v/>
      </c>
      <c r="MX17" s="31" t="str">
        <f>IFERROR(VLOOKUP([2]Pointage!NB11,Feuil1!$A:$B,2,FALSE),"")</f>
        <v/>
      </c>
      <c r="MY17" s="31" t="str">
        <f>IFERROR(VLOOKUP([2]Pointage!NC11,Feuil1!$A:$B,2,FALSE),"")</f>
        <v/>
      </c>
      <c r="MZ17" s="31" t="str">
        <f>IFERROR(VLOOKUP([2]Pointage!ND11,Feuil1!$A:$B,2,FALSE),"")</f>
        <v/>
      </c>
      <c r="NA17" s="31" t="str">
        <f>IFERROR(VLOOKUP([2]Pointage!NE11,Feuil1!$A:$B,2,FALSE),"")</f>
        <v/>
      </c>
      <c r="NB17" s="31" t="str">
        <f>IFERROR(VLOOKUP([2]Pointage!NF11,Feuil1!$A:$B,2,FALSE),"")</f>
        <v/>
      </c>
      <c r="NC17" s="31" t="str">
        <f>IFERROR(VLOOKUP([2]Pointage!NG11,Feuil1!$A:$B,2,FALSE),"")</f>
        <v/>
      </c>
      <c r="ND17" s="31" t="str">
        <f>IFERROR(VLOOKUP([2]Pointage!NH11,Feuil1!$A:$B,2,FALSE),"")</f>
        <v/>
      </c>
      <c r="NE17" s="31" t="str">
        <f>IFERROR(VLOOKUP([2]Pointage!NI11,Feuil1!$A:$B,2,FALSE),"")</f>
        <v/>
      </c>
      <c r="NF17" s="48" t="str">
        <f>IFERROR(VLOOKUP([2]Pointage!NJ11,Feuil1!$A:$B,2,FALSE),"")</f>
        <v/>
      </c>
      <c r="NG17" s="52">
        <f>COUNTIF(Global!F17:NF17,"RTT")+(COUNTIF(Global!F17:NF17,"dRTT")/2)</f>
        <v>0</v>
      </c>
      <c r="NH17" s="42">
        <f>COUNTIF(Global!F17:NF17,"C")+(COUNTIF(Global!F17:NF17,"DC")/2)</f>
        <v>10</v>
      </c>
      <c r="NI17" s="42">
        <f>COUNTIF(Global!F17:NF17,"M")</f>
        <v>0</v>
      </c>
      <c r="NJ17" s="42">
        <f>COUNTIF(Global!G17:NG17,"AT")</f>
        <v>19</v>
      </c>
      <c r="NK17" s="42">
        <f>COUNTIF(Global!F17:NF17,"RD")</f>
        <v>0</v>
      </c>
      <c r="NL17" s="42">
        <f>COUNTIF(Global!F17:NF17,"RC")+(COUNTIF(Global!F17:NF17,"dRC")/2)</f>
        <v>0</v>
      </c>
      <c r="NM17" s="68">
        <f t="shared" ca="1" si="0"/>
        <v>3.5068493150684934</v>
      </c>
      <c r="NT17" s="33"/>
      <c r="NU17" s="33"/>
      <c r="NV17" s="28"/>
      <c r="NW17" s="28"/>
      <c r="NX17" s="29">
        <f>COUNTIF(F17:NF17,"C")++(COUNTIF(Global!F17:NF17,"DC")/2)</f>
        <v>10</v>
      </c>
      <c r="NY17" s="29"/>
      <c r="NZ17" s="29"/>
      <c r="OA17" s="29"/>
      <c r="OB17" s="29">
        <f>COUNTIF(Global!F17:NF17,"M")</f>
        <v>0</v>
      </c>
      <c r="OC17" s="30">
        <f t="shared" si="1"/>
        <v>-10</v>
      </c>
      <c r="OD17" s="30"/>
    </row>
    <row r="18" spans="1:394" ht="30" hidden="1" customHeight="1" x14ac:dyDescent="0.2">
      <c r="A18" s="15" t="s">
        <v>74</v>
      </c>
      <c r="B18" s="22" t="s">
        <v>159</v>
      </c>
      <c r="C18" s="22" t="s">
        <v>160</v>
      </c>
      <c r="D18" s="22" t="s">
        <v>161</v>
      </c>
      <c r="E18" s="44" t="s">
        <v>162</v>
      </c>
      <c r="F18" s="47" t="str">
        <f>IFERROR(VLOOKUP([2]Pointage!J12,Feuil1!$A:$B,2,FALSE),"")</f>
        <v/>
      </c>
      <c r="G18" s="31" t="str">
        <f>IFERROR(VLOOKUP([2]Pointage!K12,Feuil1!$A:$B,2,FALSE),"")</f>
        <v/>
      </c>
      <c r="H18" s="31" t="str">
        <f>IFERROR(VLOOKUP([2]Pointage!L12,Feuil1!$A:$B,2,FALSE),"")</f>
        <v/>
      </c>
      <c r="I18" s="31" t="str">
        <f>IFERROR(VLOOKUP([2]Pointage!M12,Feuil1!$A:$B,2,FALSE),"")</f>
        <v/>
      </c>
      <c r="J18" s="31" t="str">
        <f>IFERROR(VLOOKUP([2]Pointage!N12,Feuil1!$A:$B,2,FALSE),"")</f>
        <v/>
      </c>
      <c r="K18" s="31" t="str">
        <f>IFERROR(VLOOKUP([2]Pointage!O12,Feuil1!$A:$B,2,FALSE),"")</f>
        <v/>
      </c>
      <c r="L18" s="31" t="str">
        <f>IFERROR(VLOOKUP([2]Pointage!P12,Feuil1!$A:$B,2,FALSE),"")</f>
        <v/>
      </c>
      <c r="M18" s="31" t="str">
        <f>IFERROR(VLOOKUP([2]Pointage!Q12,Feuil1!$A:$B,2,FALSE),"")</f>
        <v/>
      </c>
      <c r="N18" s="31" t="str">
        <f>IFERROR(VLOOKUP([2]Pointage!R12,Feuil1!$A:$B,2,FALSE),"")</f>
        <v/>
      </c>
      <c r="O18" s="31" t="str">
        <f>IFERROR(VLOOKUP([2]Pointage!S12,Feuil1!$A:$B,2,FALSE),"")</f>
        <v/>
      </c>
      <c r="P18" s="31" t="str">
        <f>IFERROR(VLOOKUP([2]Pointage!T12,Feuil1!$A:$B,2,FALSE),"")</f>
        <v/>
      </c>
      <c r="Q18" s="31" t="str">
        <f>IFERROR(VLOOKUP([2]Pointage!U12,Feuil1!$A:$B,2,FALSE),"")</f>
        <v/>
      </c>
      <c r="R18" s="31" t="str">
        <f>IFERROR(VLOOKUP([2]Pointage!V12,Feuil1!$A:$B,2,FALSE),"")</f>
        <v/>
      </c>
      <c r="S18" s="31" t="str">
        <f>IFERROR(VLOOKUP([2]Pointage!W12,Feuil1!$A:$B,2,FALSE),"")</f>
        <v/>
      </c>
      <c r="T18" s="31" t="str">
        <f>IFERROR(VLOOKUP([2]Pointage!X12,Feuil1!$A:$B,2,FALSE),"")</f>
        <v/>
      </c>
      <c r="U18" s="31" t="str">
        <f>IFERROR(VLOOKUP([2]Pointage!Y12,Feuil1!$A:$B,2,FALSE),"")</f>
        <v/>
      </c>
      <c r="V18" s="31" t="str">
        <f>IFERROR(VLOOKUP([2]Pointage!Z12,Feuil1!$A:$B,2,FALSE),"")</f>
        <v/>
      </c>
      <c r="W18" s="31" t="str">
        <f>IFERROR(VLOOKUP([2]Pointage!AA12,Feuil1!$A:$B,2,FALSE),"")</f>
        <v>C</v>
      </c>
      <c r="X18" s="31" t="str">
        <f>IFERROR(VLOOKUP([2]Pointage!AB12,Feuil1!$A:$B,2,FALSE),"")</f>
        <v/>
      </c>
      <c r="Y18" s="31" t="str">
        <f>IFERROR(VLOOKUP([2]Pointage!AC12,Feuil1!$A:$B,2,FALSE),"")</f>
        <v/>
      </c>
      <c r="Z18" s="31" t="str">
        <f>IFERROR(VLOOKUP([2]Pointage!AD12,Feuil1!$A:$B,2,FALSE),"")</f>
        <v/>
      </c>
      <c r="AA18" s="31" t="str">
        <f>IFERROR(VLOOKUP([2]Pointage!AE12,Feuil1!$A:$B,2,FALSE),"")</f>
        <v/>
      </c>
      <c r="AB18" s="31" t="str">
        <f>IFERROR(VLOOKUP([2]Pointage!AF12,Feuil1!$A:$B,2,FALSE),"")</f>
        <v/>
      </c>
      <c r="AC18" s="31" t="str">
        <f>IFERROR(VLOOKUP([2]Pointage!AG12,Feuil1!$A:$B,2,FALSE),"")</f>
        <v/>
      </c>
      <c r="AD18" s="31" t="str">
        <f>IFERROR(VLOOKUP([2]Pointage!AH12,Feuil1!$A:$B,2,FALSE),"")</f>
        <v/>
      </c>
      <c r="AE18" s="31" t="str">
        <f>IFERROR(VLOOKUP([2]Pointage!AI12,Feuil1!$A:$B,2,FALSE),"")</f>
        <v/>
      </c>
      <c r="AF18" s="31" t="str">
        <f>IFERROR(VLOOKUP([2]Pointage!AJ12,Feuil1!$A:$B,2,FALSE),"")</f>
        <v/>
      </c>
      <c r="AG18" s="31" t="str">
        <f>IFERROR(VLOOKUP([2]Pointage!AK12,Feuil1!$A:$B,2,FALSE),"")</f>
        <v/>
      </c>
      <c r="AH18" s="31" t="str">
        <f>IFERROR(VLOOKUP([2]Pointage!AL12,Feuil1!$A:$B,2,FALSE),"")</f>
        <v/>
      </c>
      <c r="AI18" s="31" t="str">
        <f>IFERROR(VLOOKUP([2]Pointage!AM12,Feuil1!$A:$B,2,FALSE),"")</f>
        <v/>
      </c>
      <c r="AJ18" s="82" t="str">
        <f>IFERROR(VLOOKUP([2]Pointage!AN12,Feuil1!$A:$B,2,FALSE),"")</f>
        <v/>
      </c>
      <c r="AK18" s="47" t="str">
        <f>IFERROR(VLOOKUP([2]Pointage!AO12,Feuil1!$A:$B,2,FALSE),"")</f>
        <v/>
      </c>
      <c r="AL18" s="31" t="str">
        <f>IFERROR(VLOOKUP([2]Pointage!AP12,Feuil1!$A:$B,2,FALSE),"")</f>
        <v/>
      </c>
      <c r="AM18" s="31" t="str">
        <f>IFERROR(VLOOKUP([2]Pointage!AQ12,Feuil1!$A:$B,2,FALSE),"")</f>
        <v>C</v>
      </c>
      <c r="AN18" s="31" t="str">
        <f>IFERROR(VLOOKUP([2]Pointage!AR12,Feuil1!$A:$B,2,FALSE),"")</f>
        <v>C</v>
      </c>
      <c r="AO18" s="31" t="str">
        <f>IFERROR(VLOOKUP([2]Pointage!AS12,Feuil1!$A:$B,2,FALSE),"")</f>
        <v>C</v>
      </c>
      <c r="AP18" s="31" t="str">
        <f>IFERROR(VLOOKUP([2]Pointage!AT12,Feuil1!$A:$B,2,FALSE),"")</f>
        <v>C</v>
      </c>
      <c r="AQ18" s="31" t="str">
        <f>IFERROR(VLOOKUP([2]Pointage!AU12,Feuil1!$A:$B,2,FALSE),"")</f>
        <v>C</v>
      </c>
      <c r="AR18" s="31" t="str">
        <f>IFERROR(VLOOKUP([2]Pointage!AV12,Feuil1!$A:$B,2,FALSE),"")</f>
        <v>C</v>
      </c>
      <c r="AS18" s="31" t="str">
        <f>IFERROR(VLOOKUP([2]Pointage!AW12,Feuil1!$A:$B,2,FALSE),"")</f>
        <v>C</v>
      </c>
      <c r="AT18" s="31" t="str">
        <f>IFERROR(VLOOKUP([2]Pointage!AX12,Feuil1!$A:$B,2,FALSE),"")</f>
        <v>C</v>
      </c>
      <c r="AU18" s="31" t="str">
        <f>IFERROR(VLOOKUP([2]Pointage!AY12,Feuil1!$A:$B,2,FALSE),"")</f>
        <v>C</v>
      </c>
      <c r="AV18" s="31" t="str">
        <f>IFERROR(VLOOKUP([2]Pointage!AZ12,Feuil1!$A:$B,2,FALSE),"")</f>
        <v/>
      </c>
      <c r="AW18" s="31" t="str">
        <f>IFERROR(VLOOKUP([2]Pointage!BA12,Feuil1!$A:$B,2,FALSE),"")</f>
        <v/>
      </c>
      <c r="AX18" s="31" t="str">
        <f>IFERROR(VLOOKUP([2]Pointage!BB12,Feuil1!$A:$B,2,FALSE),"")</f>
        <v/>
      </c>
      <c r="AY18" s="31" t="str">
        <f>IFERROR(VLOOKUP([2]Pointage!BC12,Feuil1!$A:$B,2,FALSE),"")</f>
        <v/>
      </c>
      <c r="AZ18" s="31" t="str">
        <f>IFERROR(VLOOKUP([2]Pointage!BD12,Feuil1!$A:$B,2,FALSE),"")</f>
        <v/>
      </c>
      <c r="BA18" s="31" t="str">
        <f>IFERROR(VLOOKUP([2]Pointage!BE12,Feuil1!$A:$B,2,FALSE),"")</f>
        <v/>
      </c>
      <c r="BB18" s="31" t="str">
        <f>IFERROR(VLOOKUP([2]Pointage!BF12,Feuil1!$A:$B,2,FALSE),"")</f>
        <v/>
      </c>
      <c r="BC18" s="31" t="str">
        <f>IFERROR(VLOOKUP([2]Pointage!BG12,Feuil1!$A:$B,2,FALSE),"")</f>
        <v/>
      </c>
      <c r="BD18" s="31" t="str">
        <f>IFERROR(VLOOKUP([2]Pointage!BH12,Feuil1!$A:$B,2,FALSE),"")</f>
        <v/>
      </c>
      <c r="BE18" s="31" t="str">
        <f>IFERROR(VLOOKUP([2]Pointage!BI12,Feuil1!$A:$B,2,FALSE),"")</f>
        <v/>
      </c>
      <c r="BF18" s="31" t="str">
        <f>IFERROR(VLOOKUP([2]Pointage!BJ12,Feuil1!$A:$B,2,FALSE),"")</f>
        <v/>
      </c>
      <c r="BG18" s="31" t="str">
        <f>IFERROR(VLOOKUP([2]Pointage!BK12,Feuil1!$A:$B,2,FALSE),"")</f>
        <v/>
      </c>
      <c r="BH18" s="31" t="str">
        <f>IFERROR(VLOOKUP([2]Pointage!BL12,Feuil1!$A:$B,2,FALSE),"")</f>
        <v/>
      </c>
      <c r="BI18" s="31" t="str">
        <f>IFERROR(VLOOKUP([2]Pointage!BM12,Feuil1!$A:$B,2,FALSE),"")</f>
        <v/>
      </c>
      <c r="BJ18" s="31" t="str">
        <f>IFERROR(VLOOKUP([2]Pointage!BN12,Feuil1!$A:$B,2,FALSE),"")</f>
        <v/>
      </c>
      <c r="BK18" s="31" t="str">
        <f>IFERROR(VLOOKUP([2]Pointage!BO12,Feuil1!$A:$B,2,FALSE),"")</f>
        <v/>
      </c>
      <c r="BL18" s="82" t="str">
        <f>IFERROR(VLOOKUP([2]Pointage!BP12,Feuil1!$A:$B,2,FALSE),"")</f>
        <v/>
      </c>
      <c r="BM18" s="47" t="str">
        <f>IFERROR(VLOOKUP([2]Pointage!BQ12,Feuil1!$A:$B,2,FALSE),"")</f>
        <v/>
      </c>
      <c r="BN18" s="31" t="str">
        <f>IFERROR(VLOOKUP([2]Pointage!BR12,Feuil1!$A:$B,2,FALSE),"")</f>
        <v/>
      </c>
      <c r="BO18" s="31" t="str">
        <f>IFERROR(VLOOKUP([2]Pointage!BS12,Feuil1!$A:$B,2,FALSE),"")</f>
        <v/>
      </c>
      <c r="BP18" s="31" t="str">
        <f>IFERROR(VLOOKUP([2]Pointage!BT12,Feuil1!$A:$B,2,FALSE),"")</f>
        <v/>
      </c>
      <c r="BQ18" s="31" t="str">
        <f>IFERROR(VLOOKUP([2]Pointage!BU12,Feuil1!$A:$B,2,FALSE),"")</f>
        <v/>
      </c>
      <c r="BR18" s="31" t="str">
        <f>IFERROR(VLOOKUP([2]Pointage!BV12,Feuil1!$A:$B,2,FALSE),"")</f>
        <v/>
      </c>
      <c r="BS18" s="31" t="str">
        <f>IFERROR(VLOOKUP([2]Pointage!BW12,Feuil1!$A:$B,2,FALSE),"")</f>
        <v/>
      </c>
      <c r="BT18" s="31" t="str">
        <f>IFERROR(VLOOKUP([2]Pointage!BX12,Feuil1!$A:$B,2,FALSE),"")</f>
        <v/>
      </c>
      <c r="BU18" s="31" t="str">
        <f>IFERROR(VLOOKUP([2]Pointage!BY12,Feuil1!$A:$B,2,FALSE),"")</f>
        <v/>
      </c>
      <c r="BV18" s="31" t="str">
        <f>IFERROR(VLOOKUP([2]Pointage!BZ12,Feuil1!$A:$B,2,FALSE),"")</f>
        <v/>
      </c>
      <c r="BW18" s="31" t="str">
        <f>IFERROR(VLOOKUP([2]Pointage!CA12,Feuil1!$A:$B,2,FALSE),"")</f>
        <v/>
      </c>
      <c r="BX18" s="31" t="str">
        <f>IFERROR(VLOOKUP([2]Pointage!CB12,Feuil1!$A:$B,2,FALSE),"")</f>
        <v/>
      </c>
      <c r="BY18" s="31" t="str">
        <f>IFERROR(VLOOKUP([2]Pointage!CC12,Feuil1!$A:$B,2,FALSE),"")</f>
        <v/>
      </c>
      <c r="BZ18" s="31" t="str">
        <f>IFERROR(VLOOKUP([2]Pointage!CD12,Feuil1!$A:$B,2,FALSE),"")</f>
        <v/>
      </c>
      <c r="CA18" s="31" t="str">
        <f>IFERROR(VLOOKUP([2]Pointage!CE12,Feuil1!$A:$B,2,FALSE),"")</f>
        <v/>
      </c>
      <c r="CB18" s="31" t="str">
        <f>IFERROR(VLOOKUP([2]Pointage!CF12,Feuil1!$A:$B,2,FALSE),"")</f>
        <v/>
      </c>
      <c r="CC18" s="31" t="str">
        <f>IFERROR(VLOOKUP([2]Pointage!CG12,Feuil1!$A:$B,2,FALSE),"")</f>
        <v/>
      </c>
      <c r="CD18" s="31" t="str">
        <f>IFERROR(VLOOKUP([2]Pointage!CH12,Feuil1!$A:$B,2,FALSE),"")</f>
        <v/>
      </c>
      <c r="CE18" s="31" t="str">
        <f>IFERROR(VLOOKUP([2]Pointage!CI12,Feuil1!$A:$B,2,FALSE),"")</f>
        <v/>
      </c>
      <c r="CF18" s="31" t="str">
        <f>IFERROR(VLOOKUP([2]Pointage!CJ12,Feuil1!$A:$B,2,FALSE),"")</f>
        <v/>
      </c>
      <c r="CG18" s="31" t="str">
        <f>IFERROR(VLOOKUP([2]Pointage!CK12,Feuil1!$A:$B,2,FALSE),"")</f>
        <v/>
      </c>
      <c r="CH18" s="31" t="str">
        <f>IFERROR(VLOOKUP([2]Pointage!CL12,Feuil1!$A:$B,2,FALSE),"")</f>
        <v/>
      </c>
      <c r="CI18" s="31" t="str">
        <f>IFERROR(VLOOKUP([2]Pointage!CM12,Feuil1!$A:$B,2,FALSE),"")</f>
        <v/>
      </c>
      <c r="CJ18" s="31" t="str">
        <f>IFERROR(VLOOKUP([2]Pointage!CN12,Feuil1!$A:$B,2,FALSE),"")</f>
        <v/>
      </c>
      <c r="CK18" s="31" t="str">
        <f>IFERROR(VLOOKUP([2]Pointage!CO12,Feuil1!$A:$B,2,FALSE),"")</f>
        <v/>
      </c>
      <c r="CL18" s="31" t="str">
        <f>IFERROR(VLOOKUP([2]Pointage!CP12,Feuil1!$A:$B,2,FALSE),"")</f>
        <v/>
      </c>
      <c r="CM18" s="31" t="str">
        <f>IFERROR(VLOOKUP([2]Pointage!CQ12,Feuil1!$A:$B,2,FALSE),"")</f>
        <v/>
      </c>
      <c r="CN18" s="31" t="str">
        <f>IFERROR(VLOOKUP([2]Pointage!CR12,Feuil1!$A:$B,2,FALSE),"")</f>
        <v/>
      </c>
      <c r="CO18" s="31" t="str">
        <f>IFERROR(VLOOKUP([2]Pointage!CS12,Feuil1!$A:$B,2,FALSE),"")</f>
        <v>C</v>
      </c>
      <c r="CP18" s="31" t="str">
        <f>IFERROR(VLOOKUP([2]Pointage!CT12,Feuil1!$A:$B,2,FALSE),"")</f>
        <v/>
      </c>
      <c r="CQ18" s="82" t="str">
        <f>IFERROR(VLOOKUP([2]Pointage!CU12,Feuil1!$A:$B,2,FALSE),"")</f>
        <v/>
      </c>
      <c r="CR18" s="47" t="str">
        <f>IFERROR(VLOOKUP([2]Pointage!CV12,Feuil1!$A:$B,2,FALSE),"")</f>
        <v/>
      </c>
      <c r="CS18" s="31" t="str">
        <f>IFERROR(VLOOKUP([2]Pointage!CW12,Feuil1!$A:$B,2,FALSE),"")</f>
        <v/>
      </c>
      <c r="CT18" s="31" t="str">
        <f>IFERROR(VLOOKUP([2]Pointage!CX12,Feuil1!$A:$B,2,FALSE),"")</f>
        <v/>
      </c>
      <c r="CU18" s="31" t="str">
        <f>IFERROR(VLOOKUP([2]Pointage!CY12,Feuil1!$A:$B,2,FALSE),"")</f>
        <v/>
      </c>
      <c r="CV18" s="31" t="str">
        <f>IFERROR(VLOOKUP([2]Pointage!CZ12,Feuil1!$A:$B,2,FALSE),"")</f>
        <v/>
      </c>
      <c r="CW18" s="31" t="str">
        <f>IFERROR(VLOOKUP([2]Pointage!DA12,Feuil1!$A:$B,2,FALSE),"")</f>
        <v/>
      </c>
      <c r="CX18" s="31" t="str">
        <f>IFERROR(VLOOKUP([2]Pointage!DB12,Feuil1!$A:$B,2,FALSE),"")</f>
        <v/>
      </c>
      <c r="CY18" s="31" t="str">
        <f>IFERROR(VLOOKUP([2]Pointage!DC12,Feuil1!$A:$B,2,FALSE),"")</f>
        <v/>
      </c>
      <c r="CZ18" s="31" t="str">
        <f>IFERROR(VLOOKUP([2]Pointage!DD12,Feuil1!$A:$B,2,FALSE),"")</f>
        <v/>
      </c>
      <c r="DA18" s="31" t="str">
        <f>IFERROR(VLOOKUP([2]Pointage!DE12,Feuil1!$A:$B,2,FALSE),"")</f>
        <v/>
      </c>
      <c r="DB18" s="31" t="str">
        <f>IFERROR(VLOOKUP([2]Pointage!DF12,Feuil1!$A:$B,2,FALSE),"")</f>
        <v/>
      </c>
      <c r="DC18" s="31" t="str">
        <f>IFERROR(VLOOKUP([2]Pointage!DG12,Feuil1!$A:$B,2,FALSE),"")</f>
        <v>C</v>
      </c>
      <c r="DD18" s="31" t="str">
        <f>IFERROR(VLOOKUP([2]Pointage!DH12,Feuil1!$A:$B,2,FALSE),"")</f>
        <v>C</v>
      </c>
      <c r="DE18" s="31" t="str">
        <f>IFERROR(VLOOKUP([2]Pointage!DI12,Feuil1!$A:$B,2,FALSE),"")</f>
        <v/>
      </c>
      <c r="DF18" s="31" t="str">
        <f>IFERROR(VLOOKUP([2]Pointage!DJ12,Feuil1!$A:$B,2,FALSE),"")</f>
        <v/>
      </c>
      <c r="DG18" s="31" t="str">
        <f>IFERROR(VLOOKUP([2]Pointage!DK12,Feuil1!$A:$B,2,FALSE),"")</f>
        <v>M</v>
      </c>
      <c r="DH18" s="31" t="str">
        <f>IFERROR(VLOOKUP([2]Pointage!DL12,Feuil1!$A:$B,2,FALSE),"")</f>
        <v>M</v>
      </c>
      <c r="DI18" s="31" t="str">
        <f>IFERROR(VLOOKUP([2]Pointage!DM12,Feuil1!$A:$B,2,FALSE),"")</f>
        <v/>
      </c>
      <c r="DJ18" s="31" t="str">
        <f>IFERROR(VLOOKUP([2]Pointage!DN12,Feuil1!$A:$B,2,FALSE),"")</f>
        <v/>
      </c>
      <c r="DK18" s="31" t="str">
        <f>IFERROR(VLOOKUP([2]Pointage!DO12,Feuil1!$A:$B,2,FALSE),"")</f>
        <v/>
      </c>
      <c r="DL18" s="31" t="str">
        <f>IFERROR(VLOOKUP([2]Pointage!DP12,Feuil1!$A:$B,2,FALSE),"")</f>
        <v/>
      </c>
      <c r="DM18" s="31" t="str">
        <f>IFERROR(VLOOKUP([2]Pointage!DQ12,Feuil1!$A:$B,2,FALSE),"")</f>
        <v/>
      </c>
      <c r="DN18" s="31" t="str">
        <f>IFERROR(VLOOKUP([2]Pointage!DR12,Feuil1!$A:$B,2,FALSE),"")</f>
        <v/>
      </c>
      <c r="DO18" s="31" t="str">
        <f>IFERROR(VLOOKUP([2]Pointage!DS12,Feuil1!$A:$B,2,FALSE),"")</f>
        <v/>
      </c>
      <c r="DP18" s="31" t="str">
        <f>IFERROR(VLOOKUP([2]Pointage!DT12,Feuil1!$A:$B,2,FALSE),"")</f>
        <v/>
      </c>
      <c r="DQ18" s="31" t="str">
        <f>IFERROR(VLOOKUP([2]Pointage!DU12,Feuil1!$A:$B,2,FALSE),"")</f>
        <v/>
      </c>
      <c r="DR18" s="31" t="str">
        <f>IFERROR(VLOOKUP([2]Pointage!DV12,Feuil1!$A:$B,2,FALSE),"")</f>
        <v/>
      </c>
      <c r="DS18" s="31" t="str">
        <f>IFERROR(VLOOKUP([2]Pointage!DW12,Feuil1!$A:$B,2,FALSE),"")</f>
        <v/>
      </c>
      <c r="DT18" s="31" t="str">
        <f>IFERROR(VLOOKUP([2]Pointage!DX12,Feuil1!$A:$B,2,FALSE),"")</f>
        <v/>
      </c>
      <c r="DU18" s="82" t="str">
        <f>IFERROR(VLOOKUP([2]Pointage!DY12,Feuil1!$A:$B,2,FALSE),"")</f>
        <v/>
      </c>
      <c r="DV18" s="47" t="str">
        <f>IFERROR(VLOOKUP([2]Pointage!DZ12,Feuil1!$A:$B,2,FALSE),"")</f>
        <v/>
      </c>
      <c r="DW18" s="31" t="str">
        <f>IFERROR(VLOOKUP([2]Pointage!EA12,Feuil1!$A:$B,2,FALSE),"")</f>
        <v/>
      </c>
      <c r="DX18" s="31" t="str">
        <f>IFERROR(VLOOKUP([2]Pointage!EB12,Feuil1!$A:$B,2,FALSE),"")</f>
        <v/>
      </c>
      <c r="DY18" s="31" t="str">
        <f>IFERROR(VLOOKUP([2]Pointage!EC12,Feuil1!$A:$B,2,FALSE),"")</f>
        <v/>
      </c>
      <c r="DZ18" s="31" t="str">
        <f>IFERROR(VLOOKUP([2]Pointage!ED12,Feuil1!$A:$B,2,FALSE),"")</f>
        <v/>
      </c>
      <c r="EA18" s="31" t="str">
        <f>IFERROR(VLOOKUP([2]Pointage!EE12,Feuil1!$A:$B,2,FALSE),"")</f>
        <v/>
      </c>
      <c r="EB18" s="31" t="str">
        <f>IFERROR(VLOOKUP([2]Pointage!EF12,Feuil1!$A:$B,2,FALSE),"")</f>
        <v/>
      </c>
      <c r="EC18" s="31" t="str">
        <f>IFERROR(VLOOKUP([2]Pointage!EG12,Feuil1!$A:$B,2,FALSE),"")</f>
        <v/>
      </c>
      <c r="ED18" s="31" t="str">
        <f>IFERROR(VLOOKUP([2]Pointage!EH12,Feuil1!$A:$B,2,FALSE),"")</f>
        <v/>
      </c>
      <c r="EE18" s="31" t="str">
        <f>IFERROR(VLOOKUP([2]Pointage!EI12,Feuil1!$A:$B,2,FALSE),"")</f>
        <v/>
      </c>
      <c r="EF18" s="31" t="str">
        <f>IFERROR(VLOOKUP([2]Pointage!EJ12,Feuil1!$A:$B,2,FALSE),"")</f>
        <v/>
      </c>
      <c r="EG18" s="31" t="str">
        <f>IFERROR(VLOOKUP([2]Pointage!EK12,Feuil1!$A:$B,2,FALSE),"")</f>
        <v/>
      </c>
      <c r="EH18" s="31" t="str">
        <f>IFERROR(VLOOKUP([2]Pointage!EL12,Feuil1!$A:$B,2,FALSE),"")</f>
        <v/>
      </c>
      <c r="EI18" s="31" t="str">
        <f>IFERROR(VLOOKUP([2]Pointage!EM12,Feuil1!$A:$B,2,FALSE),"")</f>
        <v/>
      </c>
      <c r="EJ18" s="31" t="str">
        <f>IFERROR(VLOOKUP([2]Pointage!EN12,Feuil1!$A:$B,2,FALSE),"")</f>
        <v/>
      </c>
      <c r="EK18" s="31" t="str">
        <f>IFERROR(VLOOKUP([2]Pointage!EO12,Feuil1!$A:$B,2,FALSE),"")</f>
        <v/>
      </c>
      <c r="EL18" s="31" t="str">
        <f>IFERROR(VLOOKUP([2]Pointage!EP12,Feuil1!$A:$B,2,FALSE),"")</f>
        <v/>
      </c>
      <c r="EM18" s="31" t="str">
        <f>IFERROR(VLOOKUP([2]Pointage!EQ12,Feuil1!$A:$B,2,FALSE),"")</f>
        <v/>
      </c>
      <c r="EN18" s="31" t="str">
        <f>IFERROR(VLOOKUP([2]Pointage!ER12,Feuil1!$A:$B,2,FALSE),"")</f>
        <v/>
      </c>
      <c r="EO18" s="31" t="str">
        <f>IFERROR(VLOOKUP([2]Pointage!ES12,Feuil1!$A:$B,2,FALSE),"")</f>
        <v/>
      </c>
      <c r="EP18" s="31" t="str">
        <f>IFERROR(VLOOKUP([2]Pointage!ET12,Feuil1!$A:$B,2,FALSE),"")</f>
        <v/>
      </c>
      <c r="EQ18" s="31" t="str">
        <f>IFERROR(VLOOKUP([2]Pointage!EU12,Feuil1!$A:$B,2,FALSE),"")</f>
        <v/>
      </c>
      <c r="ER18" s="31" t="str">
        <f>IFERROR(VLOOKUP([2]Pointage!EV12,Feuil1!$A:$B,2,FALSE),"")</f>
        <v/>
      </c>
      <c r="ES18" s="31" t="str">
        <f>IFERROR(VLOOKUP([2]Pointage!EW12,Feuil1!$A:$B,2,FALSE),"")</f>
        <v/>
      </c>
      <c r="ET18" s="31" t="str">
        <f>IFERROR(VLOOKUP([2]Pointage!EX12,Feuil1!$A:$B,2,FALSE),"")</f>
        <v/>
      </c>
      <c r="EU18" s="31" t="str">
        <f>IFERROR(VLOOKUP([2]Pointage!EY12,Feuil1!$A:$B,2,FALSE),"")</f>
        <v/>
      </c>
      <c r="EV18" s="31" t="str">
        <f>IFERROR(VLOOKUP([2]Pointage!EZ12,Feuil1!$A:$B,2,FALSE),"")</f>
        <v/>
      </c>
      <c r="EW18" s="31" t="str">
        <f>IFERROR(VLOOKUP([2]Pointage!FA12,Feuil1!$A:$B,2,FALSE),"")</f>
        <v/>
      </c>
      <c r="EX18" s="31" t="str">
        <f>IFERROR(VLOOKUP([2]Pointage!FB12,Feuil1!$A:$B,2,FALSE),"")</f>
        <v/>
      </c>
      <c r="EY18" s="31" t="str">
        <f>IFERROR(VLOOKUP([2]Pointage!FC12,Feuil1!$A:$B,2,FALSE),"")</f>
        <v/>
      </c>
      <c r="EZ18" s="82" t="str">
        <f>IFERROR(VLOOKUP([2]Pointage!FD12,Feuil1!$A:$B,2,FALSE),"")</f>
        <v/>
      </c>
      <c r="FA18" s="47" t="str">
        <f>IFERROR(VLOOKUP([2]Pointage!FE12,Feuil1!$A:$B,2,FALSE),"")</f>
        <v/>
      </c>
      <c r="FB18" s="31" t="str">
        <f>IFERROR(VLOOKUP([2]Pointage!FF12,Feuil1!$A:$B,2,FALSE),"")</f>
        <v/>
      </c>
      <c r="FC18" s="31" t="str">
        <f>IFERROR(VLOOKUP([2]Pointage!FG12,Feuil1!$A:$B,2,FALSE),"")</f>
        <v/>
      </c>
      <c r="FD18" s="31" t="str">
        <f>IFERROR(VLOOKUP([2]Pointage!FH12,Feuil1!$A:$B,2,FALSE),"")</f>
        <v/>
      </c>
      <c r="FE18" s="31" t="str">
        <f>IFERROR(VLOOKUP([2]Pointage!FI12,Feuil1!$A:$B,2,FALSE),"")</f>
        <v/>
      </c>
      <c r="FF18" s="31" t="str">
        <f>IFERROR(VLOOKUP([2]Pointage!FJ12,Feuil1!$A:$B,2,FALSE),"")</f>
        <v/>
      </c>
      <c r="FG18" s="31" t="str">
        <f>IFERROR(VLOOKUP([2]Pointage!FK12,Feuil1!$A:$B,2,FALSE),"")</f>
        <v/>
      </c>
      <c r="FH18" s="31" t="str">
        <f>IFERROR(VLOOKUP([2]Pointage!FL12,Feuil1!$A:$B,2,FALSE),"")</f>
        <v/>
      </c>
      <c r="FI18" s="31" t="str">
        <f>IFERROR(VLOOKUP([2]Pointage!FM12,Feuil1!$A:$B,2,FALSE),"")</f>
        <v/>
      </c>
      <c r="FJ18" s="31" t="str">
        <f>IFERROR(VLOOKUP([2]Pointage!FN12,Feuil1!$A:$B,2,FALSE),"")</f>
        <v/>
      </c>
      <c r="FK18" s="31" t="str">
        <f>IFERROR(VLOOKUP([2]Pointage!FO12,Feuil1!$A:$B,2,FALSE),"")</f>
        <v/>
      </c>
      <c r="FL18" s="31" t="str">
        <f>IFERROR(VLOOKUP([2]Pointage!FP12,Feuil1!$A:$B,2,FALSE),"")</f>
        <v/>
      </c>
      <c r="FM18" s="31" t="str">
        <f>IFERROR(VLOOKUP([2]Pointage!FQ12,Feuil1!$A:$B,2,FALSE),"")</f>
        <v/>
      </c>
      <c r="FN18" s="31" t="str">
        <f>IFERROR(VLOOKUP([2]Pointage!FR12,Feuil1!$A:$B,2,FALSE),"")</f>
        <v/>
      </c>
      <c r="FO18" s="31" t="str">
        <f>IFERROR(VLOOKUP([2]Pointage!FS12,Feuil1!$A:$B,2,FALSE),"")</f>
        <v/>
      </c>
      <c r="FP18" s="31" t="str">
        <f>IFERROR(VLOOKUP([2]Pointage!FT12,Feuil1!$A:$B,2,FALSE),"")</f>
        <v/>
      </c>
      <c r="FQ18" s="31" t="str">
        <f>IFERROR(VLOOKUP([2]Pointage!FU12,Feuil1!$A:$B,2,FALSE),"")</f>
        <v/>
      </c>
      <c r="FR18" s="31" t="str">
        <f>IFERROR(VLOOKUP([2]Pointage!FV12,Feuil1!$A:$B,2,FALSE),"")</f>
        <v/>
      </c>
      <c r="FS18" s="31" t="str">
        <f>IFERROR(VLOOKUP([2]Pointage!FW12,Feuil1!$A:$B,2,FALSE),"")</f>
        <v/>
      </c>
      <c r="FT18" s="31" t="str">
        <f>IFERROR(VLOOKUP([2]Pointage!FX12,Feuil1!$A:$B,2,FALSE),"")</f>
        <v/>
      </c>
      <c r="FU18" s="31" t="str">
        <f>IFERROR(VLOOKUP([2]Pointage!FY12,Feuil1!$A:$B,2,FALSE),"")</f>
        <v/>
      </c>
      <c r="FV18" s="31" t="str">
        <f>IFERROR(VLOOKUP([2]Pointage!FZ12,Feuil1!$A:$B,2,FALSE),"")</f>
        <v/>
      </c>
      <c r="FW18" s="31" t="str">
        <f>IFERROR(VLOOKUP([2]Pointage!GA12,Feuil1!$A:$B,2,FALSE),"")</f>
        <v/>
      </c>
      <c r="FX18" s="31" t="str">
        <f>IFERROR(VLOOKUP([2]Pointage!GB12,Feuil1!$A:$B,2,FALSE),"")</f>
        <v/>
      </c>
      <c r="FY18" s="31" t="str">
        <f>IFERROR(VLOOKUP([2]Pointage!GC12,Feuil1!$A:$B,2,FALSE),"")</f>
        <v/>
      </c>
      <c r="FZ18" s="31" t="str">
        <f>IFERROR(VLOOKUP([2]Pointage!GD12,Feuil1!$A:$B,2,FALSE),"")</f>
        <v/>
      </c>
      <c r="GA18" s="31" t="str">
        <f>IFERROR(VLOOKUP([2]Pointage!GE12,Feuil1!$A:$B,2,FALSE),"")</f>
        <v/>
      </c>
      <c r="GB18" s="31" t="str">
        <f>IFERROR(VLOOKUP([2]Pointage!GF12,Feuil1!$A:$B,2,FALSE),"")</f>
        <v/>
      </c>
      <c r="GC18" s="31" t="str">
        <f>IFERROR(VLOOKUP([2]Pointage!GG12,Feuil1!$A:$B,2,FALSE),"")</f>
        <v/>
      </c>
      <c r="GD18" s="82" t="str">
        <f>IFERROR(VLOOKUP([2]Pointage!GH12,Feuil1!$A:$B,2,FALSE),"")</f>
        <v/>
      </c>
      <c r="GE18" s="47" t="str">
        <f>IFERROR(VLOOKUP([2]Pointage!GI12,Feuil1!$A:$B,2,FALSE),"")</f>
        <v/>
      </c>
      <c r="GF18" s="31" t="str">
        <f>IFERROR(VLOOKUP([2]Pointage!GJ12,Feuil1!$A:$B,2,FALSE),"")</f>
        <v/>
      </c>
      <c r="GG18" s="31" t="str">
        <f>IFERROR(VLOOKUP([2]Pointage!GK12,Feuil1!$A:$B,2,FALSE),"")</f>
        <v/>
      </c>
      <c r="GH18" s="31" t="str">
        <f>IFERROR(VLOOKUP([2]Pointage!GL12,Feuil1!$A:$B,2,FALSE),"")</f>
        <v/>
      </c>
      <c r="GI18" s="31" t="str">
        <f>IFERROR(VLOOKUP([2]Pointage!GM12,Feuil1!$A:$B,2,FALSE),"")</f>
        <v/>
      </c>
      <c r="GJ18" s="31" t="str">
        <f>IFERROR(VLOOKUP([2]Pointage!GN12,Feuil1!$A:$B,2,FALSE),"")</f>
        <v/>
      </c>
      <c r="GK18" s="31" t="str">
        <f>IFERROR(VLOOKUP([2]Pointage!GO12,Feuil1!$A:$B,2,FALSE),"")</f>
        <v/>
      </c>
      <c r="GL18" s="31" t="str">
        <f>IFERROR(VLOOKUP([2]Pointage!GP12,Feuil1!$A:$B,2,FALSE),"")</f>
        <v/>
      </c>
      <c r="GM18" s="31" t="str">
        <f>IFERROR(VLOOKUP([2]Pointage!GQ12,Feuil1!$A:$B,2,FALSE),"")</f>
        <v/>
      </c>
      <c r="GN18" s="31" t="str">
        <f>IFERROR(VLOOKUP([2]Pointage!GR12,Feuil1!$A:$B,2,FALSE),"")</f>
        <v/>
      </c>
      <c r="GO18" s="31" t="str">
        <f>IFERROR(VLOOKUP([2]Pointage!GS12,Feuil1!$A:$B,2,FALSE),"")</f>
        <v/>
      </c>
      <c r="GP18" s="31" t="str">
        <f>IFERROR(VLOOKUP([2]Pointage!GT12,Feuil1!$A:$B,2,FALSE),"")</f>
        <v/>
      </c>
      <c r="GQ18" s="31" t="str">
        <f>IFERROR(VLOOKUP([2]Pointage!GU12,Feuil1!$A:$B,2,FALSE),"")</f>
        <v/>
      </c>
      <c r="GR18" s="31" t="str">
        <f>IFERROR(VLOOKUP([2]Pointage!GV12,Feuil1!$A:$B,2,FALSE),"")</f>
        <v/>
      </c>
      <c r="GS18" s="31" t="str">
        <f>IFERROR(VLOOKUP([2]Pointage!GW12,Feuil1!$A:$B,2,FALSE),"")</f>
        <v/>
      </c>
      <c r="GT18" s="31" t="str">
        <f>IFERROR(VLOOKUP([2]Pointage!GX12,Feuil1!$A:$B,2,FALSE),"")</f>
        <v/>
      </c>
      <c r="GU18" s="31" t="str">
        <f>IFERROR(VLOOKUP([2]Pointage!GY12,Feuil1!$A:$B,2,FALSE),"")</f>
        <v/>
      </c>
      <c r="GV18" s="31" t="str">
        <f>IFERROR(VLOOKUP([2]Pointage!GZ12,Feuil1!$A:$B,2,FALSE),"")</f>
        <v/>
      </c>
      <c r="GW18" s="31" t="str">
        <f>IFERROR(VLOOKUP([2]Pointage!HA12,Feuil1!$A:$B,2,FALSE),"")</f>
        <v/>
      </c>
      <c r="GX18" s="31" t="str">
        <f>IFERROR(VLOOKUP([2]Pointage!HB12,Feuil1!$A:$B,2,FALSE),"")</f>
        <v/>
      </c>
      <c r="GY18" s="31" t="str">
        <f>IFERROR(VLOOKUP([2]Pointage!HC12,Feuil1!$A:$B,2,FALSE),"")</f>
        <v/>
      </c>
      <c r="GZ18" s="31" t="str">
        <f>IFERROR(VLOOKUP([2]Pointage!HD12,Feuil1!$A:$B,2,FALSE),"")</f>
        <v/>
      </c>
      <c r="HA18" s="31" t="str">
        <f>IFERROR(VLOOKUP([2]Pointage!HE12,Feuil1!$A:$B,2,FALSE),"")</f>
        <v/>
      </c>
      <c r="HB18" s="31" t="str">
        <f>IFERROR(VLOOKUP([2]Pointage!HF12,Feuil1!$A:$B,2,FALSE),"")</f>
        <v/>
      </c>
      <c r="HC18" s="31" t="str">
        <f>IFERROR(VLOOKUP([2]Pointage!HG12,Feuil1!$A:$B,2,FALSE),"")</f>
        <v/>
      </c>
      <c r="HD18" s="31" t="str">
        <f>IFERROR(VLOOKUP([2]Pointage!HH12,Feuil1!$A:$B,2,FALSE),"")</f>
        <v/>
      </c>
      <c r="HE18" s="31" t="str">
        <f>IFERROR(VLOOKUP([2]Pointage!HI12,Feuil1!$A:$B,2,FALSE),"")</f>
        <v/>
      </c>
      <c r="HF18" s="31" t="str">
        <f>IFERROR(VLOOKUP([2]Pointage!HJ12,Feuil1!$A:$B,2,FALSE),"")</f>
        <v/>
      </c>
      <c r="HG18" s="31" t="str">
        <f>IFERROR(VLOOKUP([2]Pointage!HK12,Feuil1!$A:$B,2,FALSE),"")</f>
        <v/>
      </c>
      <c r="HH18" s="31" t="str">
        <f>IFERROR(VLOOKUP([2]Pointage!HL12,Feuil1!$A:$B,2,FALSE),"")</f>
        <v/>
      </c>
      <c r="HI18" s="82" t="str">
        <f>IFERROR(VLOOKUP([2]Pointage!HM12,Feuil1!$A:$B,2,FALSE),"")</f>
        <v/>
      </c>
      <c r="HJ18" s="47" t="str">
        <f>IFERROR(VLOOKUP([2]Pointage!HN12,Feuil1!$A:$B,2,FALSE),"")</f>
        <v/>
      </c>
      <c r="HK18" s="31" t="str">
        <f>IFERROR(VLOOKUP([2]Pointage!HO12,Feuil1!$A:$B,2,FALSE),"")</f>
        <v/>
      </c>
      <c r="HL18" s="31" t="str">
        <f>IFERROR(VLOOKUP([2]Pointage!HP12,Feuil1!$A:$B,2,FALSE),"")</f>
        <v/>
      </c>
      <c r="HM18" s="31" t="str">
        <f>IFERROR(VLOOKUP([2]Pointage!HQ12,Feuil1!$A:$B,2,FALSE),"")</f>
        <v/>
      </c>
      <c r="HN18" s="31" t="str">
        <f>IFERROR(VLOOKUP([2]Pointage!HR12,Feuil1!$A:$B,2,FALSE),"")</f>
        <v/>
      </c>
      <c r="HO18" s="31" t="str">
        <f>IFERROR(VLOOKUP([2]Pointage!HS12,Feuil1!$A:$B,2,FALSE),"")</f>
        <v/>
      </c>
      <c r="HP18" s="31" t="str">
        <f>IFERROR(VLOOKUP([2]Pointage!HT12,Feuil1!$A:$B,2,FALSE),"")</f>
        <v/>
      </c>
      <c r="HQ18" s="31" t="str">
        <f>IFERROR(VLOOKUP([2]Pointage!HU12,Feuil1!$A:$B,2,FALSE),"")</f>
        <v/>
      </c>
      <c r="HR18" s="31" t="str">
        <f>IFERROR(VLOOKUP([2]Pointage!HV12,Feuil1!$A:$B,2,FALSE),"")</f>
        <v/>
      </c>
      <c r="HS18" s="31" t="str">
        <f>IFERROR(VLOOKUP([2]Pointage!HW12,Feuil1!$A:$B,2,FALSE),"")</f>
        <v/>
      </c>
      <c r="HT18" s="31" t="str">
        <f>IFERROR(VLOOKUP([2]Pointage!HX12,Feuil1!$A:$B,2,FALSE),"")</f>
        <v/>
      </c>
      <c r="HU18" s="31" t="str">
        <f>IFERROR(VLOOKUP([2]Pointage!HY12,Feuil1!$A:$B,2,FALSE),"")</f>
        <v/>
      </c>
      <c r="HV18" s="31" t="str">
        <f>IFERROR(VLOOKUP([2]Pointage!HZ12,Feuil1!$A:$B,2,FALSE),"")</f>
        <v/>
      </c>
      <c r="HW18" s="31" t="str">
        <f>IFERROR(VLOOKUP([2]Pointage!IA12,Feuil1!$A:$B,2,FALSE),"")</f>
        <v/>
      </c>
      <c r="HX18" s="31" t="str">
        <f>IFERROR(VLOOKUP([2]Pointage!IB12,Feuil1!$A:$B,2,FALSE),"")</f>
        <v/>
      </c>
      <c r="HY18" s="31" t="str">
        <f>IFERROR(VLOOKUP([2]Pointage!IC12,Feuil1!$A:$B,2,FALSE),"")</f>
        <v/>
      </c>
      <c r="HZ18" s="31" t="str">
        <f>IFERROR(VLOOKUP([2]Pointage!ID12,Feuil1!$A:$B,2,FALSE),"")</f>
        <v/>
      </c>
      <c r="IA18" s="31" t="str">
        <f>IFERROR(VLOOKUP([2]Pointage!IE12,Feuil1!$A:$B,2,FALSE),"")</f>
        <v/>
      </c>
      <c r="IB18" s="31" t="str">
        <f>IFERROR(VLOOKUP([2]Pointage!IF12,Feuil1!$A:$B,2,FALSE),"")</f>
        <v/>
      </c>
      <c r="IC18" s="31" t="str">
        <f>IFERROR(VLOOKUP([2]Pointage!IG12,Feuil1!$A:$B,2,FALSE),"")</f>
        <v/>
      </c>
      <c r="ID18" s="31" t="str">
        <f>IFERROR(VLOOKUP([2]Pointage!IH12,Feuil1!$A:$B,2,FALSE),"")</f>
        <v/>
      </c>
      <c r="IE18" s="31" t="str">
        <f>IFERROR(VLOOKUP([2]Pointage!II12,Feuil1!$A:$B,2,FALSE),"")</f>
        <v/>
      </c>
      <c r="IF18" s="31" t="str">
        <f>IFERROR(VLOOKUP([2]Pointage!IJ12,Feuil1!$A:$B,2,FALSE),"")</f>
        <v/>
      </c>
      <c r="IG18" s="31" t="str">
        <f>IFERROR(VLOOKUP([2]Pointage!IK12,Feuil1!$A:$B,2,FALSE),"")</f>
        <v/>
      </c>
      <c r="IH18" s="31" t="str">
        <f>IFERROR(VLOOKUP([2]Pointage!IL12,Feuil1!$A:$B,2,FALSE),"")</f>
        <v/>
      </c>
      <c r="II18" s="31" t="str">
        <f>IFERROR(VLOOKUP([2]Pointage!IM12,Feuil1!$A:$B,2,FALSE),"")</f>
        <v/>
      </c>
      <c r="IJ18" s="31" t="str">
        <f>IFERROR(VLOOKUP([2]Pointage!IN12,Feuil1!$A:$B,2,FALSE),"")</f>
        <v/>
      </c>
      <c r="IK18" s="31" t="str">
        <f>IFERROR(VLOOKUP([2]Pointage!IO12,Feuil1!$A:$B,2,FALSE),"")</f>
        <v/>
      </c>
      <c r="IL18" s="31" t="str">
        <f>IFERROR(VLOOKUP([2]Pointage!IP12,Feuil1!$A:$B,2,FALSE),"")</f>
        <v/>
      </c>
      <c r="IM18" s="31" t="str">
        <f>IFERROR(VLOOKUP([2]Pointage!IQ12,Feuil1!$A:$B,2,FALSE),"")</f>
        <v/>
      </c>
      <c r="IN18" s="82" t="str">
        <f>IFERROR(VLOOKUP([2]Pointage!IR12,Feuil1!$A:$B,2,FALSE),"")</f>
        <v/>
      </c>
      <c r="IO18" s="47" t="str">
        <f>IFERROR(VLOOKUP([2]Pointage!IS12,Feuil1!$A:$B,2,FALSE),"")</f>
        <v/>
      </c>
      <c r="IP18" s="31" t="str">
        <f>IFERROR(VLOOKUP([2]Pointage!IT12,Feuil1!$A:$B,2,FALSE),"")</f>
        <v/>
      </c>
      <c r="IQ18" s="31" t="str">
        <f>IFERROR(VLOOKUP([2]Pointage!IU12,Feuil1!$A:$B,2,FALSE),"")</f>
        <v/>
      </c>
      <c r="IR18" s="31" t="str">
        <f>IFERROR(VLOOKUP([2]Pointage!IV12,Feuil1!$A:$B,2,FALSE),"")</f>
        <v/>
      </c>
      <c r="IS18" s="31" t="str">
        <f>IFERROR(VLOOKUP([2]Pointage!IW12,Feuil1!$A:$B,2,FALSE),"")</f>
        <v/>
      </c>
      <c r="IT18" s="31" t="str">
        <f>IFERROR(VLOOKUP([2]Pointage!IX12,Feuil1!$A:$B,2,FALSE),"")</f>
        <v/>
      </c>
      <c r="IU18" s="31" t="str">
        <f>IFERROR(VLOOKUP([2]Pointage!IY12,Feuil1!$A:$B,2,FALSE),"")</f>
        <v/>
      </c>
      <c r="IV18" s="31" t="str">
        <f>IFERROR(VLOOKUP([2]Pointage!IZ12,Feuil1!$A:$B,2,FALSE),"")</f>
        <v/>
      </c>
      <c r="IW18" s="31" t="str">
        <f>IFERROR(VLOOKUP([2]Pointage!JA12,Feuil1!$A:$B,2,FALSE),"")</f>
        <v/>
      </c>
      <c r="IX18" s="31" t="str">
        <f>IFERROR(VLOOKUP([2]Pointage!JB12,Feuil1!$A:$B,2,FALSE),"")</f>
        <v/>
      </c>
      <c r="IY18" s="31" t="str">
        <f>IFERROR(VLOOKUP([2]Pointage!JC12,Feuil1!$A:$B,2,FALSE),"")</f>
        <v/>
      </c>
      <c r="IZ18" s="31" t="str">
        <f>IFERROR(VLOOKUP([2]Pointage!JD12,Feuil1!$A:$B,2,FALSE),"")</f>
        <v/>
      </c>
      <c r="JA18" s="31" t="str">
        <f>IFERROR(VLOOKUP([2]Pointage!JE12,Feuil1!$A:$B,2,FALSE),"")</f>
        <v/>
      </c>
      <c r="JB18" s="31" t="str">
        <f>IFERROR(VLOOKUP([2]Pointage!JF12,Feuil1!$A:$B,2,FALSE),"")</f>
        <v/>
      </c>
      <c r="JC18" s="31" t="str">
        <f>IFERROR(VLOOKUP([2]Pointage!JG12,Feuil1!$A:$B,2,FALSE),"")</f>
        <v/>
      </c>
      <c r="JD18" s="31" t="str">
        <f>IFERROR(VLOOKUP([2]Pointage!JH12,Feuil1!$A:$B,2,FALSE),"")</f>
        <v/>
      </c>
      <c r="JE18" s="31" t="str">
        <f>IFERROR(VLOOKUP([2]Pointage!JI12,Feuil1!$A:$B,2,FALSE),"")</f>
        <v/>
      </c>
      <c r="JF18" s="31" t="str">
        <f>IFERROR(VLOOKUP([2]Pointage!JJ12,Feuil1!$A:$B,2,FALSE),"")</f>
        <v/>
      </c>
      <c r="JG18" s="31" t="str">
        <f>IFERROR(VLOOKUP([2]Pointage!JK12,Feuil1!$A:$B,2,FALSE),"")</f>
        <v/>
      </c>
      <c r="JH18" s="31" t="str">
        <f>IFERROR(VLOOKUP([2]Pointage!JL12,Feuil1!$A:$B,2,FALSE),"")</f>
        <v/>
      </c>
      <c r="JI18" s="31" t="str">
        <f>IFERROR(VLOOKUP([2]Pointage!JM12,Feuil1!$A:$B,2,FALSE),"")</f>
        <v/>
      </c>
      <c r="JJ18" s="31" t="str">
        <f>IFERROR(VLOOKUP([2]Pointage!JN12,Feuil1!$A:$B,2,FALSE),"")</f>
        <v/>
      </c>
      <c r="JK18" s="31" t="str">
        <f>IFERROR(VLOOKUP([2]Pointage!JO12,Feuil1!$A:$B,2,FALSE),"")</f>
        <v/>
      </c>
      <c r="JL18" s="31" t="str">
        <f>IFERROR(VLOOKUP([2]Pointage!JP12,Feuil1!$A:$B,2,FALSE),"")</f>
        <v/>
      </c>
      <c r="JM18" s="31" t="str">
        <f>IFERROR(VLOOKUP([2]Pointage!JQ12,Feuil1!$A:$B,2,FALSE),"")</f>
        <v/>
      </c>
      <c r="JN18" s="31" t="str">
        <f>IFERROR(VLOOKUP([2]Pointage!JR12,Feuil1!$A:$B,2,FALSE),"")</f>
        <v/>
      </c>
      <c r="JO18" s="31" t="str">
        <f>IFERROR(VLOOKUP([2]Pointage!JS12,Feuil1!$A:$B,2,FALSE),"")</f>
        <v/>
      </c>
      <c r="JP18" s="31" t="str">
        <f>IFERROR(VLOOKUP([2]Pointage!JT12,Feuil1!$A:$B,2,FALSE),"")</f>
        <v/>
      </c>
      <c r="JQ18" s="31" t="str">
        <f>IFERROR(VLOOKUP([2]Pointage!JU12,Feuil1!$A:$B,2,FALSE),"")</f>
        <v/>
      </c>
      <c r="JR18" s="82" t="str">
        <f>IFERROR(VLOOKUP([2]Pointage!JV12,Feuil1!$A:$B,2,FALSE),"")</f>
        <v/>
      </c>
      <c r="JS18" s="47" t="str">
        <f>IFERROR(VLOOKUP([2]Pointage!JW12,Feuil1!$A:$B,2,FALSE),"")</f>
        <v/>
      </c>
      <c r="JT18" s="31" t="str">
        <f>IFERROR(VLOOKUP([2]Pointage!JX12,Feuil1!$A:$B,2,FALSE),"")</f>
        <v/>
      </c>
      <c r="JU18" s="31" t="str">
        <f>IFERROR(VLOOKUP([2]Pointage!JY12,Feuil1!$A:$B,2,FALSE),"")</f>
        <v/>
      </c>
      <c r="JV18" s="31" t="str">
        <f>IFERROR(VLOOKUP([2]Pointage!JZ12,Feuil1!$A:$B,2,FALSE),"")</f>
        <v/>
      </c>
      <c r="JW18" s="31" t="str">
        <f>IFERROR(VLOOKUP([2]Pointage!KA12,Feuil1!$A:$B,2,FALSE),"")</f>
        <v/>
      </c>
      <c r="JX18" s="31" t="str">
        <f>IFERROR(VLOOKUP([2]Pointage!KB12,Feuil1!$A:$B,2,FALSE),"")</f>
        <v/>
      </c>
      <c r="JY18" s="31" t="str">
        <f>IFERROR(VLOOKUP([2]Pointage!KC12,Feuil1!$A:$B,2,FALSE),"")</f>
        <v/>
      </c>
      <c r="JZ18" s="31" t="str">
        <f>IFERROR(VLOOKUP([2]Pointage!KD12,Feuil1!$A:$B,2,FALSE),"")</f>
        <v/>
      </c>
      <c r="KA18" s="31" t="str">
        <f>IFERROR(VLOOKUP([2]Pointage!KE12,Feuil1!$A:$B,2,FALSE),"")</f>
        <v/>
      </c>
      <c r="KB18" s="31" t="str">
        <f>IFERROR(VLOOKUP([2]Pointage!KF12,Feuil1!$A:$B,2,FALSE),"")</f>
        <v/>
      </c>
      <c r="KC18" s="31" t="str">
        <f>IFERROR(VLOOKUP([2]Pointage!KG12,Feuil1!$A:$B,2,FALSE),"")</f>
        <v/>
      </c>
      <c r="KD18" s="31" t="str">
        <f>IFERROR(VLOOKUP([2]Pointage!KH12,Feuil1!$A:$B,2,FALSE),"")</f>
        <v/>
      </c>
      <c r="KE18" s="31" t="str">
        <f>IFERROR(VLOOKUP([2]Pointage!KI12,Feuil1!$A:$B,2,FALSE),"")</f>
        <v/>
      </c>
      <c r="KF18" s="31" t="str">
        <f>IFERROR(VLOOKUP([2]Pointage!KJ12,Feuil1!$A:$B,2,FALSE),"")</f>
        <v/>
      </c>
      <c r="KG18" s="31" t="str">
        <f>IFERROR(VLOOKUP([2]Pointage!KK12,Feuil1!$A:$B,2,FALSE),"")</f>
        <v/>
      </c>
      <c r="KH18" s="31" t="str">
        <f>IFERROR(VLOOKUP([2]Pointage!KL12,Feuil1!$A:$B,2,FALSE),"")</f>
        <v/>
      </c>
      <c r="KI18" s="31" t="str">
        <f>IFERROR(VLOOKUP([2]Pointage!KM12,Feuil1!$A:$B,2,FALSE),"")</f>
        <v/>
      </c>
      <c r="KJ18" s="31" t="str">
        <f>IFERROR(VLOOKUP([2]Pointage!KN12,Feuil1!$A:$B,2,FALSE),"")</f>
        <v/>
      </c>
      <c r="KK18" s="31" t="str">
        <f>IFERROR(VLOOKUP([2]Pointage!KO12,Feuil1!$A:$B,2,FALSE),"")</f>
        <v/>
      </c>
      <c r="KL18" s="31" t="str">
        <f>IFERROR(VLOOKUP([2]Pointage!KP12,Feuil1!$A:$B,2,FALSE),"")</f>
        <v/>
      </c>
      <c r="KM18" s="31" t="str">
        <f>IFERROR(VLOOKUP([2]Pointage!KQ12,Feuil1!$A:$B,2,FALSE),"")</f>
        <v/>
      </c>
      <c r="KN18" s="31" t="str">
        <f>IFERROR(VLOOKUP([2]Pointage!KR12,Feuil1!$A:$B,2,FALSE),"")</f>
        <v/>
      </c>
      <c r="KO18" s="31" t="str">
        <f>IFERROR(VLOOKUP([2]Pointage!KS12,Feuil1!$A:$B,2,FALSE),"")</f>
        <v/>
      </c>
      <c r="KP18" s="31" t="str">
        <f>IFERROR(VLOOKUP([2]Pointage!KT12,Feuil1!$A:$B,2,FALSE),"")</f>
        <v/>
      </c>
      <c r="KQ18" s="31" t="str">
        <f>IFERROR(VLOOKUP([2]Pointage!KU12,Feuil1!$A:$B,2,FALSE),"")</f>
        <v/>
      </c>
      <c r="KR18" s="31" t="str">
        <f>IFERROR(VLOOKUP([2]Pointage!KV12,Feuil1!$A:$B,2,FALSE),"")</f>
        <v/>
      </c>
      <c r="KS18" s="31" t="str">
        <f>IFERROR(VLOOKUP([2]Pointage!KW12,Feuil1!$A:$B,2,FALSE),"")</f>
        <v/>
      </c>
      <c r="KT18" s="31" t="str">
        <f>IFERROR(VLOOKUP([2]Pointage!KX12,Feuil1!$A:$B,2,FALSE),"")</f>
        <v/>
      </c>
      <c r="KU18" s="31" t="str">
        <f>IFERROR(VLOOKUP([2]Pointage!KY12,Feuil1!$A:$B,2,FALSE),"")</f>
        <v/>
      </c>
      <c r="KV18" s="31" t="str">
        <f>IFERROR(VLOOKUP([2]Pointage!KZ12,Feuil1!$A:$B,2,FALSE),"")</f>
        <v/>
      </c>
      <c r="KW18" s="82" t="str">
        <f>IFERROR(VLOOKUP([2]Pointage!LA12,Feuil1!$A:$B,2,FALSE),"")</f>
        <v/>
      </c>
      <c r="KX18" s="47" t="str">
        <f>IFERROR(VLOOKUP([2]Pointage!LB12,Feuil1!$A:$B,2,FALSE),"")</f>
        <v/>
      </c>
      <c r="KY18" s="31" t="str">
        <f>IFERROR(VLOOKUP([2]Pointage!LC12,Feuil1!$A:$B,2,FALSE),"")</f>
        <v/>
      </c>
      <c r="KZ18" s="31" t="str">
        <f>IFERROR(VLOOKUP([2]Pointage!LD12,Feuil1!$A:$B,2,FALSE),"")</f>
        <v/>
      </c>
      <c r="LA18" s="31" t="str">
        <f>IFERROR(VLOOKUP([2]Pointage!LE12,Feuil1!$A:$B,2,FALSE),"")</f>
        <v/>
      </c>
      <c r="LB18" s="31" t="str">
        <f>IFERROR(VLOOKUP([2]Pointage!LF12,Feuil1!$A:$B,2,FALSE),"")</f>
        <v/>
      </c>
      <c r="LC18" s="31" t="str">
        <f>IFERROR(VLOOKUP([2]Pointage!LG12,Feuil1!$A:$B,2,FALSE),"")</f>
        <v/>
      </c>
      <c r="LD18" s="31" t="str">
        <f>IFERROR(VLOOKUP([2]Pointage!LH12,Feuil1!$A:$B,2,FALSE),"")</f>
        <v/>
      </c>
      <c r="LE18" s="31" t="str">
        <f>IFERROR(VLOOKUP([2]Pointage!LI12,Feuil1!$A:$B,2,FALSE),"")</f>
        <v/>
      </c>
      <c r="LF18" s="31" t="str">
        <f>IFERROR(VLOOKUP([2]Pointage!LJ12,Feuil1!$A:$B,2,FALSE),"")</f>
        <v/>
      </c>
      <c r="LG18" s="31" t="str">
        <f>IFERROR(VLOOKUP([2]Pointage!LK12,Feuil1!$A:$B,2,FALSE),"")</f>
        <v/>
      </c>
      <c r="LH18" s="31" t="str">
        <f>IFERROR(VLOOKUP([2]Pointage!LL12,Feuil1!$A:$B,2,FALSE),"")</f>
        <v/>
      </c>
      <c r="LI18" s="31" t="str">
        <f>IFERROR(VLOOKUP([2]Pointage!LM12,Feuil1!$A:$B,2,FALSE),"")</f>
        <v/>
      </c>
      <c r="LJ18" s="31" t="str">
        <f>IFERROR(VLOOKUP([2]Pointage!LN12,Feuil1!$A:$B,2,FALSE),"")</f>
        <v/>
      </c>
      <c r="LK18" s="31" t="str">
        <f>IFERROR(VLOOKUP([2]Pointage!LO12,Feuil1!$A:$B,2,FALSE),"")</f>
        <v/>
      </c>
      <c r="LL18" s="31" t="str">
        <f>IFERROR(VLOOKUP([2]Pointage!LP12,Feuil1!$A:$B,2,FALSE),"")</f>
        <v/>
      </c>
      <c r="LM18" s="31" t="str">
        <f>IFERROR(VLOOKUP([2]Pointage!LQ12,Feuil1!$A:$B,2,FALSE),"")</f>
        <v/>
      </c>
      <c r="LN18" s="31" t="str">
        <f>IFERROR(VLOOKUP([2]Pointage!LR12,Feuil1!$A:$B,2,FALSE),"")</f>
        <v/>
      </c>
      <c r="LO18" s="31" t="str">
        <f>IFERROR(VLOOKUP([2]Pointage!LS12,Feuil1!$A:$B,2,FALSE),"")</f>
        <v/>
      </c>
      <c r="LP18" s="31" t="str">
        <f>IFERROR(VLOOKUP([2]Pointage!LT12,Feuil1!$A:$B,2,FALSE),"")</f>
        <v/>
      </c>
      <c r="LQ18" s="31" t="str">
        <f>IFERROR(VLOOKUP([2]Pointage!LU12,Feuil1!$A:$B,2,FALSE),"")</f>
        <v/>
      </c>
      <c r="LR18" s="31" t="str">
        <f>IFERROR(VLOOKUP([2]Pointage!LV12,Feuil1!$A:$B,2,FALSE),"")</f>
        <v/>
      </c>
      <c r="LS18" s="31" t="str">
        <f>IFERROR(VLOOKUP([2]Pointage!LW12,Feuil1!$A:$B,2,FALSE),"")</f>
        <v/>
      </c>
      <c r="LT18" s="31" t="str">
        <f>IFERROR(VLOOKUP([2]Pointage!LX12,Feuil1!$A:$B,2,FALSE),"")</f>
        <v/>
      </c>
      <c r="LU18" s="31" t="str">
        <f>IFERROR(VLOOKUP([2]Pointage!LY12,Feuil1!$A:$B,2,FALSE),"")</f>
        <v/>
      </c>
      <c r="LV18" s="31" t="str">
        <f>IFERROR(VLOOKUP([2]Pointage!LZ12,Feuil1!$A:$B,2,FALSE),"")</f>
        <v/>
      </c>
      <c r="LW18" s="31" t="str">
        <f>IFERROR(VLOOKUP([2]Pointage!MA12,Feuil1!$A:$B,2,FALSE),"")</f>
        <v/>
      </c>
      <c r="LX18" s="31" t="str">
        <f>IFERROR(VLOOKUP([2]Pointage!MB12,Feuil1!$A:$B,2,FALSE),"")</f>
        <v/>
      </c>
      <c r="LY18" s="31" t="str">
        <f>IFERROR(VLOOKUP([2]Pointage!MC12,Feuil1!$A:$B,2,FALSE),"")</f>
        <v/>
      </c>
      <c r="LZ18" s="31" t="str">
        <f>IFERROR(VLOOKUP([2]Pointage!MD12,Feuil1!$A:$B,2,FALSE),"")</f>
        <v/>
      </c>
      <c r="MA18" s="82" t="str">
        <f>IFERROR(VLOOKUP([2]Pointage!ME12,Feuil1!$A:$B,2,FALSE),"")</f>
        <v/>
      </c>
      <c r="MB18" s="47" t="str">
        <f>IFERROR(VLOOKUP([2]Pointage!MF12,Feuil1!$A:$B,2,FALSE),"")</f>
        <v/>
      </c>
      <c r="MC18" s="31" t="str">
        <f>IFERROR(VLOOKUP([2]Pointage!MG12,Feuil1!$A:$B,2,FALSE),"")</f>
        <v/>
      </c>
      <c r="MD18" s="31" t="str">
        <f>IFERROR(VLOOKUP([2]Pointage!MH12,Feuil1!$A:$B,2,FALSE),"")</f>
        <v/>
      </c>
      <c r="ME18" s="31" t="str">
        <f>IFERROR(VLOOKUP([2]Pointage!MI12,Feuil1!$A:$B,2,FALSE),"")</f>
        <v/>
      </c>
      <c r="MF18" s="31" t="str">
        <f>IFERROR(VLOOKUP([2]Pointage!MJ12,Feuil1!$A:$B,2,FALSE),"")</f>
        <v/>
      </c>
      <c r="MG18" s="31" t="str">
        <f>IFERROR(VLOOKUP([2]Pointage!MK12,Feuil1!$A:$B,2,FALSE),"")</f>
        <v/>
      </c>
      <c r="MH18" s="31" t="str">
        <f>IFERROR(VLOOKUP([2]Pointage!ML12,Feuil1!$A:$B,2,FALSE),"")</f>
        <v/>
      </c>
      <c r="MI18" s="31" t="str">
        <f>IFERROR(VLOOKUP([2]Pointage!MM12,Feuil1!$A:$B,2,FALSE),"")</f>
        <v/>
      </c>
      <c r="MJ18" s="31" t="str">
        <f>IFERROR(VLOOKUP([2]Pointage!MN12,Feuil1!$A:$B,2,FALSE),"")</f>
        <v/>
      </c>
      <c r="MK18" s="31" t="str">
        <f>IFERROR(VLOOKUP([2]Pointage!MO12,Feuil1!$A:$B,2,FALSE),"")</f>
        <v/>
      </c>
      <c r="ML18" s="31" t="str">
        <f>IFERROR(VLOOKUP([2]Pointage!MP12,Feuil1!$A:$B,2,FALSE),"")</f>
        <v/>
      </c>
      <c r="MM18" s="31" t="str">
        <f>IFERROR(VLOOKUP([2]Pointage!MQ12,Feuil1!$A:$B,2,FALSE),"")</f>
        <v/>
      </c>
      <c r="MN18" s="31" t="str">
        <f>IFERROR(VLOOKUP([2]Pointage!MR12,Feuil1!$A:$B,2,FALSE),"")</f>
        <v/>
      </c>
      <c r="MO18" s="31" t="str">
        <f>IFERROR(VLOOKUP([2]Pointage!MS12,Feuil1!$A:$B,2,FALSE),"")</f>
        <v/>
      </c>
      <c r="MP18" s="31" t="str">
        <f>IFERROR(VLOOKUP([2]Pointage!MT12,Feuil1!$A:$B,2,FALSE),"")</f>
        <v/>
      </c>
      <c r="MQ18" s="31" t="str">
        <f>IFERROR(VLOOKUP([2]Pointage!MU12,Feuil1!$A:$B,2,FALSE),"")</f>
        <v/>
      </c>
      <c r="MR18" s="31" t="str">
        <f>IFERROR(VLOOKUP([2]Pointage!MV12,Feuil1!$A:$B,2,FALSE),"")</f>
        <v/>
      </c>
      <c r="MS18" s="31" t="str">
        <f>IFERROR(VLOOKUP([2]Pointage!MW12,Feuil1!$A:$B,2,FALSE),"")</f>
        <v/>
      </c>
      <c r="MT18" s="31" t="str">
        <f>IFERROR(VLOOKUP([2]Pointage!MX12,Feuil1!$A:$B,2,FALSE),"")</f>
        <v/>
      </c>
      <c r="MU18" s="31" t="str">
        <f>IFERROR(VLOOKUP([2]Pointage!MY12,Feuil1!$A:$B,2,FALSE),"")</f>
        <v/>
      </c>
      <c r="MV18" s="31" t="str">
        <f>IFERROR(VLOOKUP([2]Pointage!MZ12,Feuil1!$A:$B,2,FALSE),"")</f>
        <v/>
      </c>
      <c r="MW18" s="31" t="str">
        <f>IFERROR(VLOOKUP([2]Pointage!NA12,Feuil1!$A:$B,2,FALSE),"")</f>
        <v/>
      </c>
      <c r="MX18" s="31" t="str">
        <f>IFERROR(VLOOKUP([2]Pointage!NB12,Feuil1!$A:$B,2,FALSE),"")</f>
        <v/>
      </c>
      <c r="MY18" s="31" t="str">
        <f>IFERROR(VLOOKUP([2]Pointage!NC12,Feuil1!$A:$B,2,FALSE),"")</f>
        <v/>
      </c>
      <c r="MZ18" s="31" t="str">
        <f>IFERROR(VLOOKUP([2]Pointage!ND12,Feuil1!$A:$B,2,FALSE),"")</f>
        <v/>
      </c>
      <c r="NA18" s="31" t="str">
        <f>IFERROR(VLOOKUP([2]Pointage!NE12,Feuil1!$A:$B,2,FALSE),"")</f>
        <v/>
      </c>
      <c r="NB18" s="31" t="str">
        <f>IFERROR(VLOOKUP([2]Pointage!NF12,Feuil1!$A:$B,2,FALSE),"")</f>
        <v/>
      </c>
      <c r="NC18" s="31" t="str">
        <f>IFERROR(VLOOKUP([2]Pointage!NG12,Feuil1!$A:$B,2,FALSE),"")</f>
        <v/>
      </c>
      <c r="ND18" s="31" t="str">
        <f>IFERROR(VLOOKUP([2]Pointage!NH12,Feuil1!$A:$B,2,FALSE),"")</f>
        <v/>
      </c>
      <c r="NE18" s="31" t="str">
        <f>IFERROR(VLOOKUP([2]Pointage!NI12,Feuil1!$A:$B,2,FALSE),"")</f>
        <v/>
      </c>
      <c r="NF18" s="48" t="str">
        <f>IFERROR(VLOOKUP([2]Pointage!NJ12,Feuil1!$A:$B,2,FALSE),"")</f>
        <v/>
      </c>
      <c r="NG18" s="52">
        <f>COUNTIF(Global!F18:NF18,"RTT")+(COUNTIF(Global!F18:NF18,"dRTT")/2)</f>
        <v>0</v>
      </c>
      <c r="NH18" s="42">
        <f>COUNTIF(Global!F18:NF18,"C")+(COUNTIF(Global!F18:NF18,"DC")/2)</f>
        <v>13</v>
      </c>
      <c r="NI18" s="42">
        <f>COUNTIF(Global!F18:NF18,"M")</f>
        <v>2</v>
      </c>
      <c r="NJ18" s="42">
        <f>COUNTIF(Global!G18:NG18,"AT")</f>
        <v>0</v>
      </c>
      <c r="NK18" s="42">
        <f>COUNTIF(Global!F18:NF18,"RD")</f>
        <v>0</v>
      </c>
      <c r="NL18" s="42">
        <f>COUNTIF(Global!F18:NF18,"RC")+(COUNTIF(Global!F18:NF18,"dRC")/2)</f>
        <v>0</v>
      </c>
      <c r="NM18" s="42">
        <f t="shared" ca="1" si="0"/>
        <v>3.9726027397260277</v>
      </c>
      <c r="NT18" s="33"/>
      <c r="NU18" s="33"/>
      <c r="NV18" s="28"/>
      <c r="NW18" s="28"/>
      <c r="NX18" s="29">
        <f>COUNTIF(F18:NF18,"C")++(COUNTIF(Global!F18:NF18,"DC")/2)</f>
        <v>13</v>
      </c>
      <c r="NY18" s="29"/>
      <c r="NZ18" s="29"/>
      <c r="OA18" s="29"/>
      <c r="OB18" s="29">
        <f>COUNTIF(Global!F18:NF18,"M")</f>
        <v>2</v>
      </c>
      <c r="OC18" s="30">
        <f t="shared" si="1"/>
        <v>-13</v>
      </c>
      <c r="OD18" s="30"/>
    </row>
    <row r="19" spans="1:394" ht="30" customHeight="1" x14ac:dyDescent="0.2">
      <c r="A19" s="15" t="s">
        <v>75</v>
      </c>
      <c r="B19" s="22" t="s">
        <v>163</v>
      </c>
      <c r="C19" s="22" t="s">
        <v>164</v>
      </c>
      <c r="D19" s="22" t="s">
        <v>165</v>
      </c>
      <c r="E19" s="44">
        <v>0</v>
      </c>
      <c r="F19" s="47" t="str">
        <f>IFERROR(VLOOKUP([2]Pointage!J13,Feuil1!$A:$B,2,FALSE),"")</f>
        <v/>
      </c>
      <c r="G19" s="31" t="str">
        <f>IFERROR(VLOOKUP([2]Pointage!K13,Feuil1!$A:$B,2,FALSE),"")</f>
        <v/>
      </c>
      <c r="H19" s="31" t="str">
        <f>IFERROR(VLOOKUP([2]Pointage!L13,Feuil1!$A:$B,2,FALSE),"")</f>
        <v/>
      </c>
      <c r="I19" s="31" t="str">
        <f>IFERROR(VLOOKUP([2]Pointage!M13,Feuil1!$A:$B,2,FALSE),"")</f>
        <v/>
      </c>
      <c r="J19" s="31" t="str">
        <f>IFERROR(VLOOKUP([2]Pointage!N13,Feuil1!$A:$B,2,FALSE),"")</f>
        <v/>
      </c>
      <c r="K19" s="31" t="str">
        <f>IFERROR(VLOOKUP([2]Pointage!O13,Feuil1!$A:$B,2,FALSE),"")</f>
        <v/>
      </c>
      <c r="L19" s="31" t="str">
        <f>IFERROR(VLOOKUP([2]Pointage!P13,Feuil1!$A:$B,2,FALSE),"")</f>
        <v/>
      </c>
      <c r="M19" s="31" t="str">
        <f>IFERROR(VLOOKUP([2]Pointage!Q13,Feuil1!$A:$B,2,FALSE),"")</f>
        <v/>
      </c>
      <c r="N19" s="31" t="str">
        <f>IFERROR(VLOOKUP([2]Pointage!R13,Feuil1!$A:$B,2,FALSE),"")</f>
        <v/>
      </c>
      <c r="O19" s="31" t="str">
        <f>IFERROR(VLOOKUP([2]Pointage!S13,Feuil1!$A:$B,2,FALSE),"")</f>
        <v/>
      </c>
      <c r="P19" s="31" t="str">
        <f>IFERROR(VLOOKUP([2]Pointage!T13,Feuil1!$A:$B,2,FALSE),"")</f>
        <v/>
      </c>
      <c r="Q19" s="31" t="str">
        <f>IFERROR(VLOOKUP([2]Pointage!U13,Feuil1!$A:$B,2,FALSE),"")</f>
        <v/>
      </c>
      <c r="R19" s="31" t="str">
        <f>IFERROR(VLOOKUP([2]Pointage!V13,Feuil1!$A:$B,2,FALSE),"")</f>
        <v/>
      </c>
      <c r="S19" s="31" t="str">
        <f>IFERROR(VLOOKUP([2]Pointage!W13,Feuil1!$A:$B,2,FALSE),"")</f>
        <v/>
      </c>
      <c r="T19" s="31" t="str">
        <f>IFERROR(VLOOKUP([2]Pointage!X13,Feuil1!$A:$B,2,FALSE),"")</f>
        <v/>
      </c>
      <c r="U19" s="31" t="str">
        <f>IFERROR(VLOOKUP([2]Pointage!Y13,Feuil1!$A:$B,2,FALSE),"")</f>
        <v/>
      </c>
      <c r="V19" s="31" t="str">
        <f>IFERROR(VLOOKUP([2]Pointage!Z13,Feuil1!$A:$B,2,FALSE),"")</f>
        <v/>
      </c>
      <c r="W19" s="31" t="str">
        <f>IFERROR(VLOOKUP([2]Pointage!AA13,Feuil1!$A:$B,2,FALSE),"")</f>
        <v/>
      </c>
      <c r="X19" s="31" t="str">
        <f>IFERROR(VLOOKUP([2]Pointage!AB13,Feuil1!$A:$B,2,FALSE),"")</f>
        <v/>
      </c>
      <c r="Y19" s="31" t="str">
        <f>IFERROR(VLOOKUP([2]Pointage!AC13,Feuil1!$A:$B,2,FALSE),"")</f>
        <v/>
      </c>
      <c r="Z19" s="31" t="str">
        <f>IFERROR(VLOOKUP([2]Pointage!AD13,Feuil1!$A:$B,2,FALSE),"")</f>
        <v/>
      </c>
      <c r="AA19" s="31" t="str">
        <f>IFERROR(VLOOKUP([2]Pointage!AE13,Feuil1!$A:$B,2,FALSE),"")</f>
        <v/>
      </c>
      <c r="AB19" s="31" t="str">
        <f>IFERROR(VLOOKUP([2]Pointage!AF13,Feuil1!$A:$B,2,FALSE),"")</f>
        <v/>
      </c>
      <c r="AC19" s="31" t="str">
        <f>IFERROR(VLOOKUP([2]Pointage!AG13,Feuil1!$A:$B,2,FALSE),"")</f>
        <v/>
      </c>
      <c r="AD19" s="31" t="str">
        <f>IFERROR(VLOOKUP([2]Pointage!AH13,Feuil1!$A:$B,2,FALSE),"")</f>
        <v/>
      </c>
      <c r="AE19" s="31" t="str">
        <f>IFERROR(VLOOKUP([2]Pointage!AI13,Feuil1!$A:$B,2,FALSE),"")</f>
        <v/>
      </c>
      <c r="AF19" s="31" t="str">
        <f>IFERROR(VLOOKUP([2]Pointage!AJ13,Feuil1!$A:$B,2,FALSE),"")</f>
        <v/>
      </c>
      <c r="AG19" s="31" t="str">
        <f>IFERROR(VLOOKUP([2]Pointage!AK13,Feuil1!$A:$B,2,FALSE),"")</f>
        <v/>
      </c>
      <c r="AH19" s="31" t="str">
        <f>IFERROR(VLOOKUP([2]Pointage!AL13,Feuil1!$A:$B,2,FALSE),"")</f>
        <v/>
      </c>
      <c r="AI19" s="31" t="str">
        <f>IFERROR(VLOOKUP([2]Pointage!AM13,Feuil1!$A:$B,2,FALSE),"")</f>
        <v/>
      </c>
      <c r="AJ19" s="82" t="str">
        <f>IFERROR(VLOOKUP([2]Pointage!AN13,Feuil1!$A:$B,2,FALSE),"")</f>
        <v/>
      </c>
      <c r="AK19" s="47" t="str">
        <f>IFERROR(VLOOKUP([2]Pointage!AO13,Feuil1!$A:$B,2,FALSE),"")</f>
        <v/>
      </c>
      <c r="AL19" s="31" t="str">
        <f>IFERROR(VLOOKUP([2]Pointage!AP13,Feuil1!$A:$B,2,FALSE),"")</f>
        <v/>
      </c>
      <c r="AM19" s="31" t="str">
        <f>IFERROR(VLOOKUP([2]Pointage!AQ13,Feuil1!$A:$B,2,FALSE),"")</f>
        <v/>
      </c>
      <c r="AN19" s="31" t="str">
        <f>IFERROR(VLOOKUP([2]Pointage!AR13,Feuil1!$A:$B,2,FALSE),"")</f>
        <v/>
      </c>
      <c r="AO19" s="31" t="str">
        <f>IFERROR(VLOOKUP([2]Pointage!AS13,Feuil1!$A:$B,2,FALSE),"")</f>
        <v/>
      </c>
      <c r="AP19" s="31" t="str">
        <f>IFERROR(VLOOKUP([2]Pointage!AT13,Feuil1!$A:$B,2,FALSE),"")</f>
        <v/>
      </c>
      <c r="AQ19" s="31" t="str">
        <f>IFERROR(VLOOKUP([2]Pointage!AU13,Feuil1!$A:$B,2,FALSE),"")</f>
        <v/>
      </c>
      <c r="AR19" s="31" t="str">
        <f>IFERROR(VLOOKUP([2]Pointage!AV13,Feuil1!$A:$B,2,FALSE),"")</f>
        <v/>
      </c>
      <c r="AS19" s="31" t="str">
        <f>IFERROR(VLOOKUP([2]Pointage!AW13,Feuil1!$A:$B,2,FALSE),"")</f>
        <v/>
      </c>
      <c r="AT19" s="31" t="str">
        <f>IFERROR(VLOOKUP([2]Pointage!AX13,Feuil1!$A:$B,2,FALSE),"")</f>
        <v/>
      </c>
      <c r="AU19" s="31" t="str">
        <f>IFERROR(VLOOKUP([2]Pointage!AY13,Feuil1!$A:$B,2,FALSE),"")</f>
        <v/>
      </c>
      <c r="AV19" s="31" t="str">
        <f>IFERROR(VLOOKUP([2]Pointage!AZ13,Feuil1!$A:$B,2,FALSE),"")</f>
        <v/>
      </c>
      <c r="AW19" s="31" t="str">
        <f>IFERROR(VLOOKUP([2]Pointage!BA13,Feuil1!$A:$B,2,FALSE),"")</f>
        <v/>
      </c>
      <c r="AX19" s="31" t="str">
        <f>IFERROR(VLOOKUP([2]Pointage!BB13,Feuil1!$A:$B,2,FALSE),"")</f>
        <v/>
      </c>
      <c r="AY19" s="31" t="str">
        <f>IFERROR(VLOOKUP([2]Pointage!BC13,Feuil1!$A:$B,2,FALSE),"")</f>
        <v/>
      </c>
      <c r="AZ19" s="31" t="str">
        <f>IFERROR(VLOOKUP([2]Pointage!BD13,Feuil1!$A:$B,2,FALSE),"")</f>
        <v/>
      </c>
      <c r="BA19" s="31" t="str">
        <f>IFERROR(VLOOKUP([2]Pointage!BE13,Feuil1!$A:$B,2,FALSE),"")</f>
        <v/>
      </c>
      <c r="BB19" s="31" t="str">
        <f>IFERROR(VLOOKUP([2]Pointage!BF13,Feuil1!$A:$B,2,FALSE),"")</f>
        <v/>
      </c>
      <c r="BC19" s="31" t="str">
        <f>IFERROR(VLOOKUP([2]Pointage!BG13,Feuil1!$A:$B,2,FALSE),"")</f>
        <v/>
      </c>
      <c r="BD19" s="31" t="str">
        <f>IFERROR(VLOOKUP([2]Pointage!BH13,Feuil1!$A:$B,2,FALSE),"")</f>
        <v/>
      </c>
      <c r="BE19" s="31" t="str">
        <f>IFERROR(VLOOKUP([2]Pointage!BI13,Feuil1!$A:$B,2,FALSE),"")</f>
        <v/>
      </c>
      <c r="BF19" s="31" t="str">
        <f>IFERROR(VLOOKUP([2]Pointage!BJ13,Feuil1!$A:$B,2,FALSE),"")</f>
        <v/>
      </c>
      <c r="BG19" s="31" t="str">
        <f>IFERROR(VLOOKUP([2]Pointage!BK13,Feuil1!$A:$B,2,FALSE),"")</f>
        <v/>
      </c>
      <c r="BH19" s="31" t="str">
        <f>IFERROR(VLOOKUP([2]Pointage!BL13,Feuil1!$A:$B,2,FALSE),"")</f>
        <v/>
      </c>
      <c r="BI19" s="31" t="str">
        <f>IFERROR(VLOOKUP([2]Pointage!BM13,Feuil1!$A:$B,2,FALSE),"")</f>
        <v/>
      </c>
      <c r="BJ19" s="31" t="str">
        <f>IFERROR(VLOOKUP([2]Pointage!BN13,Feuil1!$A:$B,2,FALSE),"")</f>
        <v/>
      </c>
      <c r="BK19" s="31" t="str">
        <f>IFERROR(VLOOKUP([2]Pointage!BO13,Feuil1!$A:$B,2,FALSE),"")</f>
        <v/>
      </c>
      <c r="BL19" s="82" t="str">
        <f>IFERROR(VLOOKUP([2]Pointage!BP13,Feuil1!$A:$B,2,FALSE),"")</f>
        <v/>
      </c>
      <c r="BM19" s="47" t="str">
        <f>IFERROR(VLOOKUP([2]Pointage!BQ13,Feuil1!$A:$B,2,FALSE),"")</f>
        <v/>
      </c>
      <c r="BN19" s="31" t="str">
        <f>IFERROR(VLOOKUP([2]Pointage!BR13,Feuil1!$A:$B,2,FALSE),"")</f>
        <v/>
      </c>
      <c r="BO19" s="31" t="str">
        <f>IFERROR(VLOOKUP([2]Pointage!BS13,Feuil1!$A:$B,2,FALSE),"")</f>
        <v/>
      </c>
      <c r="BP19" s="31" t="str">
        <f>IFERROR(VLOOKUP([2]Pointage!BT13,Feuil1!$A:$B,2,FALSE),"")</f>
        <v/>
      </c>
      <c r="BQ19" s="31" t="str">
        <f>IFERROR(VLOOKUP([2]Pointage!BU13,Feuil1!$A:$B,2,FALSE),"")</f>
        <v/>
      </c>
      <c r="BR19" s="31" t="str">
        <f>IFERROR(VLOOKUP([2]Pointage!BV13,Feuil1!$A:$B,2,FALSE),"")</f>
        <v/>
      </c>
      <c r="BS19" s="31" t="str">
        <f>IFERROR(VLOOKUP([2]Pointage!BW13,Feuil1!$A:$B,2,FALSE),"")</f>
        <v/>
      </c>
      <c r="BT19" s="31" t="str">
        <f>IFERROR(VLOOKUP([2]Pointage!BX13,Feuil1!$A:$B,2,FALSE),"")</f>
        <v/>
      </c>
      <c r="BU19" s="31" t="str">
        <f>IFERROR(VLOOKUP([2]Pointage!BY13,Feuil1!$A:$B,2,FALSE),"")</f>
        <v/>
      </c>
      <c r="BV19" s="31" t="str">
        <f>IFERROR(VLOOKUP([2]Pointage!BZ13,Feuil1!$A:$B,2,FALSE),"")</f>
        <v/>
      </c>
      <c r="BW19" s="31" t="str">
        <f>IFERROR(VLOOKUP([2]Pointage!CA13,Feuil1!$A:$B,2,FALSE),"")</f>
        <v/>
      </c>
      <c r="BX19" s="31" t="str">
        <f>IFERROR(VLOOKUP([2]Pointage!CB13,Feuil1!$A:$B,2,FALSE),"")</f>
        <v/>
      </c>
      <c r="BY19" s="31" t="str">
        <f>IFERROR(VLOOKUP([2]Pointage!CC13,Feuil1!$A:$B,2,FALSE),"")</f>
        <v/>
      </c>
      <c r="BZ19" s="31" t="str">
        <f>IFERROR(VLOOKUP([2]Pointage!CD13,Feuil1!$A:$B,2,FALSE),"")</f>
        <v/>
      </c>
      <c r="CA19" s="31" t="str">
        <f>IFERROR(VLOOKUP([2]Pointage!CE13,Feuil1!$A:$B,2,FALSE),"")</f>
        <v/>
      </c>
      <c r="CB19" s="31" t="str">
        <f>IFERROR(VLOOKUP([2]Pointage!CF13,Feuil1!$A:$B,2,FALSE),"")</f>
        <v/>
      </c>
      <c r="CC19" s="31" t="str">
        <f>IFERROR(VLOOKUP([2]Pointage!CG13,Feuil1!$A:$B,2,FALSE),"")</f>
        <v/>
      </c>
      <c r="CD19" s="31" t="str">
        <f>IFERROR(VLOOKUP([2]Pointage!CH13,Feuil1!$A:$B,2,FALSE),"")</f>
        <v/>
      </c>
      <c r="CE19" s="31" t="str">
        <f>IFERROR(VLOOKUP([2]Pointage!CI13,Feuil1!$A:$B,2,FALSE),"")</f>
        <v/>
      </c>
      <c r="CF19" s="31" t="str">
        <f>IFERROR(VLOOKUP([2]Pointage!CJ13,Feuil1!$A:$B,2,FALSE),"")</f>
        <v/>
      </c>
      <c r="CG19" s="31" t="str">
        <f>IFERROR(VLOOKUP([2]Pointage!CK13,Feuil1!$A:$B,2,FALSE),"")</f>
        <v/>
      </c>
      <c r="CH19" s="31" t="str">
        <f>IFERROR(VLOOKUP([2]Pointage!CL13,Feuil1!$A:$B,2,FALSE),"")</f>
        <v/>
      </c>
      <c r="CI19" s="31" t="str">
        <f>IFERROR(VLOOKUP([2]Pointage!CM13,Feuil1!$A:$B,2,FALSE),"")</f>
        <v/>
      </c>
      <c r="CJ19" s="31" t="str">
        <f>IFERROR(VLOOKUP([2]Pointage!CN13,Feuil1!$A:$B,2,FALSE),"")</f>
        <v/>
      </c>
      <c r="CK19" s="31" t="str">
        <f>IFERROR(VLOOKUP([2]Pointage!CO13,Feuil1!$A:$B,2,FALSE),"")</f>
        <v/>
      </c>
      <c r="CL19" s="31" t="str">
        <f>IFERROR(VLOOKUP([2]Pointage!CP13,Feuil1!$A:$B,2,FALSE),"")</f>
        <v/>
      </c>
      <c r="CM19" s="31" t="str">
        <f>IFERROR(VLOOKUP([2]Pointage!CQ13,Feuil1!$A:$B,2,FALSE),"")</f>
        <v/>
      </c>
      <c r="CN19" s="31" t="str">
        <f>IFERROR(VLOOKUP([2]Pointage!CR13,Feuil1!$A:$B,2,FALSE),"")</f>
        <v/>
      </c>
      <c r="CO19" s="31" t="str">
        <f>IFERROR(VLOOKUP([2]Pointage!CS13,Feuil1!$A:$B,2,FALSE),"")</f>
        <v/>
      </c>
      <c r="CP19" s="31" t="str">
        <f>IFERROR(VLOOKUP([2]Pointage!CT13,Feuil1!$A:$B,2,FALSE),"")</f>
        <v/>
      </c>
      <c r="CQ19" s="82" t="str">
        <f>IFERROR(VLOOKUP([2]Pointage!CU13,Feuil1!$A:$B,2,FALSE),"")</f>
        <v/>
      </c>
      <c r="CR19" s="47" t="str">
        <f>IFERROR(VLOOKUP([2]Pointage!CV13,Feuil1!$A:$B,2,FALSE),"")</f>
        <v/>
      </c>
      <c r="CS19" s="31" t="str">
        <f>IFERROR(VLOOKUP([2]Pointage!CW13,Feuil1!$A:$B,2,FALSE),"")</f>
        <v/>
      </c>
      <c r="CT19" s="31" t="str">
        <f>IFERROR(VLOOKUP([2]Pointage!CX13,Feuil1!$A:$B,2,FALSE),"")</f>
        <v/>
      </c>
      <c r="CU19" s="31" t="str">
        <f>IFERROR(VLOOKUP([2]Pointage!CY13,Feuil1!$A:$B,2,FALSE),"")</f>
        <v/>
      </c>
      <c r="CV19" s="31" t="str">
        <f>IFERROR(VLOOKUP([2]Pointage!CZ13,Feuil1!$A:$B,2,FALSE),"")</f>
        <v/>
      </c>
      <c r="CW19" s="31" t="str">
        <f>IFERROR(VLOOKUP([2]Pointage!DA13,Feuil1!$A:$B,2,FALSE),"")</f>
        <v/>
      </c>
      <c r="CX19" s="31" t="str">
        <f>IFERROR(VLOOKUP([2]Pointage!DB13,Feuil1!$A:$B,2,FALSE),"")</f>
        <v/>
      </c>
      <c r="CY19" s="31" t="str">
        <f>IFERROR(VLOOKUP([2]Pointage!DC13,Feuil1!$A:$B,2,FALSE),"")</f>
        <v/>
      </c>
      <c r="CZ19" s="31" t="str">
        <f>IFERROR(VLOOKUP([2]Pointage!DD13,Feuil1!$A:$B,2,FALSE),"")</f>
        <v/>
      </c>
      <c r="DA19" s="31" t="str">
        <f>IFERROR(VLOOKUP([2]Pointage!DE13,Feuil1!$A:$B,2,FALSE),"")</f>
        <v/>
      </c>
      <c r="DB19" s="31" t="str">
        <f>IFERROR(VLOOKUP([2]Pointage!DF13,Feuil1!$A:$B,2,FALSE),"")</f>
        <v/>
      </c>
      <c r="DC19" s="31" t="str">
        <f>IFERROR(VLOOKUP([2]Pointage!DG13,Feuil1!$A:$B,2,FALSE),"")</f>
        <v/>
      </c>
      <c r="DD19" s="31" t="str">
        <f>IFERROR(VLOOKUP([2]Pointage!DH13,Feuil1!$A:$B,2,FALSE),"")</f>
        <v/>
      </c>
      <c r="DE19" s="31" t="str">
        <f>IFERROR(VLOOKUP([2]Pointage!DI13,Feuil1!$A:$B,2,FALSE),"")</f>
        <v/>
      </c>
      <c r="DF19" s="31" t="str">
        <f>IFERROR(VLOOKUP([2]Pointage!DJ13,Feuil1!$A:$B,2,FALSE),"")</f>
        <v/>
      </c>
      <c r="DG19" s="31" t="str">
        <f>IFERROR(VLOOKUP([2]Pointage!DK13,Feuil1!$A:$B,2,FALSE),"")</f>
        <v>RTT</v>
      </c>
      <c r="DH19" s="31" t="str">
        <f>IFERROR(VLOOKUP([2]Pointage!DL13,Feuil1!$A:$B,2,FALSE),"")</f>
        <v/>
      </c>
      <c r="DI19" s="31" t="str">
        <f>IFERROR(VLOOKUP([2]Pointage!DM13,Feuil1!$A:$B,2,FALSE),"")</f>
        <v/>
      </c>
      <c r="DJ19" s="31" t="str">
        <f>IFERROR(VLOOKUP([2]Pointage!DN13,Feuil1!$A:$B,2,FALSE),"")</f>
        <v/>
      </c>
      <c r="DK19" s="31" t="str">
        <f>IFERROR(VLOOKUP([2]Pointage!DO13,Feuil1!$A:$B,2,FALSE),"")</f>
        <v/>
      </c>
      <c r="DL19" s="31" t="str">
        <f>IFERROR(VLOOKUP([2]Pointage!DP13,Feuil1!$A:$B,2,FALSE),"")</f>
        <v/>
      </c>
      <c r="DM19" s="31" t="str">
        <f>IFERROR(VLOOKUP([2]Pointage!DQ13,Feuil1!$A:$B,2,FALSE),"")</f>
        <v/>
      </c>
      <c r="DN19" s="31" t="str">
        <f>IFERROR(VLOOKUP([2]Pointage!DR13,Feuil1!$A:$B,2,FALSE),"")</f>
        <v/>
      </c>
      <c r="DO19" s="31" t="str">
        <f>IFERROR(VLOOKUP([2]Pointage!DS13,Feuil1!$A:$B,2,FALSE),"")</f>
        <v/>
      </c>
      <c r="DP19" s="31" t="str">
        <f>IFERROR(VLOOKUP([2]Pointage!DT13,Feuil1!$A:$B,2,FALSE),"")</f>
        <v/>
      </c>
      <c r="DQ19" s="31" t="str">
        <f>IFERROR(VLOOKUP([2]Pointage!DU13,Feuil1!$A:$B,2,FALSE),"")</f>
        <v/>
      </c>
      <c r="DR19" s="31" t="str">
        <f>IFERROR(VLOOKUP([2]Pointage!DV13,Feuil1!$A:$B,2,FALSE),"")</f>
        <v/>
      </c>
      <c r="DS19" s="31" t="str">
        <f>IFERROR(VLOOKUP([2]Pointage!DW13,Feuil1!$A:$B,2,FALSE),"")</f>
        <v/>
      </c>
      <c r="DT19" s="31" t="str">
        <f>IFERROR(VLOOKUP([2]Pointage!DX13,Feuil1!$A:$B,2,FALSE),"")</f>
        <v/>
      </c>
      <c r="DU19" s="82" t="str">
        <f>IFERROR(VLOOKUP([2]Pointage!DY13,Feuil1!$A:$B,2,FALSE),"")</f>
        <v/>
      </c>
      <c r="DV19" s="47" t="str">
        <f>IFERROR(VLOOKUP([2]Pointage!DZ13,Feuil1!$A:$B,2,FALSE),"")</f>
        <v/>
      </c>
      <c r="DW19" s="31" t="str">
        <f>IFERROR(VLOOKUP([2]Pointage!EA13,Feuil1!$A:$B,2,FALSE),"")</f>
        <v/>
      </c>
      <c r="DX19" s="31" t="str">
        <f>IFERROR(VLOOKUP([2]Pointage!EB13,Feuil1!$A:$B,2,FALSE),"")</f>
        <v/>
      </c>
      <c r="DY19" s="31" t="str">
        <f>IFERROR(VLOOKUP([2]Pointage!EC13,Feuil1!$A:$B,2,FALSE),"")</f>
        <v/>
      </c>
      <c r="DZ19" s="31" t="str">
        <f>IFERROR(VLOOKUP([2]Pointage!ED13,Feuil1!$A:$B,2,FALSE),"")</f>
        <v/>
      </c>
      <c r="EA19" s="31" t="str">
        <f>IFERROR(VLOOKUP([2]Pointage!EE13,Feuil1!$A:$B,2,FALSE),"")</f>
        <v/>
      </c>
      <c r="EB19" s="31" t="str">
        <f>IFERROR(VLOOKUP([2]Pointage!EF13,Feuil1!$A:$B,2,FALSE),"")</f>
        <v/>
      </c>
      <c r="EC19" s="31" t="str">
        <f>IFERROR(VLOOKUP([2]Pointage!EG13,Feuil1!$A:$B,2,FALSE),"")</f>
        <v/>
      </c>
      <c r="ED19" s="31" t="str">
        <f>IFERROR(VLOOKUP([2]Pointage!EH13,Feuil1!$A:$B,2,FALSE),"")</f>
        <v/>
      </c>
      <c r="EE19" s="31" t="str">
        <f>IFERROR(VLOOKUP([2]Pointage!EI13,Feuil1!$A:$B,2,FALSE),"")</f>
        <v/>
      </c>
      <c r="EF19" s="31" t="str">
        <f>IFERROR(VLOOKUP([2]Pointage!EJ13,Feuil1!$A:$B,2,FALSE),"")</f>
        <v/>
      </c>
      <c r="EG19" s="31" t="str">
        <f>IFERROR(VLOOKUP([2]Pointage!EK13,Feuil1!$A:$B,2,FALSE),"")</f>
        <v/>
      </c>
      <c r="EH19" s="31" t="str">
        <f>IFERROR(VLOOKUP([2]Pointage!EL13,Feuil1!$A:$B,2,FALSE),"")</f>
        <v/>
      </c>
      <c r="EI19" s="31" t="str">
        <f>IFERROR(VLOOKUP([2]Pointage!EM13,Feuil1!$A:$B,2,FALSE),"")</f>
        <v/>
      </c>
      <c r="EJ19" s="31" t="str">
        <f>IFERROR(VLOOKUP([2]Pointage!EN13,Feuil1!$A:$B,2,FALSE),"")</f>
        <v/>
      </c>
      <c r="EK19" s="31" t="str">
        <f>IFERROR(VLOOKUP([2]Pointage!EO13,Feuil1!$A:$B,2,FALSE),"")</f>
        <v/>
      </c>
      <c r="EL19" s="31" t="str">
        <f>IFERROR(VLOOKUP([2]Pointage!EP13,Feuil1!$A:$B,2,FALSE),"")</f>
        <v/>
      </c>
      <c r="EM19" s="31" t="str">
        <f>IFERROR(VLOOKUP([2]Pointage!EQ13,Feuil1!$A:$B,2,FALSE),"")</f>
        <v/>
      </c>
      <c r="EN19" s="31" t="str">
        <f>IFERROR(VLOOKUP([2]Pointage!ER13,Feuil1!$A:$B,2,FALSE),"")</f>
        <v/>
      </c>
      <c r="EO19" s="31" t="str">
        <f>IFERROR(VLOOKUP([2]Pointage!ES13,Feuil1!$A:$B,2,FALSE),"")</f>
        <v/>
      </c>
      <c r="EP19" s="31" t="str">
        <f>IFERROR(VLOOKUP([2]Pointage!ET13,Feuil1!$A:$B,2,FALSE),"")</f>
        <v/>
      </c>
      <c r="EQ19" s="31" t="str">
        <f>IFERROR(VLOOKUP([2]Pointage!EU13,Feuil1!$A:$B,2,FALSE),"")</f>
        <v/>
      </c>
      <c r="ER19" s="31" t="str">
        <f>IFERROR(VLOOKUP([2]Pointage!EV13,Feuil1!$A:$B,2,FALSE),"")</f>
        <v/>
      </c>
      <c r="ES19" s="31" t="str">
        <f>IFERROR(VLOOKUP([2]Pointage!EW13,Feuil1!$A:$B,2,FALSE),"")</f>
        <v/>
      </c>
      <c r="ET19" s="31" t="str">
        <f>IFERROR(VLOOKUP([2]Pointage!EX13,Feuil1!$A:$B,2,FALSE),"")</f>
        <v/>
      </c>
      <c r="EU19" s="31" t="str">
        <f>IFERROR(VLOOKUP([2]Pointage!EY13,Feuil1!$A:$B,2,FALSE),"")</f>
        <v/>
      </c>
      <c r="EV19" s="31" t="str">
        <f>IFERROR(VLOOKUP([2]Pointage!EZ13,Feuil1!$A:$B,2,FALSE),"")</f>
        <v/>
      </c>
      <c r="EW19" s="31" t="str">
        <f>IFERROR(VLOOKUP([2]Pointage!FA13,Feuil1!$A:$B,2,FALSE),"")</f>
        <v/>
      </c>
      <c r="EX19" s="31" t="str">
        <f>IFERROR(VLOOKUP([2]Pointage!FB13,Feuil1!$A:$B,2,FALSE),"")</f>
        <v/>
      </c>
      <c r="EY19" s="31" t="str">
        <f>IFERROR(VLOOKUP([2]Pointage!FC13,Feuil1!$A:$B,2,FALSE),"")</f>
        <v/>
      </c>
      <c r="EZ19" s="82" t="str">
        <f>IFERROR(VLOOKUP([2]Pointage!FD13,Feuil1!$A:$B,2,FALSE),"")</f>
        <v/>
      </c>
      <c r="FA19" s="47" t="str">
        <f>IFERROR(VLOOKUP([2]Pointage!FE13,Feuil1!$A:$B,2,FALSE),"")</f>
        <v/>
      </c>
      <c r="FB19" s="31" t="str">
        <f>IFERROR(VLOOKUP([2]Pointage!FF13,Feuil1!$A:$B,2,FALSE),"")</f>
        <v/>
      </c>
      <c r="FC19" s="31" t="str">
        <f>IFERROR(VLOOKUP([2]Pointage!FG13,Feuil1!$A:$B,2,FALSE),"")</f>
        <v/>
      </c>
      <c r="FD19" s="31" t="str">
        <f>IFERROR(VLOOKUP([2]Pointage!FH13,Feuil1!$A:$B,2,FALSE),"")</f>
        <v>C</v>
      </c>
      <c r="FE19" s="31" t="str">
        <f>IFERROR(VLOOKUP([2]Pointage!FI13,Feuil1!$A:$B,2,FALSE),"")</f>
        <v>C</v>
      </c>
      <c r="FF19" s="31" t="str">
        <f>IFERROR(VLOOKUP([2]Pointage!FJ13,Feuil1!$A:$B,2,FALSE),"")</f>
        <v>C</v>
      </c>
      <c r="FG19" s="31" t="str">
        <f>IFERROR(VLOOKUP([2]Pointage!FK13,Feuil1!$A:$B,2,FALSE),"")</f>
        <v>C</v>
      </c>
      <c r="FH19" s="31" t="str">
        <f>IFERROR(VLOOKUP([2]Pointage!FL13,Feuil1!$A:$B,2,FALSE),"")</f>
        <v>C</v>
      </c>
      <c r="FI19" s="31" t="str">
        <f>IFERROR(VLOOKUP([2]Pointage!FM13,Feuil1!$A:$B,2,FALSE),"")</f>
        <v/>
      </c>
      <c r="FJ19" s="31" t="str">
        <f>IFERROR(VLOOKUP([2]Pointage!FN13,Feuil1!$A:$B,2,FALSE),"")</f>
        <v/>
      </c>
      <c r="FK19" s="31" t="str">
        <f>IFERROR(VLOOKUP([2]Pointage!FO13,Feuil1!$A:$B,2,FALSE),"")</f>
        <v>C</v>
      </c>
      <c r="FL19" s="31" t="str">
        <f>IFERROR(VLOOKUP([2]Pointage!FP13,Feuil1!$A:$B,2,FALSE),"")</f>
        <v>C</v>
      </c>
      <c r="FM19" s="31" t="str">
        <f>IFERROR(VLOOKUP([2]Pointage!FQ13,Feuil1!$A:$B,2,FALSE),"")</f>
        <v>C</v>
      </c>
      <c r="FN19" s="31" t="str">
        <f>IFERROR(VLOOKUP([2]Pointage!FR13,Feuil1!$A:$B,2,FALSE),"")</f>
        <v>C</v>
      </c>
      <c r="FO19" s="31" t="str">
        <f>IFERROR(VLOOKUP([2]Pointage!FS13,Feuil1!$A:$B,2,FALSE),"")</f>
        <v>C</v>
      </c>
      <c r="FP19" s="31" t="str">
        <f>IFERROR(VLOOKUP([2]Pointage!FT13,Feuil1!$A:$B,2,FALSE),"")</f>
        <v/>
      </c>
      <c r="FQ19" s="31" t="str">
        <f>IFERROR(VLOOKUP([2]Pointage!FU13,Feuil1!$A:$B,2,FALSE),"")</f>
        <v/>
      </c>
      <c r="FR19" s="31" t="str">
        <f>IFERROR(VLOOKUP([2]Pointage!FV13,Feuil1!$A:$B,2,FALSE),"")</f>
        <v/>
      </c>
      <c r="FS19" s="31" t="str">
        <f>IFERROR(VLOOKUP([2]Pointage!FW13,Feuil1!$A:$B,2,FALSE),"")</f>
        <v/>
      </c>
      <c r="FT19" s="31" t="str">
        <f>IFERROR(VLOOKUP([2]Pointage!FX13,Feuil1!$A:$B,2,FALSE),"")</f>
        <v/>
      </c>
      <c r="FU19" s="31" t="str">
        <f>IFERROR(VLOOKUP([2]Pointage!FY13,Feuil1!$A:$B,2,FALSE),"")</f>
        <v/>
      </c>
      <c r="FV19" s="31" t="str">
        <f>IFERROR(VLOOKUP([2]Pointage!FZ13,Feuil1!$A:$B,2,FALSE),"")</f>
        <v/>
      </c>
      <c r="FW19" s="31" t="str">
        <f>IFERROR(VLOOKUP([2]Pointage!GA13,Feuil1!$A:$B,2,FALSE),"")</f>
        <v/>
      </c>
      <c r="FX19" s="31" t="str">
        <f>IFERROR(VLOOKUP([2]Pointage!GB13,Feuil1!$A:$B,2,FALSE),"")</f>
        <v/>
      </c>
      <c r="FY19" s="31" t="str">
        <f>IFERROR(VLOOKUP([2]Pointage!GC13,Feuil1!$A:$B,2,FALSE),"")</f>
        <v/>
      </c>
      <c r="FZ19" s="31" t="str">
        <f>IFERROR(VLOOKUP([2]Pointage!GD13,Feuil1!$A:$B,2,FALSE),"")</f>
        <v/>
      </c>
      <c r="GA19" s="31" t="str">
        <f>IFERROR(VLOOKUP([2]Pointage!GE13,Feuil1!$A:$B,2,FALSE),"")</f>
        <v/>
      </c>
      <c r="GB19" s="31" t="str">
        <f>IFERROR(VLOOKUP([2]Pointage!GF13,Feuil1!$A:$B,2,FALSE),"")</f>
        <v/>
      </c>
      <c r="GC19" s="31" t="str">
        <f>IFERROR(VLOOKUP([2]Pointage!GG13,Feuil1!$A:$B,2,FALSE),"")</f>
        <v/>
      </c>
      <c r="GD19" s="82" t="str">
        <f>IFERROR(VLOOKUP([2]Pointage!GH13,Feuil1!$A:$B,2,FALSE),"")</f>
        <v/>
      </c>
      <c r="GE19" s="47" t="str">
        <f>IFERROR(VLOOKUP([2]Pointage!GI13,Feuil1!$A:$B,2,FALSE),"")</f>
        <v/>
      </c>
      <c r="GF19" s="31" t="str">
        <f>IFERROR(VLOOKUP([2]Pointage!GJ13,Feuil1!$A:$B,2,FALSE),"")</f>
        <v/>
      </c>
      <c r="GG19" s="31" t="str">
        <f>IFERROR(VLOOKUP([2]Pointage!GK13,Feuil1!$A:$B,2,FALSE),"")</f>
        <v/>
      </c>
      <c r="GH19" s="31" t="str">
        <f>IFERROR(VLOOKUP([2]Pointage!GL13,Feuil1!$A:$B,2,FALSE),"")</f>
        <v/>
      </c>
      <c r="GI19" s="31" t="str">
        <f>IFERROR(VLOOKUP([2]Pointage!GM13,Feuil1!$A:$B,2,FALSE),"")</f>
        <v/>
      </c>
      <c r="GJ19" s="31" t="str">
        <f>IFERROR(VLOOKUP([2]Pointage!GN13,Feuil1!$A:$B,2,FALSE),"")</f>
        <v/>
      </c>
      <c r="GK19" s="31" t="str">
        <f>IFERROR(VLOOKUP([2]Pointage!GO13,Feuil1!$A:$B,2,FALSE),"")</f>
        <v/>
      </c>
      <c r="GL19" s="31" t="str">
        <f>IFERROR(VLOOKUP([2]Pointage!GP13,Feuil1!$A:$B,2,FALSE),"")</f>
        <v/>
      </c>
      <c r="GM19" s="31" t="str">
        <f>IFERROR(VLOOKUP([2]Pointage!GQ13,Feuil1!$A:$B,2,FALSE),"")</f>
        <v/>
      </c>
      <c r="GN19" s="31" t="str">
        <f>IFERROR(VLOOKUP([2]Pointage!GR13,Feuil1!$A:$B,2,FALSE),"")</f>
        <v/>
      </c>
      <c r="GO19" s="31" t="str">
        <f>IFERROR(VLOOKUP([2]Pointage!GS13,Feuil1!$A:$B,2,FALSE),"")</f>
        <v/>
      </c>
      <c r="GP19" s="31" t="str">
        <f>IFERROR(VLOOKUP([2]Pointage!GT13,Feuil1!$A:$B,2,FALSE),"")</f>
        <v/>
      </c>
      <c r="GQ19" s="31" t="str">
        <f>IFERROR(VLOOKUP([2]Pointage!GU13,Feuil1!$A:$B,2,FALSE),"")</f>
        <v/>
      </c>
      <c r="GR19" s="31" t="str">
        <f>IFERROR(VLOOKUP([2]Pointage!GV13,Feuil1!$A:$B,2,FALSE),"")</f>
        <v/>
      </c>
      <c r="GS19" s="31" t="str">
        <f>IFERROR(VLOOKUP([2]Pointage!GW13,Feuil1!$A:$B,2,FALSE),"")</f>
        <v/>
      </c>
      <c r="GT19" s="31" t="str">
        <f>IFERROR(VLOOKUP([2]Pointage!GX13,Feuil1!$A:$B,2,FALSE),"")</f>
        <v/>
      </c>
      <c r="GU19" s="31" t="str">
        <f>IFERROR(VLOOKUP([2]Pointage!GY13,Feuil1!$A:$B,2,FALSE),"")</f>
        <v/>
      </c>
      <c r="GV19" s="31" t="str">
        <f>IFERROR(VLOOKUP([2]Pointage!GZ13,Feuil1!$A:$B,2,FALSE),"")</f>
        <v/>
      </c>
      <c r="GW19" s="31" t="str">
        <f>IFERROR(VLOOKUP([2]Pointage!HA13,Feuil1!$A:$B,2,FALSE),"")</f>
        <v/>
      </c>
      <c r="GX19" s="31" t="str">
        <f>IFERROR(VLOOKUP([2]Pointage!HB13,Feuil1!$A:$B,2,FALSE),"")</f>
        <v/>
      </c>
      <c r="GY19" s="31" t="str">
        <f>IFERROR(VLOOKUP([2]Pointage!HC13,Feuil1!$A:$B,2,FALSE),"")</f>
        <v/>
      </c>
      <c r="GZ19" s="31" t="str">
        <f>IFERROR(VLOOKUP([2]Pointage!HD13,Feuil1!$A:$B,2,FALSE),"")</f>
        <v/>
      </c>
      <c r="HA19" s="31" t="str">
        <f>IFERROR(VLOOKUP([2]Pointage!HE13,Feuil1!$A:$B,2,FALSE),"")</f>
        <v/>
      </c>
      <c r="HB19" s="31" t="str">
        <f>IFERROR(VLOOKUP([2]Pointage!HF13,Feuil1!$A:$B,2,FALSE),"")</f>
        <v/>
      </c>
      <c r="HC19" s="31" t="str">
        <f>IFERROR(VLOOKUP([2]Pointage!HG13,Feuil1!$A:$B,2,FALSE),"")</f>
        <v/>
      </c>
      <c r="HD19" s="31" t="str">
        <f>IFERROR(VLOOKUP([2]Pointage!HH13,Feuil1!$A:$B,2,FALSE),"")</f>
        <v/>
      </c>
      <c r="HE19" s="31" t="str">
        <f>IFERROR(VLOOKUP([2]Pointage!HI13,Feuil1!$A:$B,2,FALSE),"")</f>
        <v/>
      </c>
      <c r="HF19" s="31" t="str">
        <f>IFERROR(VLOOKUP([2]Pointage!HJ13,Feuil1!$A:$B,2,FALSE),"")</f>
        <v/>
      </c>
      <c r="HG19" s="31" t="str">
        <f>IFERROR(VLOOKUP([2]Pointage!HK13,Feuil1!$A:$B,2,FALSE),"")</f>
        <v/>
      </c>
      <c r="HH19" s="31" t="str">
        <f>IFERROR(VLOOKUP([2]Pointage!HL13,Feuil1!$A:$B,2,FALSE),"")</f>
        <v/>
      </c>
      <c r="HI19" s="82" t="str">
        <f>IFERROR(VLOOKUP([2]Pointage!HM13,Feuil1!$A:$B,2,FALSE),"")</f>
        <v/>
      </c>
      <c r="HJ19" s="47" t="str">
        <f>IFERROR(VLOOKUP([2]Pointage!HN13,Feuil1!$A:$B,2,FALSE),"")</f>
        <v/>
      </c>
      <c r="HK19" s="31" t="str">
        <f>IFERROR(VLOOKUP([2]Pointage!HO13,Feuil1!$A:$B,2,FALSE),"")</f>
        <v/>
      </c>
      <c r="HL19" s="31" t="str">
        <f>IFERROR(VLOOKUP([2]Pointage!HP13,Feuil1!$A:$B,2,FALSE),"")</f>
        <v/>
      </c>
      <c r="HM19" s="31" t="str">
        <f>IFERROR(VLOOKUP([2]Pointage!HQ13,Feuil1!$A:$B,2,FALSE),"")</f>
        <v/>
      </c>
      <c r="HN19" s="31" t="str">
        <f>IFERROR(VLOOKUP([2]Pointage!HR13,Feuil1!$A:$B,2,FALSE),"")</f>
        <v/>
      </c>
      <c r="HO19" s="31" t="str">
        <f>IFERROR(VLOOKUP([2]Pointage!HS13,Feuil1!$A:$B,2,FALSE),"")</f>
        <v/>
      </c>
      <c r="HP19" s="31" t="str">
        <f>IFERROR(VLOOKUP([2]Pointage!HT13,Feuil1!$A:$B,2,FALSE),"")</f>
        <v/>
      </c>
      <c r="HQ19" s="31" t="str">
        <f>IFERROR(VLOOKUP([2]Pointage!HU13,Feuil1!$A:$B,2,FALSE),"")</f>
        <v/>
      </c>
      <c r="HR19" s="31" t="str">
        <f>IFERROR(VLOOKUP([2]Pointage!HV13,Feuil1!$A:$B,2,FALSE),"")</f>
        <v/>
      </c>
      <c r="HS19" s="31" t="str">
        <f>IFERROR(VLOOKUP([2]Pointage!HW13,Feuil1!$A:$B,2,FALSE),"")</f>
        <v/>
      </c>
      <c r="HT19" s="31" t="str">
        <f>IFERROR(VLOOKUP([2]Pointage!HX13,Feuil1!$A:$B,2,FALSE),"")</f>
        <v/>
      </c>
      <c r="HU19" s="31" t="str">
        <f>IFERROR(VLOOKUP([2]Pointage!HY13,Feuil1!$A:$B,2,FALSE),"")</f>
        <v/>
      </c>
      <c r="HV19" s="31" t="str">
        <f>IFERROR(VLOOKUP([2]Pointage!HZ13,Feuil1!$A:$B,2,FALSE),"")</f>
        <v>C</v>
      </c>
      <c r="HW19" s="31" t="str">
        <f>IFERROR(VLOOKUP([2]Pointage!IA13,Feuil1!$A:$B,2,FALSE),"")</f>
        <v>C</v>
      </c>
      <c r="HX19" s="31" t="str">
        <f>IFERROR(VLOOKUP([2]Pointage!IB13,Feuil1!$A:$B,2,FALSE),"")</f>
        <v/>
      </c>
      <c r="HY19" s="31" t="str">
        <f>IFERROR(VLOOKUP([2]Pointage!IC13,Feuil1!$A:$B,2,FALSE),"")</f>
        <v>C</v>
      </c>
      <c r="HZ19" s="31" t="str">
        <f>IFERROR(VLOOKUP([2]Pointage!ID13,Feuil1!$A:$B,2,FALSE),"")</f>
        <v>C</v>
      </c>
      <c r="IA19" s="31" t="str">
        <f>IFERROR(VLOOKUP([2]Pointage!IE13,Feuil1!$A:$B,2,FALSE),"")</f>
        <v/>
      </c>
      <c r="IB19" s="31" t="str">
        <f>IFERROR(VLOOKUP([2]Pointage!IF13,Feuil1!$A:$B,2,FALSE),"")</f>
        <v/>
      </c>
      <c r="IC19" s="31" t="str">
        <f>IFERROR(VLOOKUP([2]Pointage!IG13,Feuil1!$A:$B,2,FALSE),"")</f>
        <v>C</v>
      </c>
      <c r="ID19" s="31" t="str">
        <f>IFERROR(VLOOKUP([2]Pointage!IH13,Feuil1!$A:$B,2,FALSE),"")</f>
        <v>C</v>
      </c>
      <c r="IE19" s="31" t="str">
        <f>IFERROR(VLOOKUP([2]Pointage!II13,Feuil1!$A:$B,2,FALSE),"")</f>
        <v>C</v>
      </c>
      <c r="IF19" s="31" t="str">
        <f>IFERROR(VLOOKUP([2]Pointage!IJ13,Feuil1!$A:$B,2,FALSE),"")</f>
        <v>C</v>
      </c>
      <c r="IG19" s="31" t="str">
        <f>IFERROR(VLOOKUP([2]Pointage!IK13,Feuil1!$A:$B,2,FALSE),"")</f>
        <v>C</v>
      </c>
      <c r="IH19" s="31" t="str">
        <f>IFERROR(VLOOKUP([2]Pointage!IL13,Feuil1!$A:$B,2,FALSE),"")</f>
        <v/>
      </c>
      <c r="II19" s="31" t="str">
        <f>IFERROR(VLOOKUP([2]Pointage!IM13,Feuil1!$A:$B,2,FALSE),"")</f>
        <v/>
      </c>
      <c r="IJ19" s="31" t="str">
        <f>IFERROR(VLOOKUP([2]Pointage!IN13,Feuil1!$A:$B,2,FALSE),"")</f>
        <v/>
      </c>
      <c r="IK19" s="31" t="str">
        <f>IFERROR(VLOOKUP([2]Pointage!IO13,Feuil1!$A:$B,2,FALSE),"")</f>
        <v/>
      </c>
      <c r="IL19" s="31" t="str">
        <f>IFERROR(VLOOKUP([2]Pointage!IP13,Feuil1!$A:$B,2,FALSE),"")</f>
        <v/>
      </c>
      <c r="IM19" s="31" t="str">
        <f>IFERROR(VLOOKUP([2]Pointage!IQ13,Feuil1!$A:$B,2,FALSE),"")</f>
        <v/>
      </c>
      <c r="IN19" s="82" t="str">
        <f>IFERROR(VLOOKUP([2]Pointage!IR13,Feuil1!$A:$B,2,FALSE),"")</f>
        <v/>
      </c>
      <c r="IO19" s="47" t="str">
        <f>IFERROR(VLOOKUP([2]Pointage!IS13,Feuil1!$A:$B,2,FALSE),"")</f>
        <v/>
      </c>
      <c r="IP19" s="31" t="str">
        <f>IFERROR(VLOOKUP([2]Pointage!IT13,Feuil1!$A:$B,2,FALSE),"")</f>
        <v/>
      </c>
      <c r="IQ19" s="31" t="str">
        <f>IFERROR(VLOOKUP([2]Pointage!IU13,Feuil1!$A:$B,2,FALSE),"")</f>
        <v/>
      </c>
      <c r="IR19" s="31" t="str">
        <f>IFERROR(VLOOKUP([2]Pointage!IV13,Feuil1!$A:$B,2,FALSE),"")</f>
        <v/>
      </c>
      <c r="IS19" s="31" t="str">
        <f>IFERROR(VLOOKUP([2]Pointage!IW13,Feuil1!$A:$B,2,FALSE),"")</f>
        <v/>
      </c>
      <c r="IT19" s="31" t="str">
        <f>IFERROR(VLOOKUP([2]Pointage!IX13,Feuil1!$A:$B,2,FALSE),"")</f>
        <v/>
      </c>
      <c r="IU19" s="31" t="str">
        <f>IFERROR(VLOOKUP([2]Pointage!IY13,Feuil1!$A:$B,2,FALSE),"")</f>
        <v/>
      </c>
      <c r="IV19" s="31" t="str">
        <f>IFERROR(VLOOKUP([2]Pointage!IZ13,Feuil1!$A:$B,2,FALSE),"")</f>
        <v/>
      </c>
      <c r="IW19" s="31" t="str">
        <f>IFERROR(VLOOKUP([2]Pointage!JA13,Feuil1!$A:$B,2,FALSE),"")</f>
        <v/>
      </c>
      <c r="IX19" s="31" t="str">
        <f>IFERROR(VLOOKUP([2]Pointage!JB13,Feuil1!$A:$B,2,FALSE),"")</f>
        <v/>
      </c>
      <c r="IY19" s="31" t="str">
        <f>IFERROR(VLOOKUP([2]Pointage!JC13,Feuil1!$A:$B,2,FALSE),"")</f>
        <v/>
      </c>
      <c r="IZ19" s="31" t="str">
        <f>IFERROR(VLOOKUP([2]Pointage!JD13,Feuil1!$A:$B,2,FALSE),"")</f>
        <v/>
      </c>
      <c r="JA19" s="31" t="str">
        <f>IFERROR(VLOOKUP([2]Pointage!JE13,Feuil1!$A:$B,2,FALSE),"")</f>
        <v/>
      </c>
      <c r="JB19" s="31" t="str">
        <f>IFERROR(VLOOKUP([2]Pointage!JF13,Feuil1!$A:$B,2,FALSE),"")</f>
        <v/>
      </c>
      <c r="JC19" s="31" t="str">
        <f>IFERROR(VLOOKUP([2]Pointage!JG13,Feuil1!$A:$B,2,FALSE),"")</f>
        <v/>
      </c>
      <c r="JD19" s="31" t="str">
        <f>IFERROR(VLOOKUP([2]Pointage!JH13,Feuil1!$A:$B,2,FALSE),"")</f>
        <v/>
      </c>
      <c r="JE19" s="31" t="str">
        <f>IFERROR(VLOOKUP([2]Pointage!JI13,Feuil1!$A:$B,2,FALSE),"")</f>
        <v/>
      </c>
      <c r="JF19" s="31" t="str">
        <f>IFERROR(VLOOKUP([2]Pointage!JJ13,Feuil1!$A:$B,2,FALSE),"")</f>
        <v/>
      </c>
      <c r="JG19" s="31" t="str">
        <f>IFERROR(VLOOKUP([2]Pointage!JK13,Feuil1!$A:$B,2,FALSE),"")</f>
        <v/>
      </c>
      <c r="JH19" s="31" t="str">
        <f>IFERROR(VLOOKUP([2]Pointage!JL13,Feuil1!$A:$B,2,FALSE),"")</f>
        <v/>
      </c>
      <c r="JI19" s="31" t="str">
        <f>IFERROR(VLOOKUP([2]Pointage!JM13,Feuil1!$A:$B,2,FALSE),"")</f>
        <v/>
      </c>
      <c r="JJ19" s="31" t="str">
        <f>IFERROR(VLOOKUP([2]Pointage!JN13,Feuil1!$A:$B,2,FALSE),"")</f>
        <v/>
      </c>
      <c r="JK19" s="31" t="str">
        <f>IFERROR(VLOOKUP([2]Pointage!JO13,Feuil1!$A:$B,2,FALSE),"")</f>
        <v/>
      </c>
      <c r="JL19" s="31" t="str">
        <f>IFERROR(VLOOKUP([2]Pointage!JP13,Feuil1!$A:$B,2,FALSE),"")</f>
        <v/>
      </c>
      <c r="JM19" s="31" t="str">
        <f>IFERROR(VLOOKUP([2]Pointage!JQ13,Feuil1!$A:$B,2,FALSE),"")</f>
        <v/>
      </c>
      <c r="JN19" s="31" t="str">
        <f>IFERROR(VLOOKUP([2]Pointage!JR13,Feuil1!$A:$B,2,FALSE),"")</f>
        <v/>
      </c>
      <c r="JO19" s="31" t="str">
        <f>IFERROR(VLOOKUP([2]Pointage!JS13,Feuil1!$A:$B,2,FALSE),"")</f>
        <v/>
      </c>
      <c r="JP19" s="31" t="str">
        <f>IFERROR(VLOOKUP([2]Pointage!JT13,Feuil1!$A:$B,2,FALSE),"")</f>
        <v/>
      </c>
      <c r="JQ19" s="31" t="str">
        <f>IFERROR(VLOOKUP([2]Pointage!JU13,Feuil1!$A:$B,2,FALSE),"")</f>
        <v/>
      </c>
      <c r="JR19" s="82" t="str">
        <f>IFERROR(VLOOKUP([2]Pointage!JV13,Feuil1!$A:$B,2,FALSE),"")</f>
        <v/>
      </c>
      <c r="JS19" s="47" t="str">
        <f>IFERROR(VLOOKUP([2]Pointage!JW13,Feuil1!$A:$B,2,FALSE),"")</f>
        <v/>
      </c>
      <c r="JT19" s="31" t="str">
        <f>IFERROR(VLOOKUP([2]Pointage!JX13,Feuil1!$A:$B,2,FALSE),"")</f>
        <v/>
      </c>
      <c r="JU19" s="31" t="str">
        <f>IFERROR(VLOOKUP([2]Pointage!JY13,Feuil1!$A:$B,2,FALSE),"")</f>
        <v/>
      </c>
      <c r="JV19" s="31" t="str">
        <f>IFERROR(VLOOKUP([2]Pointage!JZ13,Feuil1!$A:$B,2,FALSE),"")</f>
        <v/>
      </c>
      <c r="JW19" s="31" t="str">
        <f>IFERROR(VLOOKUP([2]Pointage!KA13,Feuil1!$A:$B,2,FALSE),"")</f>
        <v/>
      </c>
      <c r="JX19" s="31" t="str">
        <f>IFERROR(VLOOKUP([2]Pointage!KB13,Feuil1!$A:$B,2,FALSE),"")</f>
        <v/>
      </c>
      <c r="JY19" s="31" t="str">
        <f>IFERROR(VLOOKUP([2]Pointage!KC13,Feuil1!$A:$B,2,FALSE),"")</f>
        <v/>
      </c>
      <c r="JZ19" s="31" t="str">
        <f>IFERROR(VLOOKUP([2]Pointage!KD13,Feuil1!$A:$B,2,FALSE),"")</f>
        <v/>
      </c>
      <c r="KA19" s="31" t="str">
        <f>IFERROR(VLOOKUP([2]Pointage!KE13,Feuil1!$A:$B,2,FALSE),"")</f>
        <v/>
      </c>
      <c r="KB19" s="31" t="str">
        <f>IFERROR(VLOOKUP([2]Pointage!KF13,Feuil1!$A:$B,2,FALSE),"")</f>
        <v/>
      </c>
      <c r="KC19" s="31" t="str">
        <f>IFERROR(VLOOKUP([2]Pointage!KG13,Feuil1!$A:$B,2,FALSE),"")</f>
        <v/>
      </c>
      <c r="KD19" s="31" t="str">
        <f>IFERROR(VLOOKUP([2]Pointage!KH13,Feuil1!$A:$B,2,FALSE),"")</f>
        <v/>
      </c>
      <c r="KE19" s="31" t="str">
        <f>IFERROR(VLOOKUP([2]Pointage!KI13,Feuil1!$A:$B,2,FALSE),"")</f>
        <v/>
      </c>
      <c r="KF19" s="31" t="str">
        <f>IFERROR(VLOOKUP([2]Pointage!KJ13,Feuil1!$A:$B,2,FALSE),"")</f>
        <v/>
      </c>
      <c r="KG19" s="31" t="str">
        <f>IFERROR(VLOOKUP([2]Pointage!KK13,Feuil1!$A:$B,2,FALSE),"")</f>
        <v/>
      </c>
      <c r="KH19" s="31" t="str">
        <f>IFERROR(VLOOKUP([2]Pointage!KL13,Feuil1!$A:$B,2,FALSE),"")</f>
        <v/>
      </c>
      <c r="KI19" s="31" t="str">
        <f>IFERROR(VLOOKUP([2]Pointage!KM13,Feuil1!$A:$B,2,FALSE),"")</f>
        <v/>
      </c>
      <c r="KJ19" s="31" t="str">
        <f>IFERROR(VLOOKUP([2]Pointage!KN13,Feuil1!$A:$B,2,FALSE),"")</f>
        <v/>
      </c>
      <c r="KK19" s="31" t="str">
        <f>IFERROR(VLOOKUP([2]Pointage!KO13,Feuil1!$A:$B,2,FALSE),"")</f>
        <v/>
      </c>
      <c r="KL19" s="31" t="str">
        <f>IFERROR(VLOOKUP([2]Pointage!KP13,Feuil1!$A:$B,2,FALSE),"")</f>
        <v/>
      </c>
      <c r="KM19" s="31" t="str">
        <f>IFERROR(VLOOKUP([2]Pointage!KQ13,Feuil1!$A:$B,2,FALSE),"")</f>
        <v/>
      </c>
      <c r="KN19" s="31" t="str">
        <f>IFERROR(VLOOKUP([2]Pointage!KR13,Feuil1!$A:$B,2,FALSE),"")</f>
        <v/>
      </c>
      <c r="KO19" s="31" t="str">
        <f>IFERROR(VLOOKUP([2]Pointage!KS13,Feuil1!$A:$B,2,FALSE),"")</f>
        <v/>
      </c>
      <c r="KP19" s="31" t="str">
        <f>IFERROR(VLOOKUP([2]Pointage!KT13,Feuil1!$A:$B,2,FALSE),"")</f>
        <v/>
      </c>
      <c r="KQ19" s="31" t="str">
        <f>IFERROR(VLOOKUP([2]Pointage!KU13,Feuil1!$A:$B,2,FALSE),"")</f>
        <v/>
      </c>
      <c r="KR19" s="31" t="str">
        <f>IFERROR(VLOOKUP([2]Pointage!KV13,Feuil1!$A:$B,2,FALSE),"")</f>
        <v/>
      </c>
      <c r="KS19" s="31" t="str">
        <f>IFERROR(VLOOKUP([2]Pointage!KW13,Feuil1!$A:$B,2,FALSE),"")</f>
        <v/>
      </c>
      <c r="KT19" s="31" t="str">
        <f>IFERROR(VLOOKUP([2]Pointage!KX13,Feuil1!$A:$B,2,FALSE),"")</f>
        <v/>
      </c>
      <c r="KU19" s="31" t="str">
        <f>IFERROR(VLOOKUP([2]Pointage!KY13,Feuil1!$A:$B,2,FALSE),"")</f>
        <v/>
      </c>
      <c r="KV19" s="31" t="str">
        <f>IFERROR(VLOOKUP([2]Pointage!KZ13,Feuil1!$A:$B,2,FALSE),"")</f>
        <v/>
      </c>
      <c r="KW19" s="82" t="str">
        <f>IFERROR(VLOOKUP([2]Pointage!LA13,Feuil1!$A:$B,2,FALSE),"")</f>
        <v/>
      </c>
      <c r="KX19" s="47" t="str">
        <f>IFERROR(VLOOKUP([2]Pointage!LB13,Feuil1!$A:$B,2,FALSE),"")</f>
        <v/>
      </c>
      <c r="KY19" s="31" t="str">
        <f>IFERROR(VLOOKUP([2]Pointage!LC13,Feuil1!$A:$B,2,FALSE),"")</f>
        <v/>
      </c>
      <c r="KZ19" s="31" t="str">
        <f>IFERROR(VLOOKUP([2]Pointage!LD13,Feuil1!$A:$B,2,FALSE),"")</f>
        <v/>
      </c>
      <c r="LA19" s="31" t="str">
        <f>IFERROR(VLOOKUP([2]Pointage!LE13,Feuil1!$A:$B,2,FALSE),"")</f>
        <v/>
      </c>
      <c r="LB19" s="31" t="str">
        <f>IFERROR(VLOOKUP([2]Pointage!LF13,Feuil1!$A:$B,2,FALSE),"")</f>
        <v/>
      </c>
      <c r="LC19" s="31" t="str">
        <f>IFERROR(VLOOKUP([2]Pointage!LG13,Feuil1!$A:$B,2,FALSE),"")</f>
        <v/>
      </c>
      <c r="LD19" s="31" t="str">
        <f>IFERROR(VLOOKUP([2]Pointage!LH13,Feuil1!$A:$B,2,FALSE),"")</f>
        <v/>
      </c>
      <c r="LE19" s="31" t="str">
        <f>IFERROR(VLOOKUP([2]Pointage!LI13,Feuil1!$A:$B,2,FALSE),"")</f>
        <v/>
      </c>
      <c r="LF19" s="31" t="str">
        <f>IFERROR(VLOOKUP([2]Pointage!LJ13,Feuil1!$A:$B,2,FALSE),"")</f>
        <v/>
      </c>
      <c r="LG19" s="31" t="str">
        <f>IFERROR(VLOOKUP([2]Pointage!LK13,Feuil1!$A:$B,2,FALSE),"")</f>
        <v/>
      </c>
      <c r="LH19" s="31" t="str">
        <f>IFERROR(VLOOKUP([2]Pointage!LL13,Feuil1!$A:$B,2,FALSE),"")</f>
        <v/>
      </c>
      <c r="LI19" s="31" t="str">
        <f>IFERROR(VLOOKUP([2]Pointage!LM13,Feuil1!$A:$B,2,FALSE),"")</f>
        <v/>
      </c>
      <c r="LJ19" s="31" t="str">
        <f>IFERROR(VLOOKUP([2]Pointage!LN13,Feuil1!$A:$B,2,FALSE),"")</f>
        <v/>
      </c>
      <c r="LK19" s="31" t="str">
        <f>IFERROR(VLOOKUP([2]Pointage!LO13,Feuil1!$A:$B,2,FALSE),"")</f>
        <v/>
      </c>
      <c r="LL19" s="31" t="str">
        <f>IFERROR(VLOOKUP([2]Pointage!LP13,Feuil1!$A:$B,2,FALSE),"")</f>
        <v/>
      </c>
      <c r="LM19" s="31" t="str">
        <f>IFERROR(VLOOKUP([2]Pointage!LQ13,Feuil1!$A:$B,2,FALSE),"")</f>
        <v/>
      </c>
      <c r="LN19" s="31" t="str">
        <f>IFERROR(VLOOKUP([2]Pointage!LR13,Feuil1!$A:$B,2,FALSE),"")</f>
        <v/>
      </c>
      <c r="LO19" s="31" t="str">
        <f>IFERROR(VLOOKUP([2]Pointage!LS13,Feuil1!$A:$B,2,FALSE),"")</f>
        <v/>
      </c>
      <c r="LP19" s="31" t="str">
        <f>IFERROR(VLOOKUP([2]Pointage!LT13,Feuil1!$A:$B,2,FALSE),"")</f>
        <v/>
      </c>
      <c r="LQ19" s="31" t="str">
        <f>IFERROR(VLOOKUP([2]Pointage!LU13,Feuil1!$A:$B,2,FALSE),"")</f>
        <v/>
      </c>
      <c r="LR19" s="31" t="str">
        <f>IFERROR(VLOOKUP([2]Pointage!LV13,Feuil1!$A:$B,2,FALSE),"")</f>
        <v/>
      </c>
      <c r="LS19" s="31" t="str">
        <f>IFERROR(VLOOKUP([2]Pointage!LW13,Feuil1!$A:$B,2,FALSE),"")</f>
        <v/>
      </c>
      <c r="LT19" s="31" t="str">
        <f>IFERROR(VLOOKUP([2]Pointage!LX13,Feuil1!$A:$B,2,FALSE),"")</f>
        <v/>
      </c>
      <c r="LU19" s="31" t="str">
        <f>IFERROR(VLOOKUP([2]Pointage!LY13,Feuil1!$A:$B,2,FALSE),"")</f>
        <v/>
      </c>
      <c r="LV19" s="31" t="str">
        <f>IFERROR(VLOOKUP([2]Pointage!LZ13,Feuil1!$A:$B,2,FALSE),"")</f>
        <v/>
      </c>
      <c r="LW19" s="31" t="str">
        <f>IFERROR(VLOOKUP([2]Pointage!MA13,Feuil1!$A:$B,2,FALSE),"")</f>
        <v/>
      </c>
      <c r="LX19" s="31" t="str">
        <f>IFERROR(VLOOKUP([2]Pointage!MB13,Feuil1!$A:$B,2,FALSE),"")</f>
        <v/>
      </c>
      <c r="LY19" s="31" t="str">
        <f>IFERROR(VLOOKUP([2]Pointage!MC13,Feuil1!$A:$B,2,FALSE),"")</f>
        <v/>
      </c>
      <c r="LZ19" s="31" t="str">
        <f>IFERROR(VLOOKUP([2]Pointage!MD13,Feuil1!$A:$B,2,FALSE),"")</f>
        <v/>
      </c>
      <c r="MA19" s="82" t="str">
        <f>IFERROR(VLOOKUP([2]Pointage!ME13,Feuil1!$A:$B,2,FALSE),"")</f>
        <v/>
      </c>
      <c r="MB19" s="47" t="str">
        <f>IFERROR(VLOOKUP([2]Pointage!MF13,Feuil1!$A:$B,2,FALSE),"")</f>
        <v/>
      </c>
      <c r="MC19" s="31" t="str">
        <f>IFERROR(VLOOKUP([2]Pointage!MG13,Feuil1!$A:$B,2,FALSE),"")</f>
        <v/>
      </c>
      <c r="MD19" s="31" t="str">
        <f>IFERROR(VLOOKUP([2]Pointage!MH13,Feuil1!$A:$B,2,FALSE),"")</f>
        <v/>
      </c>
      <c r="ME19" s="31" t="str">
        <f>IFERROR(VLOOKUP([2]Pointage!MI13,Feuil1!$A:$B,2,FALSE),"")</f>
        <v/>
      </c>
      <c r="MF19" s="31" t="str">
        <f>IFERROR(VLOOKUP([2]Pointage!MJ13,Feuil1!$A:$B,2,FALSE),"")</f>
        <v/>
      </c>
      <c r="MG19" s="31" t="str">
        <f>IFERROR(VLOOKUP([2]Pointage!MK13,Feuil1!$A:$B,2,FALSE),"")</f>
        <v/>
      </c>
      <c r="MH19" s="31" t="str">
        <f>IFERROR(VLOOKUP([2]Pointage!ML13,Feuil1!$A:$B,2,FALSE),"")</f>
        <v/>
      </c>
      <c r="MI19" s="31" t="str">
        <f>IFERROR(VLOOKUP([2]Pointage!MM13,Feuil1!$A:$B,2,FALSE),"")</f>
        <v/>
      </c>
      <c r="MJ19" s="31" t="str">
        <f>IFERROR(VLOOKUP([2]Pointage!MN13,Feuil1!$A:$B,2,FALSE),"")</f>
        <v/>
      </c>
      <c r="MK19" s="31" t="str">
        <f>IFERROR(VLOOKUP([2]Pointage!MO13,Feuil1!$A:$B,2,FALSE),"")</f>
        <v/>
      </c>
      <c r="ML19" s="31" t="str">
        <f>IFERROR(VLOOKUP([2]Pointage!MP13,Feuil1!$A:$B,2,FALSE),"")</f>
        <v/>
      </c>
      <c r="MM19" s="31" t="str">
        <f>IFERROR(VLOOKUP([2]Pointage!MQ13,Feuil1!$A:$B,2,FALSE),"")</f>
        <v/>
      </c>
      <c r="MN19" s="31" t="str">
        <f>IFERROR(VLOOKUP([2]Pointage!MR13,Feuil1!$A:$B,2,FALSE),"")</f>
        <v/>
      </c>
      <c r="MO19" s="31" t="str">
        <f>IFERROR(VLOOKUP([2]Pointage!MS13,Feuil1!$A:$B,2,FALSE),"")</f>
        <v/>
      </c>
      <c r="MP19" s="31" t="str">
        <f>IFERROR(VLOOKUP([2]Pointage!MT13,Feuil1!$A:$B,2,FALSE),"")</f>
        <v/>
      </c>
      <c r="MQ19" s="31" t="str">
        <f>IFERROR(VLOOKUP([2]Pointage!MU13,Feuil1!$A:$B,2,FALSE),"")</f>
        <v/>
      </c>
      <c r="MR19" s="31" t="str">
        <f>IFERROR(VLOOKUP([2]Pointage!MV13,Feuil1!$A:$B,2,FALSE),"")</f>
        <v/>
      </c>
      <c r="MS19" s="31" t="str">
        <f>IFERROR(VLOOKUP([2]Pointage!MW13,Feuil1!$A:$B,2,FALSE),"")</f>
        <v/>
      </c>
      <c r="MT19" s="31" t="str">
        <f>IFERROR(VLOOKUP([2]Pointage!MX13,Feuil1!$A:$B,2,FALSE),"")</f>
        <v/>
      </c>
      <c r="MU19" s="31" t="str">
        <f>IFERROR(VLOOKUP([2]Pointage!MY13,Feuil1!$A:$B,2,FALSE),"")</f>
        <v/>
      </c>
      <c r="MV19" s="31" t="str">
        <f>IFERROR(VLOOKUP([2]Pointage!MZ13,Feuil1!$A:$B,2,FALSE),"")</f>
        <v/>
      </c>
      <c r="MW19" s="31" t="str">
        <f>IFERROR(VLOOKUP([2]Pointage!NA13,Feuil1!$A:$B,2,FALSE),"")</f>
        <v/>
      </c>
      <c r="MX19" s="31" t="str">
        <f>IFERROR(VLOOKUP([2]Pointage!NB13,Feuil1!$A:$B,2,FALSE),"")</f>
        <v/>
      </c>
      <c r="MY19" s="31" t="str">
        <f>IFERROR(VLOOKUP([2]Pointage!NC13,Feuil1!$A:$B,2,FALSE),"")</f>
        <v/>
      </c>
      <c r="MZ19" s="31" t="str">
        <f>IFERROR(VLOOKUP([2]Pointage!ND13,Feuil1!$A:$B,2,FALSE),"")</f>
        <v/>
      </c>
      <c r="NA19" s="31" t="str">
        <f>IFERROR(VLOOKUP([2]Pointage!NE13,Feuil1!$A:$B,2,FALSE),"")</f>
        <v/>
      </c>
      <c r="NB19" s="31" t="str">
        <f>IFERROR(VLOOKUP([2]Pointage!NF13,Feuil1!$A:$B,2,FALSE),"")</f>
        <v/>
      </c>
      <c r="NC19" s="31" t="str">
        <f>IFERROR(VLOOKUP([2]Pointage!NG13,Feuil1!$A:$B,2,FALSE),"")</f>
        <v/>
      </c>
      <c r="ND19" s="31" t="str">
        <f>IFERROR(VLOOKUP([2]Pointage!NH13,Feuil1!$A:$B,2,FALSE),"")</f>
        <v/>
      </c>
      <c r="NE19" s="31" t="str">
        <f>IFERROR(VLOOKUP([2]Pointage!NI13,Feuil1!$A:$B,2,FALSE),"")</f>
        <v/>
      </c>
      <c r="NF19" s="48" t="str">
        <f>IFERROR(VLOOKUP([2]Pointage!NJ13,Feuil1!$A:$B,2,FALSE),"")</f>
        <v/>
      </c>
      <c r="NG19" s="52">
        <f>COUNTIF(Global!F19:NF19,"RTT")+(COUNTIF(Global!F19:NF19,"dRTT")/2)</f>
        <v>1</v>
      </c>
      <c r="NH19" s="42">
        <f>COUNTIF(Global!F19:NF19,"C")+(COUNTIF(Global!F19:NF19,"DC")/2)</f>
        <v>19</v>
      </c>
      <c r="NI19" s="42">
        <f>COUNTIF(Global!F19:NF19,"M")</f>
        <v>0</v>
      </c>
      <c r="NJ19" s="42">
        <f>COUNTIF(Global!G19:NG19,"AT")</f>
        <v>0</v>
      </c>
      <c r="NK19" s="42">
        <f>COUNTIF(Global!F19:NF19,"RD")</f>
        <v>0</v>
      </c>
      <c r="NL19" s="42">
        <f>COUNTIF(Global!F19:NF19,"RC")+(COUNTIF(Global!F19:NF19,"dRC")/2)</f>
        <v>0</v>
      </c>
      <c r="NM19" s="68">
        <f t="shared" ca="1" si="0"/>
        <v>4.0273972602739727</v>
      </c>
      <c r="NT19" s="33"/>
      <c r="NU19" s="33"/>
      <c r="NV19" s="28"/>
      <c r="NW19" s="28"/>
      <c r="NX19" s="29">
        <f>COUNTIF(F19:NF19,"C")++(COUNTIF(Global!F19:NF19,"DC")/2)</f>
        <v>19</v>
      </c>
      <c r="NY19" s="29"/>
      <c r="NZ19" s="29"/>
      <c r="OA19" s="29"/>
      <c r="OB19" s="29">
        <f>COUNTIF(Global!F19:NF19,"M")</f>
        <v>0</v>
      </c>
      <c r="OC19" s="30">
        <f t="shared" si="1"/>
        <v>-19</v>
      </c>
      <c r="OD19" s="30"/>
    </row>
    <row r="20" spans="1:394" ht="30" customHeight="1" x14ac:dyDescent="0.2">
      <c r="A20" s="15" t="s">
        <v>76</v>
      </c>
      <c r="B20" s="22" t="s">
        <v>166</v>
      </c>
      <c r="C20" s="22" t="s">
        <v>151</v>
      </c>
      <c r="D20" s="22" t="s">
        <v>167</v>
      </c>
      <c r="E20" s="44">
        <v>0</v>
      </c>
      <c r="F20" s="47" t="str">
        <f>IFERROR(VLOOKUP([2]Pointage!J14,Feuil1!$A:$B,2,FALSE),"")</f>
        <v/>
      </c>
      <c r="G20" s="31" t="str">
        <f>IFERROR(VLOOKUP([2]Pointage!K14,Feuil1!$A:$B,2,FALSE),"")</f>
        <v/>
      </c>
      <c r="H20" s="31" t="str">
        <f>IFERROR(VLOOKUP([2]Pointage!L14,Feuil1!$A:$B,2,FALSE),"")</f>
        <v/>
      </c>
      <c r="I20" s="31" t="str">
        <f>IFERROR(VLOOKUP([2]Pointage!M14,Feuil1!$A:$B,2,FALSE),"")</f>
        <v/>
      </c>
      <c r="J20" s="31" t="str">
        <f>IFERROR(VLOOKUP([2]Pointage!N14,Feuil1!$A:$B,2,FALSE),"")</f>
        <v/>
      </c>
      <c r="K20" s="31" t="str">
        <f>IFERROR(VLOOKUP([2]Pointage!O14,Feuil1!$A:$B,2,FALSE),"")</f>
        <v/>
      </c>
      <c r="L20" s="31" t="str">
        <f>IFERROR(VLOOKUP([2]Pointage!P14,Feuil1!$A:$B,2,FALSE),"")</f>
        <v/>
      </c>
      <c r="M20" s="31" t="str">
        <f>IFERROR(VLOOKUP([2]Pointage!Q14,Feuil1!$A:$B,2,FALSE),"")</f>
        <v/>
      </c>
      <c r="N20" s="31" t="str">
        <f>IFERROR(VLOOKUP([2]Pointage!R14,Feuil1!$A:$B,2,FALSE),"")</f>
        <v/>
      </c>
      <c r="O20" s="31" t="str">
        <f>IFERROR(VLOOKUP([2]Pointage!S14,Feuil1!$A:$B,2,FALSE),"")</f>
        <v/>
      </c>
      <c r="P20" s="31" t="str">
        <f>IFERROR(VLOOKUP([2]Pointage!T14,Feuil1!$A:$B,2,FALSE),"")</f>
        <v/>
      </c>
      <c r="Q20" s="31" t="str">
        <f>IFERROR(VLOOKUP([2]Pointage!U14,Feuil1!$A:$B,2,FALSE),"")</f>
        <v/>
      </c>
      <c r="R20" s="31" t="str">
        <f>IFERROR(VLOOKUP([2]Pointage!V14,Feuil1!$A:$B,2,FALSE),"")</f>
        <v/>
      </c>
      <c r="S20" s="31" t="str">
        <f>IFERROR(VLOOKUP([2]Pointage!W14,Feuil1!$A:$B,2,FALSE),"")</f>
        <v/>
      </c>
      <c r="T20" s="31" t="str">
        <f>IFERROR(VLOOKUP([2]Pointage!X14,Feuil1!$A:$B,2,FALSE),"")</f>
        <v>C</v>
      </c>
      <c r="U20" s="31" t="str">
        <f>IFERROR(VLOOKUP([2]Pointage!Y14,Feuil1!$A:$B,2,FALSE),"")</f>
        <v>C</v>
      </c>
      <c r="V20" s="31" t="str">
        <f>IFERROR(VLOOKUP([2]Pointage!Z14,Feuil1!$A:$B,2,FALSE),"")</f>
        <v>C</v>
      </c>
      <c r="W20" s="31" t="str">
        <f>IFERROR(VLOOKUP([2]Pointage!AA14,Feuil1!$A:$B,2,FALSE),"")</f>
        <v>RTT</v>
      </c>
      <c r="X20" s="31" t="str">
        <f>IFERROR(VLOOKUP([2]Pointage!AB14,Feuil1!$A:$B,2,FALSE),"")</f>
        <v>RTT</v>
      </c>
      <c r="Y20" s="31" t="str">
        <f>IFERROR(VLOOKUP([2]Pointage!AC14,Feuil1!$A:$B,2,FALSE),"")</f>
        <v/>
      </c>
      <c r="Z20" s="31" t="str">
        <f>IFERROR(VLOOKUP([2]Pointage!AD14,Feuil1!$A:$B,2,FALSE),"")</f>
        <v/>
      </c>
      <c r="AA20" s="31" t="str">
        <f>IFERROR(VLOOKUP([2]Pointage!AE14,Feuil1!$A:$B,2,FALSE),"")</f>
        <v>RTT</v>
      </c>
      <c r="AB20" s="31" t="str">
        <f>IFERROR(VLOOKUP([2]Pointage!AF14,Feuil1!$A:$B,2,FALSE),"")</f>
        <v>RTT</v>
      </c>
      <c r="AC20" s="31" t="str">
        <f>IFERROR(VLOOKUP([2]Pointage!AG14,Feuil1!$A:$B,2,FALSE),"")</f>
        <v>RTT</v>
      </c>
      <c r="AD20" s="31" t="str">
        <f>IFERROR(VLOOKUP([2]Pointage!AH14,Feuil1!$A:$B,2,FALSE),"")</f>
        <v>RTT</v>
      </c>
      <c r="AE20" s="31" t="str">
        <f>IFERROR(VLOOKUP([2]Pointage!AI14,Feuil1!$A:$B,2,FALSE),"")</f>
        <v>RTT</v>
      </c>
      <c r="AF20" s="31" t="str">
        <f>IFERROR(VLOOKUP([2]Pointage!AJ14,Feuil1!$A:$B,2,FALSE),"")</f>
        <v/>
      </c>
      <c r="AG20" s="31" t="str">
        <f>IFERROR(VLOOKUP([2]Pointage!AK14,Feuil1!$A:$B,2,FALSE),"")</f>
        <v/>
      </c>
      <c r="AH20" s="31" t="str">
        <f>IFERROR(VLOOKUP([2]Pointage!AL14,Feuil1!$A:$B,2,FALSE),"")</f>
        <v/>
      </c>
      <c r="AI20" s="31" t="str">
        <f>IFERROR(VLOOKUP([2]Pointage!AM14,Feuil1!$A:$B,2,FALSE),"")</f>
        <v/>
      </c>
      <c r="AJ20" s="82" t="str">
        <f>IFERROR(VLOOKUP([2]Pointage!AN14,Feuil1!$A:$B,2,FALSE),"")</f>
        <v/>
      </c>
      <c r="AK20" s="47" t="str">
        <f>IFERROR(VLOOKUP([2]Pointage!AO14,Feuil1!$A:$B,2,FALSE),"")</f>
        <v/>
      </c>
      <c r="AL20" s="31" t="str">
        <f>IFERROR(VLOOKUP([2]Pointage!AP14,Feuil1!$A:$B,2,FALSE),"")</f>
        <v/>
      </c>
      <c r="AM20" s="31" t="str">
        <f>IFERROR(VLOOKUP([2]Pointage!AQ14,Feuil1!$A:$B,2,FALSE),"")</f>
        <v/>
      </c>
      <c r="AN20" s="31" t="str">
        <f>IFERROR(VLOOKUP([2]Pointage!AR14,Feuil1!$A:$B,2,FALSE),"")</f>
        <v/>
      </c>
      <c r="AO20" s="31" t="str">
        <f>IFERROR(VLOOKUP([2]Pointage!AS14,Feuil1!$A:$B,2,FALSE),"")</f>
        <v/>
      </c>
      <c r="AP20" s="31" t="str">
        <f>IFERROR(VLOOKUP([2]Pointage!AT14,Feuil1!$A:$B,2,FALSE),"")</f>
        <v/>
      </c>
      <c r="AQ20" s="31" t="str">
        <f>IFERROR(VLOOKUP([2]Pointage!AU14,Feuil1!$A:$B,2,FALSE),"")</f>
        <v/>
      </c>
      <c r="AR20" s="31" t="str">
        <f>IFERROR(VLOOKUP([2]Pointage!AV14,Feuil1!$A:$B,2,FALSE),"")</f>
        <v/>
      </c>
      <c r="AS20" s="31" t="str">
        <f>IFERROR(VLOOKUP([2]Pointage!AW14,Feuil1!$A:$B,2,FALSE),"")</f>
        <v/>
      </c>
      <c r="AT20" s="31" t="str">
        <f>IFERROR(VLOOKUP([2]Pointage!AX14,Feuil1!$A:$B,2,FALSE),"")</f>
        <v/>
      </c>
      <c r="AU20" s="31" t="str">
        <f>IFERROR(VLOOKUP([2]Pointage!AY14,Feuil1!$A:$B,2,FALSE),"")</f>
        <v/>
      </c>
      <c r="AV20" s="31" t="str">
        <f>IFERROR(VLOOKUP([2]Pointage!AZ14,Feuil1!$A:$B,2,FALSE),"")</f>
        <v/>
      </c>
      <c r="AW20" s="31" t="str">
        <f>IFERROR(VLOOKUP([2]Pointage!BA14,Feuil1!$A:$B,2,FALSE),"")</f>
        <v/>
      </c>
      <c r="AX20" s="31" t="str">
        <f>IFERROR(VLOOKUP([2]Pointage!BB14,Feuil1!$A:$B,2,FALSE),"")</f>
        <v/>
      </c>
      <c r="AY20" s="31" t="str">
        <f>IFERROR(VLOOKUP([2]Pointage!BC14,Feuil1!$A:$B,2,FALSE),"")</f>
        <v/>
      </c>
      <c r="AZ20" s="31" t="str">
        <f>IFERROR(VLOOKUP([2]Pointage!BD14,Feuil1!$A:$B,2,FALSE),"")</f>
        <v/>
      </c>
      <c r="BA20" s="31" t="str">
        <f>IFERROR(VLOOKUP([2]Pointage!BE14,Feuil1!$A:$B,2,FALSE),"")</f>
        <v/>
      </c>
      <c r="BB20" s="31" t="str">
        <f>IFERROR(VLOOKUP([2]Pointage!BF14,Feuil1!$A:$B,2,FALSE),"")</f>
        <v/>
      </c>
      <c r="BC20" s="31" t="str">
        <f>IFERROR(VLOOKUP([2]Pointage!BG14,Feuil1!$A:$B,2,FALSE),"")</f>
        <v/>
      </c>
      <c r="BD20" s="31" t="str">
        <f>IFERROR(VLOOKUP([2]Pointage!BH14,Feuil1!$A:$B,2,FALSE),"")</f>
        <v/>
      </c>
      <c r="BE20" s="31" t="str">
        <f>IFERROR(VLOOKUP([2]Pointage!BI14,Feuil1!$A:$B,2,FALSE),"")</f>
        <v/>
      </c>
      <c r="BF20" s="31" t="str">
        <f>IFERROR(VLOOKUP([2]Pointage!BJ14,Feuil1!$A:$B,2,FALSE),"")</f>
        <v/>
      </c>
      <c r="BG20" s="31" t="str">
        <f>IFERROR(VLOOKUP([2]Pointage!BK14,Feuil1!$A:$B,2,FALSE),"")</f>
        <v/>
      </c>
      <c r="BH20" s="31" t="str">
        <f>IFERROR(VLOOKUP([2]Pointage!BL14,Feuil1!$A:$B,2,FALSE),"")</f>
        <v/>
      </c>
      <c r="BI20" s="31" t="str">
        <f>IFERROR(VLOOKUP([2]Pointage!BM14,Feuil1!$A:$B,2,FALSE),"")</f>
        <v/>
      </c>
      <c r="BJ20" s="31" t="str">
        <f>IFERROR(VLOOKUP([2]Pointage!BN14,Feuil1!$A:$B,2,FALSE),"")</f>
        <v/>
      </c>
      <c r="BK20" s="31" t="str">
        <f>IFERROR(VLOOKUP([2]Pointage!BO14,Feuil1!$A:$B,2,FALSE),"")</f>
        <v/>
      </c>
      <c r="BL20" s="82" t="str">
        <f>IFERROR(VLOOKUP([2]Pointage!BP14,Feuil1!$A:$B,2,FALSE),"")</f>
        <v/>
      </c>
      <c r="BM20" s="47" t="str">
        <f>IFERROR(VLOOKUP([2]Pointage!BQ14,Feuil1!$A:$B,2,FALSE),"")</f>
        <v/>
      </c>
      <c r="BN20" s="31" t="str">
        <f>IFERROR(VLOOKUP([2]Pointage!BR14,Feuil1!$A:$B,2,FALSE),"")</f>
        <v/>
      </c>
      <c r="BO20" s="31" t="str">
        <f>IFERROR(VLOOKUP([2]Pointage!BS14,Feuil1!$A:$B,2,FALSE),"")</f>
        <v/>
      </c>
      <c r="BP20" s="31" t="str">
        <f>IFERROR(VLOOKUP([2]Pointage!BT14,Feuil1!$A:$B,2,FALSE),"")</f>
        <v/>
      </c>
      <c r="BQ20" s="31" t="str">
        <f>IFERROR(VLOOKUP([2]Pointage!BU14,Feuil1!$A:$B,2,FALSE),"")</f>
        <v>C</v>
      </c>
      <c r="BR20" s="31" t="str">
        <f>IFERROR(VLOOKUP([2]Pointage!BV14,Feuil1!$A:$B,2,FALSE),"")</f>
        <v>C</v>
      </c>
      <c r="BS20" s="31" t="str">
        <f>IFERROR(VLOOKUP([2]Pointage!BW14,Feuil1!$A:$B,2,FALSE),"")</f>
        <v>C</v>
      </c>
      <c r="BT20" s="31" t="str">
        <f>IFERROR(VLOOKUP([2]Pointage!BX14,Feuil1!$A:$B,2,FALSE),"")</f>
        <v>C</v>
      </c>
      <c r="BU20" s="31" t="str">
        <f>IFERROR(VLOOKUP([2]Pointage!BY14,Feuil1!$A:$B,2,FALSE),"")</f>
        <v>C</v>
      </c>
      <c r="BV20" s="31" t="str">
        <f>IFERROR(VLOOKUP([2]Pointage!BZ14,Feuil1!$A:$B,2,FALSE),"")</f>
        <v/>
      </c>
      <c r="BW20" s="31" t="str">
        <f>IFERROR(VLOOKUP([2]Pointage!CA14,Feuil1!$A:$B,2,FALSE),"")</f>
        <v/>
      </c>
      <c r="BX20" s="31" t="str">
        <f>IFERROR(VLOOKUP([2]Pointage!CB14,Feuil1!$A:$B,2,FALSE),"")</f>
        <v/>
      </c>
      <c r="BY20" s="31" t="str">
        <f>IFERROR(VLOOKUP([2]Pointage!CC14,Feuil1!$A:$B,2,FALSE),"")</f>
        <v/>
      </c>
      <c r="BZ20" s="31" t="str">
        <f>IFERROR(VLOOKUP([2]Pointage!CD14,Feuil1!$A:$B,2,FALSE),"")</f>
        <v/>
      </c>
      <c r="CA20" s="31" t="str">
        <f>IFERROR(VLOOKUP([2]Pointage!CE14,Feuil1!$A:$B,2,FALSE),"")</f>
        <v/>
      </c>
      <c r="CB20" s="31" t="str">
        <f>IFERROR(VLOOKUP([2]Pointage!CF14,Feuil1!$A:$B,2,FALSE),"")</f>
        <v/>
      </c>
      <c r="CC20" s="31" t="str">
        <f>IFERROR(VLOOKUP([2]Pointage!CG14,Feuil1!$A:$B,2,FALSE),"")</f>
        <v/>
      </c>
      <c r="CD20" s="31" t="str">
        <f>IFERROR(VLOOKUP([2]Pointage!CH14,Feuil1!$A:$B,2,FALSE),"")</f>
        <v/>
      </c>
      <c r="CE20" s="31" t="str">
        <f>IFERROR(VLOOKUP([2]Pointage!CI14,Feuil1!$A:$B,2,FALSE),"")</f>
        <v/>
      </c>
      <c r="CF20" s="31" t="str">
        <f>IFERROR(VLOOKUP([2]Pointage!CJ14,Feuil1!$A:$B,2,FALSE),"")</f>
        <v/>
      </c>
      <c r="CG20" s="31" t="str">
        <f>IFERROR(VLOOKUP([2]Pointage!CK14,Feuil1!$A:$B,2,FALSE),"")</f>
        <v/>
      </c>
      <c r="CH20" s="31" t="str">
        <f>IFERROR(VLOOKUP([2]Pointage!CL14,Feuil1!$A:$B,2,FALSE),"")</f>
        <v/>
      </c>
      <c r="CI20" s="31" t="str">
        <f>IFERROR(VLOOKUP([2]Pointage!CM14,Feuil1!$A:$B,2,FALSE),"")</f>
        <v/>
      </c>
      <c r="CJ20" s="31" t="str">
        <f>IFERROR(VLOOKUP([2]Pointage!CN14,Feuil1!$A:$B,2,FALSE),"")</f>
        <v/>
      </c>
      <c r="CK20" s="31" t="str">
        <f>IFERROR(VLOOKUP([2]Pointage!CO14,Feuil1!$A:$B,2,FALSE),"")</f>
        <v/>
      </c>
      <c r="CL20" s="31" t="str">
        <f>IFERROR(VLOOKUP([2]Pointage!CP14,Feuil1!$A:$B,2,FALSE),"")</f>
        <v/>
      </c>
      <c r="CM20" s="31" t="str">
        <f>IFERROR(VLOOKUP([2]Pointage!CQ14,Feuil1!$A:$B,2,FALSE),"")</f>
        <v/>
      </c>
      <c r="CN20" s="31" t="str">
        <f>IFERROR(VLOOKUP([2]Pointage!CR14,Feuil1!$A:$B,2,FALSE),"")</f>
        <v/>
      </c>
      <c r="CO20" s="31" t="str">
        <f>IFERROR(VLOOKUP([2]Pointage!CS14,Feuil1!$A:$B,2,FALSE),"")</f>
        <v/>
      </c>
      <c r="CP20" s="31" t="str">
        <f>IFERROR(VLOOKUP([2]Pointage!CT14,Feuil1!$A:$B,2,FALSE),"")</f>
        <v/>
      </c>
      <c r="CQ20" s="82" t="str">
        <f>IFERROR(VLOOKUP([2]Pointage!CU14,Feuil1!$A:$B,2,FALSE),"")</f>
        <v/>
      </c>
      <c r="CR20" s="47" t="str">
        <f>IFERROR(VLOOKUP([2]Pointage!CV14,Feuil1!$A:$B,2,FALSE),"")</f>
        <v/>
      </c>
      <c r="CS20" s="31" t="str">
        <f>IFERROR(VLOOKUP([2]Pointage!CW14,Feuil1!$A:$B,2,FALSE),"")</f>
        <v/>
      </c>
      <c r="CT20" s="31" t="str">
        <f>IFERROR(VLOOKUP([2]Pointage!CX14,Feuil1!$A:$B,2,FALSE),"")</f>
        <v/>
      </c>
      <c r="CU20" s="31" t="str">
        <f>IFERROR(VLOOKUP([2]Pointage!CY14,Feuil1!$A:$B,2,FALSE),"")</f>
        <v/>
      </c>
      <c r="CV20" s="31" t="str">
        <f>IFERROR(VLOOKUP([2]Pointage!CZ14,Feuil1!$A:$B,2,FALSE),"")</f>
        <v/>
      </c>
      <c r="CW20" s="31" t="str">
        <f>IFERROR(VLOOKUP([2]Pointage!DA14,Feuil1!$A:$B,2,FALSE),"")</f>
        <v/>
      </c>
      <c r="CX20" s="31" t="str">
        <f>IFERROR(VLOOKUP([2]Pointage!DB14,Feuil1!$A:$B,2,FALSE),"")</f>
        <v/>
      </c>
      <c r="CY20" s="31" t="str">
        <f>IFERROR(VLOOKUP([2]Pointage!DC14,Feuil1!$A:$B,2,FALSE),"")</f>
        <v/>
      </c>
      <c r="CZ20" s="31" t="str">
        <f>IFERROR(VLOOKUP([2]Pointage!DD14,Feuil1!$A:$B,2,FALSE),"")</f>
        <v/>
      </c>
      <c r="DA20" s="31" t="str">
        <f>IFERROR(VLOOKUP([2]Pointage!DE14,Feuil1!$A:$B,2,FALSE),"")</f>
        <v/>
      </c>
      <c r="DB20" s="31" t="str">
        <f>IFERROR(VLOOKUP([2]Pointage!DF14,Feuil1!$A:$B,2,FALSE),"")</f>
        <v/>
      </c>
      <c r="DC20" s="31" t="str">
        <f>IFERROR(VLOOKUP([2]Pointage!DG14,Feuil1!$A:$B,2,FALSE),"")</f>
        <v/>
      </c>
      <c r="DD20" s="31" t="str">
        <f>IFERROR(VLOOKUP([2]Pointage!DH14,Feuil1!$A:$B,2,FALSE),"")</f>
        <v/>
      </c>
      <c r="DE20" s="31" t="str">
        <f>IFERROR(VLOOKUP([2]Pointage!DI14,Feuil1!$A:$B,2,FALSE),"")</f>
        <v/>
      </c>
      <c r="DF20" s="31" t="str">
        <f>IFERROR(VLOOKUP([2]Pointage!DJ14,Feuil1!$A:$B,2,FALSE),"")</f>
        <v/>
      </c>
      <c r="DG20" s="31" t="str">
        <f>IFERROR(VLOOKUP([2]Pointage!DK14,Feuil1!$A:$B,2,FALSE),"")</f>
        <v/>
      </c>
      <c r="DH20" s="31" t="str">
        <f>IFERROR(VLOOKUP([2]Pointage!DL14,Feuil1!$A:$B,2,FALSE),"")</f>
        <v/>
      </c>
      <c r="DI20" s="31" t="str">
        <f>IFERROR(VLOOKUP([2]Pointage!DM14,Feuil1!$A:$B,2,FALSE),"")</f>
        <v/>
      </c>
      <c r="DJ20" s="31" t="str">
        <f>IFERROR(VLOOKUP([2]Pointage!DN14,Feuil1!$A:$B,2,FALSE),"")</f>
        <v/>
      </c>
      <c r="DK20" s="31" t="str">
        <f>IFERROR(VLOOKUP([2]Pointage!DO14,Feuil1!$A:$B,2,FALSE),"")</f>
        <v/>
      </c>
      <c r="DL20" s="31" t="str">
        <f>IFERROR(VLOOKUP([2]Pointage!DP14,Feuil1!$A:$B,2,FALSE),"")</f>
        <v/>
      </c>
      <c r="DM20" s="31" t="str">
        <f>IFERROR(VLOOKUP([2]Pointage!DQ14,Feuil1!$A:$B,2,FALSE),"")</f>
        <v/>
      </c>
      <c r="DN20" s="31" t="str">
        <f>IFERROR(VLOOKUP([2]Pointage!DR14,Feuil1!$A:$B,2,FALSE),"")</f>
        <v/>
      </c>
      <c r="DO20" s="31" t="str">
        <f>IFERROR(VLOOKUP([2]Pointage!DS14,Feuil1!$A:$B,2,FALSE),"")</f>
        <v/>
      </c>
      <c r="DP20" s="31" t="str">
        <f>IFERROR(VLOOKUP([2]Pointage!DT14,Feuil1!$A:$B,2,FALSE),"")</f>
        <v/>
      </c>
      <c r="DQ20" s="31" t="str">
        <f>IFERROR(VLOOKUP([2]Pointage!DU14,Feuil1!$A:$B,2,FALSE),"")</f>
        <v/>
      </c>
      <c r="DR20" s="31" t="str">
        <f>IFERROR(VLOOKUP([2]Pointage!DV14,Feuil1!$A:$B,2,FALSE),"")</f>
        <v/>
      </c>
      <c r="DS20" s="31" t="str">
        <f>IFERROR(VLOOKUP([2]Pointage!DW14,Feuil1!$A:$B,2,FALSE),"")</f>
        <v/>
      </c>
      <c r="DT20" s="31" t="str">
        <f>IFERROR(VLOOKUP([2]Pointage!DX14,Feuil1!$A:$B,2,FALSE),"")</f>
        <v/>
      </c>
      <c r="DU20" s="82" t="str">
        <f>IFERROR(VLOOKUP([2]Pointage!DY14,Feuil1!$A:$B,2,FALSE),"")</f>
        <v/>
      </c>
      <c r="DV20" s="47" t="str">
        <f>IFERROR(VLOOKUP([2]Pointage!DZ14,Feuil1!$A:$B,2,FALSE),"")</f>
        <v/>
      </c>
      <c r="DW20" s="31" t="str">
        <f>IFERROR(VLOOKUP([2]Pointage!EA14,Feuil1!$A:$B,2,FALSE),"")</f>
        <v/>
      </c>
      <c r="DX20" s="31" t="str">
        <f>IFERROR(VLOOKUP([2]Pointage!EB14,Feuil1!$A:$B,2,FALSE),"")</f>
        <v/>
      </c>
      <c r="DY20" s="31" t="str">
        <f>IFERROR(VLOOKUP([2]Pointage!EC14,Feuil1!$A:$B,2,FALSE),"")</f>
        <v/>
      </c>
      <c r="DZ20" s="31" t="str">
        <f>IFERROR(VLOOKUP([2]Pointage!ED14,Feuil1!$A:$B,2,FALSE),"")</f>
        <v/>
      </c>
      <c r="EA20" s="31" t="str">
        <f>IFERROR(VLOOKUP([2]Pointage!EE14,Feuil1!$A:$B,2,FALSE),"")</f>
        <v/>
      </c>
      <c r="EB20" s="31" t="str">
        <f>IFERROR(VLOOKUP([2]Pointage!EF14,Feuil1!$A:$B,2,FALSE),"")</f>
        <v>C</v>
      </c>
      <c r="EC20" s="31" t="str">
        <f>IFERROR(VLOOKUP([2]Pointage!EG14,Feuil1!$A:$B,2,FALSE),"")</f>
        <v/>
      </c>
      <c r="ED20" s="31" t="str">
        <f>IFERROR(VLOOKUP([2]Pointage!EH14,Feuil1!$A:$B,2,FALSE),"")</f>
        <v>C</v>
      </c>
      <c r="EE20" s="31" t="str">
        <f>IFERROR(VLOOKUP([2]Pointage!EI14,Feuil1!$A:$B,2,FALSE),"")</f>
        <v/>
      </c>
      <c r="EF20" s="31" t="str">
        <f>IFERROR(VLOOKUP([2]Pointage!EJ14,Feuil1!$A:$B,2,FALSE),"")</f>
        <v/>
      </c>
      <c r="EG20" s="31" t="str">
        <f>IFERROR(VLOOKUP([2]Pointage!EK14,Feuil1!$A:$B,2,FALSE),"")</f>
        <v/>
      </c>
      <c r="EH20" s="31" t="str">
        <f>IFERROR(VLOOKUP([2]Pointage!EL14,Feuil1!$A:$B,2,FALSE),"")</f>
        <v/>
      </c>
      <c r="EI20" s="31" t="str">
        <f>IFERROR(VLOOKUP([2]Pointage!EM14,Feuil1!$A:$B,2,FALSE),"")</f>
        <v/>
      </c>
      <c r="EJ20" s="31" t="str">
        <f>IFERROR(VLOOKUP([2]Pointage!EN14,Feuil1!$A:$B,2,FALSE),"")</f>
        <v/>
      </c>
      <c r="EK20" s="31" t="str">
        <f>IFERROR(VLOOKUP([2]Pointage!EO14,Feuil1!$A:$B,2,FALSE),"")</f>
        <v/>
      </c>
      <c r="EL20" s="31" t="str">
        <f>IFERROR(VLOOKUP([2]Pointage!EP14,Feuil1!$A:$B,2,FALSE),"")</f>
        <v/>
      </c>
      <c r="EM20" s="31" t="str">
        <f>IFERROR(VLOOKUP([2]Pointage!EQ14,Feuil1!$A:$B,2,FALSE),"")</f>
        <v/>
      </c>
      <c r="EN20" s="31" t="str">
        <f>IFERROR(VLOOKUP([2]Pointage!ER14,Feuil1!$A:$B,2,FALSE),"")</f>
        <v/>
      </c>
      <c r="EO20" s="31" t="str">
        <f>IFERROR(VLOOKUP([2]Pointage!ES14,Feuil1!$A:$B,2,FALSE),"")</f>
        <v/>
      </c>
      <c r="EP20" s="31" t="str">
        <f>IFERROR(VLOOKUP([2]Pointage!ET14,Feuil1!$A:$B,2,FALSE),"")</f>
        <v/>
      </c>
      <c r="EQ20" s="31" t="str">
        <f>IFERROR(VLOOKUP([2]Pointage!EU14,Feuil1!$A:$B,2,FALSE),"")</f>
        <v/>
      </c>
      <c r="ER20" s="31" t="str">
        <f>IFERROR(VLOOKUP([2]Pointage!EV14,Feuil1!$A:$B,2,FALSE),"")</f>
        <v/>
      </c>
      <c r="ES20" s="31" t="str">
        <f>IFERROR(VLOOKUP([2]Pointage!EW14,Feuil1!$A:$B,2,FALSE),"")</f>
        <v/>
      </c>
      <c r="ET20" s="31" t="str">
        <f>IFERROR(VLOOKUP([2]Pointage!EX14,Feuil1!$A:$B,2,FALSE),"")</f>
        <v/>
      </c>
      <c r="EU20" s="31" t="str">
        <f>IFERROR(VLOOKUP([2]Pointage!EY14,Feuil1!$A:$B,2,FALSE),"")</f>
        <v/>
      </c>
      <c r="EV20" s="31" t="str">
        <f>IFERROR(VLOOKUP([2]Pointage!EZ14,Feuil1!$A:$B,2,FALSE),"")</f>
        <v/>
      </c>
      <c r="EW20" s="31" t="str">
        <f>IFERROR(VLOOKUP([2]Pointage!FA14,Feuil1!$A:$B,2,FALSE),"")</f>
        <v/>
      </c>
      <c r="EX20" s="31" t="str">
        <f>IFERROR(VLOOKUP([2]Pointage!FB14,Feuil1!$A:$B,2,FALSE),"")</f>
        <v/>
      </c>
      <c r="EY20" s="31" t="str">
        <f>IFERROR(VLOOKUP([2]Pointage!FC14,Feuil1!$A:$B,2,FALSE),"")</f>
        <v/>
      </c>
      <c r="EZ20" s="82" t="str">
        <f>IFERROR(VLOOKUP([2]Pointage!FD14,Feuil1!$A:$B,2,FALSE),"")</f>
        <v/>
      </c>
      <c r="FA20" s="47" t="str">
        <f>IFERROR(VLOOKUP([2]Pointage!FE14,Feuil1!$A:$B,2,FALSE),"")</f>
        <v/>
      </c>
      <c r="FB20" s="31" t="str">
        <f>IFERROR(VLOOKUP([2]Pointage!FF14,Feuil1!$A:$B,2,FALSE),"")</f>
        <v/>
      </c>
      <c r="FC20" s="31" t="str">
        <f>IFERROR(VLOOKUP([2]Pointage!FG14,Feuil1!$A:$B,2,FALSE),"")</f>
        <v/>
      </c>
      <c r="FD20" s="31" t="str">
        <f>IFERROR(VLOOKUP([2]Pointage!FH14,Feuil1!$A:$B,2,FALSE),"")</f>
        <v/>
      </c>
      <c r="FE20" s="31" t="str">
        <f>IFERROR(VLOOKUP([2]Pointage!FI14,Feuil1!$A:$B,2,FALSE),"")</f>
        <v/>
      </c>
      <c r="FF20" s="31" t="str">
        <f>IFERROR(VLOOKUP([2]Pointage!FJ14,Feuil1!$A:$B,2,FALSE),"")</f>
        <v/>
      </c>
      <c r="FG20" s="31" t="str">
        <f>IFERROR(VLOOKUP([2]Pointage!FK14,Feuil1!$A:$B,2,FALSE),"")</f>
        <v/>
      </c>
      <c r="FH20" s="31" t="str">
        <f>IFERROR(VLOOKUP([2]Pointage!FL14,Feuil1!$A:$B,2,FALSE),"")</f>
        <v/>
      </c>
      <c r="FI20" s="31" t="str">
        <f>IFERROR(VLOOKUP([2]Pointage!FM14,Feuil1!$A:$B,2,FALSE),"")</f>
        <v/>
      </c>
      <c r="FJ20" s="31" t="str">
        <f>IFERROR(VLOOKUP([2]Pointage!FN14,Feuil1!$A:$B,2,FALSE),"")</f>
        <v/>
      </c>
      <c r="FK20" s="31" t="str">
        <f>IFERROR(VLOOKUP([2]Pointage!FO14,Feuil1!$A:$B,2,FALSE),"")</f>
        <v/>
      </c>
      <c r="FL20" s="31" t="str">
        <f>IFERROR(VLOOKUP([2]Pointage!FP14,Feuil1!$A:$B,2,FALSE),"")</f>
        <v/>
      </c>
      <c r="FM20" s="31" t="str">
        <f>IFERROR(VLOOKUP([2]Pointage!FQ14,Feuil1!$A:$B,2,FALSE),"")</f>
        <v/>
      </c>
      <c r="FN20" s="31" t="str">
        <f>IFERROR(VLOOKUP([2]Pointage!FR14,Feuil1!$A:$B,2,FALSE),"")</f>
        <v/>
      </c>
      <c r="FO20" s="31" t="str">
        <f>IFERROR(VLOOKUP([2]Pointage!FS14,Feuil1!$A:$B,2,FALSE),"")</f>
        <v/>
      </c>
      <c r="FP20" s="31" t="str">
        <f>IFERROR(VLOOKUP([2]Pointage!FT14,Feuil1!$A:$B,2,FALSE),"")</f>
        <v/>
      </c>
      <c r="FQ20" s="31" t="str">
        <f>IFERROR(VLOOKUP([2]Pointage!FU14,Feuil1!$A:$B,2,FALSE),"")</f>
        <v/>
      </c>
      <c r="FR20" s="31" t="str">
        <f>IFERROR(VLOOKUP([2]Pointage!FV14,Feuil1!$A:$B,2,FALSE),"")</f>
        <v>C</v>
      </c>
      <c r="FS20" s="31" t="str">
        <f>IFERROR(VLOOKUP([2]Pointage!FW14,Feuil1!$A:$B,2,FALSE),"")</f>
        <v>C</v>
      </c>
      <c r="FT20" s="31" t="str">
        <f>IFERROR(VLOOKUP([2]Pointage!FX14,Feuil1!$A:$B,2,FALSE),"")</f>
        <v>C</v>
      </c>
      <c r="FU20" s="31" t="str">
        <f>IFERROR(VLOOKUP([2]Pointage!FY14,Feuil1!$A:$B,2,FALSE),"")</f>
        <v>C</v>
      </c>
      <c r="FV20" s="31" t="str">
        <f>IFERROR(VLOOKUP([2]Pointage!FZ14,Feuil1!$A:$B,2,FALSE),"")</f>
        <v>C</v>
      </c>
      <c r="FW20" s="31" t="str">
        <f>IFERROR(VLOOKUP([2]Pointage!GA14,Feuil1!$A:$B,2,FALSE),"")</f>
        <v/>
      </c>
      <c r="FX20" s="31" t="str">
        <f>IFERROR(VLOOKUP([2]Pointage!GB14,Feuil1!$A:$B,2,FALSE),"")</f>
        <v/>
      </c>
      <c r="FY20" s="31" t="str">
        <f>IFERROR(VLOOKUP([2]Pointage!GC14,Feuil1!$A:$B,2,FALSE),"")</f>
        <v>C</v>
      </c>
      <c r="FZ20" s="31" t="str">
        <f>IFERROR(VLOOKUP([2]Pointage!GD14,Feuil1!$A:$B,2,FALSE),"")</f>
        <v>C</v>
      </c>
      <c r="GA20" s="31" t="str">
        <f>IFERROR(VLOOKUP([2]Pointage!GE14,Feuil1!$A:$B,2,FALSE),"")</f>
        <v>C</v>
      </c>
      <c r="GB20" s="31" t="str">
        <f>IFERROR(VLOOKUP([2]Pointage!GF14,Feuil1!$A:$B,2,FALSE),"")</f>
        <v>C</v>
      </c>
      <c r="GC20" s="31" t="str">
        <f>IFERROR(VLOOKUP([2]Pointage!GG14,Feuil1!$A:$B,2,FALSE),"")</f>
        <v>C</v>
      </c>
      <c r="GD20" s="82" t="str">
        <f>IFERROR(VLOOKUP([2]Pointage!GH14,Feuil1!$A:$B,2,FALSE),"")</f>
        <v/>
      </c>
      <c r="GE20" s="47" t="str">
        <f>IFERROR(VLOOKUP([2]Pointage!GI14,Feuil1!$A:$B,2,FALSE),"")</f>
        <v/>
      </c>
      <c r="GF20" s="31" t="str">
        <f>IFERROR(VLOOKUP([2]Pointage!GJ14,Feuil1!$A:$B,2,FALSE),"")</f>
        <v/>
      </c>
      <c r="GG20" s="31" t="str">
        <f>IFERROR(VLOOKUP([2]Pointage!GK14,Feuil1!$A:$B,2,FALSE),"")</f>
        <v/>
      </c>
      <c r="GH20" s="31" t="str">
        <f>IFERROR(VLOOKUP([2]Pointage!GL14,Feuil1!$A:$B,2,FALSE),"")</f>
        <v/>
      </c>
      <c r="GI20" s="31" t="str">
        <f>IFERROR(VLOOKUP([2]Pointage!GM14,Feuil1!$A:$B,2,FALSE),"")</f>
        <v/>
      </c>
      <c r="GJ20" s="31" t="str">
        <f>IFERROR(VLOOKUP([2]Pointage!GN14,Feuil1!$A:$B,2,FALSE),"")</f>
        <v/>
      </c>
      <c r="GK20" s="31" t="str">
        <f>IFERROR(VLOOKUP([2]Pointage!GO14,Feuil1!$A:$B,2,FALSE),"")</f>
        <v/>
      </c>
      <c r="GL20" s="31" t="str">
        <f>IFERROR(VLOOKUP([2]Pointage!GP14,Feuil1!$A:$B,2,FALSE),"")</f>
        <v/>
      </c>
      <c r="GM20" s="31" t="str">
        <f>IFERROR(VLOOKUP([2]Pointage!GQ14,Feuil1!$A:$B,2,FALSE),"")</f>
        <v/>
      </c>
      <c r="GN20" s="31" t="str">
        <f>IFERROR(VLOOKUP([2]Pointage!GR14,Feuil1!$A:$B,2,FALSE),"")</f>
        <v/>
      </c>
      <c r="GO20" s="31" t="str">
        <f>IFERROR(VLOOKUP([2]Pointage!GS14,Feuil1!$A:$B,2,FALSE),"")</f>
        <v/>
      </c>
      <c r="GP20" s="31" t="str">
        <f>IFERROR(VLOOKUP([2]Pointage!GT14,Feuil1!$A:$B,2,FALSE),"")</f>
        <v/>
      </c>
      <c r="GQ20" s="31" t="str">
        <f>IFERROR(VLOOKUP([2]Pointage!GU14,Feuil1!$A:$B,2,FALSE),"")</f>
        <v/>
      </c>
      <c r="GR20" s="31" t="str">
        <f>IFERROR(VLOOKUP([2]Pointage!GV14,Feuil1!$A:$B,2,FALSE),"")</f>
        <v/>
      </c>
      <c r="GS20" s="31" t="str">
        <f>IFERROR(VLOOKUP([2]Pointage!GW14,Feuil1!$A:$B,2,FALSE),"")</f>
        <v/>
      </c>
      <c r="GT20" s="31" t="str">
        <f>IFERROR(VLOOKUP([2]Pointage!GX14,Feuil1!$A:$B,2,FALSE),"")</f>
        <v/>
      </c>
      <c r="GU20" s="31" t="str">
        <f>IFERROR(VLOOKUP([2]Pointage!GY14,Feuil1!$A:$B,2,FALSE),"")</f>
        <v/>
      </c>
      <c r="GV20" s="31" t="str">
        <f>IFERROR(VLOOKUP([2]Pointage!GZ14,Feuil1!$A:$B,2,FALSE),"")</f>
        <v/>
      </c>
      <c r="GW20" s="31" t="str">
        <f>IFERROR(VLOOKUP([2]Pointage!HA14,Feuil1!$A:$B,2,FALSE),"")</f>
        <v/>
      </c>
      <c r="GX20" s="31" t="str">
        <f>IFERROR(VLOOKUP([2]Pointage!HB14,Feuil1!$A:$B,2,FALSE),"")</f>
        <v/>
      </c>
      <c r="GY20" s="31" t="str">
        <f>IFERROR(VLOOKUP([2]Pointage!HC14,Feuil1!$A:$B,2,FALSE),"")</f>
        <v/>
      </c>
      <c r="GZ20" s="31" t="str">
        <f>IFERROR(VLOOKUP([2]Pointage!HD14,Feuil1!$A:$B,2,FALSE),"")</f>
        <v/>
      </c>
      <c r="HA20" s="31" t="str">
        <f>IFERROR(VLOOKUP([2]Pointage!HE14,Feuil1!$A:$B,2,FALSE),"")</f>
        <v/>
      </c>
      <c r="HB20" s="31" t="str">
        <f>IFERROR(VLOOKUP([2]Pointage!HF14,Feuil1!$A:$B,2,FALSE),"")</f>
        <v/>
      </c>
      <c r="HC20" s="31" t="str">
        <f>IFERROR(VLOOKUP([2]Pointage!HG14,Feuil1!$A:$B,2,FALSE),"")</f>
        <v/>
      </c>
      <c r="HD20" s="31" t="str">
        <f>IFERROR(VLOOKUP([2]Pointage!HH14,Feuil1!$A:$B,2,FALSE),"")</f>
        <v/>
      </c>
      <c r="HE20" s="31" t="str">
        <f>IFERROR(VLOOKUP([2]Pointage!HI14,Feuil1!$A:$B,2,FALSE),"")</f>
        <v/>
      </c>
      <c r="HF20" s="31" t="str">
        <f>IFERROR(VLOOKUP([2]Pointage!HJ14,Feuil1!$A:$B,2,FALSE),"")</f>
        <v/>
      </c>
      <c r="HG20" s="31" t="str">
        <f>IFERROR(VLOOKUP([2]Pointage!HK14,Feuil1!$A:$B,2,FALSE),"")</f>
        <v/>
      </c>
      <c r="HH20" s="31" t="str">
        <f>IFERROR(VLOOKUP([2]Pointage!HL14,Feuil1!$A:$B,2,FALSE),"")</f>
        <v>C</v>
      </c>
      <c r="HI20" s="82" t="str">
        <f>IFERROR(VLOOKUP([2]Pointage!HM14,Feuil1!$A:$B,2,FALSE),"")</f>
        <v>C</v>
      </c>
      <c r="HJ20" s="47" t="str">
        <f>IFERROR(VLOOKUP([2]Pointage!HN14,Feuil1!$A:$B,2,FALSE),"")</f>
        <v>C</v>
      </c>
      <c r="HK20" s="31" t="str">
        <f>IFERROR(VLOOKUP([2]Pointage!HO14,Feuil1!$A:$B,2,FALSE),"")</f>
        <v>C</v>
      </c>
      <c r="HL20" s="31" t="str">
        <f>IFERROR(VLOOKUP([2]Pointage!HP14,Feuil1!$A:$B,2,FALSE),"")</f>
        <v>C</v>
      </c>
      <c r="HM20" s="31" t="str">
        <f>IFERROR(VLOOKUP([2]Pointage!HQ14,Feuil1!$A:$B,2,FALSE),"")</f>
        <v/>
      </c>
      <c r="HN20" s="31" t="str">
        <f>IFERROR(VLOOKUP([2]Pointage!HR14,Feuil1!$A:$B,2,FALSE),"")</f>
        <v/>
      </c>
      <c r="HO20" s="31" t="str">
        <f>IFERROR(VLOOKUP([2]Pointage!HS14,Feuil1!$A:$B,2,FALSE),"")</f>
        <v>C</v>
      </c>
      <c r="HP20" s="31" t="str">
        <f>IFERROR(VLOOKUP([2]Pointage!HT14,Feuil1!$A:$B,2,FALSE),"")</f>
        <v>C</v>
      </c>
      <c r="HQ20" s="31" t="str">
        <f>IFERROR(VLOOKUP([2]Pointage!HU14,Feuil1!$A:$B,2,FALSE),"")</f>
        <v>C</v>
      </c>
      <c r="HR20" s="31" t="str">
        <f>IFERROR(VLOOKUP([2]Pointage!HV14,Feuil1!$A:$B,2,FALSE),"")</f>
        <v>C</v>
      </c>
      <c r="HS20" s="31" t="str">
        <f>IFERROR(VLOOKUP([2]Pointage!HW14,Feuil1!$A:$B,2,FALSE),"")</f>
        <v>C</v>
      </c>
      <c r="HT20" s="31" t="str">
        <f>IFERROR(VLOOKUP([2]Pointage!HX14,Feuil1!$A:$B,2,FALSE),"")</f>
        <v/>
      </c>
      <c r="HU20" s="31" t="str">
        <f>IFERROR(VLOOKUP([2]Pointage!HY14,Feuil1!$A:$B,2,FALSE),"")</f>
        <v/>
      </c>
      <c r="HV20" s="31" t="str">
        <f>IFERROR(VLOOKUP([2]Pointage!HZ14,Feuil1!$A:$B,2,FALSE),"")</f>
        <v/>
      </c>
      <c r="HW20" s="31" t="str">
        <f>IFERROR(VLOOKUP([2]Pointage!IA14,Feuil1!$A:$B,2,FALSE),"")</f>
        <v/>
      </c>
      <c r="HX20" s="31" t="str">
        <f>IFERROR(VLOOKUP([2]Pointage!IB14,Feuil1!$A:$B,2,FALSE),"")</f>
        <v/>
      </c>
      <c r="HY20" s="31" t="str">
        <f>IFERROR(VLOOKUP([2]Pointage!IC14,Feuil1!$A:$B,2,FALSE),"")</f>
        <v/>
      </c>
      <c r="HZ20" s="31" t="str">
        <f>IFERROR(VLOOKUP([2]Pointage!ID14,Feuil1!$A:$B,2,FALSE),"")</f>
        <v/>
      </c>
      <c r="IA20" s="31" t="str">
        <f>IFERROR(VLOOKUP([2]Pointage!IE14,Feuil1!$A:$B,2,FALSE),"")</f>
        <v/>
      </c>
      <c r="IB20" s="31" t="str">
        <f>IFERROR(VLOOKUP([2]Pointage!IF14,Feuil1!$A:$B,2,FALSE),"")</f>
        <v/>
      </c>
      <c r="IC20" s="31" t="str">
        <f>IFERROR(VLOOKUP([2]Pointage!IG14,Feuil1!$A:$B,2,FALSE),"")</f>
        <v/>
      </c>
      <c r="ID20" s="31" t="str">
        <f>IFERROR(VLOOKUP([2]Pointage!IH14,Feuil1!$A:$B,2,FALSE),"")</f>
        <v/>
      </c>
      <c r="IE20" s="31" t="str">
        <f>IFERROR(VLOOKUP([2]Pointage!II14,Feuil1!$A:$B,2,FALSE),"")</f>
        <v/>
      </c>
      <c r="IF20" s="31" t="str">
        <f>IFERROR(VLOOKUP([2]Pointage!IJ14,Feuil1!$A:$B,2,FALSE),"")</f>
        <v/>
      </c>
      <c r="IG20" s="31" t="str">
        <f>IFERROR(VLOOKUP([2]Pointage!IK14,Feuil1!$A:$B,2,FALSE),"")</f>
        <v/>
      </c>
      <c r="IH20" s="31" t="str">
        <f>IFERROR(VLOOKUP([2]Pointage!IL14,Feuil1!$A:$B,2,FALSE),"")</f>
        <v/>
      </c>
      <c r="II20" s="31" t="str">
        <f>IFERROR(VLOOKUP([2]Pointage!IM14,Feuil1!$A:$B,2,FALSE),"")</f>
        <v/>
      </c>
      <c r="IJ20" s="31" t="str">
        <f>IFERROR(VLOOKUP([2]Pointage!IN14,Feuil1!$A:$B,2,FALSE),"")</f>
        <v/>
      </c>
      <c r="IK20" s="31" t="str">
        <f>IFERROR(VLOOKUP([2]Pointage!IO14,Feuil1!$A:$B,2,FALSE),"")</f>
        <v/>
      </c>
      <c r="IL20" s="31" t="str">
        <f>IFERROR(VLOOKUP([2]Pointage!IP14,Feuil1!$A:$B,2,FALSE),"")</f>
        <v/>
      </c>
      <c r="IM20" s="31" t="str">
        <f>IFERROR(VLOOKUP([2]Pointage!IQ14,Feuil1!$A:$B,2,FALSE),"")</f>
        <v/>
      </c>
      <c r="IN20" s="82" t="str">
        <f>IFERROR(VLOOKUP([2]Pointage!IR14,Feuil1!$A:$B,2,FALSE),"")</f>
        <v/>
      </c>
      <c r="IO20" s="47" t="str">
        <f>IFERROR(VLOOKUP([2]Pointage!IS14,Feuil1!$A:$B,2,FALSE),"")</f>
        <v/>
      </c>
      <c r="IP20" s="31" t="str">
        <f>IFERROR(VLOOKUP([2]Pointage!IT14,Feuil1!$A:$B,2,FALSE),"")</f>
        <v/>
      </c>
      <c r="IQ20" s="31" t="str">
        <f>IFERROR(VLOOKUP([2]Pointage!IU14,Feuil1!$A:$B,2,FALSE),"")</f>
        <v/>
      </c>
      <c r="IR20" s="31" t="str">
        <f>IFERROR(VLOOKUP([2]Pointage!IV14,Feuil1!$A:$B,2,FALSE),"")</f>
        <v/>
      </c>
      <c r="IS20" s="31" t="str">
        <f>IFERROR(VLOOKUP([2]Pointage!IW14,Feuil1!$A:$B,2,FALSE),"")</f>
        <v/>
      </c>
      <c r="IT20" s="31" t="str">
        <f>IFERROR(VLOOKUP([2]Pointage!IX14,Feuil1!$A:$B,2,FALSE),"")</f>
        <v/>
      </c>
      <c r="IU20" s="31" t="str">
        <f>IFERROR(VLOOKUP([2]Pointage!IY14,Feuil1!$A:$B,2,FALSE),"")</f>
        <v/>
      </c>
      <c r="IV20" s="31" t="str">
        <f>IFERROR(VLOOKUP([2]Pointage!IZ14,Feuil1!$A:$B,2,FALSE),"")</f>
        <v/>
      </c>
      <c r="IW20" s="31" t="str">
        <f>IFERROR(VLOOKUP([2]Pointage!JA14,Feuil1!$A:$B,2,FALSE),"")</f>
        <v/>
      </c>
      <c r="IX20" s="31" t="str">
        <f>IFERROR(VLOOKUP([2]Pointage!JB14,Feuil1!$A:$B,2,FALSE),"")</f>
        <v/>
      </c>
      <c r="IY20" s="31" t="str">
        <f>IFERROR(VLOOKUP([2]Pointage!JC14,Feuil1!$A:$B,2,FALSE),"")</f>
        <v/>
      </c>
      <c r="IZ20" s="31" t="str">
        <f>IFERROR(VLOOKUP([2]Pointage!JD14,Feuil1!$A:$B,2,FALSE),"")</f>
        <v/>
      </c>
      <c r="JA20" s="31" t="str">
        <f>IFERROR(VLOOKUP([2]Pointage!JE14,Feuil1!$A:$B,2,FALSE),"")</f>
        <v/>
      </c>
      <c r="JB20" s="31" t="str">
        <f>IFERROR(VLOOKUP([2]Pointage!JF14,Feuil1!$A:$B,2,FALSE),"")</f>
        <v/>
      </c>
      <c r="JC20" s="31" t="str">
        <f>IFERROR(VLOOKUP([2]Pointage!JG14,Feuil1!$A:$B,2,FALSE),"")</f>
        <v/>
      </c>
      <c r="JD20" s="31" t="str">
        <f>IFERROR(VLOOKUP([2]Pointage!JH14,Feuil1!$A:$B,2,FALSE),"")</f>
        <v/>
      </c>
      <c r="JE20" s="31" t="str">
        <f>IFERROR(VLOOKUP([2]Pointage!JI14,Feuil1!$A:$B,2,FALSE),"")</f>
        <v/>
      </c>
      <c r="JF20" s="31" t="str">
        <f>IFERROR(VLOOKUP([2]Pointage!JJ14,Feuil1!$A:$B,2,FALSE),"")</f>
        <v/>
      </c>
      <c r="JG20" s="31" t="str">
        <f>IFERROR(VLOOKUP([2]Pointage!JK14,Feuil1!$A:$B,2,FALSE),"")</f>
        <v/>
      </c>
      <c r="JH20" s="31" t="str">
        <f>IFERROR(VLOOKUP([2]Pointage!JL14,Feuil1!$A:$B,2,FALSE),"")</f>
        <v/>
      </c>
      <c r="JI20" s="31" t="str">
        <f>IFERROR(VLOOKUP([2]Pointage!JM14,Feuil1!$A:$B,2,FALSE),"")</f>
        <v/>
      </c>
      <c r="JJ20" s="31" t="str">
        <f>IFERROR(VLOOKUP([2]Pointage!JN14,Feuil1!$A:$B,2,FALSE),"")</f>
        <v/>
      </c>
      <c r="JK20" s="31" t="str">
        <f>IFERROR(VLOOKUP([2]Pointage!JO14,Feuil1!$A:$B,2,FALSE),"")</f>
        <v/>
      </c>
      <c r="JL20" s="31" t="str">
        <f>IFERROR(VLOOKUP([2]Pointage!JP14,Feuil1!$A:$B,2,FALSE),"")</f>
        <v/>
      </c>
      <c r="JM20" s="31" t="str">
        <f>IFERROR(VLOOKUP([2]Pointage!JQ14,Feuil1!$A:$B,2,FALSE),"")</f>
        <v/>
      </c>
      <c r="JN20" s="31" t="str">
        <f>IFERROR(VLOOKUP([2]Pointage!JR14,Feuil1!$A:$B,2,FALSE),"")</f>
        <v/>
      </c>
      <c r="JO20" s="31" t="str">
        <f>IFERROR(VLOOKUP([2]Pointage!JS14,Feuil1!$A:$B,2,FALSE),"")</f>
        <v/>
      </c>
      <c r="JP20" s="31" t="str">
        <f>IFERROR(VLOOKUP([2]Pointage!JT14,Feuil1!$A:$B,2,FALSE),"")</f>
        <v/>
      </c>
      <c r="JQ20" s="31" t="str">
        <f>IFERROR(VLOOKUP([2]Pointage!JU14,Feuil1!$A:$B,2,FALSE),"")</f>
        <v/>
      </c>
      <c r="JR20" s="82" t="str">
        <f>IFERROR(VLOOKUP([2]Pointage!JV14,Feuil1!$A:$B,2,FALSE),"")</f>
        <v/>
      </c>
      <c r="JS20" s="47" t="str">
        <f>IFERROR(VLOOKUP([2]Pointage!JW14,Feuil1!$A:$B,2,FALSE),"")</f>
        <v/>
      </c>
      <c r="JT20" s="31" t="str">
        <f>IFERROR(VLOOKUP([2]Pointage!JX14,Feuil1!$A:$B,2,FALSE),"")</f>
        <v/>
      </c>
      <c r="JU20" s="31" t="str">
        <f>IFERROR(VLOOKUP([2]Pointage!JY14,Feuil1!$A:$B,2,FALSE),"")</f>
        <v/>
      </c>
      <c r="JV20" s="31" t="str">
        <f>IFERROR(VLOOKUP([2]Pointage!JZ14,Feuil1!$A:$B,2,FALSE),"")</f>
        <v/>
      </c>
      <c r="JW20" s="31" t="str">
        <f>IFERROR(VLOOKUP([2]Pointage!KA14,Feuil1!$A:$B,2,FALSE),"")</f>
        <v/>
      </c>
      <c r="JX20" s="31" t="str">
        <f>IFERROR(VLOOKUP([2]Pointage!KB14,Feuil1!$A:$B,2,FALSE),"")</f>
        <v/>
      </c>
      <c r="JY20" s="31" t="str">
        <f>IFERROR(VLOOKUP([2]Pointage!KC14,Feuil1!$A:$B,2,FALSE),"")</f>
        <v/>
      </c>
      <c r="JZ20" s="31" t="str">
        <f>IFERROR(VLOOKUP([2]Pointage!KD14,Feuil1!$A:$B,2,FALSE),"")</f>
        <v/>
      </c>
      <c r="KA20" s="31" t="str">
        <f>IFERROR(VLOOKUP([2]Pointage!KE14,Feuil1!$A:$B,2,FALSE),"")</f>
        <v/>
      </c>
      <c r="KB20" s="31" t="str">
        <f>IFERROR(VLOOKUP([2]Pointage!KF14,Feuil1!$A:$B,2,FALSE),"")</f>
        <v/>
      </c>
      <c r="KC20" s="31" t="str">
        <f>IFERROR(VLOOKUP([2]Pointage!KG14,Feuil1!$A:$B,2,FALSE),"")</f>
        <v/>
      </c>
      <c r="KD20" s="31" t="str">
        <f>IFERROR(VLOOKUP([2]Pointage!KH14,Feuil1!$A:$B,2,FALSE),"")</f>
        <v/>
      </c>
      <c r="KE20" s="31" t="str">
        <f>IFERROR(VLOOKUP([2]Pointage!KI14,Feuil1!$A:$B,2,FALSE),"")</f>
        <v/>
      </c>
      <c r="KF20" s="31" t="str">
        <f>IFERROR(VLOOKUP([2]Pointage!KJ14,Feuil1!$A:$B,2,FALSE),"")</f>
        <v/>
      </c>
      <c r="KG20" s="31" t="str">
        <f>IFERROR(VLOOKUP([2]Pointage!KK14,Feuil1!$A:$B,2,FALSE),"")</f>
        <v/>
      </c>
      <c r="KH20" s="31" t="str">
        <f>IFERROR(VLOOKUP([2]Pointage!KL14,Feuil1!$A:$B,2,FALSE),"")</f>
        <v/>
      </c>
      <c r="KI20" s="31" t="str">
        <f>IFERROR(VLOOKUP([2]Pointage!KM14,Feuil1!$A:$B,2,FALSE),"")</f>
        <v/>
      </c>
      <c r="KJ20" s="31" t="str">
        <f>IFERROR(VLOOKUP([2]Pointage!KN14,Feuil1!$A:$B,2,FALSE),"")</f>
        <v/>
      </c>
      <c r="KK20" s="31" t="str">
        <f>IFERROR(VLOOKUP([2]Pointage!KO14,Feuil1!$A:$B,2,FALSE),"")</f>
        <v/>
      </c>
      <c r="KL20" s="31" t="str">
        <f>IFERROR(VLOOKUP([2]Pointage!KP14,Feuil1!$A:$B,2,FALSE),"")</f>
        <v/>
      </c>
      <c r="KM20" s="31" t="str">
        <f>IFERROR(VLOOKUP([2]Pointage!KQ14,Feuil1!$A:$B,2,FALSE),"")</f>
        <v/>
      </c>
      <c r="KN20" s="31" t="str">
        <f>IFERROR(VLOOKUP([2]Pointage!KR14,Feuil1!$A:$B,2,FALSE),"")</f>
        <v/>
      </c>
      <c r="KO20" s="31" t="str">
        <f>IFERROR(VLOOKUP([2]Pointage!KS14,Feuil1!$A:$B,2,FALSE),"")</f>
        <v/>
      </c>
      <c r="KP20" s="31" t="str">
        <f>IFERROR(VLOOKUP([2]Pointage!KT14,Feuil1!$A:$B,2,FALSE),"")</f>
        <v/>
      </c>
      <c r="KQ20" s="31" t="str">
        <f>IFERROR(VLOOKUP([2]Pointage!KU14,Feuil1!$A:$B,2,FALSE),"")</f>
        <v/>
      </c>
      <c r="KR20" s="31" t="str">
        <f>IFERROR(VLOOKUP([2]Pointage!KV14,Feuil1!$A:$B,2,FALSE),"")</f>
        <v/>
      </c>
      <c r="KS20" s="31" t="str">
        <f>IFERROR(VLOOKUP([2]Pointage!KW14,Feuil1!$A:$B,2,FALSE),"")</f>
        <v/>
      </c>
      <c r="KT20" s="31" t="str">
        <f>IFERROR(VLOOKUP([2]Pointage!KX14,Feuil1!$A:$B,2,FALSE),"")</f>
        <v/>
      </c>
      <c r="KU20" s="31" t="str">
        <f>IFERROR(VLOOKUP([2]Pointage!KY14,Feuil1!$A:$B,2,FALSE),"")</f>
        <v/>
      </c>
      <c r="KV20" s="31" t="str">
        <f>IFERROR(VLOOKUP([2]Pointage!KZ14,Feuil1!$A:$B,2,FALSE),"")</f>
        <v/>
      </c>
      <c r="KW20" s="82" t="str">
        <f>IFERROR(VLOOKUP([2]Pointage!LA14,Feuil1!$A:$B,2,FALSE),"")</f>
        <v/>
      </c>
      <c r="KX20" s="47" t="str">
        <f>IFERROR(VLOOKUP([2]Pointage!LB14,Feuil1!$A:$B,2,FALSE),"")</f>
        <v/>
      </c>
      <c r="KY20" s="31" t="str">
        <f>IFERROR(VLOOKUP([2]Pointage!LC14,Feuil1!$A:$B,2,FALSE),"")</f>
        <v/>
      </c>
      <c r="KZ20" s="31" t="str">
        <f>IFERROR(VLOOKUP([2]Pointage!LD14,Feuil1!$A:$B,2,FALSE),"")</f>
        <v/>
      </c>
      <c r="LA20" s="31" t="str">
        <f>IFERROR(VLOOKUP([2]Pointage!LE14,Feuil1!$A:$B,2,FALSE),"")</f>
        <v/>
      </c>
      <c r="LB20" s="31" t="str">
        <f>IFERROR(VLOOKUP([2]Pointage!LF14,Feuil1!$A:$B,2,FALSE),"")</f>
        <v/>
      </c>
      <c r="LC20" s="31" t="str">
        <f>IFERROR(VLOOKUP([2]Pointage!LG14,Feuil1!$A:$B,2,FALSE),"")</f>
        <v/>
      </c>
      <c r="LD20" s="31" t="str">
        <f>IFERROR(VLOOKUP([2]Pointage!LH14,Feuil1!$A:$B,2,FALSE),"")</f>
        <v/>
      </c>
      <c r="LE20" s="31" t="str">
        <f>IFERROR(VLOOKUP([2]Pointage!LI14,Feuil1!$A:$B,2,FALSE),"")</f>
        <v/>
      </c>
      <c r="LF20" s="31" t="str">
        <f>IFERROR(VLOOKUP([2]Pointage!LJ14,Feuil1!$A:$B,2,FALSE),"")</f>
        <v/>
      </c>
      <c r="LG20" s="31" t="str">
        <f>IFERROR(VLOOKUP([2]Pointage!LK14,Feuil1!$A:$B,2,FALSE),"")</f>
        <v/>
      </c>
      <c r="LH20" s="31" t="str">
        <f>IFERROR(VLOOKUP([2]Pointage!LL14,Feuil1!$A:$B,2,FALSE),"")</f>
        <v/>
      </c>
      <c r="LI20" s="31" t="str">
        <f>IFERROR(VLOOKUP([2]Pointage!LM14,Feuil1!$A:$B,2,FALSE),"")</f>
        <v/>
      </c>
      <c r="LJ20" s="31" t="str">
        <f>IFERROR(VLOOKUP([2]Pointage!LN14,Feuil1!$A:$B,2,FALSE),"")</f>
        <v/>
      </c>
      <c r="LK20" s="31" t="str">
        <f>IFERROR(VLOOKUP([2]Pointage!LO14,Feuil1!$A:$B,2,FALSE),"")</f>
        <v/>
      </c>
      <c r="LL20" s="31" t="str">
        <f>IFERROR(VLOOKUP([2]Pointage!LP14,Feuil1!$A:$B,2,FALSE),"")</f>
        <v/>
      </c>
      <c r="LM20" s="31" t="str">
        <f>IFERROR(VLOOKUP([2]Pointage!LQ14,Feuil1!$A:$B,2,FALSE),"")</f>
        <v/>
      </c>
      <c r="LN20" s="31" t="str">
        <f>IFERROR(VLOOKUP([2]Pointage!LR14,Feuil1!$A:$B,2,FALSE),"")</f>
        <v/>
      </c>
      <c r="LO20" s="31" t="str">
        <f>IFERROR(VLOOKUP([2]Pointage!LS14,Feuil1!$A:$B,2,FALSE),"")</f>
        <v/>
      </c>
      <c r="LP20" s="31" t="str">
        <f>IFERROR(VLOOKUP([2]Pointage!LT14,Feuil1!$A:$B,2,FALSE),"")</f>
        <v/>
      </c>
      <c r="LQ20" s="31" t="str">
        <f>IFERROR(VLOOKUP([2]Pointage!LU14,Feuil1!$A:$B,2,FALSE),"")</f>
        <v/>
      </c>
      <c r="LR20" s="31" t="str">
        <f>IFERROR(VLOOKUP([2]Pointage!LV14,Feuil1!$A:$B,2,FALSE),"")</f>
        <v/>
      </c>
      <c r="LS20" s="31" t="str">
        <f>IFERROR(VLOOKUP([2]Pointage!LW14,Feuil1!$A:$B,2,FALSE),"")</f>
        <v/>
      </c>
      <c r="LT20" s="31" t="str">
        <f>IFERROR(VLOOKUP([2]Pointage!LX14,Feuil1!$A:$B,2,FALSE),"")</f>
        <v/>
      </c>
      <c r="LU20" s="31" t="str">
        <f>IFERROR(VLOOKUP([2]Pointage!LY14,Feuil1!$A:$B,2,FALSE),"")</f>
        <v/>
      </c>
      <c r="LV20" s="31" t="str">
        <f>IFERROR(VLOOKUP([2]Pointage!LZ14,Feuil1!$A:$B,2,FALSE),"")</f>
        <v/>
      </c>
      <c r="LW20" s="31" t="str">
        <f>IFERROR(VLOOKUP([2]Pointage!MA14,Feuil1!$A:$B,2,FALSE),"")</f>
        <v/>
      </c>
      <c r="LX20" s="31" t="str">
        <f>IFERROR(VLOOKUP([2]Pointage!MB14,Feuil1!$A:$B,2,FALSE),"")</f>
        <v/>
      </c>
      <c r="LY20" s="31" t="str">
        <f>IFERROR(VLOOKUP([2]Pointage!MC14,Feuil1!$A:$B,2,FALSE),"")</f>
        <v/>
      </c>
      <c r="LZ20" s="31" t="str">
        <f>IFERROR(VLOOKUP([2]Pointage!MD14,Feuil1!$A:$B,2,FALSE),"")</f>
        <v/>
      </c>
      <c r="MA20" s="82" t="str">
        <f>IFERROR(VLOOKUP([2]Pointage!ME14,Feuil1!$A:$B,2,FALSE),"")</f>
        <v/>
      </c>
      <c r="MB20" s="47" t="str">
        <f>IFERROR(VLOOKUP([2]Pointage!MF14,Feuil1!$A:$B,2,FALSE),"")</f>
        <v/>
      </c>
      <c r="MC20" s="31" t="str">
        <f>IFERROR(VLOOKUP([2]Pointage!MG14,Feuil1!$A:$B,2,FALSE),"")</f>
        <v/>
      </c>
      <c r="MD20" s="31" t="str">
        <f>IFERROR(VLOOKUP([2]Pointage!MH14,Feuil1!$A:$B,2,FALSE),"")</f>
        <v/>
      </c>
      <c r="ME20" s="31" t="str">
        <f>IFERROR(VLOOKUP([2]Pointage!MI14,Feuil1!$A:$B,2,FALSE),"")</f>
        <v/>
      </c>
      <c r="MF20" s="31" t="str">
        <f>IFERROR(VLOOKUP([2]Pointage!MJ14,Feuil1!$A:$B,2,FALSE),"")</f>
        <v/>
      </c>
      <c r="MG20" s="31" t="str">
        <f>IFERROR(VLOOKUP([2]Pointage!MK14,Feuil1!$A:$B,2,FALSE),"")</f>
        <v/>
      </c>
      <c r="MH20" s="31" t="str">
        <f>IFERROR(VLOOKUP([2]Pointage!ML14,Feuil1!$A:$B,2,FALSE),"")</f>
        <v/>
      </c>
      <c r="MI20" s="31" t="str">
        <f>IFERROR(VLOOKUP([2]Pointage!MM14,Feuil1!$A:$B,2,FALSE),"")</f>
        <v/>
      </c>
      <c r="MJ20" s="31" t="str">
        <f>IFERROR(VLOOKUP([2]Pointage!MN14,Feuil1!$A:$B,2,FALSE),"")</f>
        <v/>
      </c>
      <c r="MK20" s="31" t="str">
        <f>IFERROR(VLOOKUP([2]Pointage!MO14,Feuil1!$A:$B,2,FALSE),"")</f>
        <v/>
      </c>
      <c r="ML20" s="31" t="str">
        <f>IFERROR(VLOOKUP([2]Pointage!MP14,Feuil1!$A:$B,2,FALSE),"")</f>
        <v/>
      </c>
      <c r="MM20" s="31" t="str">
        <f>IFERROR(VLOOKUP([2]Pointage!MQ14,Feuil1!$A:$B,2,FALSE),"")</f>
        <v/>
      </c>
      <c r="MN20" s="31" t="str">
        <f>IFERROR(VLOOKUP([2]Pointage!MR14,Feuil1!$A:$B,2,FALSE),"")</f>
        <v/>
      </c>
      <c r="MO20" s="31" t="str">
        <f>IFERROR(VLOOKUP([2]Pointage!MS14,Feuil1!$A:$B,2,FALSE),"")</f>
        <v/>
      </c>
      <c r="MP20" s="31" t="str">
        <f>IFERROR(VLOOKUP([2]Pointage!MT14,Feuil1!$A:$B,2,FALSE),"")</f>
        <v/>
      </c>
      <c r="MQ20" s="31" t="str">
        <f>IFERROR(VLOOKUP([2]Pointage!MU14,Feuil1!$A:$B,2,FALSE),"")</f>
        <v/>
      </c>
      <c r="MR20" s="31" t="str">
        <f>IFERROR(VLOOKUP([2]Pointage!MV14,Feuil1!$A:$B,2,FALSE),"")</f>
        <v/>
      </c>
      <c r="MS20" s="31" t="str">
        <f>IFERROR(VLOOKUP([2]Pointage!MW14,Feuil1!$A:$B,2,FALSE),"")</f>
        <v/>
      </c>
      <c r="MT20" s="31" t="str">
        <f>IFERROR(VLOOKUP([2]Pointage!MX14,Feuil1!$A:$B,2,FALSE),"")</f>
        <v/>
      </c>
      <c r="MU20" s="31" t="str">
        <f>IFERROR(VLOOKUP([2]Pointage!MY14,Feuil1!$A:$B,2,FALSE),"")</f>
        <v/>
      </c>
      <c r="MV20" s="31" t="str">
        <f>IFERROR(VLOOKUP([2]Pointage!MZ14,Feuil1!$A:$B,2,FALSE),"")</f>
        <v/>
      </c>
      <c r="MW20" s="31" t="str">
        <f>IFERROR(VLOOKUP([2]Pointage!NA14,Feuil1!$A:$B,2,FALSE),"")</f>
        <v/>
      </c>
      <c r="MX20" s="31" t="str">
        <f>IFERROR(VLOOKUP([2]Pointage!NB14,Feuil1!$A:$B,2,FALSE),"")</f>
        <v/>
      </c>
      <c r="MY20" s="31" t="str">
        <f>IFERROR(VLOOKUP([2]Pointage!NC14,Feuil1!$A:$B,2,FALSE),"")</f>
        <v/>
      </c>
      <c r="MZ20" s="31" t="str">
        <f>IFERROR(VLOOKUP([2]Pointage!ND14,Feuil1!$A:$B,2,FALSE),"")</f>
        <v/>
      </c>
      <c r="NA20" s="31" t="str">
        <f>IFERROR(VLOOKUP([2]Pointage!NE14,Feuil1!$A:$B,2,FALSE),"")</f>
        <v/>
      </c>
      <c r="NB20" s="31" t="str">
        <f>IFERROR(VLOOKUP([2]Pointage!NF14,Feuil1!$A:$B,2,FALSE),"")</f>
        <v/>
      </c>
      <c r="NC20" s="31" t="str">
        <f>IFERROR(VLOOKUP([2]Pointage!NG14,Feuil1!$A:$B,2,FALSE),"")</f>
        <v/>
      </c>
      <c r="ND20" s="31" t="str">
        <f>IFERROR(VLOOKUP([2]Pointage!NH14,Feuil1!$A:$B,2,FALSE),"")</f>
        <v/>
      </c>
      <c r="NE20" s="31" t="str">
        <f>IFERROR(VLOOKUP([2]Pointage!NI14,Feuil1!$A:$B,2,FALSE),"")</f>
        <v/>
      </c>
      <c r="NF20" s="48" t="str">
        <f>IFERROR(VLOOKUP([2]Pointage!NJ14,Feuil1!$A:$B,2,FALSE),"")</f>
        <v/>
      </c>
      <c r="NG20" s="52">
        <f>COUNTIF(Global!F20:NF20,"RTT")+(COUNTIF(Global!F20:NF20,"dRTT")/2)</f>
        <v>7</v>
      </c>
      <c r="NH20" s="42">
        <f>COUNTIF(Global!F20:NF20,"C")+(COUNTIF(Global!F20:NF20,"DC")/2)</f>
        <v>30</v>
      </c>
      <c r="NI20" s="42">
        <f>COUNTIF(Global!F20:NF20,"M")</f>
        <v>0</v>
      </c>
      <c r="NJ20" s="42">
        <f>COUNTIF(Global!G20:NG20,"AT")</f>
        <v>0</v>
      </c>
      <c r="NK20" s="42">
        <f>COUNTIF(Global!F20:NF20,"RD")</f>
        <v>0</v>
      </c>
      <c r="NL20" s="42">
        <f>COUNTIF(Global!F20:NF20,"RC")+(COUNTIF(Global!F20:NF20,"dRC")/2)</f>
        <v>0</v>
      </c>
      <c r="NM20" s="68">
        <f t="shared" ca="1" si="0"/>
        <v>4.0273972602739727</v>
      </c>
      <c r="NT20" s="33"/>
      <c r="NU20" s="33"/>
      <c r="NV20" s="28"/>
      <c r="NW20" s="28"/>
      <c r="NX20" s="29">
        <f>COUNTIF(F20:NF20,"C")++(COUNTIF(Global!F20:NF20,"DC")/2)</f>
        <v>30</v>
      </c>
      <c r="NY20" s="29"/>
      <c r="NZ20" s="29"/>
      <c r="OA20" s="29"/>
      <c r="OB20" s="29">
        <f>COUNTIF(Global!F20:NF20,"M")</f>
        <v>0</v>
      </c>
      <c r="OC20" s="30">
        <f t="shared" si="1"/>
        <v>-30</v>
      </c>
      <c r="OD20" s="30"/>
    </row>
    <row r="21" spans="1:394" ht="30" customHeight="1" x14ac:dyDescent="0.2">
      <c r="A21" s="15" t="s">
        <v>77</v>
      </c>
      <c r="B21" s="22" t="s">
        <v>168</v>
      </c>
      <c r="C21" s="22" t="s">
        <v>169</v>
      </c>
      <c r="D21" s="22" t="s">
        <v>170</v>
      </c>
      <c r="E21" s="44">
        <v>0</v>
      </c>
      <c r="F21" s="47" t="str">
        <f>IFERROR(VLOOKUP([2]Pointage!J15,Feuil1!$A:$B,2,FALSE),"")</f>
        <v/>
      </c>
      <c r="G21" s="31" t="str">
        <f>IFERROR(VLOOKUP([2]Pointage!K15,Feuil1!$A:$B,2,FALSE),"")</f>
        <v/>
      </c>
      <c r="H21" s="31" t="str">
        <f>IFERROR(VLOOKUP([2]Pointage!L15,Feuil1!$A:$B,2,FALSE),"")</f>
        <v/>
      </c>
      <c r="I21" s="31" t="str">
        <f>IFERROR(VLOOKUP([2]Pointage!M15,Feuil1!$A:$B,2,FALSE),"")</f>
        <v/>
      </c>
      <c r="J21" s="31" t="str">
        <f>IFERROR(VLOOKUP([2]Pointage!N15,Feuil1!$A:$B,2,FALSE),"")</f>
        <v/>
      </c>
      <c r="K21" s="31" t="str">
        <f>IFERROR(VLOOKUP([2]Pointage!O15,Feuil1!$A:$B,2,FALSE),"")</f>
        <v/>
      </c>
      <c r="L21" s="31" t="str">
        <f>IFERROR(VLOOKUP([2]Pointage!P15,Feuil1!$A:$B,2,FALSE),"")</f>
        <v/>
      </c>
      <c r="M21" s="31" t="str">
        <f>IFERROR(VLOOKUP([2]Pointage!Q15,Feuil1!$A:$B,2,FALSE),"")</f>
        <v/>
      </c>
      <c r="N21" s="31" t="str">
        <f>IFERROR(VLOOKUP([2]Pointage!R15,Feuil1!$A:$B,2,FALSE),"")</f>
        <v/>
      </c>
      <c r="O21" s="31" t="str">
        <f>IFERROR(VLOOKUP([2]Pointage!S15,Feuil1!$A:$B,2,FALSE),"")</f>
        <v/>
      </c>
      <c r="P21" s="31" t="str">
        <f>IFERROR(VLOOKUP([2]Pointage!T15,Feuil1!$A:$B,2,FALSE),"")</f>
        <v/>
      </c>
      <c r="Q21" s="31" t="str">
        <f>IFERROR(VLOOKUP([2]Pointage!U15,Feuil1!$A:$B,2,FALSE),"")</f>
        <v/>
      </c>
      <c r="R21" s="31" t="str">
        <f>IFERROR(VLOOKUP([2]Pointage!V15,Feuil1!$A:$B,2,FALSE),"")</f>
        <v/>
      </c>
      <c r="S21" s="31" t="str">
        <f>IFERROR(VLOOKUP([2]Pointage!W15,Feuil1!$A:$B,2,FALSE),"")</f>
        <v/>
      </c>
      <c r="T21" s="31" t="str">
        <f>IFERROR(VLOOKUP([2]Pointage!X15,Feuil1!$A:$B,2,FALSE),"")</f>
        <v/>
      </c>
      <c r="U21" s="31" t="str">
        <f>IFERROR(VLOOKUP([2]Pointage!Y15,Feuil1!$A:$B,2,FALSE),"")</f>
        <v/>
      </c>
      <c r="V21" s="31" t="str">
        <f>IFERROR(VLOOKUP([2]Pointage!Z15,Feuil1!$A:$B,2,FALSE),"")</f>
        <v/>
      </c>
      <c r="W21" s="31" t="str">
        <f>IFERROR(VLOOKUP([2]Pointage!AA15,Feuil1!$A:$B,2,FALSE),"")</f>
        <v/>
      </c>
      <c r="X21" s="31" t="str">
        <f>IFERROR(VLOOKUP([2]Pointage!AB15,Feuil1!$A:$B,2,FALSE),"")</f>
        <v/>
      </c>
      <c r="Y21" s="31" t="str">
        <f>IFERROR(VLOOKUP([2]Pointage!AC15,Feuil1!$A:$B,2,FALSE),"")</f>
        <v/>
      </c>
      <c r="Z21" s="31" t="str">
        <f>IFERROR(VLOOKUP([2]Pointage!AD15,Feuil1!$A:$B,2,FALSE),"")</f>
        <v/>
      </c>
      <c r="AA21" s="31" t="str">
        <f>IFERROR(VLOOKUP([2]Pointage!AE15,Feuil1!$A:$B,2,FALSE),"")</f>
        <v/>
      </c>
      <c r="AB21" s="31" t="str">
        <f>IFERROR(VLOOKUP([2]Pointage!AF15,Feuil1!$A:$B,2,FALSE),"")</f>
        <v/>
      </c>
      <c r="AC21" s="31" t="str">
        <f>IFERROR(VLOOKUP([2]Pointage!AG15,Feuil1!$A:$B,2,FALSE),"")</f>
        <v/>
      </c>
      <c r="AD21" s="31" t="str">
        <f>IFERROR(VLOOKUP([2]Pointage!AH15,Feuil1!$A:$B,2,FALSE),"")</f>
        <v/>
      </c>
      <c r="AE21" s="31" t="str">
        <f>IFERROR(VLOOKUP([2]Pointage!AI15,Feuil1!$A:$B,2,FALSE),"")</f>
        <v/>
      </c>
      <c r="AF21" s="31" t="str">
        <f>IFERROR(VLOOKUP([2]Pointage!AJ15,Feuil1!$A:$B,2,FALSE),"")</f>
        <v/>
      </c>
      <c r="AG21" s="31" t="str">
        <f>IFERROR(VLOOKUP([2]Pointage!AK15,Feuil1!$A:$B,2,FALSE),"")</f>
        <v/>
      </c>
      <c r="AH21" s="31" t="str">
        <f>IFERROR(VLOOKUP([2]Pointage!AL15,Feuil1!$A:$B,2,FALSE),"")</f>
        <v/>
      </c>
      <c r="AI21" s="31" t="str">
        <f>IFERROR(VLOOKUP([2]Pointage!AM15,Feuil1!$A:$B,2,FALSE),"")</f>
        <v/>
      </c>
      <c r="AJ21" s="82" t="str">
        <f>IFERROR(VLOOKUP([2]Pointage!AN15,Feuil1!$A:$B,2,FALSE),"")</f>
        <v>C</v>
      </c>
      <c r="AK21" s="47" t="str">
        <f>IFERROR(VLOOKUP([2]Pointage!AO15,Feuil1!$A:$B,2,FALSE),"")</f>
        <v/>
      </c>
      <c r="AL21" s="31" t="str">
        <f>IFERROR(VLOOKUP([2]Pointage!AP15,Feuil1!$A:$B,2,FALSE),"")</f>
        <v/>
      </c>
      <c r="AM21" s="31" t="str">
        <f>IFERROR(VLOOKUP([2]Pointage!AQ15,Feuil1!$A:$B,2,FALSE),"")</f>
        <v/>
      </c>
      <c r="AN21" s="31" t="str">
        <f>IFERROR(VLOOKUP([2]Pointage!AR15,Feuil1!$A:$B,2,FALSE),"")</f>
        <v/>
      </c>
      <c r="AO21" s="31" t="str">
        <f>IFERROR(VLOOKUP([2]Pointage!AS15,Feuil1!$A:$B,2,FALSE),"")</f>
        <v>C</v>
      </c>
      <c r="AP21" s="31" t="str">
        <f>IFERROR(VLOOKUP([2]Pointage!AT15,Feuil1!$A:$B,2,FALSE),"")</f>
        <v>C</v>
      </c>
      <c r="AQ21" s="31" t="str">
        <f>IFERROR(VLOOKUP([2]Pointage!AU15,Feuil1!$A:$B,2,FALSE),"")</f>
        <v>C</v>
      </c>
      <c r="AR21" s="31" t="str">
        <f>IFERROR(VLOOKUP([2]Pointage!AV15,Feuil1!$A:$B,2,FALSE),"")</f>
        <v>C</v>
      </c>
      <c r="AS21" s="31" t="str">
        <f>IFERROR(VLOOKUP([2]Pointage!AW15,Feuil1!$A:$B,2,FALSE),"")</f>
        <v>C</v>
      </c>
      <c r="AT21" s="31" t="str">
        <f>IFERROR(VLOOKUP([2]Pointage!AX15,Feuil1!$A:$B,2,FALSE),"")</f>
        <v/>
      </c>
      <c r="AU21" s="31" t="str">
        <f>IFERROR(VLOOKUP([2]Pointage!AY15,Feuil1!$A:$B,2,FALSE),"")</f>
        <v/>
      </c>
      <c r="AV21" s="31" t="str">
        <f>IFERROR(VLOOKUP([2]Pointage!AZ15,Feuil1!$A:$B,2,FALSE),"")</f>
        <v/>
      </c>
      <c r="AW21" s="31" t="str">
        <f>IFERROR(VLOOKUP([2]Pointage!BA15,Feuil1!$A:$B,2,FALSE),"")</f>
        <v/>
      </c>
      <c r="AX21" s="31" t="str">
        <f>IFERROR(VLOOKUP([2]Pointage!BB15,Feuil1!$A:$B,2,FALSE),"")</f>
        <v/>
      </c>
      <c r="AY21" s="31" t="str">
        <f>IFERROR(VLOOKUP([2]Pointage!BC15,Feuil1!$A:$B,2,FALSE),"")</f>
        <v/>
      </c>
      <c r="AZ21" s="31" t="str">
        <f>IFERROR(VLOOKUP([2]Pointage!BD15,Feuil1!$A:$B,2,FALSE),"")</f>
        <v/>
      </c>
      <c r="BA21" s="31" t="str">
        <f>IFERROR(VLOOKUP([2]Pointage!BE15,Feuil1!$A:$B,2,FALSE),"")</f>
        <v/>
      </c>
      <c r="BB21" s="31" t="str">
        <f>IFERROR(VLOOKUP([2]Pointage!BF15,Feuil1!$A:$B,2,FALSE),"")</f>
        <v/>
      </c>
      <c r="BC21" s="31" t="str">
        <f>IFERROR(VLOOKUP([2]Pointage!BG15,Feuil1!$A:$B,2,FALSE),"")</f>
        <v/>
      </c>
      <c r="BD21" s="31" t="str">
        <f>IFERROR(VLOOKUP([2]Pointage!BH15,Feuil1!$A:$B,2,FALSE),"")</f>
        <v/>
      </c>
      <c r="BE21" s="31" t="str">
        <f>IFERROR(VLOOKUP([2]Pointage!BI15,Feuil1!$A:$B,2,FALSE),"")</f>
        <v/>
      </c>
      <c r="BF21" s="31" t="str">
        <f>IFERROR(VLOOKUP([2]Pointage!BJ15,Feuil1!$A:$B,2,FALSE),"")</f>
        <v/>
      </c>
      <c r="BG21" s="31" t="str">
        <f>IFERROR(VLOOKUP([2]Pointage!BK15,Feuil1!$A:$B,2,FALSE),"")</f>
        <v/>
      </c>
      <c r="BH21" s="31" t="str">
        <f>IFERROR(VLOOKUP([2]Pointage!BL15,Feuil1!$A:$B,2,FALSE),"")</f>
        <v/>
      </c>
      <c r="BI21" s="31" t="str">
        <f>IFERROR(VLOOKUP([2]Pointage!BM15,Feuil1!$A:$B,2,FALSE),"")</f>
        <v/>
      </c>
      <c r="BJ21" s="31" t="str">
        <f>IFERROR(VLOOKUP([2]Pointage!BN15,Feuil1!$A:$B,2,FALSE),"")</f>
        <v/>
      </c>
      <c r="BK21" s="31" t="str">
        <f>IFERROR(VLOOKUP([2]Pointage!BO15,Feuil1!$A:$B,2,FALSE),"")</f>
        <v>C</v>
      </c>
      <c r="BL21" s="82" t="str">
        <f>IFERROR(VLOOKUP([2]Pointage!BP15,Feuil1!$A:$B,2,FALSE),"")</f>
        <v/>
      </c>
      <c r="BM21" s="47" t="str">
        <f>IFERROR(VLOOKUP([2]Pointage!BQ15,Feuil1!$A:$B,2,FALSE),"")</f>
        <v>C</v>
      </c>
      <c r="BN21" s="31" t="str">
        <f>IFERROR(VLOOKUP([2]Pointage!BR15,Feuil1!$A:$B,2,FALSE),"")</f>
        <v/>
      </c>
      <c r="BO21" s="31" t="str">
        <f>IFERROR(VLOOKUP([2]Pointage!BS15,Feuil1!$A:$B,2,FALSE),"")</f>
        <v/>
      </c>
      <c r="BP21" s="31" t="str">
        <f>IFERROR(VLOOKUP([2]Pointage!BT15,Feuil1!$A:$B,2,FALSE),"")</f>
        <v/>
      </c>
      <c r="BQ21" s="31" t="str">
        <f>IFERROR(VLOOKUP([2]Pointage!BU15,Feuil1!$A:$B,2,FALSE),"")</f>
        <v/>
      </c>
      <c r="BR21" s="31" t="str">
        <f>IFERROR(VLOOKUP([2]Pointage!BV15,Feuil1!$A:$B,2,FALSE),"")</f>
        <v/>
      </c>
      <c r="BS21" s="31" t="str">
        <f>IFERROR(VLOOKUP([2]Pointage!BW15,Feuil1!$A:$B,2,FALSE),"")</f>
        <v/>
      </c>
      <c r="BT21" s="31" t="str">
        <f>IFERROR(VLOOKUP([2]Pointage!BX15,Feuil1!$A:$B,2,FALSE),"")</f>
        <v/>
      </c>
      <c r="BU21" s="31" t="str">
        <f>IFERROR(VLOOKUP([2]Pointage!BY15,Feuil1!$A:$B,2,FALSE),"")</f>
        <v>C</v>
      </c>
      <c r="BV21" s="31" t="str">
        <f>IFERROR(VLOOKUP([2]Pointage!BZ15,Feuil1!$A:$B,2,FALSE),"")</f>
        <v/>
      </c>
      <c r="BW21" s="31" t="str">
        <f>IFERROR(VLOOKUP([2]Pointage!CA15,Feuil1!$A:$B,2,FALSE),"")</f>
        <v/>
      </c>
      <c r="BX21" s="31" t="str">
        <f>IFERROR(VLOOKUP([2]Pointage!CB15,Feuil1!$A:$B,2,FALSE),"")</f>
        <v/>
      </c>
      <c r="BY21" s="31" t="str">
        <f>IFERROR(VLOOKUP([2]Pointage!CC15,Feuil1!$A:$B,2,FALSE),"")</f>
        <v/>
      </c>
      <c r="BZ21" s="31" t="str">
        <f>IFERROR(VLOOKUP([2]Pointage!CD15,Feuil1!$A:$B,2,FALSE),"")</f>
        <v/>
      </c>
      <c r="CA21" s="31" t="str">
        <f>IFERROR(VLOOKUP([2]Pointage!CE15,Feuil1!$A:$B,2,FALSE),"")</f>
        <v/>
      </c>
      <c r="CB21" s="31" t="str">
        <f>IFERROR(VLOOKUP([2]Pointage!CF15,Feuil1!$A:$B,2,FALSE),"")</f>
        <v>C</v>
      </c>
      <c r="CC21" s="31" t="str">
        <f>IFERROR(VLOOKUP([2]Pointage!CG15,Feuil1!$A:$B,2,FALSE),"")</f>
        <v/>
      </c>
      <c r="CD21" s="31" t="str">
        <f>IFERROR(VLOOKUP([2]Pointage!CH15,Feuil1!$A:$B,2,FALSE),"")</f>
        <v/>
      </c>
      <c r="CE21" s="31" t="str">
        <f>IFERROR(VLOOKUP([2]Pointage!CI15,Feuil1!$A:$B,2,FALSE),"")</f>
        <v/>
      </c>
      <c r="CF21" s="31" t="str">
        <f>IFERROR(VLOOKUP([2]Pointage!CJ15,Feuil1!$A:$B,2,FALSE),"")</f>
        <v/>
      </c>
      <c r="CG21" s="31" t="str">
        <f>IFERROR(VLOOKUP([2]Pointage!CK15,Feuil1!$A:$B,2,FALSE),"")</f>
        <v/>
      </c>
      <c r="CH21" s="31" t="str">
        <f>IFERROR(VLOOKUP([2]Pointage!CL15,Feuil1!$A:$B,2,FALSE),"")</f>
        <v/>
      </c>
      <c r="CI21" s="31" t="str">
        <f>IFERROR(VLOOKUP([2]Pointage!CM15,Feuil1!$A:$B,2,FALSE),"")</f>
        <v>DC</v>
      </c>
      <c r="CJ21" s="31" t="str">
        <f>IFERROR(VLOOKUP([2]Pointage!CN15,Feuil1!$A:$B,2,FALSE),"")</f>
        <v/>
      </c>
      <c r="CK21" s="31" t="str">
        <f>IFERROR(VLOOKUP([2]Pointage!CO15,Feuil1!$A:$B,2,FALSE),"")</f>
        <v/>
      </c>
      <c r="CL21" s="31" t="str">
        <f>IFERROR(VLOOKUP([2]Pointage!CP15,Feuil1!$A:$B,2,FALSE),"")</f>
        <v>DC</v>
      </c>
      <c r="CM21" s="31" t="str">
        <f>IFERROR(VLOOKUP([2]Pointage!CQ15,Feuil1!$A:$B,2,FALSE),"")</f>
        <v>DC</v>
      </c>
      <c r="CN21" s="31" t="str">
        <f>IFERROR(VLOOKUP([2]Pointage!CR15,Feuil1!$A:$B,2,FALSE),"")</f>
        <v>M</v>
      </c>
      <c r="CO21" s="31" t="str">
        <f>IFERROR(VLOOKUP([2]Pointage!CS15,Feuil1!$A:$B,2,FALSE),"")</f>
        <v>M</v>
      </c>
      <c r="CP21" s="31" t="str">
        <f>IFERROR(VLOOKUP([2]Pointage!CT15,Feuil1!$A:$B,2,FALSE),"")</f>
        <v>M</v>
      </c>
      <c r="CQ21" s="82" t="str">
        <f>IFERROR(VLOOKUP([2]Pointage!CU15,Feuil1!$A:$B,2,FALSE),"")</f>
        <v>M</v>
      </c>
      <c r="CR21" s="47" t="str">
        <f>IFERROR(VLOOKUP([2]Pointage!CV15,Feuil1!$A:$B,2,FALSE),"")</f>
        <v>M</v>
      </c>
      <c r="CS21" s="31" t="str">
        <f>IFERROR(VLOOKUP([2]Pointage!CW15,Feuil1!$A:$B,2,FALSE),"")</f>
        <v>M</v>
      </c>
      <c r="CT21" s="31" t="str">
        <f>IFERROR(VLOOKUP([2]Pointage!CX15,Feuil1!$A:$B,2,FALSE),"")</f>
        <v>M</v>
      </c>
      <c r="CU21" s="31" t="str">
        <f>IFERROR(VLOOKUP([2]Pointage!CY15,Feuil1!$A:$B,2,FALSE),"")</f>
        <v>M</v>
      </c>
      <c r="CV21" s="31" t="str">
        <f>IFERROR(VLOOKUP([2]Pointage!CZ15,Feuil1!$A:$B,2,FALSE),"")</f>
        <v/>
      </c>
      <c r="CW21" s="31" t="str">
        <f>IFERROR(VLOOKUP([2]Pointage!DA15,Feuil1!$A:$B,2,FALSE),"")</f>
        <v/>
      </c>
      <c r="CX21" s="31" t="str">
        <f>IFERROR(VLOOKUP([2]Pointage!DB15,Feuil1!$A:$B,2,FALSE),"")</f>
        <v/>
      </c>
      <c r="CY21" s="31" t="str">
        <f>IFERROR(VLOOKUP([2]Pointage!DC15,Feuil1!$A:$B,2,FALSE),"")</f>
        <v/>
      </c>
      <c r="CZ21" s="31" t="str">
        <f>IFERROR(VLOOKUP([2]Pointage!DD15,Feuil1!$A:$B,2,FALSE),"")</f>
        <v/>
      </c>
      <c r="DA21" s="31" t="str">
        <f>IFERROR(VLOOKUP([2]Pointage!DE15,Feuil1!$A:$B,2,FALSE),"")</f>
        <v/>
      </c>
      <c r="DB21" s="31" t="str">
        <f>IFERROR(VLOOKUP([2]Pointage!DF15,Feuil1!$A:$B,2,FALSE),"")</f>
        <v/>
      </c>
      <c r="DC21" s="31" t="str">
        <f>IFERROR(VLOOKUP([2]Pointage!DG15,Feuil1!$A:$B,2,FALSE),"")</f>
        <v/>
      </c>
      <c r="DD21" s="31" t="str">
        <f>IFERROR(VLOOKUP([2]Pointage!DH15,Feuil1!$A:$B,2,FALSE),"")</f>
        <v/>
      </c>
      <c r="DE21" s="31" t="str">
        <f>IFERROR(VLOOKUP([2]Pointage!DI15,Feuil1!$A:$B,2,FALSE),"")</f>
        <v/>
      </c>
      <c r="DF21" s="31" t="str">
        <f>IFERROR(VLOOKUP([2]Pointage!DJ15,Feuil1!$A:$B,2,FALSE),"")</f>
        <v/>
      </c>
      <c r="DG21" s="31" t="str">
        <f>IFERROR(VLOOKUP([2]Pointage!DK15,Feuil1!$A:$B,2,FALSE),"")</f>
        <v/>
      </c>
      <c r="DH21" s="31" t="str">
        <f>IFERROR(VLOOKUP([2]Pointage!DL15,Feuil1!$A:$B,2,FALSE),"")</f>
        <v/>
      </c>
      <c r="DI21" s="31" t="str">
        <f>IFERROR(VLOOKUP([2]Pointage!DM15,Feuil1!$A:$B,2,FALSE),"")</f>
        <v/>
      </c>
      <c r="DJ21" s="31" t="str">
        <f>IFERROR(VLOOKUP([2]Pointage!DN15,Feuil1!$A:$B,2,FALSE),"")</f>
        <v/>
      </c>
      <c r="DK21" s="31" t="str">
        <f>IFERROR(VLOOKUP([2]Pointage!DO15,Feuil1!$A:$B,2,FALSE),"")</f>
        <v/>
      </c>
      <c r="DL21" s="31" t="str">
        <f>IFERROR(VLOOKUP([2]Pointage!DP15,Feuil1!$A:$B,2,FALSE),"")</f>
        <v/>
      </c>
      <c r="DM21" s="31" t="str">
        <f>IFERROR(VLOOKUP([2]Pointage!DQ15,Feuil1!$A:$B,2,FALSE),"")</f>
        <v/>
      </c>
      <c r="DN21" s="31" t="str">
        <f>IFERROR(VLOOKUP([2]Pointage!DR15,Feuil1!$A:$B,2,FALSE),"")</f>
        <v/>
      </c>
      <c r="DO21" s="31" t="str">
        <f>IFERROR(VLOOKUP([2]Pointage!DS15,Feuil1!$A:$B,2,FALSE),"")</f>
        <v/>
      </c>
      <c r="DP21" s="31" t="str">
        <f>IFERROR(VLOOKUP([2]Pointage!DT15,Feuil1!$A:$B,2,FALSE),"")</f>
        <v/>
      </c>
      <c r="DQ21" s="31" t="str">
        <f>IFERROR(VLOOKUP([2]Pointage!DU15,Feuil1!$A:$B,2,FALSE),"")</f>
        <v/>
      </c>
      <c r="DR21" s="31" t="str">
        <f>IFERROR(VLOOKUP([2]Pointage!DV15,Feuil1!$A:$B,2,FALSE),"")</f>
        <v/>
      </c>
      <c r="DS21" s="31" t="str">
        <f>IFERROR(VLOOKUP([2]Pointage!DW15,Feuil1!$A:$B,2,FALSE),"")</f>
        <v/>
      </c>
      <c r="DT21" s="31" t="str">
        <f>IFERROR(VLOOKUP([2]Pointage!DX15,Feuil1!$A:$B,2,FALSE),"")</f>
        <v/>
      </c>
      <c r="DU21" s="82" t="str">
        <f>IFERROR(VLOOKUP([2]Pointage!DY15,Feuil1!$A:$B,2,FALSE),"")</f>
        <v/>
      </c>
      <c r="DV21" s="47" t="str">
        <f>IFERROR(VLOOKUP([2]Pointage!DZ15,Feuil1!$A:$B,2,FALSE),"")</f>
        <v/>
      </c>
      <c r="DW21" s="31" t="str">
        <f>IFERROR(VLOOKUP([2]Pointage!EA15,Feuil1!$A:$B,2,FALSE),"")</f>
        <v/>
      </c>
      <c r="DX21" s="31" t="str">
        <f>IFERROR(VLOOKUP([2]Pointage!EB15,Feuil1!$A:$B,2,FALSE),"")</f>
        <v>M</v>
      </c>
      <c r="DY21" s="31" t="str">
        <f>IFERROR(VLOOKUP([2]Pointage!EC15,Feuil1!$A:$B,2,FALSE),"")</f>
        <v>M</v>
      </c>
      <c r="DZ21" s="31" t="str">
        <f>IFERROR(VLOOKUP([2]Pointage!ED15,Feuil1!$A:$B,2,FALSE),"")</f>
        <v>M</v>
      </c>
      <c r="EA21" s="31" t="str">
        <f>IFERROR(VLOOKUP([2]Pointage!EE15,Feuil1!$A:$B,2,FALSE),"")</f>
        <v>M</v>
      </c>
      <c r="EB21" s="31" t="str">
        <f>IFERROR(VLOOKUP([2]Pointage!EF15,Feuil1!$A:$B,2,FALSE),"")</f>
        <v/>
      </c>
      <c r="EC21" s="31" t="str">
        <f>IFERROR(VLOOKUP([2]Pointage!EG15,Feuil1!$A:$B,2,FALSE),"")</f>
        <v/>
      </c>
      <c r="ED21" s="31" t="str">
        <f>IFERROR(VLOOKUP([2]Pointage!EH15,Feuil1!$A:$B,2,FALSE),"")</f>
        <v/>
      </c>
      <c r="EE21" s="31" t="str">
        <f>IFERROR(VLOOKUP([2]Pointage!EI15,Feuil1!$A:$B,2,FALSE),"")</f>
        <v/>
      </c>
      <c r="EF21" s="31" t="str">
        <f>IFERROR(VLOOKUP([2]Pointage!EJ15,Feuil1!$A:$B,2,FALSE),"")</f>
        <v/>
      </c>
      <c r="EG21" s="31" t="str">
        <f>IFERROR(VLOOKUP([2]Pointage!EK15,Feuil1!$A:$B,2,FALSE),"")</f>
        <v/>
      </c>
      <c r="EH21" s="31" t="str">
        <f>IFERROR(VLOOKUP([2]Pointage!EL15,Feuil1!$A:$B,2,FALSE),"")</f>
        <v/>
      </c>
      <c r="EI21" s="31" t="str">
        <f>IFERROR(VLOOKUP([2]Pointage!EM15,Feuil1!$A:$B,2,FALSE),"")</f>
        <v/>
      </c>
      <c r="EJ21" s="31" t="str">
        <f>IFERROR(VLOOKUP([2]Pointage!EN15,Feuil1!$A:$B,2,FALSE),"")</f>
        <v/>
      </c>
      <c r="EK21" s="31" t="str">
        <f>IFERROR(VLOOKUP([2]Pointage!EO15,Feuil1!$A:$B,2,FALSE),"")</f>
        <v/>
      </c>
      <c r="EL21" s="31" t="str">
        <f>IFERROR(VLOOKUP([2]Pointage!EP15,Feuil1!$A:$B,2,FALSE),"")</f>
        <v/>
      </c>
      <c r="EM21" s="31" t="str">
        <f>IFERROR(VLOOKUP([2]Pointage!EQ15,Feuil1!$A:$B,2,FALSE),"")</f>
        <v/>
      </c>
      <c r="EN21" s="31" t="str">
        <f>IFERROR(VLOOKUP([2]Pointage!ER15,Feuil1!$A:$B,2,FALSE),"")</f>
        <v/>
      </c>
      <c r="EO21" s="31" t="str">
        <f>IFERROR(VLOOKUP([2]Pointage!ES15,Feuil1!$A:$B,2,FALSE),"")</f>
        <v/>
      </c>
      <c r="EP21" s="31" t="str">
        <f>IFERROR(VLOOKUP([2]Pointage!ET15,Feuil1!$A:$B,2,FALSE),"")</f>
        <v/>
      </c>
      <c r="EQ21" s="31" t="str">
        <f>IFERROR(VLOOKUP([2]Pointage!EU15,Feuil1!$A:$B,2,FALSE),"")</f>
        <v/>
      </c>
      <c r="ER21" s="31" t="str">
        <f>IFERROR(VLOOKUP([2]Pointage!EV15,Feuil1!$A:$B,2,FALSE),"")</f>
        <v/>
      </c>
      <c r="ES21" s="31" t="str">
        <f>IFERROR(VLOOKUP([2]Pointage!EW15,Feuil1!$A:$B,2,FALSE),"")</f>
        <v/>
      </c>
      <c r="ET21" s="31" t="str">
        <f>IFERROR(VLOOKUP([2]Pointage!EX15,Feuil1!$A:$B,2,FALSE),"")</f>
        <v/>
      </c>
      <c r="EU21" s="31" t="str">
        <f>IFERROR(VLOOKUP([2]Pointage!EY15,Feuil1!$A:$B,2,FALSE),"")</f>
        <v/>
      </c>
      <c r="EV21" s="31" t="str">
        <f>IFERROR(VLOOKUP([2]Pointage!EZ15,Feuil1!$A:$B,2,FALSE),"")</f>
        <v/>
      </c>
      <c r="EW21" s="31" t="str">
        <f>IFERROR(VLOOKUP([2]Pointage!FA15,Feuil1!$A:$B,2,FALSE),"")</f>
        <v/>
      </c>
      <c r="EX21" s="31" t="str">
        <f>IFERROR(VLOOKUP([2]Pointage!FB15,Feuil1!$A:$B,2,FALSE),"")</f>
        <v/>
      </c>
      <c r="EY21" s="31" t="str">
        <f>IFERROR(VLOOKUP([2]Pointage!FC15,Feuil1!$A:$B,2,FALSE),"")</f>
        <v/>
      </c>
      <c r="EZ21" s="82" t="str">
        <f>IFERROR(VLOOKUP([2]Pointage!FD15,Feuil1!$A:$B,2,FALSE),"")</f>
        <v/>
      </c>
      <c r="FA21" s="47" t="str">
        <f>IFERROR(VLOOKUP([2]Pointage!FE15,Feuil1!$A:$B,2,FALSE),"")</f>
        <v>RTT</v>
      </c>
      <c r="FB21" s="31" t="str">
        <f>IFERROR(VLOOKUP([2]Pointage!FF15,Feuil1!$A:$B,2,FALSE),"")</f>
        <v/>
      </c>
      <c r="FC21" s="31" t="str">
        <f>IFERROR(VLOOKUP([2]Pointage!FG15,Feuil1!$A:$B,2,FALSE),"")</f>
        <v/>
      </c>
      <c r="FD21" s="31" t="str">
        <f>IFERROR(VLOOKUP([2]Pointage!FH15,Feuil1!$A:$B,2,FALSE),"")</f>
        <v>RTT</v>
      </c>
      <c r="FE21" s="31" t="str">
        <f>IFERROR(VLOOKUP([2]Pointage!FI15,Feuil1!$A:$B,2,FALSE),"")</f>
        <v/>
      </c>
      <c r="FF21" s="31" t="str">
        <f>IFERROR(VLOOKUP([2]Pointage!FJ15,Feuil1!$A:$B,2,FALSE),"")</f>
        <v/>
      </c>
      <c r="FG21" s="31" t="str">
        <f>IFERROR(VLOOKUP([2]Pointage!FK15,Feuil1!$A:$B,2,FALSE),"")</f>
        <v/>
      </c>
      <c r="FH21" s="31" t="str">
        <f>IFERROR(VLOOKUP([2]Pointage!FL15,Feuil1!$A:$B,2,FALSE),"")</f>
        <v/>
      </c>
      <c r="FI21" s="31" t="str">
        <f>IFERROR(VLOOKUP([2]Pointage!FM15,Feuil1!$A:$B,2,FALSE),"")</f>
        <v/>
      </c>
      <c r="FJ21" s="31" t="str">
        <f>IFERROR(VLOOKUP([2]Pointage!FN15,Feuil1!$A:$B,2,FALSE),"")</f>
        <v/>
      </c>
      <c r="FK21" s="31" t="str">
        <f>IFERROR(VLOOKUP([2]Pointage!FO15,Feuil1!$A:$B,2,FALSE),"")</f>
        <v/>
      </c>
      <c r="FL21" s="31" t="str">
        <f>IFERROR(VLOOKUP([2]Pointage!FP15,Feuil1!$A:$B,2,FALSE),"")</f>
        <v/>
      </c>
      <c r="FM21" s="31" t="str">
        <f>IFERROR(VLOOKUP([2]Pointage!FQ15,Feuil1!$A:$B,2,FALSE),"")</f>
        <v/>
      </c>
      <c r="FN21" s="31" t="str">
        <f>IFERROR(VLOOKUP([2]Pointage!FR15,Feuil1!$A:$B,2,FALSE),"")</f>
        <v/>
      </c>
      <c r="FO21" s="31" t="str">
        <f>IFERROR(VLOOKUP([2]Pointage!FS15,Feuil1!$A:$B,2,FALSE),"")</f>
        <v/>
      </c>
      <c r="FP21" s="31" t="str">
        <f>IFERROR(VLOOKUP([2]Pointage!FT15,Feuil1!$A:$B,2,FALSE),"")</f>
        <v/>
      </c>
      <c r="FQ21" s="31" t="str">
        <f>IFERROR(VLOOKUP([2]Pointage!FU15,Feuil1!$A:$B,2,FALSE),"")</f>
        <v/>
      </c>
      <c r="FR21" s="31" t="str">
        <f>IFERROR(VLOOKUP([2]Pointage!FV15,Feuil1!$A:$B,2,FALSE),"")</f>
        <v/>
      </c>
      <c r="FS21" s="31" t="str">
        <f>IFERROR(VLOOKUP([2]Pointage!FW15,Feuil1!$A:$B,2,FALSE),"")</f>
        <v/>
      </c>
      <c r="FT21" s="31" t="str">
        <f>IFERROR(VLOOKUP([2]Pointage!FX15,Feuil1!$A:$B,2,FALSE),"")</f>
        <v/>
      </c>
      <c r="FU21" s="31" t="str">
        <f>IFERROR(VLOOKUP([2]Pointage!FY15,Feuil1!$A:$B,2,FALSE),"")</f>
        <v/>
      </c>
      <c r="FV21" s="31" t="str">
        <f>IFERROR(VLOOKUP([2]Pointage!FZ15,Feuil1!$A:$B,2,FALSE),"")</f>
        <v/>
      </c>
      <c r="FW21" s="31" t="str">
        <f>IFERROR(VLOOKUP([2]Pointage!GA15,Feuil1!$A:$B,2,FALSE),"")</f>
        <v/>
      </c>
      <c r="FX21" s="31" t="str">
        <f>IFERROR(VLOOKUP([2]Pointage!GB15,Feuil1!$A:$B,2,FALSE),"")</f>
        <v/>
      </c>
      <c r="FY21" s="31" t="str">
        <f>IFERROR(VLOOKUP([2]Pointage!GC15,Feuil1!$A:$B,2,FALSE),"")</f>
        <v/>
      </c>
      <c r="FZ21" s="31" t="str">
        <f>IFERROR(VLOOKUP([2]Pointage!GD15,Feuil1!$A:$B,2,FALSE),"")</f>
        <v/>
      </c>
      <c r="GA21" s="31" t="str">
        <f>IFERROR(VLOOKUP([2]Pointage!GE15,Feuil1!$A:$B,2,FALSE),"")</f>
        <v/>
      </c>
      <c r="GB21" s="31" t="str">
        <f>IFERROR(VLOOKUP([2]Pointage!GF15,Feuil1!$A:$B,2,FALSE),"")</f>
        <v/>
      </c>
      <c r="GC21" s="31" t="str">
        <f>IFERROR(VLOOKUP([2]Pointage!GG15,Feuil1!$A:$B,2,FALSE),"")</f>
        <v/>
      </c>
      <c r="GD21" s="82" t="str">
        <f>IFERROR(VLOOKUP([2]Pointage!GH15,Feuil1!$A:$B,2,FALSE),"")</f>
        <v/>
      </c>
      <c r="GE21" s="47" t="str">
        <f>IFERROR(VLOOKUP([2]Pointage!GI15,Feuil1!$A:$B,2,FALSE),"")</f>
        <v/>
      </c>
      <c r="GF21" s="31" t="str">
        <f>IFERROR(VLOOKUP([2]Pointage!GJ15,Feuil1!$A:$B,2,FALSE),"")</f>
        <v/>
      </c>
      <c r="GG21" s="31" t="str">
        <f>IFERROR(VLOOKUP([2]Pointage!GK15,Feuil1!$A:$B,2,FALSE),"")</f>
        <v/>
      </c>
      <c r="GH21" s="31" t="str">
        <f>IFERROR(VLOOKUP([2]Pointage!GL15,Feuil1!$A:$B,2,FALSE),"")</f>
        <v/>
      </c>
      <c r="GI21" s="31" t="str">
        <f>IFERROR(VLOOKUP([2]Pointage!GM15,Feuil1!$A:$B,2,FALSE),"")</f>
        <v/>
      </c>
      <c r="GJ21" s="31" t="str">
        <f>IFERROR(VLOOKUP([2]Pointage!GN15,Feuil1!$A:$B,2,FALSE),"")</f>
        <v/>
      </c>
      <c r="GK21" s="31" t="str">
        <f>IFERROR(VLOOKUP([2]Pointage!GO15,Feuil1!$A:$B,2,FALSE),"")</f>
        <v/>
      </c>
      <c r="GL21" s="31" t="str">
        <f>IFERROR(VLOOKUP([2]Pointage!GP15,Feuil1!$A:$B,2,FALSE),"")</f>
        <v/>
      </c>
      <c r="GM21" s="31" t="str">
        <f>IFERROR(VLOOKUP([2]Pointage!GQ15,Feuil1!$A:$B,2,FALSE),"")</f>
        <v/>
      </c>
      <c r="GN21" s="31" t="str">
        <f>IFERROR(VLOOKUP([2]Pointage!GR15,Feuil1!$A:$B,2,FALSE),"")</f>
        <v/>
      </c>
      <c r="GO21" s="31" t="str">
        <f>IFERROR(VLOOKUP([2]Pointage!GS15,Feuil1!$A:$B,2,FALSE),"")</f>
        <v/>
      </c>
      <c r="GP21" s="31" t="str">
        <f>IFERROR(VLOOKUP([2]Pointage!GT15,Feuil1!$A:$B,2,FALSE),"")</f>
        <v/>
      </c>
      <c r="GQ21" s="31" t="str">
        <f>IFERROR(VLOOKUP([2]Pointage!GU15,Feuil1!$A:$B,2,FALSE),"")</f>
        <v/>
      </c>
      <c r="GR21" s="31" t="str">
        <f>IFERROR(VLOOKUP([2]Pointage!GV15,Feuil1!$A:$B,2,FALSE),"")</f>
        <v/>
      </c>
      <c r="GS21" s="31" t="str">
        <f>IFERROR(VLOOKUP([2]Pointage!GW15,Feuil1!$A:$B,2,FALSE),"")</f>
        <v/>
      </c>
      <c r="GT21" s="31" t="str">
        <f>IFERROR(VLOOKUP([2]Pointage!GX15,Feuil1!$A:$B,2,FALSE),"")</f>
        <v/>
      </c>
      <c r="GU21" s="31" t="str">
        <f>IFERROR(VLOOKUP([2]Pointage!GY15,Feuil1!$A:$B,2,FALSE),"")</f>
        <v/>
      </c>
      <c r="GV21" s="31" t="str">
        <f>IFERROR(VLOOKUP([2]Pointage!GZ15,Feuil1!$A:$B,2,FALSE),"")</f>
        <v/>
      </c>
      <c r="GW21" s="31" t="str">
        <f>IFERROR(VLOOKUP([2]Pointage!HA15,Feuil1!$A:$B,2,FALSE),"")</f>
        <v/>
      </c>
      <c r="GX21" s="31" t="str">
        <f>IFERROR(VLOOKUP([2]Pointage!HB15,Feuil1!$A:$B,2,FALSE),"")</f>
        <v/>
      </c>
      <c r="GY21" s="31" t="str">
        <f>IFERROR(VLOOKUP([2]Pointage!HC15,Feuil1!$A:$B,2,FALSE),"")</f>
        <v/>
      </c>
      <c r="GZ21" s="31" t="str">
        <f>IFERROR(VLOOKUP([2]Pointage!HD15,Feuil1!$A:$B,2,FALSE),"")</f>
        <v/>
      </c>
      <c r="HA21" s="31" t="str">
        <f>IFERROR(VLOOKUP([2]Pointage!HE15,Feuil1!$A:$B,2,FALSE),"")</f>
        <v/>
      </c>
      <c r="HB21" s="31" t="str">
        <f>IFERROR(VLOOKUP([2]Pointage!HF15,Feuil1!$A:$B,2,FALSE),"")</f>
        <v/>
      </c>
      <c r="HC21" s="31" t="str">
        <f>IFERROR(VLOOKUP([2]Pointage!HG15,Feuil1!$A:$B,2,FALSE),"")</f>
        <v/>
      </c>
      <c r="HD21" s="31" t="str">
        <f>IFERROR(VLOOKUP([2]Pointage!HH15,Feuil1!$A:$B,2,FALSE),"")</f>
        <v/>
      </c>
      <c r="HE21" s="31" t="str">
        <f>IFERROR(VLOOKUP([2]Pointage!HI15,Feuil1!$A:$B,2,FALSE),"")</f>
        <v/>
      </c>
      <c r="HF21" s="31" t="str">
        <f>IFERROR(VLOOKUP([2]Pointage!HJ15,Feuil1!$A:$B,2,FALSE),"")</f>
        <v/>
      </c>
      <c r="HG21" s="31" t="str">
        <f>IFERROR(VLOOKUP([2]Pointage!HK15,Feuil1!$A:$B,2,FALSE),"")</f>
        <v/>
      </c>
      <c r="HH21" s="31" t="str">
        <f>IFERROR(VLOOKUP([2]Pointage!HL15,Feuil1!$A:$B,2,FALSE),"")</f>
        <v>C</v>
      </c>
      <c r="HI21" s="82" t="str">
        <f>IFERROR(VLOOKUP([2]Pointage!HM15,Feuil1!$A:$B,2,FALSE),"")</f>
        <v>C</v>
      </c>
      <c r="HJ21" s="47" t="str">
        <f>IFERROR(VLOOKUP([2]Pointage!HN15,Feuil1!$A:$B,2,FALSE),"")</f>
        <v>C</v>
      </c>
      <c r="HK21" s="31" t="str">
        <f>IFERROR(VLOOKUP([2]Pointage!HO15,Feuil1!$A:$B,2,FALSE),"")</f>
        <v>C</v>
      </c>
      <c r="HL21" s="31" t="str">
        <f>IFERROR(VLOOKUP([2]Pointage!HP15,Feuil1!$A:$B,2,FALSE),"")</f>
        <v>C</v>
      </c>
      <c r="HM21" s="31" t="str">
        <f>IFERROR(VLOOKUP([2]Pointage!HQ15,Feuil1!$A:$B,2,FALSE),"")</f>
        <v/>
      </c>
      <c r="HN21" s="31" t="str">
        <f>IFERROR(VLOOKUP([2]Pointage!HR15,Feuil1!$A:$B,2,FALSE),"")</f>
        <v/>
      </c>
      <c r="HO21" s="31" t="str">
        <f>IFERROR(VLOOKUP([2]Pointage!HS15,Feuil1!$A:$B,2,FALSE),"")</f>
        <v>C</v>
      </c>
      <c r="HP21" s="31" t="str">
        <f>IFERROR(VLOOKUP([2]Pointage!HT15,Feuil1!$A:$B,2,FALSE),"")</f>
        <v>C</v>
      </c>
      <c r="HQ21" s="31" t="str">
        <f>IFERROR(VLOOKUP([2]Pointage!HU15,Feuil1!$A:$B,2,FALSE),"")</f>
        <v>C</v>
      </c>
      <c r="HR21" s="31" t="str">
        <f>IFERROR(VLOOKUP([2]Pointage!HV15,Feuil1!$A:$B,2,FALSE),"")</f>
        <v>C</v>
      </c>
      <c r="HS21" s="31" t="str">
        <f>IFERROR(VLOOKUP([2]Pointage!HW15,Feuil1!$A:$B,2,FALSE),"")</f>
        <v>C</v>
      </c>
      <c r="HT21" s="31" t="str">
        <f>IFERROR(VLOOKUP([2]Pointage!HX15,Feuil1!$A:$B,2,FALSE),"")</f>
        <v/>
      </c>
      <c r="HU21" s="31" t="str">
        <f>IFERROR(VLOOKUP([2]Pointage!HY15,Feuil1!$A:$B,2,FALSE),"")</f>
        <v/>
      </c>
      <c r="HV21" s="31" t="str">
        <f>IFERROR(VLOOKUP([2]Pointage!HZ15,Feuil1!$A:$B,2,FALSE),"")</f>
        <v/>
      </c>
      <c r="HW21" s="31" t="str">
        <f>IFERROR(VLOOKUP([2]Pointage!IA15,Feuil1!$A:$B,2,FALSE),"")</f>
        <v/>
      </c>
      <c r="HX21" s="31" t="str">
        <f>IFERROR(VLOOKUP([2]Pointage!IB15,Feuil1!$A:$B,2,FALSE),"")</f>
        <v/>
      </c>
      <c r="HY21" s="31" t="str">
        <f>IFERROR(VLOOKUP([2]Pointage!IC15,Feuil1!$A:$B,2,FALSE),"")</f>
        <v/>
      </c>
      <c r="HZ21" s="31" t="str">
        <f>IFERROR(VLOOKUP([2]Pointage!ID15,Feuil1!$A:$B,2,FALSE),"")</f>
        <v/>
      </c>
      <c r="IA21" s="31" t="str">
        <f>IFERROR(VLOOKUP([2]Pointage!IE15,Feuil1!$A:$B,2,FALSE),"")</f>
        <v/>
      </c>
      <c r="IB21" s="31" t="str">
        <f>IFERROR(VLOOKUP([2]Pointage!IF15,Feuil1!$A:$B,2,FALSE),"")</f>
        <v/>
      </c>
      <c r="IC21" s="31" t="str">
        <f>IFERROR(VLOOKUP([2]Pointage!IG15,Feuil1!$A:$B,2,FALSE),"")</f>
        <v/>
      </c>
      <c r="ID21" s="31" t="str">
        <f>IFERROR(VLOOKUP([2]Pointage!IH15,Feuil1!$A:$B,2,FALSE),"")</f>
        <v/>
      </c>
      <c r="IE21" s="31" t="str">
        <f>IFERROR(VLOOKUP([2]Pointage!II15,Feuil1!$A:$B,2,FALSE),"")</f>
        <v/>
      </c>
      <c r="IF21" s="31" t="str">
        <f>IFERROR(VLOOKUP([2]Pointage!IJ15,Feuil1!$A:$B,2,FALSE),"")</f>
        <v/>
      </c>
      <c r="IG21" s="31" t="str">
        <f>IFERROR(VLOOKUP([2]Pointage!IK15,Feuil1!$A:$B,2,FALSE),"")</f>
        <v/>
      </c>
      <c r="IH21" s="31" t="str">
        <f>IFERROR(VLOOKUP([2]Pointage!IL15,Feuil1!$A:$B,2,FALSE),"")</f>
        <v/>
      </c>
      <c r="II21" s="31" t="str">
        <f>IFERROR(VLOOKUP([2]Pointage!IM15,Feuil1!$A:$B,2,FALSE),"")</f>
        <v/>
      </c>
      <c r="IJ21" s="31" t="str">
        <f>IFERROR(VLOOKUP([2]Pointage!IN15,Feuil1!$A:$B,2,FALSE),"")</f>
        <v/>
      </c>
      <c r="IK21" s="31" t="str">
        <f>IFERROR(VLOOKUP([2]Pointage!IO15,Feuil1!$A:$B,2,FALSE),"")</f>
        <v/>
      </c>
      <c r="IL21" s="31" t="str">
        <f>IFERROR(VLOOKUP([2]Pointage!IP15,Feuil1!$A:$B,2,FALSE),"")</f>
        <v/>
      </c>
      <c r="IM21" s="31" t="str">
        <f>IFERROR(VLOOKUP([2]Pointage!IQ15,Feuil1!$A:$B,2,FALSE),"")</f>
        <v/>
      </c>
      <c r="IN21" s="82" t="str">
        <f>IFERROR(VLOOKUP([2]Pointage!IR15,Feuil1!$A:$B,2,FALSE),"")</f>
        <v/>
      </c>
      <c r="IO21" s="47" t="str">
        <f>IFERROR(VLOOKUP([2]Pointage!IS15,Feuil1!$A:$B,2,FALSE),"")</f>
        <v/>
      </c>
      <c r="IP21" s="31" t="str">
        <f>IFERROR(VLOOKUP([2]Pointage!IT15,Feuil1!$A:$B,2,FALSE),"")</f>
        <v/>
      </c>
      <c r="IQ21" s="31" t="str">
        <f>IFERROR(VLOOKUP([2]Pointage!IU15,Feuil1!$A:$B,2,FALSE),"")</f>
        <v/>
      </c>
      <c r="IR21" s="31" t="str">
        <f>IFERROR(VLOOKUP([2]Pointage!IV15,Feuil1!$A:$B,2,FALSE),"")</f>
        <v/>
      </c>
      <c r="IS21" s="31" t="str">
        <f>IFERROR(VLOOKUP([2]Pointage!IW15,Feuil1!$A:$B,2,FALSE),"")</f>
        <v/>
      </c>
      <c r="IT21" s="31" t="str">
        <f>IFERROR(VLOOKUP([2]Pointage!IX15,Feuil1!$A:$B,2,FALSE),"")</f>
        <v/>
      </c>
      <c r="IU21" s="31" t="str">
        <f>IFERROR(VLOOKUP([2]Pointage!IY15,Feuil1!$A:$B,2,FALSE),"")</f>
        <v/>
      </c>
      <c r="IV21" s="31" t="str">
        <f>IFERROR(VLOOKUP([2]Pointage!IZ15,Feuil1!$A:$B,2,FALSE),"")</f>
        <v/>
      </c>
      <c r="IW21" s="31" t="str">
        <f>IFERROR(VLOOKUP([2]Pointage!JA15,Feuil1!$A:$B,2,FALSE),"")</f>
        <v/>
      </c>
      <c r="IX21" s="31" t="str">
        <f>IFERROR(VLOOKUP([2]Pointage!JB15,Feuil1!$A:$B,2,FALSE),"")</f>
        <v/>
      </c>
      <c r="IY21" s="31" t="str">
        <f>IFERROR(VLOOKUP([2]Pointage!JC15,Feuil1!$A:$B,2,FALSE),"")</f>
        <v/>
      </c>
      <c r="IZ21" s="31" t="str">
        <f>IFERROR(VLOOKUP([2]Pointage!JD15,Feuil1!$A:$B,2,FALSE),"")</f>
        <v/>
      </c>
      <c r="JA21" s="31" t="str">
        <f>IFERROR(VLOOKUP([2]Pointage!JE15,Feuil1!$A:$B,2,FALSE),"")</f>
        <v/>
      </c>
      <c r="JB21" s="31" t="str">
        <f>IFERROR(VLOOKUP([2]Pointage!JF15,Feuil1!$A:$B,2,FALSE),"")</f>
        <v/>
      </c>
      <c r="JC21" s="31" t="str">
        <f>IFERROR(VLOOKUP([2]Pointage!JG15,Feuil1!$A:$B,2,FALSE),"")</f>
        <v/>
      </c>
      <c r="JD21" s="31" t="str">
        <f>IFERROR(VLOOKUP([2]Pointage!JH15,Feuil1!$A:$B,2,FALSE),"")</f>
        <v/>
      </c>
      <c r="JE21" s="31" t="str">
        <f>IFERROR(VLOOKUP([2]Pointage!JI15,Feuil1!$A:$B,2,FALSE),"")</f>
        <v/>
      </c>
      <c r="JF21" s="31" t="str">
        <f>IFERROR(VLOOKUP([2]Pointage!JJ15,Feuil1!$A:$B,2,FALSE),"")</f>
        <v/>
      </c>
      <c r="JG21" s="31" t="str">
        <f>IFERROR(VLOOKUP([2]Pointage!JK15,Feuil1!$A:$B,2,FALSE),"")</f>
        <v/>
      </c>
      <c r="JH21" s="31" t="str">
        <f>IFERROR(VLOOKUP([2]Pointage!JL15,Feuil1!$A:$B,2,FALSE),"")</f>
        <v/>
      </c>
      <c r="JI21" s="31" t="str">
        <f>IFERROR(VLOOKUP([2]Pointage!JM15,Feuil1!$A:$B,2,FALSE),"")</f>
        <v/>
      </c>
      <c r="JJ21" s="31" t="str">
        <f>IFERROR(VLOOKUP([2]Pointage!JN15,Feuil1!$A:$B,2,FALSE),"")</f>
        <v/>
      </c>
      <c r="JK21" s="31" t="str">
        <f>IFERROR(VLOOKUP([2]Pointage!JO15,Feuil1!$A:$B,2,FALSE),"")</f>
        <v/>
      </c>
      <c r="JL21" s="31" t="str">
        <f>IFERROR(VLOOKUP([2]Pointage!JP15,Feuil1!$A:$B,2,FALSE),"")</f>
        <v/>
      </c>
      <c r="JM21" s="31" t="str">
        <f>IFERROR(VLOOKUP([2]Pointage!JQ15,Feuil1!$A:$B,2,FALSE),"")</f>
        <v/>
      </c>
      <c r="JN21" s="31" t="str">
        <f>IFERROR(VLOOKUP([2]Pointage!JR15,Feuil1!$A:$B,2,FALSE),"")</f>
        <v/>
      </c>
      <c r="JO21" s="31" t="str">
        <f>IFERROR(VLOOKUP([2]Pointage!JS15,Feuil1!$A:$B,2,FALSE),"")</f>
        <v/>
      </c>
      <c r="JP21" s="31" t="str">
        <f>IFERROR(VLOOKUP([2]Pointage!JT15,Feuil1!$A:$B,2,FALSE),"")</f>
        <v/>
      </c>
      <c r="JQ21" s="31" t="str">
        <f>IFERROR(VLOOKUP([2]Pointage!JU15,Feuil1!$A:$B,2,FALSE),"")</f>
        <v/>
      </c>
      <c r="JR21" s="82" t="str">
        <f>IFERROR(VLOOKUP([2]Pointage!JV15,Feuil1!$A:$B,2,FALSE),"")</f>
        <v/>
      </c>
      <c r="JS21" s="47" t="str">
        <f>IFERROR(VLOOKUP([2]Pointage!JW15,Feuil1!$A:$B,2,FALSE),"")</f>
        <v/>
      </c>
      <c r="JT21" s="31" t="str">
        <f>IFERROR(VLOOKUP([2]Pointage!JX15,Feuil1!$A:$B,2,FALSE),"")</f>
        <v/>
      </c>
      <c r="JU21" s="31" t="str">
        <f>IFERROR(VLOOKUP([2]Pointage!JY15,Feuil1!$A:$B,2,FALSE),"")</f>
        <v/>
      </c>
      <c r="JV21" s="31" t="str">
        <f>IFERROR(VLOOKUP([2]Pointage!JZ15,Feuil1!$A:$B,2,FALSE),"")</f>
        <v/>
      </c>
      <c r="JW21" s="31" t="str">
        <f>IFERROR(VLOOKUP([2]Pointage!KA15,Feuil1!$A:$B,2,FALSE),"")</f>
        <v/>
      </c>
      <c r="JX21" s="31" t="str">
        <f>IFERROR(VLOOKUP([2]Pointage!KB15,Feuil1!$A:$B,2,FALSE),"")</f>
        <v/>
      </c>
      <c r="JY21" s="31" t="str">
        <f>IFERROR(VLOOKUP([2]Pointage!KC15,Feuil1!$A:$B,2,FALSE),"")</f>
        <v/>
      </c>
      <c r="JZ21" s="31" t="str">
        <f>IFERROR(VLOOKUP([2]Pointage!KD15,Feuil1!$A:$B,2,FALSE),"")</f>
        <v/>
      </c>
      <c r="KA21" s="31" t="str">
        <f>IFERROR(VLOOKUP([2]Pointage!KE15,Feuil1!$A:$B,2,FALSE),"")</f>
        <v/>
      </c>
      <c r="KB21" s="31" t="str">
        <f>IFERROR(VLOOKUP([2]Pointage!KF15,Feuil1!$A:$B,2,FALSE),"")</f>
        <v/>
      </c>
      <c r="KC21" s="31" t="str">
        <f>IFERROR(VLOOKUP([2]Pointage!KG15,Feuil1!$A:$B,2,FALSE),"")</f>
        <v/>
      </c>
      <c r="KD21" s="31" t="str">
        <f>IFERROR(VLOOKUP([2]Pointage!KH15,Feuil1!$A:$B,2,FALSE),"")</f>
        <v/>
      </c>
      <c r="KE21" s="31" t="str">
        <f>IFERROR(VLOOKUP([2]Pointage!KI15,Feuil1!$A:$B,2,FALSE),"")</f>
        <v/>
      </c>
      <c r="KF21" s="31" t="str">
        <f>IFERROR(VLOOKUP([2]Pointage!KJ15,Feuil1!$A:$B,2,FALSE),"")</f>
        <v/>
      </c>
      <c r="KG21" s="31" t="str">
        <f>IFERROR(VLOOKUP([2]Pointage!KK15,Feuil1!$A:$B,2,FALSE),"")</f>
        <v/>
      </c>
      <c r="KH21" s="31" t="str">
        <f>IFERROR(VLOOKUP([2]Pointage!KL15,Feuil1!$A:$B,2,FALSE),"")</f>
        <v/>
      </c>
      <c r="KI21" s="31" t="str">
        <f>IFERROR(VLOOKUP([2]Pointage!KM15,Feuil1!$A:$B,2,FALSE),"")</f>
        <v/>
      </c>
      <c r="KJ21" s="31" t="str">
        <f>IFERROR(VLOOKUP([2]Pointage!KN15,Feuil1!$A:$B,2,FALSE),"")</f>
        <v/>
      </c>
      <c r="KK21" s="31" t="str">
        <f>IFERROR(VLOOKUP([2]Pointage!KO15,Feuil1!$A:$B,2,FALSE),"")</f>
        <v/>
      </c>
      <c r="KL21" s="31" t="str">
        <f>IFERROR(VLOOKUP([2]Pointage!KP15,Feuil1!$A:$B,2,FALSE),"")</f>
        <v/>
      </c>
      <c r="KM21" s="31" t="str">
        <f>IFERROR(VLOOKUP([2]Pointage!KQ15,Feuil1!$A:$B,2,FALSE),"")</f>
        <v/>
      </c>
      <c r="KN21" s="31" t="str">
        <f>IFERROR(VLOOKUP([2]Pointage!KR15,Feuil1!$A:$B,2,FALSE),"")</f>
        <v/>
      </c>
      <c r="KO21" s="31" t="str">
        <f>IFERROR(VLOOKUP([2]Pointage!KS15,Feuil1!$A:$B,2,FALSE),"")</f>
        <v/>
      </c>
      <c r="KP21" s="31" t="str">
        <f>IFERROR(VLOOKUP([2]Pointage!KT15,Feuil1!$A:$B,2,FALSE),"")</f>
        <v/>
      </c>
      <c r="KQ21" s="31" t="str">
        <f>IFERROR(VLOOKUP([2]Pointage!KU15,Feuil1!$A:$B,2,FALSE),"")</f>
        <v/>
      </c>
      <c r="KR21" s="31" t="str">
        <f>IFERROR(VLOOKUP([2]Pointage!KV15,Feuil1!$A:$B,2,FALSE),"")</f>
        <v/>
      </c>
      <c r="KS21" s="31" t="str">
        <f>IFERROR(VLOOKUP([2]Pointage!KW15,Feuil1!$A:$B,2,FALSE),"")</f>
        <v/>
      </c>
      <c r="KT21" s="31" t="str">
        <f>IFERROR(VLOOKUP([2]Pointage!KX15,Feuil1!$A:$B,2,FALSE),"")</f>
        <v/>
      </c>
      <c r="KU21" s="31" t="str">
        <f>IFERROR(VLOOKUP([2]Pointage!KY15,Feuil1!$A:$B,2,FALSE),"")</f>
        <v/>
      </c>
      <c r="KV21" s="31" t="str">
        <f>IFERROR(VLOOKUP([2]Pointage!KZ15,Feuil1!$A:$B,2,FALSE),"")</f>
        <v/>
      </c>
      <c r="KW21" s="82" t="str">
        <f>IFERROR(VLOOKUP([2]Pointage!LA15,Feuil1!$A:$B,2,FALSE),"")</f>
        <v/>
      </c>
      <c r="KX21" s="47" t="str">
        <f>IFERROR(VLOOKUP([2]Pointage!LB15,Feuil1!$A:$B,2,FALSE),"")</f>
        <v/>
      </c>
      <c r="KY21" s="31" t="str">
        <f>IFERROR(VLOOKUP([2]Pointage!LC15,Feuil1!$A:$B,2,FALSE),"")</f>
        <v/>
      </c>
      <c r="KZ21" s="31" t="str">
        <f>IFERROR(VLOOKUP([2]Pointage!LD15,Feuil1!$A:$B,2,FALSE),"")</f>
        <v/>
      </c>
      <c r="LA21" s="31" t="str">
        <f>IFERROR(VLOOKUP([2]Pointage!LE15,Feuil1!$A:$B,2,FALSE),"")</f>
        <v/>
      </c>
      <c r="LB21" s="31" t="str">
        <f>IFERROR(VLOOKUP([2]Pointage!LF15,Feuil1!$A:$B,2,FALSE),"")</f>
        <v/>
      </c>
      <c r="LC21" s="31" t="str">
        <f>IFERROR(VLOOKUP([2]Pointage!LG15,Feuil1!$A:$B,2,FALSE),"")</f>
        <v/>
      </c>
      <c r="LD21" s="31" t="str">
        <f>IFERROR(VLOOKUP([2]Pointage!LH15,Feuil1!$A:$B,2,FALSE),"")</f>
        <v/>
      </c>
      <c r="LE21" s="31" t="str">
        <f>IFERROR(VLOOKUP([2]Pointage!LI15,Feuil1!$A:$B,2,FALSE),"")</f>
        <v/>
      </c>
      <c r="LF21" s="31" t="str">
        <f>IFERROR(VLOOKUP([2]Pointage!LJ15,Feuil1!$A:$B,2,FALSE),"")</f>
        <v/>
      </c>
      <c r="LG21" s="31" t="str">
        <f>IFERROR(VLOOKUP([2]Pointage!LK15,Feuil1!$A:$B,2,FALSE),"")</f>
        <v/>
      </c>
      <c r="LH21" s="31" t="str">
        <f>IFERROR(VLOOKUP([2]Pointage!LL15,Feuil1!$A:$B,2,FALSE),"")</f>
        <v/>
      </c>
      <c r="LI21" s="31" t="str">
        <f>IFERROR(VLOOKUP([2]Pointage!LM15,Feuil1!$A:$B,2,FALSE),"")</f>
        <v/>
      </c>
      <c r="LJ21" s="31" t="str">
        <f>IFERROR(VLOOKUP([2]Pointage!LN15,Feuil1!$A:$B,2,FALSE),"")</f>
        <v/>
      </c>
      <c r="LK21" s="31" t="str">
        <f>IFERROR(VLOOKUP([2]Pointage!LO15,Feuil1!$A:$B,2,FALSE),"")</f>
        <v/>
      </c>
      <c r="LL21" s="31" t="str">
        <f>IFERROR(VLOOKUP([2]Pointage!LP15,Feuil1!$A:$B,2,FALSE),"")</f>
        <v/>
      </c>
      <c r="LM21" s="31" t="str">
        <f>IFERROR(VLOOKUP([2]Pointage!LQ15,Feuil1!$A:$B,2,FALSE),"")</f>
        <v/>
      </c>
      <c r="LN21" s="31" t="str">
        <f>IFERROR(VLOOKUP([2]Pointage!LR15,Feuil1!$A:$B,2,FALSE),"")</f>
        <v/>
      </c>
      <c r="LO21" s="31" t="str">
        <f>IFERROR(VLOOKUP([2]Pointage!LS15,Feuil1!$A:$B,2,FALSE),"")</f>
        <v/>
      </c>
      <c r="LP21" s="31" t="str">
        <f>IFERROR(VLOOKUP([2]Pointage!LT15,Feuil1!$A:$B,2,FALSE),"")</f>
        <v/>
      </c>
      <c r="LQ21" s="31" t="str">
        <f>IFERROR(VLOOKUP([2]Pointage!LU15,Feuil1!$A:$B,2,FALSE),"")</f>
        <v/>
      </c>
      <c r="LR21" s="31" t="str">
        <f>IFERROR(VLOOKUP([2]Pointage!LV15,Feuil1!$A:$B,2,FALSE),"")</f>
        <v/>
      </c>
      <c r="LS21" s="31" t="str">
        <f>IFERROR(VLOOKUP([2]Pointage!LW15,Feuil1!$A:$B,2,FALSE),"")</f>
        <v/>
      </c>
      <c r="LT21" s="31" t="str">
        <f>IFERROR(VLOOKUP([2]Pointage!LX15,Feuil1!$A:$B,2,FALSE),"")</f>
        <v/>
      </c>
      <c r="LU21" s="31" t="str">
        <f>IFERROR(VLOOKUP([2]Pointage!LY15,Feuil1!$A:$B,2,FALSE),"")</f>
        <v/>
      </c>
      <c r="LV21" s="31" t="str">
        <f>IFERROR(VLOOKUP([2]Pointage!LZ15,Feuil1!$A:$B,2,FALSE),"")</f>
        <v/>
      </c>
      <c r="LW21" s="31" t="str">
        <f>IFERROR(VLOOKUP([2]Pointage!MA15,Feuil1!$A:$B,2,FALSE),"")</f>
        <v/>
      </c>
      <c r="LX21" s="31" t="str">
        <f>IFERROR(VLOOKUP([2]Pointage!MB15,Feuil1!$A:$B,2,FALSE),"")</f>
        <v/>
      </c>
      <c r="LY21" s="31" t="str">
        <f>IFERROR(VLOOKUP([2]Pointage!MC15,Feuil1!$A:$B,2,FALSE),"")</f>
        <v/>
      </c>
      <c r="LZ21" s="31" t="str">
        <f>IFERROR(VLOOKUP([2]Pointage!MD15,Feuil1!$A:$B,2,FALSE),"")</f>
        <v/>
      </c>
      <c r="MA21" s="82" t="str">
        <f>IFERROR(VLOOKUP([2]Pointage!ME15,Feuil1!$A:$B,2,FALSE),"")</f>
        <v/>
      </c>
      <c r="MB21" s="47" t="str">
        <f>IFERROR(VLOOKUP([2]Pointage!MF15,Feuil1!$A:$B,2,FALSE),"")</f>
        <v/>
      </c>
      <c r="MC21" s="31" t="str">
        <f>IFERROR(VLOOKUP([2]Pointage!MG15,Feuil1!$A:$B,2,FALSE),"")</f>
        <v/>
      </c>
      <c r="MD21" s="31" t="str">
        <f>IFERROR(VLOOKUP([2]Pointage!MH15,Feuil1!$A:$B,2,FALSE),"")</f>
        <v/>
      </c>
      <c r="ME21" s="31" t="str">
        <f>IFERROR(VLOOKUP([2]Pointage!MI15,Feuil1!$A:$B,2,FALSE),"")</f>
        <v/>
      </c>
      <c r="MF21" s="31" t="str">
        <f>IFERROR(VLOOKUP([2]Pointage!MJ15,Feuil1!$A:$B,2,FALSE),"")</f>
        <v/>
      </c>
      <c r="MG21" s="31" t="str">
        <f>IFERROR(VLOOKUP([2]Pointage!MK15,Feuil1!$A:$B,2,FALSE),"")</f>
        <v/>
      </c>
      <c r="MH21" s="31" t="str">
        <f>IFERROR(VLOOKUP([2]Pointage!ML15,Feuil1!$A:$B,2,FALSE),"")</f>
        <v/>
      </c>
      <c r="MI21" s="31" t="str">
        <f>IFERROR(VLOOKUP([2]Pointage!MM15,Feuil1!$A:$B,2,FALSE),"")</f>
        <v/>
      </c>
      <c r="MJ21" s="31" t="str">
        <f>IFERROR(VLOOKUP([2]Pointage!MN15,Feuil1!$A:$B,2,FALSE),"")</f>
        <v/>
      </c>
      <c r="MK21" s="31" t="str">
        <f>IFERROR(VLOOKUP([2]Pointage!MO15,Feuil1!$A:$B,2,FALSE),"")</f>
        <v/>
      </c>
      <c r="ML21" s="31" t="str">
        <f>IFERROR(VLOOKUP([2]Pointage!MP15,Feuil1!$A:$B,2,FALSE),"")</f>
        <v/>
      </c>
      <c r="MM21" s="31" t="str">
        <f>IFERROR(VLOOKUP([2]Pointage!MQ15,Feuil1!$A:$B,2,FALSE),"")</f>
        <v/>
      </c>
      <c r="MN21" s="31" t="str">
        <f>IFERROR(VLOOKUP([2]Pointage!MR15,Feuil1!$A:$B,2,FALSE),"")</f>
        <v/>
      </c>
      <c r="MO21" s="31" t="str">
        <f>IFERROR(VLOOKUP([2]Pointage!MS15,Feuil1!$A:$B,2,FALSE),"")</f>
        <v/>
      </c>
      <c r="MP21" s="31" t="str">
        <f>IFERROR(VLOOKUP([2]Pointage!MT15,Feuil1!$A:$B,2,FALSE),"")</f>
        <v/>
      </c>
      <c r="MQ21" s="31" t="str">
        <f>IFERROR(VLOOKUP([2]Pointage!MU15,Feuil1!$A:$B,2,FALSE),"")</f>
        <v/>
      </c>
      <c r="MR21" s="31" t="str">
        <f>IFERROR(VLOOKUP([2]Pointage!MV15,Feuil1!$A:$B,2,FALSE),"")</f>
        <v/>
      </c>
      <c r="MS21" s="31" t="str">
        <f>IFERROR(VLOOKUP([2]Pointage!MW15,Feuil1!$A:$B,2,FALSE),"")</f>
        <v/>
      </c>
      <c r="MT21" s="31" t="str">
        <f>IFERROR(VLOOKUP([2]Pointage!MX15,Feuil1!$A:$B,2,FALSE),"")</f>
        <v/>
      </c>
      <c r="MU21" s="31" t="str">
        <f>IFERROR(VLOOKUP([2]Pointage!MY15,Feuil1!$A:$B,2,FALSE),"")</f>
        <v/>
      </c>
      <c r="MV21" s="31" t="str">
        <f>IFERROR(VLOOKUP([2]Pointage!MZ15,Feuil1!$A:$B,2,FALSE),"")</f>
        <v/>
      </c>
      <c r="MW21" s="31" t="str">
        <f>IFERROR(VLOOKUP([2]Pointage!NA15,Feuil1!$A:$B,2,FALSE),"")</f>
        <v/>
      </c>
      <c r="MX21" s="31" t="str">
        <f>IFERROR(VLOOKUP([2]Pointage!NB15,Feuil1!$A:$B,2,FALSE),"")</f>
        <v/>
      </c>
      <c r="MY21" s="31" t="str">
        <f>IFERROR(VLOOKUP([2]Pointage!NC15,Feuil1!$A:$B,2,FALSE),"")</f>
        <v/>
      </c>
      <c r="MZ21" s="31" t="str">
        <f>IFERROR(VLOOKUP([2]Pointage!ND15,Feuil1!$A:$B,2,FALSE),"")</f>
        <v/>
      </c>
      <c r="NA21" s="31" t="str">
        <f>IFERROR(VLOOKUP([2]Pointage!NE15,Feuil1!$A:$B,2,FALSE),"")</f>
        <v/>
      </c>
      <c r="NB21" s="31" t="str">
        <f>IFERROR(VLOOKUP([2]Pointage!NF15,Feuil1!$A:$B,2,FALSE),"")</f>
        <v/>
      </c>
      <c r="NC21" s="31" t="str">
        <f>IFERROR(VLOOKUP([2]Pointage!NG15,Feuil1!$A:$B,2,FALSE),"")</f>
        <v/>
      </c>
      <c r="ND21" s="31" t="str">
        <f>IFERROR(VLOOKUP([2]Pointage!NH15,Feuil1!$A:$B,2,FALSE),"")</f>
        <v/>
      </c>
      <c r="NE21" s="31" t="str">
        <f>IFERROR(VLOOKUP([2]Pointage!NI15,Feuil1!$A:$B,2,FALSE),"")</f>
        <v/>
      </c>
      <c r="NF21" s="48" t="str">
        <f>IFERROR(VLOOKUP([2]Pointage!NJ15,Feuil1!$A:$B,2,FALSE),"")</f>
        <v/>
      </c>
      <c r="NG21" s="52">
        <f>COUNTIF(Global!F21:NF21,"RTT")+(COUNTIF(Global!F21:NF21,"dRTT")/2)</f>
        <v>2</v>
      </c>
      <c r="NH21" s="42">
        <f>COUNTIF(Global!F21:NF21,"C")+(COUNTIF(Global!F21:NF21,"DC")/2)</f>
        <v>21.5</v>
      </c>
      <c r="NI21" s="42">
        <f>COUNTIF(Global!F21:NF21,"M")</f>
        <v>12</v>
      </c>
      <c r="NJ21" s="42">
        <f>COUNTIF(Global!G21:NG21,"AT")</f>
        <v>0</v>
      </c>
      <c r="NK21" s="42">
        <f>COUNTIF(Global!F21:NF21,"RD")</f>
        <v>0</v>
      </c>
      <c r="NL21" s="42">
        <f>COUNTIF(Global!F21:NF21,"RC")+(COUNTIF(Global!F21:NF21,"dRC")/2)</f>
        <v>0</v>
      </c>
      <c r="NM21" s="68">
        <f t="shared" ca="1" si="0"/>
        <v>3.6986301369863019</v>
      </c>
      <c r="NT21" s="33"/>
      <c r="NU21" s="33"/>
      <c r="NV21" s="28"/>
      <c r="NW21" s="28"/>
      <c r="NX21" s="29">
        <f>COUNTIF(F21:NF21,"C")++(COUNTIF(Global!F21:NF21,"DC")/2)</f>
        <v>21.5</v>
      </c>
      <c r="NY21" s="29"/>
      <c r="NZ21" s="29"/>
      <c r="OA21" s="29"/>
      <c r="OB21" s="29">
        <f>COUNTIF(Global!F21:NF21,"M")</f>
        <v>12</v>
      </c>
      <c r="OC21" s="30">
        <f t="shared" si="1"/>
        <v>-21.5</v>
      </c>
      <c r="OD21" s="30"/>
    </row>
    <row r="22" spans="1:394" ht="30" customHeight="1" x14ac:dyDescent="0.2">
      <c r="A22" s="13" t="s">
        <v>78</v>
      </c>
      <c r="B22" s="22" t="s">
        <v>171</v>
      </c>
      <c r="C22" s="22" t="s">
        <v>172</v>
      </c>
      <c r="D22" s="22" t="s">
        <v>173</v>
      </c>
      <c r="E22" s="44">
        <v>0</v>
      </c>
      <c r="F22" s="47" t="str">
        <f>IFERROR(VLOOKUP([2]Pointage!J16,Feuil1!$A:$B,2,FALSE),"")</f>
        <v/>
      </c>
      <c r="G22" s="31" t="str">
        <f>IFERROR(VLOOKUP([2]Pointage!K16,Feuil1!$A:$B,2,FALSE),"")</f>
        <v/>
      </c>
      <c r="H22" s="31" t="str">
        <f>IFERROR(VLOOKUP([2]Pointage!L16,Feuil1!$A:$B,2,FALSE),"")</f>
        <v/>
      </c>
      <c r="I22" s="31" t="str">
        <f>IFERROR(VLOOKUP([2]Pointage!M16,Feuil1!$A:$B,2,FALSE),"")</f>
        <v/>
      </c>
      <c r="J22" s="31" t="str">
        <f>IFERROR(VLOOKUP([2]Pointage!N16,Feuil1!$A:$B,2,FALSE),"")</f>
        <v/>
      </c>
      <c r="K22" s="31" t="str">
        <f>IFERROR(VLOOKUP([2]Pointage!O16,Feuil1!$A:$B,2,FALSE),"")</f>
        <v/>
      </c>
      <c r="L22" s="31" t="str">
        <f>IFERROR(VLOOKUP([2]Pointage!P16,Feuil1!$A:$B,2,FALSE),"")</f>
        <v/>
      </c>
      <c r="M22" s="31" t="str">
        <f>IFERROR(VLOOKUP([2]Pointage!Q16,Feuil1!$A:$B,2,FALSE),"")</f>
        <v/>
      </c>
      <c r="N22" s="31" t="str">
        <f>IFERROR(VLOOKUP([2]Pointage!R16,Feuil1!$A:$B,2,FALSE),"")</f>
        <v/>
      </c>
      <c r="O22" s="31" t="str">
        <f>IFERROR(VLOOKUP([2]Pointage!S16,Feuil1!$A:$B,2,FALSE),"")</f>
        <v/>
      </c>
      <c r="P22" s="31" t="str">
        <f>IFERROR(VLOOKUP([2]Pointage!T16,Feuil1!$A:$B,2,FALSE),"")</f>
        <v/>
      </c>
      <c r="Q22" s="31" t="str">
        <f>IFERROR(VLOOKUP([2]Pointage!U16,Feuil1!$A:$B,2,FALSE),"")</f>
        <v/>
      </c>
      <c r="R22" s="31" t="str">
        <f>IFERROR(VLOOKUP([2]Pointage!V16,Feuil1!$A:$B,2,FALSE),"")</f>
        <v/>
      </c>
      <c r="S22" s="31" t="str">
        <f>IFERROR(VLOOKUP([2]Pointage!W16,Feuil1!$A:$B,2,FALSE),"")</f>
        <v/>
      </c>
      <c r="T22" s="31" t="str">
        <f>IFERROR(VLOOKUP([2]Pointage!X16,Feuil1!$A:$B,2,FALSE),"")</f>
        <v/>
      </c>
      <c r="U22" s="31" t="str">
        <f>IFERROR(VLOOKUP([2]Pointage!Y16,Feuil1!$A:$B,2,FALSE),"")</f>
        <v/>
      </c>
      <c r="V22" s="31" t="str">
        <f>IFERROR(VLOOKUP([2]Pointage!Z16,Feuil1!$A:$B,2,FALSE),"")</f>
        <v/>
      </c>
      <c r="W22" s="31" t="str">
        <f>IFERROR(VLOOKUP([2]Pointage!AA16,Feuil1!$A:$B,2,FALSE),"")</f>
        <v/>
      </c>
      <c r="X22" s="31" t="str">
        <f>IFERROR(VLOOKUP([2]Pointage!AB16,Feuil1!$A:$B,2,FALSE),"")</f>
        <v/>
      </c>
      <c r="Y22" s="31" t="str">
        <f>IFERROR(VLOOKUP([2]Pointage!AC16,Feuil1!$A:$B,2,FALSE),"")</f>
        <v/>
      </c>
      <c r="Z22" s="31" t="str">
        <f>IFERROR(VLOOKUP([2]Pointage!AD16,Feuil1!$A:$B,2,FALSE),"")</f>
        <v/>
      </c>
      <c r="AA22" s="31" t="str">
        <f>IFERROR(VLOOKUP([2]Pointage!AE16,Feuil1!$A:$B,2,FALSE),"")</f>
        <v/>
      </c>
      <c r="AB22" s="31" t="str">
        <f>IFERROR(VLOOKUP([2]Pointage!AF16,Feuil1!$A:$B,2,FALSE),"")</f>
        <v/>
      </c>
      <c r="AC22" s="31" t="str">
        <f>IFERROR(VLOOKUP([2]Pointage!AG16,Feuil1!$A:$B,2,FALSE),"")</f>
        <v/>
      </c>
      <c r="AD22" s="31" t="str">
        <f>IFERROR(VLOOKUP([2]Pointage!AH16,Feuil1!$A:$B,2,FALSE),"")</f>
        <v/>
      </c>
      <c r="AE22" s="31" t="str">
        <f>IFERROR(VLOOKUP([2]Pointage!AI16,Feuil1!$A:$B,2,FALSE),"")</f>
        <v/>
      </c>
      <c r="AF22" s="31" t="str">
        <f>IFERROR(VLOOKUP([2]Pointage!AJ16,Feuil1!$A:$B,2,FALSE),"")</f>
        <v/>
      </c>
      <c r="AG22" s="31" t="str">
        <f>IFERROR(VLOOKUP([2]Pointage!AK16,Feuil1!$A:$B,2,FALSE),"")</f>
        <v/>
      </c>
      <c r="AH22" s="31" t="str">
        <f>IFERROR(VLOOKUP([2]Pointage!AL16,Feuil1!$A:$B,2,FALSE),"")</f>
        <v/>
      </c>
      <c r="AI22" s="31" t="str">
        <f>IFERROR(VLOOKUP([2]Pointage!AM16,Feuil1!$A:$B,2,FALSE),"")</f>
        <v/>
      </c>
      <c r="AJ22" s="82" t="str">
        <f>IFERROR(VLOOKUP([2]Pointage!AN16,Feuil1!$A:$B,2,FALSE),"")</f>
        <v/>
      </c>
      <c r="AK22" s="47" t="str">
        <f>IFERROR(VLOOKUP([2]Pointage!AO16,Feuil1!$A:$B,2,FALSE),"")</f>
        <v/>
      </c>
      <c r="AL22" s="31" t="str">
        <f>IFERROR(VLOOKUP([2]Pointage!AP16,Feuil1!$A:$B,2,FALSE),"")</f>
        <v/>
      </c>
      <c r="AM22" s="31" t="str">
        <f>IFERROR(VLOOKUP([2]Pointage!AQ16,Feuil1!$A:$B,2,FALSE),"")</f>
        <v/>
      </c>
      <c r="AN22" s="31" t="str">
        <f>IFERROR(VLOOKUP([2]Pointage!AR16,Feuil1!$A:$B,2,FALSE),"")</f>
        <v/>
      </c>
      <c r="AO22" s="31" t="str">
        <f>IFERROR(VLOOKUP([2]Pointage!AS16,Feuil1!$A:$B,2,FALSE),"")</f>
        <v>C</v>
      </c>
      <c r="AP22" s="31" t="str">
        <f>IFERROR(VLOOKUP([2]Pointage!AT16,Feuil1!$A:$B,2,FALSE),"")</f>
        <v>C</v>
      </c>
      <c r="AQ22" s="31" t="str">
        <f>IFERROR(VLOOKUP([2]Pointage!AU16,Feuil1!$A:$B,2,FALSE),"")</f>
        <v>C</v>
      </c>
      <c r="AR22" s="31" t="str">
        <f>IFERROR(VLOOKUP([2]Pointage!AV16,Feuil1!$A:$B,2,FALSE),"")</f>
        <v>C</v>
      </c>
      <c r="AS22" s="31" t="str">
        <f>IFERROR(VLOOKUP([2]Pointage!AW16,Feuil1!$A:$B,2,FALSE),"")</f>
        <v>C</v>
      </c>
      <c r="AT22" s="31" t="str">
        <f>IFERROR(VLOOKUP([2]Pointage!AX16,Feuil1!$A:$B,2,FALSE),"")</f>
        <v/>
      </c>
      <c r="AU22" s="31" t="str">
        <f>IFERROR(VLOOKUP([2]Pointage!AY16,Feuil1!$A:$B,2,FALSE),"")</f>
        <v/>
      </c>
      <c r="AV22" s="31" t="str">
        <f>IFERROR(VLOOKUP([2]Pointage!AZ16,Feuil1!$A:$B,2,FALSE),"")</f>
        <v/>
      </c>
      <c r="AW22" s="31" t="str">
        <f>IFERROR(VLOOKUP([2]Pointage!BA16,Feuil1!$A:$B,2,FALSE),"")</f>
        <v/>
      </c>
      <c r="AX22" s="31" t="str">
        <f>IFERROR(VLOOKUP([2]Pointage!BB16,Feuil1!$A:$B,2,FALSE),"")</f>
        <v/>
      </c>
      <c r="AY22" s="31" t="str">
        <f>IFERROR(VLOOKUP([2]Pointage!BC16,Feuil1!$A:$B,2,FALSE),"")</f>
        <v/>
      </c>
      <c r="AZ22" s="31" t="str">
        <f>IFERROR(VLOOKUP([2]Pointage!BD16,Feuil1!$A:$B,2,FALSE),"")</f>
        <v/>
      </c>
      <c r="BA22" s="31" t="str">
        <f>IFERROR(VLOOKUP([2]Pointage!BE16,Feuil1!$A:$B,2,FALSE),"")</f>
        <v/>
      </c>
      <c r="BB22" s="31" t="str">
        <f>IFERROR(VLOOKUP([2]Pointage!BF16,Feuil1!$A:$B,2,FALSE),"")</f>
        <v/>
      </c>
      <c r="BC22" s="31" t="str">
        <f>IFERROR(VLOOKUP([2]Pointage!BG16,Feuil1!$A:$B,2,FALSE),"")</f>
        <v/>
      </c>
      <c r="BD22" s="31" t="str">
        <f>IFERROR(VLOOKUP([2]Pointage!BH16,Feuil1!$A:$B,2,FALSE),"")</f>
        <v/>
      </c>
      <c r="BE22" s="31" t="str">
        <f>IFERROR(VLOOKUP([2]Pointage!BI16,Feuil1!$A:$B,2,FALSE),"")</f>
        <v/>
      </c>
      <c r="BF22" s="31" t="str">
        <f>IFERROR(VLOOKUP([2]Pointage!BJ16,Feuil1!$A:$B,2,FALSE),"")</f>
        <v/>
      </c>
      <c r="BG22" s="31" t="str">
        <f>IFERROR(VLOOKUP([2]Pointage!BK16,Feuil1!$A:$B,2,FALSE),"")</f>
        <v/>
      </c>
      <c r="BH22" s="31" t="str">
        <f>IFERROR(VLOOKUP([2]Pointage!BL16,Feuil1!$A:$B,2,FALSE),"")</f>
        <v/>
      </c>
      <c r="BI22" s="31" t="str">
        <f>IFERROR(VLOOKUP([2]Pointage!BM16,Feuil1!$A:$B,2,FALSE),"")</f>
        <v/>
      </c>
      <c r="BJ22" s="31" t="str">
        <f>IFERROR(VLOOKUP([2]Pointage!BN16,Feuil1!$A:$B,2,FALSE),"")</f>
        <v/>
      </c>
      <c r="BK22" s="31" t="str">
        <f>IFERROR(VLOOKUP([2]Pointage!BO16,Feuil1!$A:$B,2,FALSE),"")</f>
        <v/>
      </c>
      <c r="BL22" s="82" t="str">
        <f>IFERROR(VLOOKUP([2]Pointage!BP16,Feuil1!$A:$B,2,FALSE),"")</f>
        <v/>
      </c>
      <c r="BM22" s="47" t="str">
        <f>IFERROR(VLOOKUP([2]Pointage!BQ16,Feuil1!$A:$B,2,FALSE),"")</f>
        <v/>
      </c>
      <c r="BN22" s="31" t="str">
        <f>IFERROR(VLOOKUP([2]Pointage!BR16,Feuil1!$A:$B,2,FALSE),"")</f>
        <v/>
      </c>
      <c r="BO22" s="31" t="str">
        <f>IFERROR(VLOOKUP([2]Pointage!BS16,Feuil1!$A:$B,2,FALSE),"")</f>
        <v/>
      </c>
      <c r="BP22" s="31" t="str">
        <f>IFERROR(VLOOKUP([2]Pointage!BT16,Feuil1!$A:$B,2,FALSE),"")</f>
        <v/>
      </c>
      <c r="BQ22" s="31" t="str">
        <f>IFERROR(VLOOKUP([2]Pointage!BU16,Feuil1!$A:$B,2,FALSE),"")</f>
        <v/>
      </c>
      <c r="BR22" s="31" t="str">
        <f>IFERROR(VLOOKUP([2]Pointage!BV16,Feuil1!$A:$B,2,FALSE),"")</f>
        <v/>
      </c>
      <c r="BS22" s="31" t="str">
        <f>IFERROR(VLOOKUP([2]Pointage!BW16,Feuil1!$A:$B,2,FALSE),"")</f>
        <v/>
      </c>
      <c r="BT22" s="31" t="str">
        <f>IFERROR(VLOOKUP([2]Pointage!BX16,Feuil1!$A:$B,2,FALSE),"")</f>
        <v/>
      </c>
      <c r="BU22" s="31" t="str">
        <f>IFERROR(VLOOKUP([2]Pointage!BY16,Feuil1!$A:$B,2,FALSE),"")</f>
        <v/>
      </c>
      <c r="BV22" s="31" t="str">
        <f>IFERROR(VLOOKUP([2]Pointage!BZ16,Feuil1!$A:$B,2,FALSE),"")</f>
        <v/>
      </c>
      <c r="BW22" s="31" t="str">
        <f>IFERROR(VLOOKUP([2]Pointage!CA16,Feuil1!$A:$B,2,FALSE),"")</f>
        <v/>
      </c>
      <c r="BX22" s="31" t="str">
        <f>IFERROR(VLOOKUP([2]Pointage!CB16,Feuil1!$A:$B,2,FALSE),"")</f>
        <v/>
      </c>
      <c r="BY22" s="31" t="str">
        <f>IFERROR(VLOOKUP([2]Pointage!CC16,Feuil1!$A:$B,2,FALSE),"")</f>
        <v/>
      </c>
      <c r="BZ22" s="31" t="str">
        <f>IFERROR(VLOOKUP([2]Pointage!CD16,Feuil1!$A:$B,2,FALSE),"")</f>
        <v/>
      </c>
      <c r="CA22" s="31" t="str">
        <f>IFERROR(VLOOKUP([2]Pointage!CE16,Feuil1!$A:$B,2,FALSE),"")</f>
        <v/>
      </c>
      <c r="CB22" s="31" t="str">
        <f>IFERROR(VLOOKUP([2]Pointage!CF16,Feuil1!$A:$B,2,FALSE),"")</f>
        <v/>
      </c>
      <c r="CC22" s="31" t="str">
        <f>IFERROR(VLOOKUP([2]Pointage!CG16,Feuil1!$A:$B,2,FALSE),"")</f>
        <v/>
      </c>
      <c r="CD22" s="31" t="str">
        <f>IFERROR(VLOOKUP([2]Pointage!CH16,Feuil1!$A:$B,2,FALSE),"")</f>
        <v/>
      </c>
      <c r="CE22" s="31" t="str">
        <f>IFERROR(VLOOKUP([2]Pointage!CI16,Feuil1!$A:$B,2,FALSE),"")</f>
        <v/>
      </c>
      <c r="CF22" s="31" t="str">
        <f>IFERROR(VLOOKUP([2]Pointage!CJ16,Feuil1!$A:$B,2,FALSE),"")</f>
        <v/>
      </c>
      <c r="CG22" s="31" t="str">
        <f>IFERROR(VLOOKUP([2]Pointage!CK16,Feuil1!$A:$B,2,FALSE),"")</f>
        <v/>
      </c>
      <c r="CH22" s="31" t="str">
        <f>IFERROR(VLOOKUP([2]Pointage!CL16,Feuil1!$A:$B,2,FALSE),"")</f>
        <v/>
      </c>
      <c r="CI22" s="31" t="str">
        <f>IFERROR(VLOOKUP([2]Pointage!CM16,Feuil1!$A:$B,2,FALSE),"")</f>
        <v/>
      </c>
      <c r="CJ22" s="31" t="str">
        <f>IFERROR(VLOOKUP([2]Pointage!CN16,Feuil1!$A:$B,2,FALSE),"")</f>
        <v/>
      </c>
      <c r="CK22" s="31" t="str">
        <f>IFERROR(VLOOKUP([2]Pointage!CO16,Feuil1!$A:$B,2,FALSE),"")</f>
        <v/>
      </c>
      <c r="CL22" s="31" t="str">
        <f>IFERROR(VLOOKUP([2]Pointage!CP16,Feuil1!$A:$B,2,FALSE),"")</f>
        <v/>
      </c>
      <c r="CM22" s="31" t="str">
        <f>IFERROR(VLOOKUP([2]Pointage!CQ16,Feuil1!$A:$B,2,FALSE),"")</f>
        <v/>
      </c>
      <c r="CN22" s="31" t="str">
        <f>IFERROR(VLOOKUP([2]Pointage!CR16,Feuil1!$A:$B,2,FALSE),"")</f>
        <v/>
      </c>
      <c r="CO22" s="31" t="str">
        <f>IFERROR(VLOOKUP([2]Pointage!CS16,Feuil1!$A:$B,2,FALSE),"")</f>
        <v/>
      </c>
      <c r="CP22" s="31" t="str">
        <f>IFERROR(VLOOKUP([2]Pointage!CT16,Feuil1!$A:$B,2,FALSE),"")</f>
        <v/>
      </c>
      <c r="CQ22" s="82" t="str">
        <f>IFERROR(VLOOKUP([2]Pointage!CU16,Feuil1!$A:$B,2,FALSE),"")</f>
        <v/>
      </c>
      <c r="CR22" s="47" t="str">
        <f>IFERROR(VLOOKUP([2]Pointage!CV16,Feuil1!$A:$B,2,FALSE),"")</f>
        <v/>
      </c>
      <c r="CS22" s="31" t="str">
        <f>IFERROR(VLOOKUP([2]Pointage!CW16,Feuil1!$A:$B,2,FALSE),"")</f>
        <v/>
      </c>
      <c r="CT22" s="31" t="str">
        <f>IFERROR(VLOOKUP([2]Pointage!CX16,Feuil1!$A:$B,2,FALSE),"")</f>
        <v/>
      </c>
      <c r="CU22" s="31" t="str">
        <f>IFERROR(VLOOKUP([2]Pointage!CY16,Feuil1!$A:$B,2,FALSE),"")</f>
        <v/>
      </c>
      <c r="CV22" s="31" t="str">
        <f>IFERROR(VLOOKUP([2]Pointage!CZ16,Feuil1!$A:$B,2,FALSE),"")</f>
        <v/>
      </c>
      <c r="CW22" s="31" t="str">
        <f>IFERROR(VLOOKUP([2]Pointage!DA16,Feuil1!$A:$B,2,FALSE),"")</f>
        <v/>
      </c>
      <c r="CX22" s="31" t="str">
        <f>IFERROR(VLOOKUP([2]Pointage!DB16,Feuil1!$A:$B,2,FALSE),"")</f>
        <v/>
      </c>
      <c r="CY22" s="31" t="str">
        <f>IFERROR(VLOOKUP([2]Pointage!DC16,Feuil1!$A:$B,2,FALSE),"")</f>
        <v/>
      </c>
      <c r="CZ22" s="31" t="str">
        <f>IFERROR(VLOOKUP([2]Pointage!DD16,Feuil1!$A:$B,2,FALSE),"")</f>
        <v/>
      </c>
      <c r="DA22" s="31" t="str">
        <f>IFERROR(VLOOKUP([2]Pointage!DE16,Feuil1!$A:$B,2,FALSE),"")</f>
        <v/>
      </c>
      <c r="DB22" s="31" t="str">
        <f>IFERROR(VLOOKUP([2]Pointage!DF16,Feuil1!$A:$B,2,FALSE),"")</f>
        <v/>
      </c>
      <c r="DC22" s="31" t="str">
        <f>IFERROR(VLOOKUP([2]Pointage!DG16,Feuil1!$A:$B,2,FALSE),"")</f>
        <v/>
      </c>
      <c r="DD22" s="31" t="str">
        <f>IFERROR(VLOOKUP([2]Pointage!DH16,Feuil1!$A:$B,2,FALSE),"")</f>
        <v/>
      </c>
      <c r="DE22" s="31" t="str">
        <f>IFERROR(VLOOKUP([2]Pointage!DI16,Feuil1!$A:$B,2,FALSE),"")</f>
        <v/>
      </c>
      <c r="DF22" s="31" t="str">
        <f>IFERROR(VLOOKUP([2]Pointage!DJ16,Feuil1!$A:$B,2,FALSE),"")</f>
        <v/>
      </c>
      <c r="DG22" s="31" t="str">
        <f>IFERROR(VLOOKUP([2]Pointage!DK16,Feuil1!$A:$B,2,FALSE),"")</f>
        <v>M</v>
      </c>
      <c r="DH22" s="31" t="str">
        <f>IFERROR(VLOOKUP([2]Pointage!DL16,Feuil1!$A:$B,2,FALSE),"")</f>
        <v>M</v>
      </c>
      <c r="DI22" s="31" t="str">
        <f>IFERROR(VLOOKUP([2]Pointage!DM16,Feuil1!$A:$B,2,FALSE),"")</f>
        <v>M</v>
      </c>
      <c r="DJ22" s="31" t="str">
        <f>IFERROR(VLOOKUP([2]Pointage!DN16,Feuil1!$A:$B,2,FALSE),"")</f>
        <v>M</v>
      </c>
      <c r="DK22" s="31" t="str">
        <f>IFERROR(VLOOKUP([2]Pointage!DO16,Feuil1!$A:$B,2,FALSE),"")</f>
        <v>M</v>
      </c>
      <c r="DL22" s="31" t="str">
        <f>IFERROR(VLOOKUP([2]Pointage!DP16,Feuil1!$A:$B,2,FALSE),"")</f>
        <v>M</v>
      </c>
      <c r="DM22" s="31" t="str">
        <f>IFERROR(VLOOKUP([2]Pointage!DQ16,Feuil1!$A:$B,2,FALSE),"")</f>
        <v>M</v>
      </c>
      <c r="DN22" s="31" t="str">
        <f>IFERROR(VLOOKUP([2]Pointage!DR16,Feuil1!$A:$B,2,FALSE),"")</f>
        <v/>
      </c>
      <c r="DO22" s="31" t="str">
        <f>IFERROR(VLOOKUP([2]Pointage!DS16,Feuil1!$A:$B,2,FALSE),"")</f>
        <v/>
      </c>
      <c r="DP22" s="31" t="str">
        <f>IFERROR(VLOOKUP([2]Pointage!DT16,Feuil1!$A:$B,2,FALSE),"")</f>
        <v/>
      </c>
      <c r="DQ22" s="31" t="str">
        <f>IFERROR(VLOOKUP([2]Pointage!DU16,Feuil1!$A:$B,2,FALSE),"")</f>
        <v/>
      </c>
      <c r="DR22" s="31" t="str">
        <f>IFERROR(VLOOKUP([2]Pointage!DV16,Feuil1!$A:$B,2,FALSE),"")</f>
        <v/>
      </c>
      <c r="DS22" s="31" t="str">
        <f>IFERROR(VLOOKUP([2]Pointage!DW16,Feuil1!$A:$B,2,FALSE),"")</f>
        <v/>
      </c>
      <c r="DT22" s="31" t="str">
        <f>IFERROR(VLOOKUP([2]Pointage!DX16,Feuil1!$A:$B,2,FALSE),"")</f>
        <v/>
      </c>
      <c r="DU22" s="82" t="str">
        <f>IFERROR(VLOOKUP([2]Pointage!DY16,Feuil1!$A:$B,2,FALSE),"")</f>
        <v/>
      </c>
      <c r="DV22" s="47" t="str">
        <f>IFERROR(VLOOKUP([2]Pointage!DZ16,Feuil1!$A:$B,2,FALSE),"")</f>
        <v/>
      </c>
      <c r="DW22" s="31" t="str">
        <f>IFERROR(VLOOKUP([2]Pointage!EA16,Feuil1!$A:$B,2,FALSE),"")</f>
        <v/>
      </c>
      <c r="DX22" s="31" t="str">
        <f>IFERROR(VLOOKUP([2]Pointage!EB16,Feuil1!$A:$B,2,FALSE),"")</f>
        <v/>
      </c>
      <c r="DY22" s="31" t="str">
        <f>IFERROR(VLOOKUP([2]Pointage!EC16,Feuil1!$A:$B,2,FALSE),"")</f>
        <v/>
      </c>
      <c r="DZ22" s="31" t="str">
        <f>IFERROR(VLOOKUP([2]Pointage!ED16,Feuil1!$A:$B,2,FALSE),"")</f>
        <v/>
      </c>
      <c r="EA22" s="31" t="str">
        <f>IFERROR(VLOOKUP([2]Pointage!EE16,Feuil1!$A:$B,2,FALSE),"")</f>
        <v/>
      </c>
      <c r="EB22" s="31" t="str">
        <f>IFERROR(VLOOKUP([2]Pointage!EF16,Feuil1!$A:$B,2,FALSE),"")</f>
        <v/>
      </c>
      <c r="EC22" s="31" t="str">
        <f>IFERROR(VLOOKUP([2]Pointage!EG16,Feuil1!$A:$B,2,FALSE),"")</f>
        <v/>
      </c>
      <c r="ED22" s="31" t="str">
        <f>IFERROR(VLOOKUP([2]Pointage!EH16,Feuil1!$A:$B,2,FALSE),"")</f>
        <v/>
      </c>
      <c r="EE22" s="31" t="str">
        <f>IFERROR(VLOOKUP([2]Pointage!EI16,Feuil1!$A:$B,2,FALSE),"")</f>
        <v/>
      </c>
      <c r="EF22" s="31" t="str">
        <f>IFERROR(VLOOKUP([2]Pointage!EJ16,Feuil1!$A:$B,2,FALSE),"")</f>
        <v/>
      </c>
      <c r="EG22" s="31" t="str">
        <f>IFERROR(VLOOKUP([2]Pointage!EK16,Feuil1!$A:$B,2,FALSE),"")</f>
        <v/>
      </c>
      <c r="EH22" s="31" t="str">
        <f>IFERROR(VLOOKUP([2]Pointage!EL16,Feuil1!$A:$B,2,FALSE),"")</f>
        <v/>
      </c>
      <c r="EI22" s="31" t="str">
        <f>IFERROR(VLOOKUP([2]Pointage!EM16,Feuil1!$A:$B,2,FALSE),"")</f>
        <v/>
      </c>
      <c r="EJ22" s="31" t="str">
        <f>IFERROR(VLOOKUP([2]Pointage!EN16,Feuil1!$A:$B,2,FALSE),"")</f>
        <v/>
      </c>
      <c r="EK22" s="31" t="str">
        <f>IFERROR(VLOOKUP([2]Pointage!EO16,Feuil1!$A:$B,2,FALSE),"")</f>
        <v/>
      </c>
      <c r="EL22" s="31" t="str">
        <f>IFERROR(VLOOKUP([2]Pointage!EP16,Feuil1!$A:$B,2,FALSE),"")</f>
        <v/>
      </c>
      <c r="EM22" s="31" t="str">
        <f>IFERROR(VLOOKUP([2]Pointage!EQ16,Feuil1!$A:$B,2,FALSE),"")</f>
        <v/>
      </c>
      <c r="EN22" s="31" t="str">
        <f>IFERROR(VLOOKUP([2]Pointage!ER16,Feuil1!$A:$B,2,FALSE),"")</f>
        <v/>
      </c>
      <c r="EO22" s="31" t="str">
        <f>IFERROR(VLOOKUP([2]Pointage!ES16,Feuil1!$A:$B,2,FALSE),"")</f>
        <v/>
      </c>
      <c r="EP22" s="31" t="str">
        <f>IFERROR(VLOOKUP([2]Pointage!ET16,Feuil1!$A:$B,2,FALSE),"")</f>
        <v/>
      </c>
      <c r="EQ22" s="31" t="str">
        <f>IFERROR(VLOOKUP([2]Pointage!EU16,Feuil1!$A:$B,2,FALSE),"")</f>
        <v/>
      </c>
      <c r="ER22" s="31" t="str">
        <f>IFERROR(VLOOKUP([2]Pointage!EV16,Feuil1!$A:$B,2,FALSE),"")</f>
        <v/>
      </c>
      <c r="ES22" s="31" t="str">
        <f>IFERROR(VLOOKUP([2]Pointage!EW16,Feuil1!$A:$B,2,FALSE),"")</f>
        <v/>
      </c>
      <c r="ET22" s="31" t="str">
        <f>IFERROR(VLOOKUP([2]Pointage!EX16,Feuil1!$A:$B,2,FALSE),"")</f>
        <v/>
      </c>
      <c r="EU22" s="31" t="str">
        <f>IFERROR(VLOOKUP([2]Pointage!EY16,Feuil1!$A:$B,2,FALSE),"")</f>
        <v/>
      </c>
      <c r="EV22" s="31" t="str">
        <f>IFERROR(VLOOKUP([2]Pointage!EZ16,Feuil1!$A:$B,2,FALSE),"")</f>
        <v/>
      </c>
      <c r="EW22" s="31" t="str">
        <f>IFERROR(VLOOKUP([2]Pointage!FA16,Feuil1!$A:$B,2,FALSE),"")</f>
        <v/>
      </c>
      <c r="EX22" s="31" t="str">
        <f>IFERROR(VLOOKUP([2]Pointage!FB16,Feuil1!$A:$B,2,FALSE),"")</f>
        <v/>
      </c>
      <c r="EY22" s="31" t="str">
        <f>IFERROR(VLOOKUP([2]Pointage!FC16,Feuil1!$A:$B,2,FALSE),"")</f>
        <v/>
      </c>
      <c r="EZ22" s="82" t="str">
        <f>IFERROR(VLOOKUP([2]Pointage!FD16,Feuil1!$A:$B,2,FALSE),"")</f>
        <v/>
      </c>
      <c r="FA22" s="47" t="str">
        <f>IFERROR(VLOOKUP([2]Pointage!FE16,Feuil1!$A:$B,2,FALSE),"")</f>
        <v/>
      </c>
      <c r="FB22" s="31" t="str">
        <f>IFERROR(VLOOKUP([2]Pointage!FF16,Feuil1!$A:$B,2,FALSE),"")</f>
        <v/>
      </c>
      <c r="FC22" s="31" t="str">
        <f>IFERROR(VLOOKUP([2]Pointage!FG16,Feuil1!$A:$B,2,FALSE),"")</f>
        <v/>
      </c>
      <c r="FD22" s="31" t="str">
        <f>IFERROR(VLOOKUP([2]Pointage!FH16,Feuil1!$A:$B,2,FALSE),"")</f>
        <v/>
      </c>
      <c r="FE22" s="31" t="str">
        <f>IFERROR(VLOOKUP([2]Pointage!FI16,Feuil1!$A:$B,2,FALSE),"")</f>
        <v/>
      </c>
      <c r="FF22" s="31" t="str">
        <f>IFERROR(VLOOKUP([2]Pointage!FJ16,Feuil1!$A:$B,2,FALSE),"")</f>
        <v/>
      </c>
      <c r="FG22" s="31" t="str">
        <f>IFERROR(VLOOKUP([2]Pointage!FK16,Feuil1!$A:$B,2,FALSE),"")</f>
        <v/>
      </c>
      <c r="FH22" s="31" t="str">
        <f>IFERROR(VLOOKUP([2]Pointage!FL16,Feuil1!$A:$B,2,FALSE),"")</f>
        <v/>
      </c>
      <c r="FI22" s="31" t="str">
        <f>IFERROR(VLOOKUP([2]Pointage!FM16,Feuil1!$A:$B,2,FALSE),"")</f>
        <v/>
      </c>
      <c r="FJ22" s="31" t="str">
        <f>IFERROR(VLOOKUP([2]Pointage!FN16,Feuil1!$A:$B,2,FALSE),"")</f>
        <v/>
      </c>
      <c r="FK22" s="31" t="str">
        <f>IFERROR(VLOOKUP([2]Pointage!FO16,Feuil1!$A:$B,2,FALSE),"")</f>
        <v/>
      </c>
      <c r="FL22" s="31" t="str">
        <f>IFERROR(VLOOKUP([2]Pointage!FP16,Feuil1!$A:$B,2,FALSE),"")</f>
        <v/>
      </c>
      <c r="FM22" s="31" t="str">
        <f>IFERROR(VLOOKUP([2]Pointage!FQ16,Feuil1!$A:$B,2,FALSE),"")</f>
        <v/>
      </c>
      <c r="FN22" s="31" t="str">
        <f>IFERROR(VLOOKUP([2]Pointage!FR16,Feuil1!$A:$B,2,FALSE),"")</f>
        <v/>
      </c>
      <c r="FO22" s="31" t="str">
        <f>IFERROR(VLOOKUP([2]Pointage!FS16,Feuil1!$A:$B,2,FALSE),"")</f>
        <v/>
      </c>
      <c r="FP22" s="31" t="str">
        <f>IFERROR(VLOOKUP([2]Pointage!FT16,Feuil1!$A:$B,2,FALSE),"")</f>
        <v/>
      </c>
      <c r="FQ22" s="31" t="str">
        <f>IFERROR(VLOOKUP([2]Pointage!FU16,Feuil1!$A:$B,2,FALSE),"")</f>
        <v/>
      </c>
      <c r="FR22" s="31" t="str">
        <f>IFERROR(VLOOKUP([2]Pointage!FV16,Feuil1!$A:$B,2,FALSE),"")</f>
        <v/>
      </c>
      <c r="FS22" s="31" t="str">
        <f>IFERROR(VLOOKUP([2]Pointage!FW16,Feuil1!$A:$B,2,FALSE),"")</f>
        <v/>
      </c>
      <c r="FT22" s="31" t="str">
        <f>IFERROR(VLOOKUP([2]Pointage!FX16,Feuil1!$A:$B,2,FALSE),"")</f>
        <v/>
      </c>
      <c r="FU22" s="31" t="str">
        <f>IFERROR(VLOOKUP([2]Pointage!FY16,Feuil1!$A:$B,2,FALSE),"")</f>
        <v/>
      </c>
      <c r="FV22" s="31" t="str">
        <f>IFERROR(VLOOKUP([2]Pointage!FZ16,Feuil1!$A:$B,2,FALSE),"")</f>
        <v/>
      </c>
      <c r="FW22" s="31" t="str">
        <f>IFERROR(VLOOKUP([2]Pointage!GA16,Feuil1!$A:$B,2,FALSE),"")</f>
        <v/>
      </c>
      <c r="FX22" s="31" t="str">
        <f>IFERROR(VLOOKUP([2]Pointage!GB16,Feuil1!$A:$B,2,FALSE),"")</f>
        <v/>
      </c>
      <c r="FY22" s="31" t="str">
        <f>IFERROR(VLOOKUP([2]Pointage!GC16,Feuil1!$A:$B,2,FALSE),"")</f>
        <v/>
      </c>
      <c r="FZ22" s="31" t="str">
        <f>IFERROR(VLOOKUP([2]Pointage!GD16,Feuil1!$A:$B,2,FALSE),"")</f>
        <v/>
      </c>
      <c r="GA22" s="31" t="str">
        <f>IFERROR(VLOOKUP([2]Pointage!GE16,Feuil1!$A:$B,2,FALSE),"")</f>
        <v/>
      </c>
      <c r="GB22" s="31" t="str">
        <f>IFERROR(VLOOKUP([2]Pointage!GF16,Feuil1!$A:$B,2,FALSE),"")</f>
        <v/>
      </c>
      <c r="GC22" s="31" t="str">
        <f>IFERROR(VLOOKUP([2]Pointage!GG16,Feuil1!$A:$B,2,FALSE),"")</f>
        <v/>
      </c>
      <c r="GD22" s="82" t="str">
        <f>IFERROR(VLOOKUP([2]Pointage!GH16,Feuil1!$A:$B,2,FALSE),"")</f>
        <v/>
      </c>
      <c r="GE22" s="47" t="str">
        <f>IFERROR(VLOOKUP([2]Pointage!GI16,Feuil1!$A:$B,2,FALSE),"")</f>
        <v/>
      </c>
      <c r="GF22" s="31" t="str">
        <f>IFERROR(VLOOKUP([2]Pointage!GJ16,Feuil1!$A:$B,2,FALSE),"")</f>
        <v/>
      </c>
      <c r="GG22" s="31" t="str">
        <f>IFERROR(VLOOKUP([2]Pointage!GK16,Feuil1!$A:$B,2,FALSE),"")</f>
        <v/>
      </c>
      <c r="GH22" s="31" t="str">
        <f>IFERROR(VLOOKUP([2]Pointage!GL16,Feuil1!$A:$B,2,FALSE),"")</f>
        <v/>
      </c>
      <c r="GI22" s="31" t="str">
        <f>IFERROR(VLOOKUP([2]Pointage!GM16,Feuil1!$A:$B,2,FALSE),"")</f>
        <v/>
      </c>
      <c r="GJ22" s="31" t="str">
        <f>IFERROR(VLOOKUP([2]Pointage!GN16,Feuil1!$A:$B,2,FALSE),"")</f>
        <v/>
      </c>
      <c r="GK22" s="31" t="str">
        <f>IFERROR(VLOOKUP([2]Pointage!GO16,Feuil1!$A:$B,2,FALSE),"")</f>
        <v/>
      </c>
      <c r="GL22" s="31" t="str">
        <f>IFERROR(VLOOKUP([2]Pointage!GP16,Feuil1!$A:$B,2,FALSE),"")</f>
        <v/>
      </c>
      <c r="GM22" s="31" t="str">
        <f>IFERROR(VLOOKUP([2]Pointage!GQ16,Feuil1!$A:$B,2,FALSE),"")</f>
        <v/>
      </c>
      <c r="GN22" s="31" t="str">
        <f>IFERROR(VLOOKUP([2]Pointage!GR16,Feuil1!$A:$B,2,FALSE),"")</f>
        <v/>
      </c>
      <c r="GO22" s="31" t="str">
        <f>IFERROR(VLOOKUP([2]Pointage!GS16,Feuil1!$A:$B,2,FALSE),"")</f>
        <v/>
      </c>
      <c r="GP22" s="31" t="str">
        <f>IFERROR(VLOOKUP([2]Pointage!GT16,Feuil1!$A:$B,2,FALSE),"")</f>
        <v/>
      </c>
      <c r="GQ22" s="31" t="str">
        <f>IFERROR(VLOOKUP([2]Pointage!GU16,Feuil1!$A:$B,2,FALSE),"")</f>
        <v/>
      </c>
      <c r="GR22" s="31" t="str">
        <f>IFERROR(VLOOKUP([2]Pointage!GV16,Feuil1!$A:$B,2,FALSE),"")</f>
        <v/>
      </c>
      <c r="GS22" s="31" t="str">
        <f>IFERROR(VLOOKUP([2]Pointage!GW16,Feuil1!$A:$B,2,FALSE),"")</f>
        <v/>
      </c>
      <c r="GT22" s="31" t="str">
        <f>IFERROR(VLOOKUP([2]Pointage!GX16,Feuil1!$A:$B,2,FALSE),"")</f>
        <v/>
      </c>
      <c r="GU22" s="31" t="str">
        <f>IFERROR(VLOOKUP([2]Pointage!GY16,Feuil1!$A:$B,2,FALSE),"")</f>
        <v/>
      </c>
      <c r="GV22" s="31" t="str">
        <f>IFERROR(VLOOKUP([2]Pointage!GZ16,Feuil1!$A:$B,2,FALSE),"")</f>
        <v/>
      </c>
      <c r="GW22" s="31" t="str">
        <f>IFERROR(VLOOKUP([2]Pointage!HA16,Feuil1!$A:$B,2,FALSE),"")</f>
        <v/>
      </c>
      <c r="GX22" s="31" t="str">
        <f>IFERROR(VLOOKUP([2]Pointage!HB16,Feuil1!$A:$B,2,FALSE),"")</f>
        <v/>
      </c>
      <c r="GY22" s="31" t="str">
        <f>IFERROR(VLOOKUP([2]Pointage!HC16,Feuil1!$A:$B,2,FALSE),"")</f>
        <v/>
      </c>
      <c r="GZ22" s="31" t="str">
        <f>IFERROR(VLOOKUP([2]Pointage!HD16,Feuil1!$A:$B,2,FALSE),"")</f>
        <v/>
      </c>
      <c r="HA22" s="31" t="str">
        <f>IFERROR(VLOOKUP([2]Pointage!HE16,Feuil1!$A:$B,2,FALSE),"")</f>
        <v/>
      </c>
      <c r="HB22" s="31" t="str">
        <f>IFERROR(VLOOKUP([2]Pointage!HF16,Feuil1!$A:$B,2,FALSE),"")</f>
        <v/>
      </c>
      <c r="HC22" s="31" t="str">
        <f>IFERROR(VLOOKUP([2]Pointage!HG16,Feuil1!$A:$B,2,FALSE),"")</f>
        <v/>
      </c>
      <c r="HD22" s="31" t="str">
        <f>IFERROR(VLOOKUP([2]Pointage!HH16,Feuil1!$A:$B,2,FALSE),"")</f>
        <v/>
      </c>
      <c r="HE22" s="31" t="str">
        <f>IFERROR(VLOOKUP([2]Pointage!HI16,Feuil1!$A:$B,2,FALSE),"")</f>
        <v/>
      </c>
      <c r="HF22" s="31" t="str">
        <f>IFERROR(VLOOKUP([2]Pointage!HJ16,Feuil1!$A:$B,2,FALSE),"")</f>
        <v/>
      </c>
      <c r="HG22" s="31" t="str">
        <f>IFERROR(VLOOKUP([2]Pointage!HK16,Feuil1!$A:$B,2,FALSE),"")</f>
        <v/>
      </c>
      <c r="HH22" s="31" t="str">
        <f>IFERROR(VLOOKUP([2]Pointage!HL16,Feuil1!$A:$B,2,FALSE),"")</f>
        <v/>
      </c>
      <c r="HI22" s="82" t="str">
        <f>IFERROR(VLOOKUP([2]Pointage!HM16,Feuil1!$A:$B,2,FALSE),"")</f>
        <v/>
      </c>
      <c r="HJ22" s="47" t="str">
        <f>IFERROR(VLOOKUP([2]Pointage!HN16,Feuil1!$A:$B,2,FALSE),"")</f>
        <v/>
      </c>
      <c r="HK22" s="31" t="str">
        <f>IFERROR(VLOOKUP([2]Pointage!HO16,Feuil1!$A:$B,2,FALSE),"")</f>
        <v/>
      </c>
      <c r="HL22" s="31" t="str">
        <f>IFERROR(VLOOKUP([2]Pointage!HP16,Feuil1!$A:$B,2,FALSE),"")</f>
        <v/>
      </c>
      <c r="HM22" s="31" t="str">
        <f>IFERROR(VLOOKUP([2]Pointage!HQ16,Feuil1!$A:$B,2,FALSE),"")</f>
        <v/>
      </c>
      <c r="HN22" s="31" t="str">
        <f>IFERROR(VLOOKUP([2]Pointage!HR16,Feuil1!$A:$B,2,FALSE),"")</f>
        <v/>
      </c>
      <c r="HO22" s="31" t="str">
        <f>IFERROR(VLOOKUP([2]Pointage!HS16,Feuil1!$A:$B,2,FALSE),"")</f>
        <v/>
      </c>
      <c r="HP22" s="31" t="str">
        <f>IFERROR(VLOOKUP([2]Pointage!HT16,Feuil1!$A:$B,2,FALSE),"")</f>
        <v/>
      </c>
      <c r="HQ22" s="31" t="str">
        <f>IFERROR(VLOOKUP([2]Pointage!HU16,Feuil1!$A:$B,2,FALSE),"")</f>
        <v/>
      </c>
      <c r="HR22" s="31" t="str">
        <f>IFERROR(VLOOKUP([2]Pointage!HV16,Feuil1!$A:$B,2,FALSE),"")</f>
        <v/>
      </c>
      <c r="HS22" s="31" t="str">
        <f>IFERROR(VLOOKUP([2]Pointage!HW16,Feuil1!$A:$B,2,FALSE),"")</f>
        <v/>
      </c>
      <c r="HT22" s="31" t="str">
        <f>IFERROR(VLOOKUP([2]Pointage!HX16,Feuil1!$A:$B,2,FALSE),"")</f>
        <v/>
      </c>
      <c r="HU22" s="31" t="str">
        <f>IFERROR(VLOOKUP([2]Pointage!HY16,Feuil1!$A:$B,2,FALSE),"")</f>
        <v/>
      </c>
      <c r="HV22" s="31" t="str">
        <f>IFERROR(VLOOKUP([2]Pointage!HZ16,Feuil1!$A:$B,2,FALSE),"")</f>
        <v>C</v>
      </c>
      <c r="HW22" s="31" t="str">
        <f>IFERROR(VLOOKUP([2]Pointage!IA16,Feuil1!$A:$B,2,FALSE),"")</f>
        <v>C</v>
      </c>
      <c r="HX22" s="31" t="str">
        <f>IFERROR(VLOOKUP([2]Pointage!IB16,Feuil1!$A:$B,2,FALSE),"")</f>
        <v/>
      </c>
      <c r="HY22" s="31" t="str">
        <f>IFERROR(VLOOKUP([2]Pointage!IC16,Feuil1!$A:$B,2,FALSE),"")</f>
        <v>C</v>
      </c>
      <c r="HZ22" s="31" t="str">
        <f>IFERROR(VLOOKUP([2]Pointage!ID16,Feuil1!$A:$B,2,FALSE),"")</f>
        <v>C</v>
      </c>
      <c r="IA22" s="31" t="str">
        <f>IFERROR(VLOOKUP([2]Pointage!IE16,Feuil1!$A:$B,2,FALSE),"")</f>
        <v/>
      </c>
      <c r="IB22" s="31" t="str">
        <f>IFERROR(VLOOKUP([2]Pointage!IF16,Feuil1!$A:$B,2,FALSE),"")</f>
        <v/>
      </c>
      <c r="IC22" s="31" t="str">
        <f>IFERROR(VLOOKUP([2]Pointage!IG16,Feuil1!$A:$B,2,FALSE),"")</f>
        <v>C</v>
      </c>
      <c r="ID22" s="31" t="str">
        <f>IFERROR(VLOOKUP([2]Pointage!IH16,Feuil1!$A:$B,2,FALSE),"")</f>
        <v>C</v>
      </c>
      <c r="IE22" s="31" t="str">
        <f>IFERROR(VLOOKUP([2]Pointage!II16,Feuil1!$A:$B,2,FALSE),"")</f>
        <v>C</v>
      </c>
      <c r="IF22" s="31" t="str">
        <f>IFERROR(VLOOKUP([2]Pointage!IJ16,Feuil1!$A:$B,2,FALSE),"")</f>
        <v>C</v>
      </c>
      <c r="IG22" s="31" t="str">
        <f>IFERROR(VLOOKUP([2]Pointage!IK16,Feuil1!$A:$B,2,FALSE),"")</f>
        <v>C</v>
      </c>
      <c r="IH22" s="31" t="str">
        <f>IFERROR(VLOOKUP([2]Pointage!IL16,Feuil1!$A:$B,2,FALSE),"")</f>
        <v>C</v>
      </c>
      <c r="II22" s="31" t="str">
        <f>IFERROR(VLOOKUP([2]Pointage!IM16,Feuil1!$A:$B,2,FALSE),"")</f>
        <v>C</v>
      </c>
      <c r="IJ22" s="31" t="str">
        <f>IFERROR(VLOOKUP([2]Pointage!IN16,Feuil1!$A:$B,2,FALSE),"")</f>
        <v/>
      </c>
      <c r="IK22" s="31" t="str">
        <f>IFERROR(VLOOKUP([2]Pointage!IO16,Feuil1!$A:$B,2,FALSE),"")</f>
        <v/>
      </c>
      <c r="IL22" s="31" t="str">
        <f>IFERROR(VLOOKUP([2]Pointage!IP16,Feuil1!$A:$B,2,FALSE),"")</f>
        <v/>
      </c>
      <c r="IM22" s="31" t="str">
        <f>IFERROR(VLOOKUP([2]Pointage!IQ16,Feuil1!$A:$B,2,FALSE),"")</f>
        <v/>
      </c>
      <c r="IN22" s="82" t="str">
        <f>IFERROR(VLOOKUP([2]Pointage!IR16,Feuil1!$A:$B,2,FALSE),"")</f>
        <v/>
      </c>
      <c r="IO22" s="47" t="str">
        <f>IFERROR(VLOOKUP([2]Pointage!IS16,Feuil1!$A:$B,2,FALSE),"")</f>
        <v/>
      </c>
      <c r="IP22" s="31" t="str">
        <f>IFERROR(VLOOKUP([2]Pointage!IT16,Feuil1!$A:$B,2,FALSE),"")</f>
        <v/>
      </c>
      <c r="IQ22" s="31" t="str">
        <f>IFERROR(VLOOKUP([2]Pointage!IU16,Feuil1!$A:$B,2,FALSE),"")</f>
        <v/>
      </c>
      <c r="IR22" s="31" t="str">
        <f>IFERROR(VLOOKUP([2]Pointage!IV16,Feuil1!$A:$B,2,FALSE),"")</f>
        <v/>
      </c>
      <c r="IS22" s="31" t="str">
        <f>IFERROR(VLOOKUP([2]Pointage!IW16,Feuil1!$A:$B,2,FALSE),"")</f>
        <v/>
      </c>
      <c r="IT22" s="31" t="str">
        <f>IFERROR(VLOOKUP([2]Pointage!IX16,Feuil1!$A:$B,2,FALSE),"")</f>
        <v/>
      </c>
      <c r="IU22" s="31" t="str">
        <f>IFERROR(VLOOKUP([2]Pointage!IY16,Feuil1!$A:$B,2,FALSE),"")</f>
        <v/>
      </c>
      <c r="IV22" s="31" t="str">
        <f>IFERROR(VLOOKUP([2]Pointage!IZ16,Feuil1!$A:$B,2,FALSE),"")</f>
        <v/>
      </c>
      <c r="IW22" s="31" t="str">
        <f>IFERROR(VLOOKUP([2]Pointage!JA16,Feuil1!$A:$B,2,FALSE),"")</f>
        <v/>
      </c>
      <c r="IX22" s="31" t="str">
        <f>IFERROR(VLOOKUP([2]Pointage!JB16,Feuil1!$A:$B,2,FALSE),"")</f>
        <v/>
      </c>
      <c r="IY22" s="31" t="str">
        <f>IFERROR(VLOOKUP([2]Pointage!JC16,Feuil1!$A:$B,2,FALSE),"")</f>
        <v/>
      </c>
      <c r="IZ22" s="31" t="str">
        <f>IFERROR(VLOOKUP([2]Pointage!JD16,Feuil1!$A:$B,2,FALSE),"")</f>
        <v/>
      </c>
      <c r="JA22" s="31" t="str">
        <f>IFERROR(VLOOKUP([2]Pointage!JE16,Feuil1!$A:$B,2,FALSE),"")</f>
        <v/>
      </c>
      <c r="JB22" s="31" t="str">
        <f>IFERROR(VLOOKUP([2]Pointage!JF16,Feuil1!$A:$B,2,FALSE),"")</f>
        <v/>
      </c>
      <c r="JC22" s="31" t="str">
        <f>IFERROR(VLOOKUP([2]Pointage!JG16,Feuil1!$A:$B,2,FALSE),"")</f>
        <v/>
      </c>
      <c r="JD22" s="31" t="str">
        <f>IFERROR(VLOOKUP([2]Pointage!JH16,Feuil1!$A:$B,2,FALSE),"")</f>
        <v/>
      </c>
      <c r="JE22" s="31" t="str">
        <f>IFERROR(VLOOKUP([2]Pointage!JI16,Feuil1!$A:$B,2,FALSE),"")</f>
        <v/>
      </c>
      <c r="JF22" s="31" t="str">
        <f>IFERROR(VLOOKUP([2]Pointage!JJ16,Feuil1!$A:$B,2,FALSE),"")</f>
        <v/>
      </c>
      <c r="JG22" s="31" t="str">
        <f>IFERROR(VLOOKUP([2]Pointage!JK16,Feuil1!$A:$B,2,FALSE),"")</f>
        <v/>
      </c>
      <c r="JH22" s="31" t="str">
        <f>IFERROR(VLOOKUP([2]Pointage!JL16,Feuil1!$A:$B,2,FALSE),"")</f>
        <v/>
      </c>
      <c r="JI22" s="31" t="str">
        <f>IFERROR(VLOOKUP([2]Pointage!JM16,Feuil1!$A:$B,2,FALSE),"")</f>
        <v/>
      </c>
      <c r="JJ22" s="31" t="str">
        <f>IFERROR(VLOOKUP([2]Pointage!JN16,Feuil1!$A:$B,2,FALSE),"")</f>
        <v/>
      </c>
      <c r="JK22" s="31" t="str">
        <f>IFERROR(VLOOKUP([2]Pointage!JO16,Feuil1!$A:$B,2,FALSE),"")</f>
        <v/>
      </c>
      <c r="JL22" s="31" t="str">
        <f>IFERROR(VLOOKUP([2]Pointage!JP16,Feuil1!$A:$B,2,FALSE),"")</f>
        <v/>
      </c>
      <c r="JM22" s="31" t="str">
        <f>IFERROR(VLOOKUP([2]Pointage!JQ16,Feuil1!$A:$B,2,FALSE),"")</f>
        <v/>
      </c>
      <c r="JN22" s="31" t="str">
        <f>IFERROR(VLOOKUP([2]Pointage!JR16,Feuil1!$A:$B,2,FALSE),"")</f>
        <v/>
      </c>
      <c r="JO22" s="31" t="str">
        <f>IFERROR(VLOOKUP([2]Pointage!JS16,Feuil1!$A:$B,2,FALSE),"")</f>
        <v/>
      </c>
      <c r="JP22" s="31" t="str">
        <f>IFERROR(VLOOKUP([2]Pointage!JT16,Feuil1!$A:$B,2,FALSE),"")</f>
        <v/>
      </c>
      <c r="JQ22" s="31" t="str">
        <f>IFERROR(VLOOKUP([2]Pointage!JU16,Feuil1!$A:$B,2,FALSE),"")</f>
        <v/>
      </c>
      <c r="JR22" s="82" t="str">
        <f>IFERROR(VLOOKUP([2]Pointage!JV16,Feuil1!$A:$B,2,FALSE),"")</f>
        <v/>
      </c>
      <c r="JS22" s="47" t="str">
        <f>IFERROR(VLOOKUP([2]Pointage!JW16,Feuil1!$A:$B,2,FALSE),"")</f>
        <v/>
      </c>
      <c r="JT22" s="31" t="str">
        <f>IFERROR(VLOOKUP([2]Pointage!JX16,Feuil1!$A:$B,2,FALSE),"")</f>
        <v/>
      </c>
      <c r="JU22" s="31" t="str">
        <f>IFERROR(VLOOKUP([2]Pointage!JY16,Feuil1!$A:$B,2,FALSE),"")</f>
        <v/>
      </c>
      <c r="JV22" s="31" t="str">
        <f>IFERROR(VLOOKUP([2]Pointage!JZ16,Feuil1!$A:$B,2,FALSE),"")</f>
        <v/>
      </c>
      <c r="JW22" s="31" t="str">
        <f>IFERROR(VLOOKUP([2]Pointage!KA16,Feuil1!$A:$B,2,FALSE),"")</f>
        <v/>
      </c>
      <c r="JX22" s="31" t="str">
        <f>IFERROR(VLOOKUP([2]Pointage!KB16,Feuil1!$A:$B,2,FALSE),"")</f>
        <v/>
      </c>
      <c r="JY22" s="31" t="str">
        <f>IFERROR(VLOOKUP([2]Pointage!KC16,Feuil1!$A:$B,2,FALSE),"")</f>
        <v/>
      </c>
      <c r="JZ22" s="31" t="str">
        <f>IFERROR(VLOOKUP([2]Pointage!KD16,Feuil1!$A:$B,2,FALSE),"")</f>
        <v/>
      </c>
      <c r="KA22" s="31" t="str">
        <f>IFERROR(VLOOKUP([2]Pointage!KE16,Feuil1!$A:$B,2,FALSE),"")</f>
        <v/>
      </c>
      <c r="KB22" s="31" t="str">
        <f>IFERROR(VLOOKUP([2]Pointage!KF16,Feuil1!$A:$B,2,FALSE),"")</f>
        <v/>
      </c>
      <c r="KC22" s="31" t="str">
        <f>IFERROR(VLOOKUP([2]Pointage!KG16,Feuil1!$A:$B,2,FALSE),"")</f>
        <v/>
      </c>
      <c r="KD22" s="31" t="str">
        <f>IFERROR(VLOOKUP([2]Pointage!KH16,Feuil1!$A:$B,2,FALSE),"")</f>
        <v/>
      </c>
      <c r="KE22" s="31" t="str">
        <f>IFERROR(VLOOKUP([2]Pointage!KI16,Feuil1!$A:$B,2,FALSE),"")</f>
        <v/>
      </c>
      <c r="KF22" s="31" t="str">
        <f>IFERROR(VLOOKUP([2]Pointage!KJ16,Feuil1!$A:$B,2,FALSE),"")</f>
        <v/>
      </c>
      <c r="KG22" s="31" t="str">
        <f>IFERROR(VLOOKUP([2]Pointage!KK16,Feuil1!$A:$B,2,FALSE),"")</f>
        <v/>
      </c>
      <c r="KH22" s="31" t="str">
        <f>IFERROR(VLOOKUP([2]Pointage!KL16,Feuil1!$A:$B,2,FALSE),"")</f>
        <v/>
      </c>
      <c r="KI22" s="31" t="str">
        <f>IFERROR(VLOOKUP([2]Pointage!KM16,Feuil1!$A:$B,2,FALSE),"")</f>
        <v/>
      </c>
      <c r="KJ22" s="31" t="str">
        <f>IFERROR(VLOOKUP([2]Pointage!KN16,Feuil1!$A:$B,2,FALSE),"")</f>
        <v/>
      </c>
      <c r="KK22" s="31" t="str">
        <f>IFERROR(VLOOKUP([2]Pointage!KO16,Feuil1!$A:$B,2,FALSE),"")</f>
        <v/>
      </c>
      <c r="KL22" s="31" t="str">
        <f>IFERROR(VLOOKUP([2]Pointage!KP16,Feuil1!$A:$B,2,FALSE),"")</f>
        <v/>
      </c>
      <c r="KM22" s="31" t="str">
        <f>IFERROR(VLOOKUP([2]Pointage!KQ16,Feuil1!$A:$B,2,FALSE),"")</f>
        <v/>
      </c>
      <c r="KN22" s="31" t="str">
        <f>IFERROR(VLOOKUP([2]Pointage!KR16,Feuil1!$A:$B,2,FALSE),"")</f>
        <v/>
      </c>
      <c r="KO22" s="31" t="str">
        <f>IFERROR(VLOOKUP([2]Pointage!KS16,Feuil1!$A:$B,2,FALSE),"")</f>
        <v/>
      </c>
      <c r="KP22" s="31" t="str">
        <f>IFERROR(VLOOKUP([2]Pointage!KT16,Feuil1!$A:$B,2,FALSE),"")</f>
        <v/>
      </c>
      <c r="KQ22" s="31" t="str">
        <f>IFERROR(VLOOKUP([2]Pointage!KU16,Feuil1!$A:$B,2,FALSE),"")</f>
        <v/>
      </c>
      <c r="KR22" s="31" t="str">
        <f>IFERROR(VLOOKUP([2]Pointage!KV16,Feuil1!$A:$B,2,FALSE),"")</f>
        <v/>
      </c>
      <c r="KS22" s="31" t="str">
        <f>IFERROR(VLOOKUP([2]Pointage!KW16,Feuil1!$A:$B,2,FALSE),"")</f>
        <v/>
      </c>
      <c r="KT22" s="31" t="str">
        <f>IFERROR(VLOOKUP([2]Pointage!KX16,Feuil1!$A:$B,2,FALSE),"")</f>
        <v/>
      </c>
      <c r="KU22" s="31" t="str">
        <f>IFERROR(VLOOKUP([2]Pointage!KY16,Feuil1!$A:$B,2,FALSE),"")</f>
        <v/>
      </c>
      <c r="KV22" s="31" t="str">
        <f>IFERROR(VLOOKUP([2]Pointage!KZ16,Feuil1!$A:$B,2,FALSE),"")</f>
        <v/>
      </c>
      <c r="KW22" s="82" t="str">
        <f>IFERROR(VLOOKUP([2]Pointage!LA16,Feuil1!$A:$B,2,FALSE),"")</f>
        <v/>
      </c>
      <c r="KX22" s="47" t="str">
        <f>IFERROR(VLOOKUP([2]Pointage!LB16,Feuil1!$A:$B,2,FALSE),"")</f>
        <v/>
      </c>
      <c r="KY22" s="31" t="str">
        <f>IFERROR(VLOOKUP([2]Pointage!LC16,Feuil1!$A:$B,2,FALSE),"")</f>
        <v/>
      </c>
      <c r="KZ22" s="31" t="str">
        <f>IFERROR(VLOOKUP([2]Pointage!LD16,Feuil1!$A:$B,2,FALSE),"")</f>
        <v/>
      </c>
      <c r="LA22" s="31" t="str">
        <f>IFERROR(VLOOKUP([2]Pointage!LE16,Feuil1!$A:$B,2,FALSE),"")</f>
        <v/>
      </c>
      <c r="LB22" s="31" t="str">
        <f>IFERROR(VLOOKUP([2]Pointage!LF16,Feuil1!$A:$B,2,FALSE),"")</f>
        <v/>
      </c>
      <c r="LC22" s="31" t="str">
        <f>IFERROR(VLOOKUP([2]Pointage!LG16,Feuil1!$A:$B,2,FALSE),"")</f>
        <v/>
      </c>
      <c r="LD22" s="31" t="str">
        <f>IFERROR(VLOOKUP([2]Pointage!LH16,Feuil1!$A:$B,2,FALSE),"")</f>
        <v/>
      </c>
      <c r="LE22" s="31" t="str">
        <f>IFERROR(VLOOKUP([2]Pointage!LI16,Feuil1!$A:$B,2,FALSE),"")</f>
        <v/>
      </c>
      <c r="LF22" s="31" t="str">
        <f>IFERROR(VLOOKUP([2]Pointage!LJ16,Feuil1!$A:$B,2,FALSE),"")</f>
        <v/>
      </c>
      <c r="LG22" s="31" t="str">
        <f>IFERROR(VLOOKUP([2]Pointage!LK16,Feuil1!$A:$B,2,FALSE),"")</f>
        <v/>
      </c>
      <c r="LH22" s="31" t="str">
        <f>IFERROR(VLOOKUP([2]Pointage!LL16,Feuil1!$A:$B,2,FALSE),"")</f>
        <v/>
      </c>
      <c r="LI22" s="31" t="str">
        <f>IFERROR(VLOOKUP([2]Pointage!LM16,Feuil1!$A:$B,2,FALSE),"")</f>
        <v/>
      </c>
      <c r="LJ22" s="31" t="str">
        <f>IFERROR(VLOOKUP([2]Pointage!LN16,Feuil1!$A:$B,2,FALSE),"")</f>
        <v/>
      </c>
      <c r="LK22" s="31" t="str">
        <f>IFERROR(VLOOKUP([2]Pointage!LO16,Feuil1!$A:$B,2,FALSE),"")</f>
        <v/>
      </c>
      <c r="LL22" s="31" t="str">
        <f>IFERROR(VLOOKUP([2]Pointage!LP16,Feuil1!$A:$B,2,FALSE),"")</f>
        <v/>
      </c>
      <c r="LM22" s="31" t="str">
        <f>IFERROR(VLOOKUP([2]Pointage!LQ16,Feuil1!$A:$B,2,FALSE),"")</f>
        <v/>
      </c>
      <c r="LN22" s="31" t="str">
        <f>IFERROR(VLOOKUP([2]Pointage!LR16,Feuil1!$A:$B,2,FALSE),"")</f>
        <v/>
      </c>
      <c r="LO22" s="31" t="str">
        <f>IFERROR(VLOOKUP([2]Pointage!LS16,Feuil1!$A:$B,2,FALSE),"")</f>
        <v/>
      </c>
      <c r="LP22" s="31" t="str">
        <f>IFERROR(VLOOKUP([2]Pointage!LT16,Feuil1!$A:$B,2,FALSE),"")</f>
        <v/>
      </c>
      <c r="LQ22" s="31" t="str">
        <f>IFERROR(VLOOKUP([2]Pointage!LU16,Feuil1!$A:$B,2,FALSE),"")</f>
        <v/>
      </c>
      <c r="LR22" s="31" t="str">
        <f>IFERROR(VLOOKUP([2]Pointage!LV16,Feuil1!$A:$B,2,FALSE),"")</f>
        <v/>
      </c>
      <c r="LS22" s="31" t="str">
        <f>IFERROR(VLOOKUP([2]Pointage!LW16,Feuil1!$A:$B,2,FALSE),"")</f>
        <v/>
      </c>
      <c r="LT22" s="31" t="str">
        <f>IFERROR(VLOOKUP([2]Pointage!LX16,Feuil1!$A:$B,2,FALSE),"")</f>
        <v/>
      </c>
      <c r="LU22" s="31" t="str">
        <f>IFERROR(VLOOKUP([2]Pointage!LY16,Feuil1!$A:$B,2,FALSE),"")</f>
        <v/>
      </c>
      <c r="LV22" s="31" t="str">
        <f>IFERROR(VLOOKUP([2]Pointage!LZ16,Feuil1!$A:$B,2,FALSE),"")</f>
        <v/>
      </c>
      <c r="LW22" s="31" t="str">
        <f>IFERROR(VLOOKUP([2]Pointage!MA16,Feuil1!$A:$B,2,FALSE),"")</f>
        <v/>
      </c>
      <c r="LX22" s="31" t="str">
        <f>IFERROR(VLOOKUP([2]Pointage!MB16,Feuil1!$A:$B,2,FALSE),"")</f>
        <v/>
      </c>
      <c r="LY22" s="31" t="str">
        <f>IFERROR(VLOOKUP([2]Pointage!MC16,Feuil1!$A:$B,2,FALSE),"")</f>
        <v/>
      </c>
      <c r="LZ22" s="31" t="str">
        <f>IFERROR(VLOOKUP([2]Pointage!MD16,Feuil1!$A:$B,2,FALSE),"")</f>
        <v/>
      </c>
      <c r="MA22" s="82" t="str">
        <f>IFERROR(VLOOKUP([2]Pointage!ME16,Feuil1!$A:$B,2,FALSE),"")</f>
        <v/>
      </c>
      <c r="MB22" s="47" t="str">
        <f>IFERROR(VLOOKUP([2]Pointage!MF16,Feuil1!$A:$B,2,FALSE),"")</f>
        <v/>
      </c>
      <c r="MC22" s="31" t="str">
        <f>IFERROR(VLOOKUP([2]Pointage!MG16,Feuil1!$A:$B,2,FALSE),"")</f>
        <v/>
      </c>
      <c r="MD22" s="31" t="str">
        <f>IFERROR(VLOOKUP([2]Pointage!MH16,Feuil1!$A:$B,2,FALSE),"")</f>
        <v/>
      </c>
      <c r="ME22" s="31" t="str">
        <f>IFERROR(VLOOKUP([2]Pointage!MI16,Feuil1!$A:$B,2,FALSE),"")</f>
        <v/>
      </c>
      <c r="MF22" s="31" t="str">
        <f>IFERROR(VLOOKUP([2]Pointage!MJ16,Feuil1!$A:$B,2,FALSE),"")</f>
        <v/>
      </c>
      <c r="MG22" s="31" t="str">
        <f>IFERROR(VLOOKUP([2]Pointage!MK16,Feuil1!$A:$B,2,FALSE),"")</f>
        <v/>
      </c>
      <c r="MH22" s="31" t="str">
        <f>IFERROR(VLOOKUP([2]Pointage!ML16,Feuil1!$A:$B,2,FALSE),"")</f>
        <v/>
      </c>
      <c r="MI22" s="31" t="str">
        <f>IFERROR(VLOOKUP([2]Pointage!MM16,Feuil1!$A:$B,2,FALSE),"")</f>
        <v/>
      </c>
      <c r="MJ22" s="31" t="str">
        <f>IFERROR(VLOOKUP([2]Pointage!MN16,Feuil1!$A:$B,2,FALSE),"")</f>
        <v/>
      </c>
      <c r="MK22" s="31" t="str">
        <f>IFERROR(VLOOKUP([2]Pointage!MO16,Feuil1!$A:$B,2,FALSE),"")</f>
        <v/>
      </c>
      <c r="ML22" s="31" t="str">
        <f>IFERROR(VLOOKUP([2]Pointage!MP16,Feuil1!$A:$B,2,FALSE),"")</f>
        <v/>
      </c>
      <c r="MM22" s="31" t="str">
        <f>IFERROR(VLOOKUP([2]Pointage!MQ16,Feuil1!$A:$B,2,FALSE),"")</f>
        <v/>
      </c>
      <c r="MN22" s="31" t="str">
        <f>IFERROR(VLOOKUP([2]Pointage!MR16,Feuil1!$A:$B,2,FALSE),"")</f>
        <v/>
      </c>
      <c r="MO22" s="31" t="str">
        <f>IFERROR(VLOOKUP([2]Pointage!MS16,Feuil1!$A:$B,2,FALSE),"")</f>
        <v/>
      </c>
      <c r="MP22" s="31" t="str">
        <f>IFERROR(VLOOKUP([2]Pointage!MT16,Feuil1!$A:$B,2,FALSE),"")</f>
        <v/>
      </c>
      <c r="MQ22" s="31" t="str">
        <f>IFERROR(VLOOKUP([2]Pointage!MU16,Feuil1!$A:$B,2,FALSE),"")</f>
        <v/>
      </c>
      <c r="MR22" s="31" t="str">
        <f>IFERROR(VLOOKUP([2]Pointage!MV16,Feuil1!$A:$B,2,FALSE),"")</f>
        <v/>
      </c>
      <c r="MS22" s="31" t="str">
        <f>IFERROR(VLOOKUP([2]Pointage!MW16,Feuil1!$A:$B,2,FALSE),"")</f>
        <v/>
      </c>
      <c r="MT22" s="31" t="str">
        <f>IFERROR(VLOOKUP([2]Pointage!MX16,Feuil1!$A:$B,2,FALSE),"")</f>
        <v/>
      </c>
      <c r="MU22" s="31" t="str">
        <f>IFERROR(VLOOKUP([2]Pointage!MY16,Feuil1!$A:$B,2,FALSE),"")</f>
        <v/>
      </c>
      <c r="MV22" s="31" t="str">
        <f>IFERROR(VLOOKUP([2]Pointage!MZ16,Feuil1!$A:$B,2,FALSE),"")</f>
        <v/>
      </c>
      <c r="MW22" s="31" t="str">
        <f>IFERROR(VLOOKUP([2]Pointage!NA16,Feuil1!$A:$B,2,FALSE),"")</f>
        <v/>
      </c>
      <c r="MX22" s="31" t="str">
        <f>IFERROR(VLOOKUP([2]Pointage!NB16,Feuil1!$A:$B,2,FALSE),"")</f>
        <v/>
      </c>
      <c r="MY22" s="31" t="str">
        <f>IFERROR(VLOOKUP([2]Pointage!NC16,Feuil1!$A:$B,2,FALSE),"")</f>
        <v/>
      </c>
      <c r="MZ22" s="31" t="str">
        <f>IFERROR(VLOOKUP([2]Pointage!ND16,Feuil1!$A:$B,2,FALSE),"")</f>
        <v/>
      </c>
      <c r="NA22" s="31" t="str">
        <f>IFERROR(VLOOKUP([2]Pointage!NE16,Feuil1!$A:$B,2,FALSE),"")</f>
        <v/>
      </c>
      <c r="NB22" s="31" t="str">
        <f>IFERROR(VLOOKUP([2]Pointage!NF16,Feuil1!$A:$B,2,FALSE),"")</f>
        <v/>
      </c>
      <c r="NC22" s="31" t="str">
        <f>IFERROR(VLOOKUP([2]Pointage!NG16,Feuil1!$A:$B,2,FALSE),"")</f>
        <v/>
      </c>
      <c r="ND22" s="31" t="str">
        <f>IFERROR(VLOOKUP([2]Pointage!NH16,Feuil1!$A:$B,2,FALSE),"")</f>
        <v/>
      </c>
      <c r="NE22" s="31" t="str">
        <f>IFERROR(VLOOKUP([2]Pointage!NI16,Feuil1!$A:$B,2,FALSE),"")</f>
        <v/>
      </c>
      <c r="NF22" s="48" t="str">
        <f>IFERROR(VLOOKUP([2]Pointage!NJ16,Feuil1!$A:$B,2,FALSE),"")</f>
        <v/>
      </c>
      <c r="NG22" s="52">
        <f>COUNTIF(Global!F22:NF22,"RTT")+(COUNTIF(Global!F22:NF22,"dRTT")/2)</f>
        <v>0</v>
      </c>
      <c r="NH22" s="42">
        <f>COUNTIF(Global!F22:NF22,"C")+(COUNTIF(Global!F22:NF22,"DC")/2)</f>
        <v>16</v>
      </c>
      <c r="NI22" s="42">
        <f>COUNTIF(Global!F22:NF22,"M")</f>
        <v>7</v>
      </c>
      <c r="NJ22" s="42">
        <f>COUNTIF(Global!G22:NG22,"AT")</f>
        <v>0</v>
      </c>
      <c r="NK22" s="42">
        <f>COUNTIF(Global!F22:NF22,"RD")</f>
        <v>0</v>
      </c>
      <c r="NL22" s="42">
        <f>COUNTIF(Global!F22:NF22,"RC")+(COUNTIF(Global!F22:NF22,"dRC")/2)</f>
        <v>0</v>
      </c>
      <c r="NM22" s="68">
        <f t="shared" ca="1" si="0"/>
        <v>3.8356164383561646</v>
      </c>
      <c r="NT22" s="33"/>
      <c r="NU22" s="33"/>
      <c r="NV22" s="28"/>
      <c r="NW22" s="28"/>
      <c r="NX22" s="29">
        <f>COUNTIF(F22:NF22,"C")++(COUNTIF(Global!F22:NF22,"DC")/2)</f>
        <v>16</v>
      </c>
      <c r="NY22" s="29"/>
      <c r="NZ22" s="29"/>
      <c r="OA22" s="29"/>
      <c r="OB22" s="29">
        <f>COUNTIF(Global!F22:NF22,"M")</f>
        <v>7</v>
      </c>
      <c r="OC22" s="30">
        <f t="shared" si="1"/>
        <v>-16</v>
      </c>
      <c r="OD22" s="30"/>
    </row>
    <row r="23" spans="1:394" ht="30" customHeight="1" x14ac:dyDescent="0.2">
      <c r="A23" s="13" t="s">
        <v>79</v>
      </c>
      <c r="B23" s="22" t="s">
        <v>174</v>
      </c>
      <c r="C23" s="22" t="s">
        <v>175</v>
      </c>
      <c r="D23" s="22" t="s">
        <v>176</v>
      </c>
      <c r="E23" s="44">
        <v>0</v>
      </c>
      <c r="F23" s="47" t="str">
        <f>IFERROR(VLOOKUP([2]Pointage!J17,Feuil1!$A:$B,2,FALSE),"")</f>
        <v/>
      </c>
      <c r="G23" s="31" t="str">
        <f>IFERROR(VLOOKUP([2]Pointage!K17,Feuil1!$A:$B,2,FALSE),"")</f>
        <v/>
      </c>
      <c r="H23" s="31" t="str">
        <f>IFERROR(VLOOKUP([2]Pointage!L17,Feuil1!$A:$B,2,FALSE),"")</f>
        <v/>
      </c>
      <c r="I23" s="31" t="str">
        <f>IFERROR(VLOOKUP([2]Pointage!M17,Feuil1!$A:$B,2,FALSE),"")</f>
        <v/>
      </c>
      <c r="J23" s="31" t="str">
        <f>IFERROR(VLOOKUP([2]Pointage!N17,Feuil1!$A:$B,2,FALSE),"")</f>
        <v/>
      </c>
      <c r="K23" s="31" t="str">
        <f>IFERROR(VLOOKUP([2]Pointage!O17,Feuil1!$A:$B,2,FALSE),"")</f>
        <v/>
      </c>
      <c r="L23" s="31" t="str">
        <f>IFERROR(VLOOKUP([2]Pointage!P17,Feuil1!$A:$B,2,FALSE),"")</f>
        <v/>
      </c>
      <c r="M23" s="31" t="str">
        <f>IFERROR(VLOOKUP([2]Pointage!Q17,Feuil1!$A:$B,2,FALSE),"")</f>
        <v/>
      </c>
      <c r="N23" s="31" t="str">
        <f>IFERROR(VLOOKUP([2]Pointage!R17,Feuil1!$A:$B,2,FALSE),"")</f>
        <v/>
      </c>
      <c r="O23" s="31" t="str">
        <f>IFERROR(VLOOKUP([2]Pointage!S17,Feuil1!$A:$B,2,FALSE),"")</f>
        <v/>
      </c>
      <c r="P23" s="31" t="str">
        <f>IFERROR(VLOOKUP([2]Pointage!T17,Feuil1!$A:$B,2,FALSE),"")</f>
        <v/>
      </c>
      <c r="Q23" s="31" t="str">
        <f>IFERROR(VLOOKUP([2]Pointage!U17,Feuil1!$A:$B,2,FALSE),"")</f>
        <v/>
      </c>
      <c r="R23" s="31" t="str">
        <f>IFERROR(VLOOKUP([2]Pointage!V17,Feuil1!$A:$B,2,FALSE),"")</f>
        <v/>
      </c>
      <c r="S23" s="31" t="str">
        <f>IFERROR(VLOOKUP([2]Pointage!W17,Feuil1!$A:$B,2,FALSE),"")</f>
        <v/>
      </c>
      <c r="T23" s="31" t="str">
        <f>IFERROR(VLOOKUP([2]Pointage!X17,Feuil1!$A:$B,2,FALSE),"")</f>
        <v/>
      </c>
      <c r="U23" s="31" t="str">
        <f>IFERROR(VLOOKUP([2]Pointage!Y17,Feuil1!$A:$B,2,FALSE),"")</f>
        <v/>
      </c>
      <c r="V23" s="31" t="str">
        <f>IFERROR(VLOOKUP([2]Pointage!Z17,Feuil1!$A:$B,2,FALSE),"")</f>
        <v/>
      </c>
      <c r="W23" s="31" t="str">
        <f>IFERROR(VLOOKUP([2]Pointage!AA17,Feuil1!$A:$B,2,FALSE),"")</f>
        <v/>
      </c>
      <c r="X23" s="31" t="str">
        <f>IFERROR(VLOOKUP([2]Pointage!AB17,Feuil1!$A:$B,2,FALSE),"")</f>
        <v/>
      </c>
      <c r="Y23" s="31" t="str">
        <f>IFERROR(VLOOKUP([2]Pointage!AC17,Feuil1!$A:$B,2,FALSE),"")</f>
        <v/>
      </c>
      <c r="Z23" s="31" t="str">
        <f>IFERROR(VLOOKUP([2]Pointage!AD17,Feuil1!$A:$B,2,FALSE),"")</f>
        <v/>
      </c>
      <c r="AA23" s="31" t="str">
        <f>IFERROR(VLOOKUP([2]Pointage!AE17,Feuil1!$A:$B,2,FALSE),"")</f>
        <v/>
      </c>
      <c r="AB23" s="31" t="str">
        <f>IFERROR(VLOOKUP([2]Pointage!AF17,Feuil1!$A:$B,2,FALSE),"")</f>
        <v/>
      </c>
      <c r="AC23" s="31" t="str">
        <f>IFERROR(VLOOKUP([2]Pointage!AG17,Feuil1!$A:$B,2,FALSE),"")</f>
        <v/>
      </c>
      <c r="AD23" s="31" t="str">
        <f>IFERROR(VLOOKUP([2]Pointage!AH17,Feuil1!$A:$B,2,FALSE),"")</f>
        <v/>
      </c>
      <c r="AE23" s="31" t="str">
        <f>IFERROR(VLOOKUP([2]Pointage!AI17,Feuil1!$A:$B,2,FALSE),"")</f>
        <v/>
      </c>
      <c r="AF23" s="31" t="str">
        <f>IFERROR(VLOOKUP([2]Pointage!AJ17,Feuil1!$A:$B,2,FALSE),"")</f>
        <v/>
      </c>
      <c r="AG23" s="31" t="str">
        <f>IFERROR(VLOOKUP([2]Pointage!AK17,Feuil1!$A:$B,2,FALSE),"")</f>
        <v/>
      </c>
      <c r="AH23" s="31" t="str">
        <f>IFERROR(VLOOKUP([2]Pointage!AL17,Feuil1!$A:$B,2,FALSE),"")</f>
        <v/>
      </c>
      <c r="AI23" s="31" t="str">
        <f>IFERROR(VLOOKUP([2]Pointage!AM17,Feuil1!$A:$B,2,FALSE),"")</f>
        <v/>
      </c>
      <c r="AJ23" s="82" t="str">
        <f>IFERROR(VLOOKUP([2]Pointage!AN17,Feuil1!$A:$B,2,FALSE),"")</f>
        <v/>
      </c>
      <c r="AK23" s="47" t="str">
        <f>IFERROR(VLOOKUP([2]Pointage!AO17,Feuil1!$A:$B,2,FALSE),"")</f>
        <v/>
      </c>
      <c r="AL23" s="31" t="str">
        <f>IFERROR(VLOOKUP([2]Pointage!AP17,Feuil1!$A:$B,2,FALSE),"")</f>
        <v/>
      </c>
      <c r="AM23" s="31" t="str">
        <f>IFERROR(VLOOKUP([2]Pointage!AQ17,Feuil1!$A:$B,2,FALSE),"")</f>
        <v>C</v>
      </c>
      <c r="AN23" s="31" t="str">
        <f>IFERROR(VLOOKUP([2]Pointage!AR17,Feuil1!$A:$B,2,FALSE),"")</f>
        <v/>
      </c>
      <c r="AO23" s="31" t="str">
        <f>IFERROR(VLOOKUP([2]Pointage!AS17,Feuil1!$A:$B,2,FALSE),"")</f>
        <v/>
      </c>
      <c r="AP23" s="31" t="str">
        <f>IFERROR(VLOOKUP([2]Pointage!AT17,Feuil1!$A:$B,2,FALSE),"")</f>
        <v/>
      </c>
      <c r="AQ23" s="31" t="str">
        <f>IFERROR(VLOOKUP([2]Pointage!AU17,Feuil1!$A:$B,2,FALSE),"")</f>
        <v/>
      </c>
      <c r="AR23" s="31" t="str">
        <f>IFERROR(VLOOKUP([2]Pointage!AV17,Feuil1!$A:$B,2,FALSE),"")</f>
        <v/>
      </c>
      <c r="AS23" s="31" t="str">
        <f>IFERROR(VLOOKUP([2]Pointage!AW17,Feuil1!$A:$B,2,FALSE),"")</f>
        <v/>
      </c>
      <c r="AT23" s="31" t="str">
        <f>IFERROR(VLOOKUP([2]Pointage!AX17,Feuil1!$A:$B,2,FALSE),"")</f>
        <v/>
      </c>
      <c r="AU23" s="31" t="str">
        <f>IFERROR(VLOOKUP([2]Pointage!AY17,Feuil1!$A:$B,2,FALSE),"")</f>
        <v/>
      </c>
      <c r="AV23" s="31" t="str">
        <f>IFERROR(VLOOKUP([2]Pointage!AZ17,Feuil1!$A:$B,2,FALSE),"")</f>
        <v/>
      </c>
      <c r="AW23" s="31" t="str">
        <f>IFERROR(VLOOKUP([2]Pointage!BA17,Feuil1!$A:$B,2,FALSE),"")</f>
        <v/>
      </c>
      <c r="AX23" s="31" t="str">
        <f>IFERROR(VLOOKUP([2]Pointage!BB17,Feuil1!$A:$B,2,FALSE),"")</f>
        <v/>
      </c>
      <c r="AY23" s="31" t="str">
        <f>IFERROR(VLOOKUP([2]Pointage!BC17,Feuil1!$A:$B,2,FALSE),"")</f>
        <v/>
      </c>
      <c r="AZ23" s="31" t="str">
        <f>IFERROR(VLOOKUP([2]Pointage!BD17,Feuil1!$A:$B,2,FALSE),"")</f>
        <v/>
      </c>
      <c r="BA23" s="31" t="str">
        <f>IFERROR(VLOOKUP([2]Pointage!BE17,Feuil1!$A:$B,2,FALSE),"")</f>
        <v/>
      </c>
      <c r="BB23" s="31" t="str">
        <f>IFERROR(VLOOKUP([2]Pointage!BF17,Feuil1!$A:$B,2,FALSE),"")</f>
        <v/>
      </c>
      <c r="BC23" s="31" t="str">
        <f>IFERROR(VLOOKUP([2]Pointage!BG17,Feuil1!$A:$B,2,FALSE),"")</f>
        <v/>
      </c>
      <c r="BD23" s="31" t="str">
        <f>IFERROR(VLOOKUP([2]Pointage!BH17,Feuil1!$A:$B,2,FALSE),"")</f>
        <v/>
      </c>
      <c r="BE23" s="31" t="str">
        <f>IFERROR(VLOOKUP([2]Pointage!BI17,Feuil1!$A:$B,2,FALSE),"")</f>
        <v/>
      </c>
      <c r="BF23" s="31" t="str">
        <f>IFERROR(VLOOKUP([2]Pointage!BJ17,Feuil1!$A:$B,2,FALSE),"")</f>
        <v/>
      </c>
      <c r="BG23" s="31" t="str">
        <f>IFERROR(VLOOKUP([2]Pointage!BK17,Feuil1!$A:$B,2,FALSE),"")</f>
        <v/>
      </c>
      <c r="BH23" s="31" t="str">
        <f>IFERROR(VLOOKUP([2]Pointage!BL17,Feuil1!$A:$B,2,FALSE),"")</f>
        <v/>
      </c>
      <c r="BI23" s="31" t="str">
        <f>IFERROR(VLOOKUP([2]Pointage!BM17,Feuil1!$A:$B,2,FALSE),"")</f>
        <v/>
      </c>
      <c r="BJ23" s="31" t="str">
        <f>IFERROR(VLOOKUP([2]Pointage!BN17,Feuil1!$A:$B,2,FALSE),"")</f>
        <v>C</v>
      </c>
      <c r="BK23" s="31" t="str">
        <f>IFERROR(VLOOKUP([2]Pointage!BO17,Feuil1!$A:$B,2,FALSE),"")</f>
        <v>C</v>
      </c>
      <c r="BL23" s="82" t="str">
        <f>IFERROR(VLOOKUP([2]Pointage!BP17,Feuil1!$A:$B,2,FALSE),"")</f>
        <v>C</v>
      </c>
      <c r="BM23" s="47" t="str">
        <f>IFERROR(VLOOKUP([2]Pointage!BQ17,Feuil1!$A:$B,2,FALSE),"")</f>
        <v>C</v>
      </c>
      <c r="BN23" s="31" t="str">
        <f>IFERROR(VLOOKUP([2]Pointage!BR17,Feuil1!$A:$B,2,FALSE),"")</f>
        <v>C</v>
      </c>
      <c r="BO23" s="31" t="str">
        <f>IFERROR(VLOOKUP([2]Pointage!BS17,Feuil1!$A:$B,2,FALSE),"")</f>
        <v/>
      </c>
      <c r="BP23" s="31" t="str">
        <f>IFERROR(VLOOKUP([2]Pointage!BT17,Feuil1!$A:$B,2,FALSE),"")</f>
        <v/>
      </c>
      <c r="BQ23" s="31" t="str">
        <f>IFERROR(VLOOKUP([2]Pointage!BU17,Feuil1!$A:$B,2,FALSE),"")</f>
        <v>C</v>
      </c>
      <c r="BR23" s="31" t="str">
        <f>IFERROR(VLOOKUP([2]Pointage!BV17,Feuil1!$A:$B,2,FALSE),"")</f>
        <v/>
      </c>
      <c r="BS23" s="31" t="str">
        <f>IFERROR(VLOOKUP([2]Pointage!BW17,Feuil1!$A:$B,2,FALSE),"")</f>
        <v/>
      </c>
      <c r="BT23" s="31" t="str">
        <f>IFERROR(VLOOKUP([2]Pointage!BX17,Feuil1!$A:$B,2,FALSE),"")</f>
        <v/>
      </c>
      <c r="BU23" s="31" t="str">
        <f>IFERROR(VLOOKUP([2]Pointage!BY17,Feuil1!$A:$B,2,FALSE),"")</f>
        <v/>
      </c>
      <c r="BV23" s="31" t="str">
        <f>IFERROR(VLOOKUP([2]Pointage!BZ17,Feuil1!$A:$B,2,FALSE),"")</f>
        <v/>
      </c>
      <c r="BW23" s="31" t="str">
        <f>IFERROR(VLOOKUP([2]Pointage!CA17,Feuil1!$A:$B,2,FALSE),"")</f>
        <v/>
      </c>
      <c r="BX23" s="31" t="str">
        <f>IFERROR(VLOOKUP([2]Pointage!CB17,Feuil1!$A:$B,2,FALSE),"")</f>
        <v/>
      </c>
      <c r="BY23" s="31" t="str">
        <f>IFERROR(VLOOKUP([2]Pointage!CC17,Feuil1!$A:$B,2,FALSE),"")</f>
        <v/>
      </c>
      <c r="BZ23" s="31" t="str">
        <f>IFERROR(VLOOKUP([2]Pointage!CD17,Feuil1!$A:$B,2,FALSE),"")</f>
        <v/>
      </c>
      <c r="CA23" s="31" t="str">
        <f>IFERROR(VLOOKUP([2]Pointage!CE17,Feuil1!$A:$B,2,FALSE),"")</f>
        <v/>
      </c>
      <c r="CB23" s="31" t="str">
        <f>IFERROR(VLOOKUP([2]Pointage!CF17,Feuil1!$A:$B,2,FALSE),"")</f>
        <v/>
      </c>
      <c r="CC23" s="31" t="str">
        <f>IFERROR(VLOOKUP([2]Pointage!CG17,Feuil1!$A:$B,2,FALSE),"")</f>
        <v/>
      </c>
      <c r="CD23" s="31" t="str">
        <f>IFERROR(VLOOKUP([2]Pointage!CH17,Feuil1!$A:$B,2,FALSE),"")</f>
        <v/>
      </c>
      <c r="CE23" s="31" t="str">
        <f>IFERROR(VLOOKUP([2]Pointage!CI17,Feuil1!$A:$B,2,FALSE),"")</f>
        <v/>
      </c>
      <c r="CF23" s="31" t="str">
        <f>IFERROR(VLOOKUP([2]Pointage!CJ17,Feuil1!$A:$B,2,FALSE),"")</f>
        <v/>
      </c>
      <c r="CG23" s="31" t="str">
        <f>IFERROR(VLOOKUP([2]Pointage!CK17,Feuil1!$A:$B,2,FALSE),"")</f>
        <v>C</v>
      </c>
      <c r="CH23" s="31" t="str">
        <f>IFERROR(VLOOKUP([2]Pointage!CL17,Feuil1!$A:$B,2,FALSE),"")</f>
        <v/>
      </c>
      <c r="CI23" s="31" t="str">
        <f>IFERROR(VLOOKUP([2]Pointage!CM17,Feuil1!$A:$B,2,FALSE),"")</f>
        <v/>
      </c>
      <c r="CJ23" s="31" t="str">
        <f>IFERROR(VLOOKUP([2]Pointage!CN17,Feuil1!$A:$B,2,FALSE),"")</f>
        <v/>
      </c>
      <c r="CK23" s="31" t="str">
        <f>IFERROR(VLOOKUP([2]Pointage!CO17,Feuil1!$A:$B,2,FALSE),"")</f>
        <v/>
      </c>
      <c r="CL23" s="31" t="str">
        <f>IFERROR(VLOOKUP([2]Pointage!CP17,Feuil1!$A:$B,2,FALSE),"")</f>
        <v/>
      </c>
      <c r="CM23" s="31" t="str">
        <f>IFERROR(VLOOKUP([2]Pointage!CQ17,Feuil1!$A:$B,2,FALSE),"")</f>
        <v/>
      </c>
      <c r="CN23" s="31" t="str">
        <f>IFERROR(VLOOKUP([2]Pointage!CR17,Feuil1!$A:$B,2,FALSE),"")</f>
        <v>M</v>
      </c>
      <c r="CO23" s="31" t="str">
        <f>IFERROR(VLOOKUP([2]Pointage!CS17,Feuil1!$A:$B,2,FALSE),"")</f>
        <v>M</v>
      </c>
      <c r="CP23" s="31" t="str">
        <f>IFERROR(VLOOKUP([2]Pointage!CT17,Feuil1!$A:$B,2,FALSE),"")</f>
        <v>M</v>
      </c>
      <c r="CQ23" s="82" t="str">
        <f>IFERROR(VLOOKUP([2]Pointage!CU17,Feuil1!$A:$B,2,FALSE),"")</f>
        <v/>
      </c>
      <c r="CR23" s="47" t="str">
        <f>IFERROR(VLOOKUP([2]Pointage!CV17,Feuil1!$A:$B,2,FALSE),"")</f>
        <v/>
      </c>
      <c r="CS23" s="31" t="str">
        <f>IFERROR(VLOOKUP([2]Pointage!CW17,Feuil1!$A:$B,2,FALSE),"")</f>
        <v/>
      </c>
      <c r="CT23" s="31" t="str">
        <f>IFERROR(VLOOKUP([2]Pointage!CX17,Feuil1!$A:$B,2,FALSE),"")</f>
        <v/>
      </c>
      <c r="CU23" s="31" t="str">
        <f>IFERROR(VLOOKUP([2]Pointage!CY17,Feuil1!$A:$B,2,FALSE),"")</f>
        <v/>
      </c>
      <c r="CV23" s="31" t="str">
        <f>IFERROR(VLOOKUP([2]Pointage!CZ17,Feuil1!$A:$B,2,FALSE),"")</f>
        <v/>
      </c>
      <c r="CW23" s="31" t="str">
        <f>IFERROR(VLOOKUP([2]Pointage!DA17,Feuil1!$A:$B,2,FALSE),"")</f>
        <v/>
      </c>
      <c r="CX23" s="31" t="str">
        <f>IFERROR(VLOOKUP([2]Pointage!DB17,Feuil1!$A:$B,2,FALSE),"")</f>
        <v/>
      </c>
      <c r="CY23" s="31" t="str">
        <f>IFERROR(VLOOKUP([2]Pointage!DC17,Feuil1!$A:$B,2,FALSE),"")</f>
        <v/>
      </c>
      <c r="CZ23" s="31" t="str">
        <f>IFERROR(VLOOKUP([2]Pointage!DD17,Feuil1!$A:$B,2,FALSE),"")</f>
        <v/>
      </c>
      <c r="DA23" s="31" t="str">
        <f>IFERROR(VLOOKUP([2]Pointage!DE17,Feuil1!$A:$B,2,FALSE),"")</f>
        <v/>
      </c>
      <c r="DB23" s="31" t="str">
        <f>IFERROR(VLOOKUP([2]Pointage!DF17,Feuil1!$A:$B,2,FALSE),"")</f>
        <v/>
      </c>
      <c r="DC23" s="31" t="str">
        <f>IFERROR(VLOOKUP([2]Pointage!DG17,Feuil1!$A:$B,2,FALSE),"")</f>
        <v/>
      </c>
      <c r="DD23" s="31" t="str">
        <f>IFERROR(VLOOKUP([2]Pointage!DH17,Feuil1!$A:$B,2,FALSE),"")</f>
        <v/>
      </c>
      <c r="DE23" s="31" t="str">
        <f>IFERROR(VLOOKUP([2]Pointage!DI17,Feuil1!$A:$B,2,FALSE),"")</f>
        <v/>
      </c>
      <c r="DF23" s="31" t="str">
        <f>IFERROR(VLOOKUP([2]Pointage!DJ17,Feuil1!$A:$B,2,FALSE),"")</f>
        <v/>
      </c>
      <c r="DG23" s="31" t="str">
        <f>IFERROR(VLOOKUP([2]Pointage!DK17,Feuil1!$A:$B,2,FALSE),"")</f>
        <v/>
      </c>
      <c r="DH23" s="31" t="str">
        <f>IFERROR(VLOOKUP([2]Pointage!DL17,Feuil1!$A:$B,2,FALSE),"")</f>
        <v/>
      </c>
      <c r="DI23" s="31" t="str">
        <f>IFERROR(VLOOKUP([2]Pointage!DM17,Feuil1!$A:$B,2,FALSE),"")</f>
        <v>C</v>
      </c>
      <c r="DJ23" s="31" t="str">
        <f>IFERROR(VLOOKUP([2]Pointage!DN17,Feuil1!$A:$B,2,FALSE),"")</f>
        <v/>
      </c>
      <c r="DK23" s="31" t="str">
        <f>IFERROR(VLOOKUP([2]Pointage!DO17,Feuil1!$A:$B,2,FALSE),"")</f>
        <v/>
      </c>
      <c r="DL23" s="31" t="str">
        <f>IFERROR(VLOOKUP([2]Pointage!DP17,Feuil1!$A:$B,2,FALSE),"")</f>
        <v/>
      </c>
      <c r="DM23" s="31" t="str">
        <f>IFERROR(VLOOKUP([2]Pointage!DQ17,Feuil1!$A:$B,2,FALSE),"")</f>
        <v/>
      </c>
      <c r="DN23" s="31" t="str">
        <f>IFERROR(VLOOKUP([2]Pointage!DR17,Feuil1!$A:$B,2,FALSE),"")</f>
        <v/>
      </c>
      <c r="DO23" s="31" t="str">
        <f>IFERROR(VLOOKUP([2]Pointage!DS17,Feuil1!$A:$B,2,FALSE),"")</f>
        <v/>
      </c>
      <c r="DP23" s="31" t="str">
        <f>IFERROR(VLOOKUP([2]Pointage!DT17,Feuil1!$A:$B,2,FALSE),"")</f>
        <v/>
      </c>
      <c r="DQ23" s="31" t="str">
        <f>IFERROR(VLOOKUP([2]Pointage!DU17,Feuil1!$A:$B,2,FALSE),"")</f>
        <v/>
      </c>
      <c r="DR23" s="31" t="str">
        <f>IFERROR(VLOOKUP([2]Pointage!DV17,Feuil1!$A:$B,2,FALSE),"")</f>
        <v/>
      </c>
      <c r="DS23" s="31" t="str">
        <f>IFERROR(VLOOKUP([2]Pointage!DW17,Feuil1!$A:$B,2,FALSE),"")</f>
        <v/>
      </c>
      <c r="DT23" s="31" t="str">
        <f>IFERROR(VLOOKUP([2]Pointage!DX17,Feuil1!$A:$B,2,FALSE),"")</f>
        <v/>
      </c>
      <c r="DU23" s="82" t="str">
        <f>IFERROR(VLOOKUP([2]Pointage!DY17,Feuil1!$A:$B,2,FALSE),"")</f>
        <v/>
      </c>
      <c r="DV23" s="47" t="str">
        <f>IFERROR(VLOOKUP([2]Pointage!DZ17,Feuil1!$A:$B,2,FALSE),"")</f>
        <v/>
      </c>
      <c r="DW23" s="31" t="str">
        <f>IFERROR(VLOOKUP([2]Pointage!EA17,Feuil1!$A:$B,2,FALSE),"")</f>
        <v/>
      </c>
      <c r="DX23" s="31" t="str">
        <f>IFERROR(VLOOKUP([2]Pointage!EB17,Feuil1!$A:$B,2,FALSE),"")</f>
        <v/>
      </c>
      <c r="DY23" s="31" t="str">
        <f>IFERROR(VLOOKUP([2]Pointage!EC17,Feuil1!$A:$B,2,FALSE),"")</f>
        <v/>
      </c>
      <c r="DZ23" s="31" t="str">
        <f>IFERROR(VLOOKUP([2]Pointage!ED17,Feuil1!$A:$B,2,FALSE),"")</f>
        <v/>
      </c>
      <c r="EA23" s="31" t="str">
        <f>IFERROR(VLOOKUP([2]Pointage!EE17,Feuil1!$A:$B,2,FALSE),"")</f>
        <v/>
      </c>
      <c r="EB23" s="31" t="str">
        <f>IFERROR(VLOOKUP([2]Pointage!EF17,Feuil1!$A:$B,2,FALSE),"")</f>
        <v>C</v>
      </c>
      <c r="EC23" s="31" t="str">
        <f>IFERROR(VLOOKUP([2]Pointage!EG17,Feuil1!$A:$B,2,FALSE),"")</f>
        <v/>
      </c>
      <c r="ED23" s="31" t="str">
        <f>IFERROR(VLOOKUP([2]Pointage!EH17,Feuil1!$A:$B,2,FALSE),"")</f>
        <v/>
      </c>
      <c r="EE23" s="31" t="str">
        <f>IFERROR(VLOOKUP([2]Pointage!EI17,Feuil1!$A:$B,2,FALSE),"")</f>
        <v/>
      </c>
      <c r="EF23" s="31" t="str">
        <f>IFERROR(VLOOKUP([2]Pointage!EJ17,Feuil1!$A:$B,2,FALSE),"")</f>
        <v/>
      </c>
      <c r="EG23" s="31" t="str">
        <f>IFERROR(VLOOKUP([2]Pointage!EK17,Feuil1!$A:$B,2,FALSE),"")</f>
        <v/>
      </c>
      <c r="EH23" s="31" t="str">
        <f>IFERROR(VLOOKUP([2]Pointage!EL17,Feuil1!$A:$B,2,FALSE),"")</f>
        <v/>
      </c>
      <c r="EI23" s="31" t="str">
        <f>IFERROR(VLOOKUP([2]Pointage!EM17,Feuil1!$A:$B,2,FALSE),"")</f>
        <v/>
      </c>
      <c r="EJ23" s="31" t="str">
        <f>IFERROR(VLOOKUP([2]Pointage!EN17,Feuil1!$A:$B,2,FALSE),"")</f>
        <v/>
      </c>
      <c r="EK23" s="31" t="str">
        <f>IFERROR(VLOOKUP([2]Pointage!EO17,Feuil1!$A:$B,2,FALSE),"")</f>
        <v/>
      </c>
      <c r="EL23" s="31" t="str">
        <f>IFERROR(VLOOKUP([2]Pointage!EP17,Feuil1!$A:$B,2,FALSE),"")</f>
        <v/>
      </c>
      <c r="EM23" s="31" t="str">
        <f>IFERROR(VLOOKUP([2]Pointage!EQ17,Feuil1!$A:$B,2,FALSE),"")</f>
        <v/>
      </c>
      <c r="EN23" s="31" t="str">
        <f>IFERROR(VLOOKUP([2]Pointage!ER17,Feuil1!$A:$B,2,FALSE),"")</f>
        <v/>
      </c>
      <c r="EO23" s="31" t="str">
        <f>IFERROR(VLOOKUP([2]Pointage!ES17,Feuil1!$A:$B,2,FALSE),"")</f>
        <v/>
      </c>
      <c r="EP23" s="31" t="str">
        <f>IFERROR(VLOOKUP([2]Pointage!ET17,Feuil1!$A:$B,2,FALSE),"")</f>
        <v>C</v>
      </c>
      <c r="EQ23" s="31" t="str">
        <f>IFERROR(VLOOKUP([2]Pointage!EU17,Feuil1!$A:$B,2,FALSE),"")</f>
        <v>C</v>
      </c>
      <c r="ER23" s="31" t="str">
        <f>IFERROR(VLOOKUP([2]Pointage!EV17,Feuil1!$A:$B,2,FALSE),"")</f>
        <v/>
      </c>
      <c r="ES23" s="31" t="str">
        <f>IFERROR(VLOOKUP([2]Pointage!EW17,Feuil1!$A:$B,2,FALSE),"")</f>
        <v/>
      </c>
      <c r="ET23" s="31" t="str">
        <f>IFERROR(VLOOKUP([2]Pointage!EX17,Feuil1!$A:$B,2,FALSE),"")</f>
        <v/>
      </c>
      <c r="EU23" s="31" t="str">
        <f>IFERROR(VLOOKUP([2]Pointage!EY17,Feuil1!$A:$B,2,FALSE),"")</f>
        <v/>
      </c>
      <c r="EV23" s="31" t="str">
        <f>IFERROR(VLOOKUP([2]Pointage!EZ17,Feuil1!$A:$B,2,FALSE),"")</f>
        <v/>
      </c>
      <c r="EW23" s="31" t="str">
        <f>IFERROR(VLOOKUP([2]Pointage!FA17,Feuil1!$A:$B,2,FALSE),"")</f>
        <v>C</v>
      </c>
      <c r="EX23" s="31" t="str">
        <f>IFERROR(VLOOKUP([2]Pointage!FB17,Feuil1!$A:$B,2,FALSE),"")</f>
        <v>C</v>
      </c>
      <c r="EY23" s="31" t="str">
        <f>IFERROR(VLOOKUP([2]Pointage!FC17,Feuil1!$A:$B,2,FALSE),"")</f>
        <v>C</v>
      </c>
      <c r="EZ23" s="82" t="str">
        <f>IFERROR(VLOOKUP([2]Pointage!FD17,Feuil1!$A:$B,2,FALSE),"")</f>
        <v>C</v>
      </c>
      <c r="FA23" s="47" t="str">
        <f>IFERROR(VLOOKUP([2]Pointage!FE17,Feuil1!$A:$B,2,FALSE),"")</f>
        <v>C</v>
      </c>
      <c r="FB23" s="31" t="str">
        <f>IFERROR(VLOOKUP([2]Pointage!FF17,Feuil1!$A:$B,2,FALSE),"")</f>
        <v/>
      </c>
      <c r="FC23" s="31" t="str">
        <f>IFERROR(VLOOKUP([2]Pointage!FG17,Feuil1!$A:$B,2,FALSE),"")</f>
        <v/>
      </c>
      <c r="FD23" s="31" t="str">
        <f>IFERROR(VLOOKUP([2]Pointage!FH17,Feuil1!$A:$B,2,FALSE),"")</f>
        <v>C</v>
      </c>
      <c r="FE23" s="31" t="str">
        <f>IFERROR(VLOOKUP([2]Pointage!FI17,Feuil1!$A:$B,2,FALSE),"")</f>
        <v>C</v>
      </c>
      <c r="FF23" s="31" t="str">
        <f>IFERROR(VLOOKUP([2]Pointage!FJ17,Feuil1!$A:$B,2,FALSE),"")</f>
        <v>C</v>
      </c>
      <c r="FG23" s="31" t="str">
        <f>IFERROR(VLOOKUP([2]Pointage!FK17,Feuil1!$A:$B,2,FALSE),"")</f>
        <v>C</v>
      </c>
      <c r="FH23" s="31" t="str">
        <f>IFERROR(VLOOKUP([2]Pointage!FL17,Feuil1!$A:$B,2,FALSE),"")</f>
        <v>C</v>
      </c>
      <c r="FI23" s="31" t="str">
        <f>IFERROR(VLOOKUP([2]Pointage!FM17,Feuil1!$A:$B,2,FALSE),"")</f>
        <v/>
      </c>
      <c r="FJ23" s="31" t="str">
        <f>IFERROR(VLOOKUP([2]Pointage!FN17,Feuil1!$A:$B,2,FALSE),"")</f>
        <v/>
      </c>
      <c r="FK23" s="31" t="str">
        <f>IFERROR(VLOOKUP([2]Pointage!FO17,Feuil1!$A:$B,2,FALSE),"")</f>
        <v/>
      </c>
      <c r="FL23" s="31" t="str">
        <f>IFERROR(VLOOKUP([2]Pointage!FP17,Feuil1!$A:$B,2,FALSE),"")</f>
        <v/>
      </c>
      <c r="FM23" s="31" t="str">
        <f>IFERROR(VLOOKUP([2]Pointage!FQ17,Feuil1!$A:$B,2,FALSE),"")</f>
        <v/>
      </c>
      <c r="FN23" s="31" t="str">
        <f>IFERROR(VLOOKUP([2]Pointage!FR17,Feuil1!$A:$B,2,FALSE),"")</f>
        <v/>
      </c>
      <c r="FO23" s="31" t="str">
        <f>IFERROR(VLOOKUP([2]Pointage!FS17,Feuil1!$A:$B,2,FALSE),"")</f>
        <v/>
      </c>
      <c r="FP23" s="31" t="str">
        <f>IFERROR(VLOOKUP([2]Pointage!FT17,Feuil1!$A:$B,2,FALSE),"")</f>
        <v/>
      </c>
      <c r="FQ23" s="31" t="str">
        <f>IFERROR(VLOOKUP([2]Pointage!FU17,Feuil1!$A:$B,2,FALSE),"")</f>
        <v/>
      </c>
      <c r="FR23" s="31" t="str">
        <f>IFERROR(VLOOKUP([2]Pointage!FV17,Feuil1!$A:$B,2,FALSE),"")</f>
        <v/>
      </c>
      <c r="FS23" s="31" t="str">
        <f>IFERROR(VLOOKUP([2]Pointage!FW17,Feuil1!$A:$B,2,FALSE),"")</f>
        <v/>
      </c>
      <c r="FT23" s="31" t="str">
        <f>IFERROR(VLOOKUP([2]Pointage!FX17,Feuil1!$A:$B,2,FALSE),"")</f>
        <v/>
      </c>
      <c r="FU23" s="31" t="str">
        <f>IFERROR(VLOOKUP([2]Pointage!FY17,Feuil1!$A:$B,2,FALSE),"")</f>
        <v/>
      </c>
      <c r="FV23" s="31" t="str">
        <f>IFERROR(VLOOKUP([2]Pointage!FZ17,Feuil1!$A:$B,2,FALSE),"")</f>
        <v/>
      </c>
      <c r="FW23" s="31" t="str">
        <f>IFERROR(VLOOKUP([2]Pointage!GA17,Feuil1!$A:$B,2,FALSE),"")</f>
        <v/>
      </c>
      <c r="FX23" s="31" t="str">
        <f>IFERROR(VLOOKUP([2]Pointage!GB17,Feuil1!$A:$B,2,FALSE),"")</f>
        <v/>
      </c>
      <c r="FY23" s="31" t="str">
        <f>IFERROR(VLOOKUP([2]Pointage!GC17,Feuil1!$A:$B,2,FALSE),"")</f>
        <v/>
      </c>
      <c r="FZ23" s="31" t="str">
        <f>IFERROR(VLOOKUP([2]Pointage!GD17,Feuil1!$A:$B,2,FALSE),"")</f>
        <v/>
      </c>
      <c r="GA23" s="31" t="str">
        <f>IFERROR(VLOOKUP([2]Pointage!GE17,Feuil1!$A:$B,2,FALSE),"")</f>
        <v/>
      </c>
      <c r="GB23" s="31" t="str">
        <f>IFERROR(VLOOKUP([2]Pointage!GF17,Feuil1!$A:$B,2,FALSE),"")</f>
        <v/>
      </c>
      <c r="GC23" s="31" t="str">
        <f>IFERROR(VLOOKUP([2]Pointage!GG17,Feuil1!$A:$B,2,FALSE),"")</f>
        <v/>
      </c>
      <c r="GD23" s="82" t="str">
        <f>IFERROR(VLOOKUP([2]Pointage!GH17,Feuil1!$A:$B,2,FALSE),"")</f>
        <v/>
      </c>
      <c r="GE23" s="47" t="str">
        <f>IFERROR(VLOOKUP([2]Pointage!GI17,Feuil1!$A:$B,2,FALSE),"")</f>
        <v/>
      </c>
      <c r="GF23" s="31" t="str">
        <f>IFERROR(VLOOKUP([2]Pointage!GJ17,Feuil1!$A:$B,2,FALSE),"")</f>
        <v/>
      </c>
      <c r="GG23" s="31" t="str">
        <f>IFERROR(VLOOKUP([2]Pointage!GK17,Feuil1!$A:$B,2,FALSE),"")</f>
        <v/>
      </c>
      <c r="GH23" s="31" t="str">
        <f>IFERROR(VLOOKUP([2]Pointage!GL17,Feuil1!$A:$B,2,FALSE),"")</f>
        <v/>
      </c>
      <c r="GI23" s="31" t="str">
        <f>IFERROR(VLOOKUP([2]Pointage!GM17,Feuil1!$A:$B,2,FALSE),"")</f>
        <v/>
      </c>
      <c r="GJ23" s="31" t="str">
        <f>IFERROR(VLOOKUP([2]Pointage!GN17,Feuil1!$A:$B,2,FALSE),"")</f>
        <v/>
      </c>
      <c r="GK23" s="31" t="str">
        <f>IFERROR(VLOOKUP([2]Pointage!GO17,Feuil1!$A:$B,2,FALSE),"")</f>
        <v/>
      </c>
      <c r="GL23" s="31" t="str">
        <f>IFERROR(VLOOKUP([2]Pointage!GP17,Feuil1!$A:$B,2,FALSE),"")</f>
        <v/>
      </c>
      <c r="GM23" s="31" t="str">
        <f>IFERROR(VLOOKUP([2]Pointage!GQ17,Feuil1!$A:$B,2,FALSE),"")</f>
        <v/>
      </c>
      <c r="GN23" s="31" t="str">
        <f>IFERROR(VLOOKUP([2]Pointage!GR17,Feuil1!$A:$B,2,FALSE),"")</f>
        <v/>
      </c>
      <c r="GO23" s="31" t="str">
        <f>IFERROR(VLOOKUP([2]Pointage!GS17,Feuil1!$A:$B,2,FALSE),"")</f>
        <v/>
      </c>
      <c r="GP23" s="31" t="str">
        <f>IFERROR(VLOOKUP([2]Pointage!GT17,Feuil1!$A:$B,2,FALSE),"")</f>
        <v/>
      </c>
      <c r="GQ23" s="31" t="str">
        <f>IFERROR(VLOOKUP([2]Pointage!GU17,Feuil1!$A:$B,2,FALSE),"")</f>
        <v/>
      </c>
      <c r="GR23" s="31" t="str">
        <f>IFERROR(VLOOKUP([2]Pointage!GV17,Feuil1!$A:$B,2,FALSE),"")</f>
        <v/>
      </c>
      <c r="GS23" s="31" t="str">
        <f>IFERROR(VLOOKUP([2]Pointage!GW17,Feuil1!$A:$B,2,FALSE),"")</f>
        <v/>
      </c>
      <c r="GT23" s="31" t="str">
        <f>IFERROR(VLOOKUP([2]Pointage!GX17,Feuil1!$A:$B,2,FALSE),"")</f>
        <v/>
      </c>
      <c r="GU23" s="31" t="str">
        <f>IFERROR(VLOOKUP([2]Pointage!GY17,Feuil1!$A:$B,2,FALSE),"")</f>
        <v/>
      </c>
      <c r="GV23" s="31" t="str">
        <f>IFERROR(VLOOKUP([2]Pointage!GZ17,Feuil1!$A:$B,2,FALSE),"")</f>
        <v/>
      </c>
      <c r="GW23" s="31" t="str">
        <f>IFERROR(VLOOKUP([2]Pointage!HA17,Feuil1!$A:$B,2,FALSE),"")</f>
        <v/>
      </c>
      <c r="GX23" s="31" t="str">
        <f>IFERROR(VLOOKUP([2]Pointage!HB17,Feuil1!$A:$B,2,FALSE),"")</f>
        <v/>
      </c>
      <c r="GY23" s="31" t="str">
        <f>IFERROR(VLOOKUP([2]Pointage!HC17,Feuil1!$A:$B,2,FALSE),"")</f>
        <v/>
      </c>
      <c r="GZ23" s="31" t="str">
        <f>IFERROR(VLOOKUP([2]Pointage!HD17,Feuil1!$A:$B,2,FALSE),"")</f>
        <v/>
      </c>
      <c r="HA23" s="31" t="str">
        <f>IFERROR(VLOOKUP([2]Pointage!HE17,Feuil1!$A:$B,2,FALSE),"")</f>
        <v/>
      </c>
      <c r="HB23" s="31" t="str">
        <f>IFERROR(VLOOKUP([2]Pointage!HF17,Feuil1!$A:$B,2,FALSE),"")</f>
        <v/>
      </c>
      <c r="HC23" s="31" t="str">
        <f>IFERROR(VLOOKUP([2]Pointage!HG17,Feuil1!$A:$B,2,FALSE),"")</f>
        <v/>
      </c>
      <c r="HD23" s="31" t="str">
        <f>IFERROR(VLOOKUP([2]Pointage!HH17,Feuil1!$A:$B,2,FALSE),"")</f>
        <v/>
      </c>
      <c r="HE23" s="31" t="str">
        <f>IFERROR(VLOOKUP([2]Pointage!HI17,Feuil1!$A:$B,2,FALSE),"")</f>
        <v/>
      </c>
      <c r="HF23" s="31" t="str">
        <f>IFERROR(VLOOKUP([2]Pointage!HJ17,Feuil1!$A:$B,2,FALSE),"")</f>
        <v/>
      </c>
      <c r="HG23" s="31" t="str">
        <f>IFERROR(VLOOKUP([2]Pointage!HK17,Feuil1!$A:$B,2,FALSE),"")</f>
        <v/>
      </c>
      <c r="HH23" s="31" t="str">
        <f>IFERROR(VLOOKUP([2]Pointage!HL17,Feuil1!$A:$B,2,FALSE),"")</f>
        <v/>
      </c>
      <c r="HI23" s="82" t="str">
        <f>IFERROR(VLOOKUP([2]Pointage!HM17,Feuil1!$A:$B,2,FALSE),"")</f>
        <v/>
      </c>
      <c r="HJ23" s="47" t="str">
        <f>IFERROR(VLOOKUP([2]Pointage!HN17,Feuil1!$A:$B,2,FALSE),"")</f>
        <v/>
      </c>
      <c r="HK23" s="31" t="str">
        <f>IFERROR(VLOOKUP([2]Pointage!HO17,Feuil1!$A:$B,2,FALSE),"")</f>
        <v/>
      </c>
      <c r="HL23" s="31" t="str">
        <f>IFERROR(VLOOKUP([2]Pointage!HP17,Feuil1!$A:$B,2,FALSE),"")</f>
        <v/>
      </c>
      <c r="HM23" s="31" t="str">
        <f>IFERROR(VLOOKUP([2]Pointage!HQ17,Feuil1!$A:$B,2,FALSE),"")</f>
        <v/>
      </c>
      <c r="HN23" s="31" t="str">
        <f>IFERROR(VLOOKUP([2]Pointage!HR17,Feuil1!$A:$B,2,FALSE),"")</f>
        <v/>
      </c>
      <c r="HO23" s="31" t="str">
        <f>IFERROR(VLOOKUP([2]Pointage!HS17,Feuil1!$A:$B,2,FALSE),"")</f>
        <v/>
      </c>
      <c r="HP23" s="31" t="str">
        <f>IFERROR(VLOOKUP([2]Pointage!HT17,Feuil1!$A:$B,2,FALSE),"")</f>
        <v/>
      </c>
      <c r="HQ23" s="31" t="str">
        <f>IFERROR(VLOOKUP([2]Pointage!HU17,Feuil1!$A:$B,2,FALSE),"")</f>
        <v/>
      </c>
      <c r="HR23" s="31" t="str">
        <f>IFERROR(VLOOKUP([2]Pointage!HV17,Feuil1!$A:$B,2,FALSE),"")</f>
        <v/>
      </c>
      <c r="HS23" s="31" t="str">
        <f>IFERROR(VLOOKUP([2]Pointage!HW17,Feuil1!$A:$B,2,FALSE),"")</f>
        <v/>
      </c>
      <c r="HT23" s="31" t="str">
        <f>IFERROR(VLOOKUP([2]Pointage!HX17,Feuil1!$A:$B,2,FALSE),"")</f>
        <v/>
      </c>
      <c r="HU23" s="31" t="str">
        <f>IFERROR(VLOOKUP([2]Pointage!HY17,Feuil1!$A:$B,2,FALSE),"")</f>
        <v/>
      </c>
      <c r="HV23" s="31" t="str">
        <f>IFERROR(VLOOKUP([2]Pointage!HZ17,Feuil1!$A:$B,2,FALSE),"")</f>
        <v>C</v>
      </c>
      <c r="HW23" s="31" t="str">
        <f>IFERROR(VLOOKUP([2]Pointage!IA17,Feuil1!$A:$B,2,FALSE),"")</f>
        <v>C</v>
      </c>
      <c r="HX23" s="31" t="str">
        <f>IFERROR(VLOOKUP([2]Pointage!IB17,Feuil1!$A:$B,2,FALSE),"")</f>
        <v/>
      </c>
      <c r="HY23" s="31" t="str">
        <f>IFERROR(VLOOKUP([2]Pointage!IC17,Feuil1!$A:$B,2,FALSE),"")</f>
        <v>C</v>
      </c>
      <c r="HZ23" s="31" t="str">
        <f>IFERROR(VLOOKUP([2]Pointage!ID17,Feuil1!$A:$B,2,FALSE),"")</f>
        <v>C</v>
      </c>
      <c r="IA23" s="31" t="str">
        <f>IFERROR(VLOOKUP([2]Pointage!IE17,Feuil1!$A:$B,2,FALSE),"")</f>
        <v/>
      </c>
      <c r="IB23" s="31" t="str">
        <f>IFERROR(VLOOKUP([2]Pointage!IF17,Feuil1!$A:$B,2,FALSE),"")</f>
        <v/>
      </c>
      <c r="IC23" s="31" t="str">
        <f>IFERROR(VLOOKUP([2]Pointage!IG17,Feuil1!$A:$B,2,FALSE),"")</f>
        <v>C</v>
      </c>
      <c r="ID23" s="31" t="str">
        <f>IFERROR(VLOOKUP([2]Pointage!IH17,Feuil1!$A:$B,2,FALSE),"")</f>
        <v>C</v>
      </c>
      <c r="IE23" s="31" t="str">
        <f>IFERROR(VLOOKUP([2]Pointage!II17,Feuil1!$A:$B,2,FALSE),"")</f>
        <v>C</v>
      </c>
      <c r="IF23" s="31" t="str">
        <f>IFERROR(VLOOKUP([2]Pointage!IJ17,Feuil1!$A:$B,2,FALSE),"")</f>
        <v>C</v>
      </c>
      <c r="IG23" s="31" t="str">
        <f>IFERROR(VLOOKUP([2]Pointage!IK17,Feuil1!$A:$B,2,FALSE),"")</f>
        <v>C</v>
      </c>
      <c r="IH23" s="31" t="str">
        <f>IFERROR(VLOOKUP([2]Pointage!IL17,Feuil1!$A:$B,2,FALSE),"")</f>
        <v/>
      </c>
      <c r="II23" s="31" t="str">
        <f>IFERROR(VLOOKUP([2]Pointage!IM17,Feuil1!$A:$B,2,FALSE),"")</f>
        <v/>
      </c>
      <c r="IJ23" s="31" t="str">
        <f>IFERROR(VLOOKUP([2]Pointage!IN17,Feuil1!$A:$B,2,FALSE),"")</f>
        <v/>
      </c>
      <c r="IK23" s="31" t="str">
        <f>IFERROR(VLOOKUP([2]Pointage!IO17,Feuil1!$A:$B,2,FALSE),"")</f>
        <v/>
      </c>
      <c r="IL23" s="31" t="str">
        <f>IFERROR(VLOOKUP([2]Pointage!IP17,Feuil1!$A:$B,2,FALSE),"")</f>
        <v/>
      </c>
      <c r="IM23" s="31" t="str">
        <f>IFERROR(VLOOKUP([2]Pointage!IQ17,Feuil1!$A:$B,2,FALSE),"")</f>
        <v/>
      </c>
      <c r="IN23" s="82" t="str">
        <f>IFERROR(VLOOKUP([2]Pointage!IR17,Feuil1!$A:$B,2,FALSE),"")</f>
        <v/>
      </c>
      <c r="IO23" s="47" t="str">
        <f>IFERROR(VLOOKUP([2]Pointage!IS17,Feuil1!$A:$B,2,FALSE),"")</f>
        <v/>
      </c>
      <c r="IP23" s="31" t="str">
        <f>IFERROR(VLOOKUP([2]Pointage!IT17,Feuil1!$A:$B,2,FALSE),"")</f>
        <v/>
      </c>
      <c r="IQ23" s="31" t="str">
        <f>IFERROR(VLOOKUP([2]Pointage!IU17,Feuil1!$A:$B,2,FALSE),"")</f>
        <v/>
      </c>
      <c r="IR23" s="31" t="str">
        <f>IFERROR(VLOOKUP([2]Pointage!IV17,Feuil1!$A:$B,2,FALSE),"")</f>
        <v/>
      </c>
      <c r="IS23" s="31" t="str">
        <f>IFERROR(VLOOKUP([2]Pointage!IW17,Feuil1!$A:$B,2,FALSE),"")</f>
        <v/>
      </c>
      <c r="IT23" s="31" t="str">
        <f>IFERROR(VLOOKUP([2]Pointage!IX17,Feuil1!$A:$B,2,FALSE),"")</f>
        <v/>
      </c>
      <c r="IU23" s="31" t="str">
        <f>IFERROR(VLOOKUP([2]Pointage!IY17,Feuil1!$A:$B,2,FALSE),"")</f>
        <v/>
      </c>
      <c r="IV23" s="31" t="str">
        <f>IFERROR(VLOOKUP([2]Pointage!IZ17,Feuil1!$A:$B,2,FALSE),"")</f>
        <v/>
      </c>
      <c r="IW23" s="31" t="str">
        <f>IFERROR(VLOOKUP([2]Pointage!JA17,Feuil1!$A:$B,2,FALSE),"")</f>
        <v/>
      </c>
      <c r="IX23" s="31" t="str">
        <f>IFERROR(VLOOKUP([2]Pointage!JB17,Feuil1!$A:$B,2,FALSE),"")</f>
        <v/>
      </c>
      <c r="IY23" s="31" t="str">
        <f>IFERROR(VLOOKUP([2]Pointage!JC17,Feuil1!$A:$B,2,FALSE),"")</f>
        <v/>
      </c>
      <c r="IZ23" s="31" t="str">
        <f>IFERROR(VLOOKUP([2]Pointage!JD17,Feuil1!$A:$B,2,FALSE),"")</f>
        <v/>
      </c>
      <c r="JA23" s="31" t="str">
        <f>IFERROR(VLOOKUP([2]Pointage!JE17,Feuil1!$A:$B,2,FALSE),"")</f>
        <v/>
      </c>
      <c r="JB23" s="31" t="str">
        <f>IFERROR(VLOOKUP([2]Pointage!JF17,Feuil1!$A:$B,2,FALSE),"")</f>
        <v/>
      </c>
      <c r="JC23" s="31" t="str">
        <f>IFERROR(VLOOKUP([2]Pointage!JG17,Feuil1!$A:$B,2,FALSE),"")</f>
        <v/>
      </c>
      <c r="JD23" s="31" t="str">
        <f>IFERROR(VLOOKUP([2]Pointage!JH17,Feuil1!$A:$B,2,FALSE),"")</f>
        <v/>
      </c>
      <c r="JE23" s="31" t="str">
        <f>IFERROR(VLOOKUP([2]Pointage!JI17,Feuil1!$A:$B,2,FALSE),"")</f>
        <v/>
      </c>
      <c r="JF23" s="31" t="str">
        <f>IFERROR(VLOOKUP([2]Pointage!JJ17,Feuil1!$A:$B,2,FALSE),"")</f>
        <v/>
      </c>
      <c r="JG23" s="31" t="str">
        <f>IFERROR(VLOOKUP([2]Pointage!JK17,Feuil1!$A:$B,2,FALSE),"")</f>
        <v/>
      </c>
      <c r="JH23" s="31" t="str">
        <f>IFERROR(VLOOKUP([2]Pointage!JL17,Feuil1!$A:$B,2,FALSE),"")</f>
        <v/>
      </c>
      <c r="JI23" s="31" t="str">
        <f>IFERROR(VLOOKUP([2]Pointage!JM17,Feuil1!$A:$B,2,FALSE),"")</f>
        <v/>
      </c>
      <c r="JJ23" s="31" t="str">
        <f>IFERROR(VLOOKUP([2]Pointage!JN17,Feuil1!$A:$B,2,FALSE),"")</f>
        <v/>
      </c>
      <c r="JK23" s="31" t="str">
        <f>IFERROR(VLOOKUP([2]Pointage!JO17,Feuil1!$A:$B,2,FALSE),"")</f>
        <v/>
      </c>
      <c r="JL23" s="31" t="str">
        <f>IFERROR(VLOOKUP([2]Pointage!JP17,Feuil1!$A:$B,2,FALSE),"")</f>
        <v/>
      </c>
      <c r="JM23" s="31" t="str">
        <f>IFERROR(VLOOKUP([2]Pointage!JQ17,Feuil1!$A:$B,2,FALSE),"")</f>
        <v/>
      </c>
      <c r="JN23" s="31" t="str">
        <f>IFERROR(VLOOKUP([2]Pointage!JR17,Feuil1!$A:$B,2,FALSE),"")</f>
        <v/>
      </c>
      <c r="JO23" s="31" t="str">
        <f>IFERROR(VLOOKUP([2]Pointage!JS17,Feuil1!$A:$B,2,FALSE),"")</f>
        <v/>
      </c>
      <c r="JP23" s="31" t="str">
        <f>IFERROR(VLOOKUP([2]Pointage!JT17,Feuil1!$A:$B,2,FALSE),"")</f>
        <v/>
      </c>
      <c r="JQ23" s="31" t="str">
        <f>IFERROR(VLOOKUP([2]Pointage!JU17,Feuil1!$A:$B,2,FALSE),"")</f>
        <v/>
      </c>
      <c r="JR23" s="82" t="str">
        <f>IFERROR(VLOOKUP([2]Pointage!JV17,Feuil1!$A:$B,2,FALSE),"")</f>
        <v/>
      </c>
      <c r="JS23" s="47" t="str">
        <f>IFERROR(VLOOKUP([2]Pointage!JW17,Feuil1!$A:$B,2,FALSE),"")</f>
        <v/>
      </c>
      <c r="JT23" s="31" t="str">
        <f>IFERROR(VLOOKUP([2]Pointage!JX17,Feuil1!$A:$B,2,FALSE),"")</f>
        <v/>
      </c>
      <c r="JU23" s="31" t="str">
        <f>IFERROR(VLOOKUP([2]Pointage!JY17,Feuil1!$A:$B,2,FALSE),"")</f>
        <v/>
      </c>
      <c r="JV23" s="31" t="str">
        <f>IFERROR(VLOOKUP([2]Pointage!JZ17,Feuil1!$A:$B,2,FALSE),"")</f>
        <v/>
      </c>
      <c r="JW23" s="31" t="str">
        <f>IFERROR(VLOOKUP([2]Pointage!KA17,Feuil1!$A:$B,2,FALSE),"")</f>
        <v/>
      </c>
      <c r="JX23" s="31" t="str">
        <f>IFERROR(VLOOKUP([2]Pointage!KB17,Feuil1!$A:$B,2,FALSE),"")</f>
        <v/>
      </c>
      <c r="JY23" s="31" t="str">
        <f>IFERROR(VLOOKUP([2]Pointage!KC17,Feuil1!$A:$B,2,FALSE),"")</f>
        <v/>
      </c>
      <c r="JZ23" s="31" t="str">
        <f>IFERROR(VLOOKUP([2]Pointage!KD17,Feuil1!$A:$B,2,FALSE),"")</f>
        <v/>
      </c>
      <c r="KA23" s="31" t="str">
        <f>IFERROR(VLOOKUP([2]Pointage!KE17,Feuil1!$A:$B,2,FALSE),"")</f>
        <v/>
      </c>
      <c r="KB23" s="31" t="str">
        <f>IFERROR(VLOOKUP([2]Pointage!KF17,Feuil1!$A:$B,2,FALSE),"")</f>
        <v/>
      </c>
      <c r="KC23" s="31" t="str">
        <f>IFERROR(VLOOKUP([2]Pointage!KG17,Feuil1!$A:$B,2,FALSE),"")</f>
        <v/>
      </c>
      <c r="KD23" s="31" t="str">
        <f>IFERROR(VLOOKUP([2]Pointage!KH17,Feuil1!$A:$B,2,FALSE),"")</f>
        <v/>
      </c>
      <c r="KE23" s="31" t="str">
        <f>IFERROR(VLOOKUP([2]Pointage!KI17,Feuil1!$A:$B,2,FALSE),"")</f>
        <v/>
      </c>
      <c r="KF23" s="31" t="str">
        <f>IFERROR(VLOOKUP([2]Pointage!KJ17,Feuil1!$A:$B,2,FALSE),"")</f>
        <v/>
      </c>
      <c r="KG23" s="31" t="str">
        <f>IFERROR(VLOOKUP([2]Pointage!KK17,Feuil1!$A:$B,2,FALSE),"")</f>
        <v/>
      </c>
      <c r="KH23" s="31" t="str">
        <f>IFERROR(VLOOKUP([2]Pointage!KL17,Feuil1!$A:$B,2,FALSE),"")</f>
        <v/>
      </c>
      <c r="KI23" s="31" t="str">
        <f>IFERROR(VLOOKUP([2]Pointage!KM17,Feuil1!$A:$B,2,FALSE),"")</f>
        <v/>
      </c>
      <c r="KJ23" s="31" t="str">
        <f>IFERROR(VLOOKUP([2]Pointage!KN17,Feuil1!$A:$B,2,FALSE),"")</f>
        <v/>
      </c>
      <c r="KK23" s="31" t="str">
        <f>IFERROR(VLOOKUP([2]Pointage!KO17,Feuil1!$A:$B,2,FALSE),"")</f>
        <v/>
      </c>
      <c r="KL23" s="31" t="str">
        <f>IFERROR(VLOOKUP([2]Pointage!KP17,Feuil1!$A:$B,2,FALSE),"")</f>
        <v/>
      </c>
      <c r="KM23" s="31" t="str">
        <f>IFERROR(VLOOKUP([2]Pointage!KQ17,Feuil1!$A:$B,2,FALSE),"")</f>
        <v/>
      </c>
      <c r="KN23" s="31" t="str">
        <f>IFERROR(VLOOKUP([2]Pointage!KR17,Feuil1!$A:$B,2,FALSE),"")</f>
        <v/>
      </c>
      <c r="KO23" s="31" t="str">
        <f>IFERROR(VLOOKUP([2]Pointage!KS17,Feuil1!$A:$B,2,FALSE),"")</f>
        <v/>
      </c>
      <c r="KP23" s="31" t="str">
        <f>IFERROR(VLOOKUP([2]Pointage!KT17,Feuil1!$A:$B,2,FALSE),"")</f>
        <v/>
      </c>
      <c r="KQ23" s="31" t="str">
        <f>IFERROR(VLOOKUP([2]Pointage!KU17,Feuil1!$A:$B,2,FALSE),"")</f>
        <v/>
      </c>
      <c r="KR23" s="31" t="str">
        <f>IFERROR(VLOOKUP([2]Pointage!KV17,Feuil1!$A:$B,2,FALSE),"")</f>
        <v/>
      </c>
      <c r="KS23" s="31" t="str">
        <f>IFERROR(VLOOKUP([2]Pointage!KW17,Feuil1!$A:$B,2,FALSE),"")</f>
        <v/>
      </c>
      <c r="KT23" s="31" t="str">
        <f>IFERROR(VLOOKUP([2]Pointage!KX17,Feuil1!$A:$B,2,FALSE),"")</f>
        <v/>
      </c>
      <c r="KU23" s="31" t="str">
        <f>IFERROR(VLOOKUP([2]Pointage!KY17,Feuil1!$A:$B,2,FALSE),"")</f>
        <v/>
      </c>
      <c r="KV23" s="31" t="str">
        <f>IFERROR(VLOOKUP([2]Pointage!KZ17,Feuil1!$A:$B,2,FALSE),"")</f>
        <v/>
      </c>
      <c r="KW23" s="82" t="str">
        <f>IFERROR(VLOOKUP([2]Pointage!LA17,Feuil1!$A:$B,2,FALSE),"")</f>
        <v/>
      </c>
      <c r="KX23" s="47" t="str">
        <f>IFERROR(VLOOKUP([2]Pointage!LB17,Feuil1!$A:$B,2,FALSE),"")</f>
        <v/>
      </c>
      <c r="KY23" s="31" t="str">
        <f>IFERROR(VLOOKUP([2]Pointage!LC17,Feuil1!$A:$B,2,FALSE),"")</f>
        <v/>
      </c>
      <c r="KZ23" s="31" t="str">
        <f>IFERROR(VLOOKUP([2]Pointage!LD17,Feuil1!$A:$B,2,FALSE),"")</f>
        <v/>
      </c>
      <c r="LA23" s="31" t="str">
        <f>IFERROR(VLOOKUP([2]Pointage!LE17,Feuil1!$A:$B,2,FALSE),"")</f>
        <v/>
      </c>
      <c r="LB23" s="31" t="str">
        <f>IFERROR(VLOOKUP([2]Pointage!LF17,Feuil1!$A:$B,2,FALSE),"")</f>
        <v/>
      </c>
      <c r="LC23" s="31" t="str">
        <f>IFERROR(VLOOKUP([2]Pointage!LG17,Feuil1!$A:$B,2,FALSE),"")</f>
        <v/>
      </c>
      <c r="LD23" s="31" t="str">
        <f>IFERROR(VLOOKUP([2]Pointage!LH17,Feuil1!$A:$B,2,FALSE),"")</f>
        <v/>
      </c>
      <c r="LE23" s="31" t="str">
        <f>IFERROR(VLOOKUP([2]Pointage!LI17,Feuil1!$A:$B,2,FALSE),"")</f>
        <v/>
      </c>
      <c r="LF23" s="31" t="str">
        <f>IFERROR(VLOOKUP([2]Pointage!LJ17,Feuil1!$A:$B,2,FALSE),"")</f>
        <v/>
      </c>
      <c r="LG23" s="31" t="str">
        <f>IFERROR(VLOOKUP([2]Pointage!LK17,Feuil1!$A:$B,2,FALSE),"")</f>
        <v/>
      </c>
      <c r="LH23" s="31" t="str">
        <f>IFERROR(VLOOKUP([2]Pointage!LL17,Feuil1!$A:$B,2,FALSE),"")</f>
        <v/>
      </c>
      <c r="LI23" s="31" t="str">
        <f>IFERROR(VLOOKUP([2]Pointage!LM17,Feuil1!$A:$B,2,FALSE),"")</f>
        <v/>
      </c>
      <c r="LJ23" s="31" t="str">
        <f>IFERROR(VLOOKUP([2]Pointage!LN17,Feuil1!$A:$B,2,FALSE),"")</f>
        <v/>
      </c>
      <c r="LK23" s="31" t="str">
        <f>IFERROR(VLOOKUP([2]Pointage!LO17,Feuil1!$A:$B,2,FALSE),"")</f>
        <v/>
      </c>
      <c r="LL23" s="31" t="str">
        <f>IFERROR(VLOOKUP([2]Pointage!LP17,Feuil1!$A:$B,2,FALSE),"")</f>
        <v/>
      </c>
      <c r="LM23" s="31" t="str">
        <f>IFERROR(VLOOKUP([2]Pointage!LQ17,Feuil1!$A:$B,2,FALSE),"")</f>
        <v/>
      </c>
      <c r="LN23" s="31" t="str">
        <f>IFERROR(VLOOKUP([2]Pointage!LR17,Feuil1!$A:$B,2,FALSE),"")</f>
        <v/>
      </c>
      <c r="LO23" s="31" t="str">
        <f>IFERROR(VLOOKUP([2]Pointage!LS17,Feuil1!$A:$B,2,FALSE),"")</f>
        <v/>
      </c>
      <c r="LP23" s="31" t="str">
        <f>IFERROR(VLOOKUP([2]Pointage!LT17,Feuil1!$A:$B,2,FALSE),"")</f>
        <v/>
      </c>
      <c r="LQ23" s="31" t="str">
        <f>IFERROR(VLOOKUP([2]Pointage!LU17,Feuil1!$A:$B,2,FALSE),"")</f>
        <v/>
      </c>
      <c r="LR23" s="31" t="str">
        <f>IFERROR(VLOOKUP([2]Pointage!LV17,Feuil1!$A:$B,2,FALSE),"")</f>
        <v/>
      </c>
      <c r="LS23" s="31" t="str">
        <f>IFERROR(VLOOKUP([2]Pointage!LW17,Feuil1!$A:$B,2,FALSE),"")</f>
        <v/>
      </c>
      <c r="LT23" s="31" t="str">
        <f>IFERROR(VLOOKUP([2]Pointage!LX17,Feuil1!$A:$B,2,FALSE),"")</f>
        <v/>
      </c>
      <c r="LU23" s="31" t="str">
        <f>IFERROR(VLOOKUP([2]Pointage!LY17,Feuil1!$A:$B,2,FALSE),"")</f>
        <v/>
      </c>
      <c r="LV23" s="31" t="str">
        <f>IFERROR(VLOOKUP([2]Pointage!LZ17,Feuil1!$A:$B,2,FALSE),"")</f>
        <v/>
      </c>
      <c r="LW23" s="31" t="str">
        <f>IFERROR(VLOOKUP([2]Pointage!MA17,Feuil1!$A:$B,2,FALSE),"")</f>
        <v/>
      </c>
      <c r="LX23" s="31" t="str">
        <f>IFERROR(VLOOKUP([2]Pointage!MB17,Feuil1!$A:$B,2,FALSE),"")</f>
        <v/>
      </c>
      <c r="LY23" s="31" t="str">
        <f>IFERROR(VLOOKUP([2]Pointage!MC17,Feuil1!$A:$B,2,FALSE),"")</f>
        <v/>
      </c>
      <c r="LZ23" s="31" t="str">
        <f>IFERROR(VLOOKUP([2]Pointage!MD17,Feuil1!$A:$B,2,FALSE),"")</f>
        <v/>
      </c>
      <c r="MA23" s="82" t="str">
        <f>IFERROR(VLOOKUP([2]Pointage!ME17,Feuil1!$A:$B,2,FALSE),"")</f>
        <v/>
      </c>
      <c r="MB23" s="47" t="str">
        <f>IFERROR(VLOOKUP([2]Pointage!MF17,Feuil1!$A:$B,2,FALSE),"")</f>
        <v/>
      </c>
      <c r="MC23" s="31" t="str">
        <f>IFERROR(VLOOKUP([2]Pointage!MG17,Feuil1!$A:$B,2,FALSE),"")</f>
        <v/>
      </c>
      <c r="MD23" s="31" t="str">
        <f>IFERROR(VLOOKUP([2]Pointage!MH17,Feuil1!$A:$B,2,FALSE),"")</f>
        <v/>
      </c>
      <c r="ME23" s="31" t="str">
        <f>IFERROR(VLOOKUP([2]Pointage!MI17,Feuil1!$A:$B,2,FALSE),"")</f>
        <v/>
      </c>
      <c r="MF23" s="31" t="str">
        <f>IFERROR(VLOOKUP([2]Pointage!MJ17,Feuil1!$A:$B,2,FALSE),"")</f>
        <v/>
      </c>
      <c r="MG23" s="31" t="str">
        <f>IFERROR(VLOOKUP([2]Pointage!MK17,Feuil1!$A:$B,2,FALSE),"")</f>
        <v/>
      </c>
      <c r="MH23" s="31" t="str">
        <f>IFERROR(VLOOKUP([2]Pointage!ML17,Feuil1!$A:$B,2,FALSE),"")</f>
        <v/>
      </c>
      <c r="MI23" s="31" t="str">
        <f>IFERROR(VLOOKUP([2]Pointage!MM17,Feuil1!$A:$B,2,FALSE),"")</f>
        <v/>
      </c>
      <c r="MJ23" s="31" t="str">
        <f>IFERROR(VLOOKUP([2]Pointage!MN17,Feuil1!$A:$B,2,FALSE),"")</f>
        <v/>
      </c>
      <c r="MK23" s="31" t="str">
        <f>IFERROR(VLOOKUP([2]Pointage!MO17,Feuil1!$A:$B,2,FALSE),"")</f>
        <v/>
      </c>
      <c r="ML23" s="31" t="str">
        <f>IFERROR(VLOOKUP([2]Pointage!MP17,Feuil1!$A:$B,2,FALSE),"")</f>
        <v/>
      </c>
      <c r="MM23" s="31" t="str">
        <f>IFERROR(VLOOKUP([2]Pointage!MQ17,Feuil1!$A:$B,2,FALSE),"")</f>
        <v/>
      </c>
      <c r="MN23" s="31" t="str">
        <f>IFERROR(VLOOKUP([2]Pointage!MR17,Feuil1!$A:$B,2,FALSE),"")</f>
        <v/>
      </c>
      <c r="MO23" s="31" t="str">
        <f>IFERROR(VLOOKUP([2]Pointage!MS17,Feuil1!$A:$B,2,FALSE),"")</f>
        <v/>
      </c>
      <c r="MP23" s="31" t="str">
        <f>IFERROR(VLOOKUP([2]Pointage!MT17,Feuil1!$A:$B,2,FALSE),"")</f>
        <v/>
      </c>
      <c r="MQ23" s="31" t="str">
        <f>IFERROR(VLOOKUP([2]Pointage!MU17,Feuil1!$A:$B,2,FALSE),"")</f>
        <v/>
      </c>
      <c r="MR23" s="31" t="str">
        <f>IFERROR(VLOOKUP([2]Pointage!MV17,Feuil1!$A:$B,2,FALSE),"")</f>
        <v/>
      </c>
      <c r="MS23" s="31" t="str">
        <f>IFERROR(VLOOKUP([2]Pointage!MW17,Feuil1!$A:$B,2,FALSE),"")</f>
        <v/>
      </c>
      <c r="MT23" s="31" t="str">
        <f>IFERROR(VLOOKUP([2]Pointage!MX17,Feuil1!$A:$B,2,FALSE),"")</f>
        <v/>
      </c>
      <c r="MU23" s="31" t="str">
        <f>IFERROR(VLOOKUP([2]Pointage!MY17,Feuil1!$A:$B,2,FALSE),"")</f>
        <v/>
      </c>
      <c r="MV23" s="31" t="str">
        <f>IFERROR(VLOOKUP([2]Pointage!MZ17,Feuil1!$A:$B,2,FALSE),"")</f>
        <v/>
      </c>
      <c r="MW23" s="31" t="str">
        <f>IFERROR(VLOOKUP([2]Pointage!NA17,Feuil1!$A:$B,2,FALSE),"")</f>
        <v/>
      </c>
      <c r="MX23" s="31" t="str">
        <f>IFERROR(VLOOKUP([2]Pointage!NB17,Feuil1!$A:$B,2,FALSE),"")</f>
        <v/>
      </c>
      <c r="MY23" s="31" t="str">
        <f>IFERROR(VLOOKUP([2]Pointage!NC17,Feuil1!$A:$B,2,FALSE),"")</f>
        <v/>
      </c>
      <c r="MZ23" s="31" t="str">
        <f>IFERROR(VLOOKUP([2]Pointage!ND17,Feuil1!$A:$B,2,FALSE),"")</f>
        <v/>
      </c>
      <c r="NA23" s="31" t="str">
        <f>IFERROR(VLOOKUP([2]Pointage!NE17,Feuil1!$A:$B,2,FALSE),"")</f>
        <v/>
      </c>
      <c r="NB23" s="31" t="str">
        <f>IFERROR(VLOOKUP([2]Pointage!NF17,Feuil1!$A:$B,2,FALSE),"")</f>
        <v/>
      </c>
      <c r="NC23" s="31" t="str">
        <f>IFERROR(VLOOKUP([2]Pointage!NG17,Feuil1!$A:$B,2,FALSE),"")</f>
        <v/>
      </c>
      <c r="ND23" s="31" t="str">
        <f>IFERROR(VLOOKUP([2]Pointage!NH17,Feuil1!$A:$B,2,FALSE),"")</f>
        <v/>
      </c>
      <c r="NE23" s="31" t="str">
        <f>IFERROR(VLOOKUP([2]Pointage!NI17,Feuil1!$A:$B,2,FALSE),"")</f>
        <v/>
      </c>
      <c r="NF23" s="48" t="str">
        <f>IFERROR(VLOOKUP([2]Pointage!NJ17,Feuil1!$A:$B,2,FALSE),"")</f>
        <v/>
      </c>
      <c r="NG23" s="52">
        <f>COUNTIF(Global!F23:NF23,"RTT")+(COUNTIF(Global!F23:NF23,"dRTT")/2)</f>
        <v>0</v>
      </c>
      <c r="NH23" s="42">
        <f>COUNTIF(Global!F23:NF23,"C")+(COUNTIF(Global!F23:NF23,"DC")/2)</f>
        <v>31</v>
      </c>
      <c r="NI23" s="42">
        <f>COUNTIF(Global!F23:NF23,"M")</f>
        <v>3</v>
      </c>
      <c r="NJ23" s="42">
        <f>COUNTIF(Global!G23:NG23,"AT")</f>
        <v>0</v>
      </c>
      <c r="NK23" s="42">
        <f>COUNTIF(Global!F23:NF23,"RD")</f>
        <v>0</v>
      </c>
      <c r="NL23" s="42">
        <f>COUNTIF(Global!F23:NF23,"RC")+(COUNTIF(Global!F23:NF23,"dRC")/2)</f>
        <v>0</v>
      </c>
      <c r="NM23" s="68">
        <f t="shared" ca="1" si="0"/>
        <v>3.945205479452055</v>
      </c>
      <c r="NT23" s="33"/>
      <c r="NU23" s="33"/>
      <c r="NV23" s="28"/>
      <c r="NW23" s="28"/>
      <c r="NX23" s="29">
        <f>COUNTIF(F23:NF23,"C")++(COUNTIF(Global!F23:NF23,"DC")/2)</f>
        <v>31</v>
      </c>
      <c r="NY23" s="29"/>
      <c r="NZ23" s="29"/>
      <c r="OA23" s="29"/>
      <c r="OB23" s="29">
        <f>COUNTIF(Global!F23:NF23,"M")</f>
        <v>3</v>
      </c>
      <c r="OC23" s="30">
        <f t="shared" si="1"/>
        <v>-31</v>
      </c>
      <c r="OD23" s="30"/>
    </row>
    <row r="24" spans="1:394" ht="30" customHeight="1" x14ac:dyDescent="0.2">
      <c r="A24" s="15" t="s">
        <v>80</v>
      </c>
      <c r="B24" s="22" t="s">
        <v>177</v>
      </c>
      <c r="C24" s="22" t="s">
        <v>178</v>
      </c>
      <c r="D24" s="22" t="s">
        <v>179</v>
      </c>
      <c r="E24" s="44">
        <v>0</v>
      </c>
      <c r="F24" s="47" t="str">
        <f>IFERROR(VLOOKUP([2]Pointage!J18,Feuil1!$A:$B,2,FALSE),"")</f>
        <v/>
      </c>
      <c r="G24" s="31" t="str">
        <f>IFERROR(VLOOKUP([2]Pointage!K18,Feuil1!$A:$B,2,FALSE),"")</f>
        <v/>
      </c>
      <c r="H24" s="31" t="str">
        <f>IFERROR(VLOOKUP([2]Pointage!L18,Feuil1!$A:$B,2,FALSE),"")</f>
        <v/>
      </c>
      <c r="I24" s="31" t="str">
        <f>IFERROR(VLOOKUP([2]Pointage!M18,Feuil1!$A:$B,2,FALSE),"")</f>
        <v/>
      </c>
      <c r="J24" s="31" t="str">
        <f>IFERROR(VLOOKUP([2]Pointage!N18,Feuil1!$A:$B,2,FALSE),"")</f>
        <v/>
      </c>
      <c r="K24" s="31" t="str">
        <f>IFERROR(VLOOKUP([2]Pointage!O18,Feuil1!$A:$B,2,FALSE),"")</f>
        <v/>
      </c>
      <c r="L24" s="31" t="str">
        <f>IFERROR(VLOOKUP([2]Pointage!P18,Feuil1!$A:$B,2,FALSE),"")</f>
        <v/>
      </c>
      <c r="M24" s="31" t="str">
        <f>IFERROR(VLOOKUP([2]Pointage!Q18,Feuil1!$A:$B,2,FALSE),"")</f>
        <v/>
      </c>
      <c r="N24" s="31" t="str">
        <f>IFERROR(VLOOKUP([2]Pointage!R18,Feuil1!$A:$B,2,FALSE),"")</f>
        <v/>
      </c>
      <c r="O24" s="31" t="str">
        <f>IFERROR(VLOOKUP([2]Pointage!S18,Feuil1!$A:$B,2,FALSE),"")</f>
        <v/>
      </c>
      <c r="P24" s="31" t="str">
        <f>IFERROR(VLOOKUP([2]Pointage!T18,Feuil1!$A:$B,2,FALSE),"")</f>
        <v>C</v>
      </c>
      <c r="Q24" s="31" t="str">
        <f>IFERROR(VLOOKUP([2]Pointage!U18,Feuil1!$A:$B,2,FALSE),"")</f>
        <v/>
      </c>
      <c r="R24" s="31" t="str">
        <f>IFERROR(VLOOKUP([2]Pointage!V18,Feuil1!$A:$B,2,FALSE),"")</f>
        <v/>
      </c>
      <c r="S24" s="31" t="str">
        <f>IFERROR(VLOOKUP([2]Pointage!W18,Feuil1!$A:$B,2,FALSE),"")</f>
        <v/>
      </c>
      <c r="T24" s="31" t="str">
        <f>IFERROR(VLOOKUP([2]Pointage!X18,Feuil1!$A:$B,2,FALSE),"")</f>
        <v/>
      </c>
      <c r="U24" s="31" t="str">
        <f>IFERROR(VLOOKUP([2]Pointage!Y18,Feuil1!$A:$B,2,FALSE),"")</f>
        <v/>
      </c>
      <c r="V24" s="31" t="str">
        <f>IFERROR(VLOOKUP([2]Pointage!Z18,Feuil1!$A:$B,2,FALSE),"")</f>
        <v/>
      </c>
      <c r="W24" s="31" t="str">
        <f>IFERROR(VLOOKUP([2]Pointage!AA18,Feuil1!$A:$B,2,FALSE),"")</f>
        <v/>
      </c>
      <c r="X24" s="31" t="str">
        <f>IFERROR(VLOOKUP([2]Pointage!AB18,Feuil1!$A:$B,2,FALSE),"")</f>
        <v/>
      </c>
      <c r="Y24" s="31" t="str">
        <f>IFERROR(VLOOKUP([2]Pointage!AC18,Feuil1!$A:$B,2,FALSE),"")</f>
        <v/>
      </c>
      <c r="Z24" s="31" t="str">
        <f>IFERROR(VLOOKUP([2]Pointage!AD18,Feuil1!$A:$B,2,FALSE),"")</f>
        <v/>
      </c>
      <c r="AA24" s="31" t="str">
        <f>IFERROR(VLOOKUP([2]Pointage!AE18,Feuil1!$A:$B,2,FALSE),"")</f>
        <v>M</v>
      </c>
      <c r="AB24" s="31" t="str">
        <f>IFERROR(VLOOKUP([2]Pointage!AF18,Feuil1!$A:$B,2,FALSE),"")</f>
        <v>M</v>
      </c>
      <c r="AC24" s="31" t="str">
        <f>IFERROR(VLOOKUP([2]Pointage!AG18,Feuil1!$A:$B,2,FALSE),"")</f>
        <v/>
      </c>
      <c r="AD24" s="31" t="str">
        <f>IFERROR(VLOOKUP([2]Pointage!AH18,Feuil1!$A:$B,2,FALSE),"")</f>
        <v/>
      </c>
      <c r="AE24" s="31" t="str">
        <f>IFERROR(VLOOKUP([2]Pointage!AI18,Feuil1!$A:$B,2,FALSE),"")</f>
        <v/>
      </c>
      <c r="AF24" s="31" t="str">
        <f>IFERROR(VLOOKUP([2]Pointage!AJ18,Feuil1!$A:$B,2,FALSE),"")</f>
        <v/>
      </c>
      <c r="AG24" s="31" t="str">
        <f>IFERROR(VLOOKUP([2]Pointage!AK18,Feuil1!$A:$B,2,FALSE),"")</f>
        <v/>
      </c>
      <c r="AH24" s="31" t="str">
        <f>IFERROR(VLOOKUP([2]Pointage!AL18,Feuil1!$A:$B,2,FALSE),"")</f>
        <v/>
      </c>
      <c r="AI24" s="31" t="str">
        <f>IFERROR(VLOOKUP([2]Pointage!AM18,Feuil1!$A:$B,2,FALSE),"")</f>
        <v/>
      </c>
      <c r="AJ24" s="82" t="str">
        <f>IFERROR(VLOOKUP([2]Pointage!AN18,Feuil1!$A:$B,2,FALSE),"")</f>
        <v/>
      </c>
      <c r="AK24" s="47" t="str">
        <f>IFERROR(VLOOKUP([2]Pointage!AO18,Feuil1!$A:$B,2,FALSE),"")</f>
        <v/>
      </c>
      <c r="AL24" s="31" t="str">
        <f>IFERROR(VLOOKUP([2]Pointage!AP18,Feuil1!$A:$B,2,FALSE),"")</f>
        <v/>
      </c>
      <c r="AM24" s="31" t="str">
        <f>IFERROR(VLOOKUP([2]Pointage!AQ18,Feuil1!$A:$B,2,FALSE),"")</f>
        <v/>
      </c>
      <c r="AN24" s="31" t="str">
        <f>IFERROR(VLOOKUP([2]Pointage!AR18,Feuil1!$A:$B,2,FALSE),"")</f>
        <v/>
      </c>
      <c r="AO24" s="31" t="str">
        <f>IFERROR(VLOOKUP([2]Pointage!AS18,Feuil1!$A:$B,2,FALSE),"")</f>
        <v/>
      </c>
      <c r="AP24" s="31" t="str">
        <f>IFERROR(VLOOKUP([2]Pointage!AT18,Feuil1!$A:$B,2,FALSE),"")</f>
        <v/>
      </c>
      <c r="AQ24" s="31" t="str">
        <f>IFERROR(VLOOKUP([2]Pointage!AU18,Feuil1!$A:$B,2,FALSE),"")</f>
        <v/>
      </c>
      <c r="AR24" s="31" t="str">
        <f>IFERROR(VLOOKUP([2]Pointage!AV18,Feuil1!$A:$B,2,FALSE),"")</f>
        <v/>
      </c>
      <c r="AS24" s="31" t="str">
        <f>IFERROR(VLOOKUP([2]Pointage!AW18,Feuil1!$A:$B,2,FALSE),"")</f>
        <v>C</v>
      </c>
      <c r="AT24" s="31" t="str">
        <f>IFERROR(VLOOKUP([2]Pointage!AX18,Feuil1!$A:$B,2,FALSE),"")</f>
        <v/>
      </c>
      <c r="AU24" s="31" t="str">
        <f>IFERROR(VLOOKUP([2]Pointage!AY18,Feuil1!$A:$B,2,FALSE),"")</f>
        <v/>
      </c>
      <c r="AV24" s="31" t="str">
        <f>IFERROR(VLOOKUP([2]Pointage!AZ18,Feuil1!$A:$B,2,FALSE),"")</f>
        <v/>
      </c>
      <c r="AW24" s="31" t="str">
        <f>IFERROR(VLOOKUP([2]Pointage!BA18,Feuil1!$A:$B,2,FALSE),"")</f>
        <v/>
      </c>
      <c r="AX24" s="31" t="str">
        <f>IFERROR(VLOOKUP([2]Pointage!BB18,Feuil1!$A:$B,2,FALSE),"")</f>
        <v/>
      </c>
      <c r="AY24" s="31" t="str">
        <f>IFERROR(VLOOKUP([2]Pointage!BC18,Feuil1!$A:$B,2,FALSE),"")</f>
        <v/>
      </c>
      <c r="AZ24" s="31" t="str">
        <f>IFERROR(VLOOKUP([2]Pointage!BD18,Feuil1!$A:$B,2,FALSE),"")</f>
        <v/>
      </c>
      <c r="BA24" s="31" t="str">
        <f>IFERROR(VLOOKUP([2]Pointage!BE18,Feuil1!$A:$B,2,FALSE),"")</f>
        <v/>
      </c>
      <c r="BB24" s="31" t="str">
        <f>IFERROR(VLOOKUP([2]Pointage!BF18,Feuil1!$A:$B,2,FALSE),"")</f>
        <v/>
      </c>
      <c r="BC24" s="31" t="str">
        <f>IFERROR(VLOOKUP([2]Pointage!BG18,Feuil1!$A:$B,2,FALSE),"")</f>
        <v>M</v>
      </c>
      <c r="BD24" s="31" t="str">
        <f>IFERROR(VLOOKUP([2]Pointage!BH18,Feuil1!$A:$B,2,FALSE),"")</f>
        <v>M</v>
      </c>
      <c r="BE24" s="31" t="str">
        <f>IFERROR(VLOOKUP([2]Pointage!BI18,Feuil1!$A:$B,2,FALSE),"")</f>
        <v/>
      </c>
      <c r="BF24" s="31" t="str">
        <f>IFERROR(VLOOKUP([2]Pointage!BJ18,Feuil1!$A:$B,2,FALSE),"")</f>
        <v/>
      </c>
      <c r="BG24" s="31" t="str">
        <f>IFERROR(VLOOKUP([2]Pointage!BK18,Feuil1!$A:$B,2,FALSE),"")</f>
        <v/>
      </c>
      <c r="BH24" s="31" t="str">
        <f>IFERROR(VLOOKUP([2]Pointage!BL18,Feuil1!$A:$B,2,FALSE),"")</f>
        <v/>
      </c>
      <c r="BI24" s="31" t="str">
        <f>IFERROR(VLOOKUP([2]Pointage!BM18,Feuil1!$A:$B,2,FALSE),"")</f>
        <v/>
      </c>
      <c r="BJ24" s="31" t="str">
        <f>IFERROR(VLOOKUP([2]Pointage!BN18,Feuil1!$A:$B,2,FALSE),"")</f>
        <v/>
      </c>
      <c r="BK24" s="31" t="str">
        <f>IFERROR(VLOOKUP([2]Pointage!BO18,Feuil1!$A:$B,2,FALSE),"")</f>
        <v/>
      </c>
      <c r="BL24" s="82" t="str">
        <f>IFERROR(VLOOKUP([2]Pointage!BP18,Feuil1!$A:$B,2,FALSE),"")</f>
        <v/>
      </c>
      <c r="BM24" s="47" t="str">
        <f>IFERROR(VLOOKUP([2]Pointage!BQ18,Feuil1!$A:$B,2,FALSE),"")</f>
        <v/>
      </c>
      <c r="BN24" s="31" t="str">
        <f>IFERROR(VLOOKUP([2]Pointage!BR18,Feuil1!$A:$B,2,FALSE),"")</f>
        <v/>
      </c>
      <c r="BO24" s="31" t="str">
        <f>IFERROR(VLOOKUP([2]Pointage!BS18,Feuil1!$A:$B,2,FALSE),"")</f>
        <v/>
      </c>
      <c r="BP24" s="31" t="str">
        <f>IFERROR(VLOOKUP([2]Pointage!BT18,Feuil1!$A:$B,2,FALSE),"")</f>
        <v/>
      </c>
      <c r="BQ24" s="31" t="str">
        <f>IFERROR(VLOOKUP([2]Pointage!BU18,Feuil1!$A:$B,2,FALSE),"")</f>
        <v/>
      </c>
      <c r="BR24" s="31" t="str">
        <f>IFERROR(VLOOKUP([2]Pointage!BV18,Feuil1!$A:$B,2,FALSE),"")</f>
        <v/>
      </c>
      <c r="BS24" s="31" t="str">
        <f>IFERROR(VLOOKUP([2]Pointage!BW18,Feuil1!$A:$B,2,FALSE),"")</f>
        <v/>
      </c>
      <c r="BT24" s="31" t="str">
        <f>IFERROR(VLOOKUP([2]Pointage!BX18,Feuil1!$A:$B,2,FALSE),"")</f>
        <v>C</v>
      </c>
      <c r="BU24" s="31" t="str">
        <f>IFERROR(VLOOKUP([2]Pointage!BY18,Feuil1!$A:$B,2,FALSE),"")</f>
        <v>C</v>
      </c>
      <c r="BV24" s="31" t="str">
        <f>IFERROR(VLOOKUP([2]Pointage!BZ18,Feuil1!$A:$B,2,FALSE),"")</f>
        <v/>
      </c>
      <c r="BW24" s="31" t="str">
        <f>IFERROR(VLOOKUP([2]Pointage!CA18,Feuil1!$A:$B,2,FALSE),"")</f>
        <v/>
      </c>
      <c r="BX24" s="31" t="str">
        <f>IFERROR(VLOOKUP([2]Pointage!CB18,Feuil1!$A:$B,2,FALSE),"")</f>
        <v>C</v>
      </c>
      <c r="BY24" s="31" t="str">
        <f>IFERROR(VLOOKUP([2]Pointage!CC18,Feuil1!$A:$B,2,FALSE),"")</f>
        <v>C</v>
      </c>
      <c r="BZ24" s="31" t="str">
        <f>IFERROR(VLOOKUP([2]Pointage!CD18,Feuil1!$A:$B,2,FALSE),"")</f>
        <v>C</v>
      </c>
      <c r="CA24" s="31" t="str">
        <f>IFERROR(VLOOKUP([2]Pointage!CE18,Feuil1!$A:$B,2,FALSE),"")</f>
        <v>C</v>
      </c>
      <c r="CB24" s="31" t="str">
        <f>IFERROR(VLOOKUP([2]Pointage!CF18,Feuil1!$A:$B,2,FALSE),"")</f>
        <v>C</v>
      </c>
      <c r="CC24" s="31" t="str">
        <f>IFERROR(VLOOKUP([2]Pointage!CG18,Feuil1!$A:$B,2,FALSE),"")</f>
        <v/>
      </c>
      <c r="CD24" s="31" t="str">
        <f>IFERROR(VLOOKUP([2]Pointage!CH18,Feuil1!$A:$B,2,FALSE),"")</f>
        <v/>
      </c>
      <c r="CE24" s="31" t="str">
        <f>IFERROR(VLOOKUP([2]Pointage!CI18,Feuil1!$A:$B,2,FALSE),"")</f>
        <v/>
      </c>
      <c r="CF24" s="31" t="str">
        <f>IFERROR(VLOOKUP([2]Pointage!CJ18,Feuil1!$A:$B,2,FALSE),"")</f>
        <v/>
      </c>
      <c r="CG24" s="31" t="str">
        <f>IFERROR(VLOOKUP([2]Pointage!CK18,Feuil1!$A:$B,2,FALSE),"")</f>
        <v/>
      </c>
      <c r="CH24" s="31" t="str">
        <f>IFERROR(VLOOKUP([2]Pointage!CL18,Feuil1!$A:$B,2,FALSE),"")</f>
        <v/>
      </c>
      <c r="CI24" s="31" t="str">
        <f>IFERROR(VLOOKUP([2]Pointage!CM18,Feuil1!$A:$B,2,FALSE),"")</f>
        <v/>
      </c>
      <c r="CJ24" s="31" t="str">
        <f>IFERROR(VLOOKUP([2]Pointage!CN18,Feuil1!$A:$B,2,FALSE),"")</f>
        <v/>
      </c>
      <c r="CK24" s="31" t="str">
        <f>IFERROR(VLOOKUP([2]Pointage!CO18,Feuil1!$A:$B,2,FALSE),"")</f>
        <v/>
      </c>
      <c r="CL24" s="31" t="str">
        <f>IFERROR(VLOOKUP([2]Pointage!CP18,Feuil1!$A:$B,2,FALSE),"")</f>
        <v/>
      </c>
      <c r="CM24" s="31" t="str">
        <f>IFERROR(VLOOKUP([2]Pointage!CQ18,Feuil1!$A:$B,2,FALSE),"")</f>
        <v/>
      </c>
      <c r="CN24" s="31" t="str">
        <f>IFERROR(VLOOKUP([2]Pointage!CR18,Feuil1!$A:$B,2,FALSE),"")</f>
        <v>C</v>
      </c>
      <c r="CO24" s="31" t="str">
        <f>IFERROR(VLOOKUP([2]Pointage!CS18,Feuil1!$A:$B,2,FALSE),"")</f>
        <v/>
      </c>
      <c r="CP24" s="31" t="str">
        <f>IFERROR(VLOOKUP([2]Pointage!CT18,Feuil1!$A:$B,2,FALSE),"")</f>
        <v/>
      </c>
      <c r="CQ24" s="82" t="str">
        <f>IFERROR(VLOOKUP([2]Pointage!CU18,Feuil1!$A:$B,2,FALSE),"")</f>
        <v/>
      </c>
      <c r="CR24" s="47" t="str">
        <f>IFERROR(VLOOKUP([2]Pointage!CV18,Feuil1!$A:$B,2,FALSE),"")</f>
        <v/>
      </c>
      <c r="CS24" s="31" t="str">
        <f>IFERROR(VLOOKUP([2]Pointage!CW18,Feuil1!$A:$B,2,FALSE),"")</f>
        <v/>
      </c>
      <c r="CT24" s="31" t="str">
        <f>IFERROR(VLOOKUP([2]Pointage!CX18,Feuil1!$A:$B,2,FALSE),"")</f>
        <v>C</v>
      </c>
      <c r="CU24" s="31" t="str">
        <f>IFERROR(VLOOKUP([2]Pointage!CY18,Feuil1!$A:$B,2,FALSE),"")</f>
        <v/>
      </c>
      <c r="CV24" s="31" t="str">
        <f>IFERROR(VLOOKUP([2]Pointage!CZ18,Feuil1!$A:$B,2,FALSE),"")</f>
        <v/>
      </c>
      <c r="CW24" s="31" t="str">
        <f>IFERROR(VLOOKUP([2]Pointage!DA18,Feuil1!$A:$B,2,FALSE),"")</f>
        <v/>
      </c>
      <c r="CX24" s="31" t="str">
        <f>IFERROR(VLOOKUP([2]Pointage!DB18,Feuil1!$A:$B,2,FALSE),"")</f>
        <v/>
      </c>
      <c r="CY24" s="31" t="str">
        <f>IFERROR(VLOOKUP([2]Pointage!DC18,Feuil1!$A:$B,2,FALSE),"")</f>
        <v/>
      </c>
      <c r="CZ24" s="31" t="str">
        <f>IFERROR(VLOOKUP([2]Pointage!DD18,Feuil1!$A:$B,2,FALSE),"")</f>
        <v>C</v>
      </c>
      <c r="DA24" s="31" t="str">
        <f>IFERROR(VLOOKUP([2]Pointage!DE18,Feuil1!$A:$B,2,FALSE),"")</f>
        <v>C</v>
      </c>
      <c r="DB24" s="31" t="str">
        <f>IFERROR(VLOOKUP([2]Pointage!DF18,Feuil1!$A:$B,2,FALSE),"")</f>
        <v>C</v>
      </c>
      <c r="DC24" s="31" t="str">
        <f>IFERROR(VLOOKUP([2]Pointage!DG18,Feuil1!$A:$B,2,FALSE),"")</f>
        <v>C</v>
      </c>
      <c r="DD24" s="31" t="str">
        <f>IFERROR(VLOOKUP([2]Pointage!DH18,Feuil1!$A:$B,2,FALSE),"")</f>
        <v>C</v>
      </c>
      <c r="DE24" s="31" t="str">
        <f>IFERROR(VLOOKUP([2]Pointage!DI18,Feuil1!$A:$B,2,FALSE),"")</f>
        <v/>
      </c>
      <c r="DF24" s="31" t="str">
        <f>IFERROR(VLOOKUP([2]Pointage!DJ18,Feuil1!$A:$B,2,FALSE),"")</f>
        <v/>
      </c>
      <c r="DG24" s="31" t="str">
        <f>IFERROR(VLOOKUP([2]Pointage!DK18,Feuil1!$A:$B,2,FALSE),"")</f>
        <v/>
      </c>
      <c r="DH24" s="31" t="str">
        <f>IFERROR(VLOOKUP([2]Pointage!DL18,Feuil1!$A:$B,2,FALSE),"")</f>
        <v/>
      </c>
      <c r="DI24" s="31" t="str">
        <f>IFERROR(VLOOKUP([2]Pointage!DM18,Feuil1!$A:$B,2,FALSE),"")</f>
        <v/>
      </c>
      <c r="DJ24" s="31" t="str">
        <f>IFERROR(VLOOKUP([2]Pointage!DN18,Feuil1!$A:$B,2,FALSE),"")</f>
        <v/>
      </c>
      <c r="DK24" s="31" t="str">
        <f>IFERROR(VLOOKUP([2]Pointage!DO18,Feuil1!$A:$B,2,FALSE),"")</f>
        <v/>
      </c>
      <c r="DL24" s="31" t="str">
        <f>IFERROR(VLOOKUP([2]Pointage!DP18,Feuil1!$A:$B,2,FALSE),"")</f>
        <v/>
      </c>
      <c r="DM24" s="31" t="str">
        <f>IFERROR(VLOOKUP([2]Pointage!DQ18,Feuil1!$A:$B,2,FALSE),"")</f>
        <v/>
      </c>
      <c r="DN24" s="31" t="str">
        <f>IFERROR(VLOOKUP([2]Pointage!DR18,Feuil1!$A:$B,2,FALSE),"")</f>
        <v/>
      </c>
      <c r="DO24" s="31" t="str">
        <f>IFERROR(VLOOKUP([2]Pointage!DS18,Feuil1!$A:$B,2,FALSE),"")</f>
        <v/>
      </c>
      <c r="DP24" s="31" t="str">
        <f>IFERROR(VLOOKUP([2]Pointage!DT18,Feuil1!$A:$B,2,FALSE),"")</f>
        <v/>
      </c>
      <c r="DQ24" s="31" t="str">
        <f>IFERROR(VLOOKUP([2]Pointage!DU18,Feuil1!$A:$B,2,FALSE),"")</f>
        <v/>
      </c>
      <c r="DR24" s="31" t="str">
        <f>IFERROR(VLOOKUP([2]Pointage!DV18,Feuil1!$A:$B,2,FALSE),"")</f>
        <v/>
      </c>
      <c r="DS24" s="31" t="str">
        <f>IFERROR(VLOOKUP([2]Pointage!DW18,Feuil1!$A:$B,2,FALSE),"")</f>
        <v/>
      </c>
      <c r="DT24" s="31" t="str">
        <f>IFERROR(VLOOKUP([2]Pointage!DX18,Feuil1!$A:$B,2,FALSE),"")</f>
        <v/>
      </c>
      <c r="DU24" s="82" t="str">
        <f>IFERROR(VLOOKUP([2]Pointage!DY18,Feuil1!$A:$B,2,FALSE),"")</f>
        <v/>
      </c>
      <c r="DV24" s="47" t="str">
        <f>IFERROR(VLOOKUP([2]Pointage!DZ18,Feuil1!$A:$B,2,FALSE),"")</f>
        <v/>
      </c>
      <c r="DW24" s="31" t="str">
        <f>IFERROR(VLOOKUP([2]Pointage!EA18,Feuil1!$A:$B,2,FALSE),"")</f>
        <v/>
      </c>
      <c r="DX24" s="31" t="str">
        <f>IFERROR(VLOOKUP([2]Pointage!EB18,Feuil1!$A:$B,2,FALSE),"")</f>
        <v/>
      </c>
      <c r="DY24" s="31" t="str">
        <f>IFERROR(VLOOKUP([2]Pointage!EC18,Feuil1!$A:$B,2,FALSE),"")</f>
        <v/>
      </c>
      <c r="DZ24" s="31" t="str">
        <f>IFERROR(VLOOKUP([2]Pointage!ED18,Feuil1!$A:$B,2,FALSE),"")</f>
        <v/>
      </c>
      <c r="EA24" s="31" t="str">
        <f>IFERROR(VLOOKUP([2]Pointage!EE18,Feuil1!$A:$B,2,FALSE),"")</f>
        <v/>
      </c>
      <c r="EB24" s="31" t="str">
        <f>IFERROR(VLOOKUP([2]Pointage!EF18,Feuil1!$A:$B,2,FALSE),"")</f>
        <v/>
      </c>
      <c r="EC24" s="31" t="str">
        <f>IFERROR(VLOOKUP([2]Pointage!EG18,Feuil1!$A:$B,2,FALSE),"")</f>
        <v/>
      </c>
      <c r="ED24" s="31" t="str">
        <f>IFERROR(VLOOKUP([2]Pointage!EH18,Feuil1!$A:$B,2,FALSE),"")</f>
        <v/>
      </c>
      <c r="EE24" s="31" t="str">
        <f>IFERROR(VLOOKUP([2]Pointage!EI18,Feuil1!$A:$B,2,FALSE),"")</f>
        <v/>
      </c>
      <c r="EF24" s="31" t="str">
        <f>IFERROR(VLOOKUP([2]Pointage!EJ18,Feuil1!$A:$B,2,FALSE),"")</f>
        <v/>
      </c>
      <c r="EG24" s="31" t="str">
        <f>IFERROR(VLOOKUP([2]Pointage!EK18,Feuil1!$A:$B,2,FALSE),"")</f>
        <v/>
      </c>
      <c r="EH24" s="31" t="str">
        <f>IFERROR(VLOOKUP([2]Pointage!EL18,Feuil1!$A:$B,2,FALSE),"")</f>
        <v/>
      </c>
      <c r="EI24" s="31" t="str">
        <f>IFERROR(VLOOKUP([2]Pointage!EM18,Feuil1!$A:$B,2,FALSE),"")</f>
        <v/>
      </c>
      <c r="EJ24" s="31" t="str">
        <f>IFERROR(VLOOKUP([2]Pointage!EN18,Feuil1!$A:$B,2,FALSE),"")</f>
        <v/>
      </c>
      <c r="EK24" s="31" t="str">
        <f>IFERROR(VLOOKUP([2]Pointage!EO18,Feuil1!$A:$B,2,FALSE),"")</f>
        <v>C</v>
      </c>
      <c r="EL24" s="31" t="str">
        <f>IFERROR(VLOOKUP([2]Pointage!EP18,Feuil1!$A:$B,2,FALSE),"")</f>
        <v/>
      </c>
      <c r="EM24" s="31" t="str">
        <f>IFERROR(VLOOKUP([2]Pointage!EQ18,Feuil1!$A:$B,2,FALSE),"")</f>
        <v/>
      </c>
      <c r="EN24" s="31" t="str">
        <f>IFERROR(VLOOKUP([2]Pointage!ER18,Feuil1!$A:$B,2,FALSE),"")</f>
        <v/>
      </c>
      <c r="EO24" s="31" t="str">
        <f>IFERROR(VLOOKUP([2]Pointage!ES18,Feuil1!$A:$B,2,FALSE),"")</f>
        <v/>
      </c>
      <c r="EP24" s="31" t="str">
        <f>IFERROR(VLOOKUP([2]Pointage!ET18,Feuil1!$A:$B,2,FALSE),"")</f>
        <v/>
      </c>
      <c r="EQ24" s="31" t="str">
        <f>IFERROR(VLOOKUP([2]Pointage!EU18,Feuil1!$A:$B,2,FALSE),"")</f>
        <v/>
      </c>
      <c r="ER24" s="31" t="str">
        <f>IFERROR(VLOOKUP([2]Pointage!EV18,Feuil1!$A:$B,2,FALSE),"")</f>
        <v/>
      </c>
      <c r="ES24" s="31" t="str">
        <f>IFERROR(VLOOKUP([2]Pointage!EW18,Feuil1!$A:$B,2,FALSE),"")</f>
        <v/>
      </c>
      <c r="ET24" s="31" t="str">
        <f>IFERROR(VLOOKUP([2]Pointage!EX18,Feuil1!$A:$B,2,FALSE),"")</f>
        <v/>
      </c>
      <c r="EU24" s="31" t="str">
        <f>IFERROR(VLOOKUP([2]Pointage!EY18,Feuil1!$A:$B,2,FALSE),"")</f>
        <v/>
      </c>
      <c r="EV24" s="31" t="str">
        <f>IFERROR(VLOOKUP([2]Pointage!EZ18,Feuil1!$A:$B,2,FALSE),"")</f>
        <v/>
      </c>
      <c r="EW24" s="31" t="str">
        <f>IFERROR(VLOOKUP([2]Pointage!FA18,Feuil1!$A:$B,2,FALSE),"")</f>
        <v/>
      </c>
      <c r="EX24" s="31" t="str">
        <f>IFERROR(VLOOKUP([2]Pointage!FB18,Feuil1!$A:$B,2,FALSE),"")</f>
        <v/>
      </c>
      <c r="EY24" s="31" t="str">
        <f>IFERROR(VLOOKUP([2]Pointage!FC18,Feuil1!$A:$B,2,FALSE),"")</f>
        <v/>
      </c>
      <c r="EZ24" s="82" t="str">
        <f>IFERROR(VLOOKUP([2]Pointage!FD18,Feuil1!$A:$B,2,FALSE),"")</f>
        <v/>
      </c>
      <c r="FA24" s="47" t="str">
        <f>IFERROR(VLOOKUP([2]Pointage!FE18,Feuil1!$A:$B,2,FALSE),"")</f>
        <v/>
      </c>
      <c r="FB24" s="31" t="str">
        <f>IFERROR(VLOOKUP([2]Pointage!FF18,Feuil1!$A:$B,2,FALSE),"")</f>
        <v/>
      </c>
      <c r="FC24" s="31" t="str">
        <f>IFERROR(VLOOKUP([2]Pointage!FG18,Feuil1!$A:$B,2,FALSE),"")</f>
        <v/>
      </c>
      <c r="FD24" s="31" t="str">
        <f>IFERROR(VLOOKUP([2]Pointage!FH18,Feuil1!$A:$B,2,FALSE),"")</f>
        <v/>
      </c>
      <c r="FE24" s="31" t="str">
        <f>IFERROR(VLOOKUP([2]Pointage!FI18,Feuil1!$A:$B,2,FALSE),"")</f>
        <v/>
      </c>
      <c r="FF24" s="31" t="str">
        <f>IFERROR(VLOOKUP([2]Pointage!FJ18,Feuil1!$A:$B,2,FALSE),"")</f>
        <v/>
      </c>
      <c r="FG24" s="31" t="str">
        <f>IFERROR(VLOOKUP([2]Pointage!FK18,Feuil1!$A:$B,2,FALSE),"")</f>
        <v/>
      </c>
      <c r="FH24" s="31" t="str">
        <f>IFERROR(VLOOKUP([2]Pointage!FL18,Feuil1!$A:$B,2,FALSE),"")</f>
        <v/>
      </c>
      <c r="FI24" s="31" t="str">
        <f>IFERROR(VLOOKUP([2]Pointage!FM18,Feuil1!$A:$B,2,FALSE),"")</f>
        <v/>
      </c>
      <c r="FJ24" s="31" t="str">
        <f>IFERROR(VLOOKUP([2]Pointage!FN18,Feuil1!$A:$B,2,FALSE),"")</f>
        <v/>
      </c>
      <c r="FK24" s="31" t="str">
        <f>IFERROR(VLOOKUP([2]Pointage!FO18,Feuil1!$A:$B,2,FALSE),"")</f>
        <v/>
      </c>
      <c r="FL24" s="31" t="str">
        <f>IFERROR(VLOOKUP([2]Pointage!FP18,Feuil1!$A:$B,2,FALSE),"")</f>
        <v/>
      </c>
      <c r="FM24" s="31" t="str">
        <f>IFERROR(VLOOKUP([2]Pointage!FQ18,Feuil1!$A:$B,2,FALSE),"")</f>
        <v/>
      </c>
      <c r="FN24" s="31" t="str">
        <f>IFERROR(VLOOKUP([2]Pointage!FR18,Feuil1!$A:$B,2,FALSE),"")</f>
        <v/>
      </c>
      <c r="FO24" s="31" t="str">
        <f>IFERROR(VLOOKUP([2]Pointage!FS18,Feuil1!$A:$B,2,FALSE),"")</f>
        <v/>
      </c>
      <c r="FP24" s="31" t="str">
        <f>IFERROR(VLOOKUP([2]Pointage!FT18,Feuil1!$A:$B,2,FALSE),"")</f>
        <v/>
      </c>
      <c r="FQ24" s="31" t="str">
        <f>IFERROR(VLOOKUP([2]Pointage!FU18,Feuil1!$A:$B,2,FALSE),"")</f>
        <v/>
      </c>
      <c r="FR24" s="31" t="str">
        <f>IFERROR(VLOOKUP([2]Pointage!FV18,Feuil1!$A:$B,2,FALSE),"")</f>
        <v/>
      </c>
      <c r="FS24" s="31" t="str">
        <f>IFERROR(VLOOKUP([2]Pointage!FW18,Feuil1!$A:$B,2,FALSE),"")</f>
        <v/>
      </c>
      <c r="FT24" s="31" t="str">
        <f>IFERROR(VLOOKUP([2]Pointage!FX18,Feuil1!$A:$B,2,FALSE),"")</f>
        <v/>
      </c>
      <c r="FU24" s="31" t="str">
        <f>IFERROR(VLOOKUP([2]Pointage!FY18,Feuil1!$A:$B,2,FALSE),"")</f>
        <v/>
      </c>
      <c r="FV24" s="31" t="str">
        <f>IFERROR(VLOOKUP([2]Pointage!FZ18,Feuil1!$A:$B,2,FALSE),"")</f>
        <v/>
      </c>
      <c r="FW24" s="31" t="str">
        <f>IFERROR(VLOOKUP([2]Pointage!GA18,Feuil1!$A:$B,2,FALSE),"")</f>
        <v/>
      </c>
      <c r="FX24" s="31" t="str">
        <f>IFERROR(VLOOKUP([2]Pointage!GB18,Feuil1!$A:$B,2,FALSE),"")</f>
        <v/>
      </c>
      <c r="FY24" s="31" t="str">
        <f>IFERROR(VLOOKUP([2]Pointage!GC18,Feuil1!$A:$B,2,FALSE),"")</f>
        <v>C</v>
      </c>
      <c r="FZ24" s="31" t="str">
        <f>IFERROR(VLOOKUP([2]Pointage!GD18,Feuil1!$A:$B,2,FALSE),"")</f>
        <v>C</v>
      </c>
      <c r="GA24" s="31" t="str">
        <f>IFERROR(VLOOKUP([2]Pointage!GE18,Feuil1!$A:$B,2,FALSE),"")</f>
        <v>C</v>
      </c>
      <c r="GB24" s="31" t="str">
        <f>IFERROR(VLOOKUP([2]Pointage!GF18,Feuil1!$A:$B,2,FALSE),"")</f>
        <v>C</v>
      </c>
      <c r="GC24" s="31" t="str">
        <f>IFERROR(VLOOKUP([2]Pointage!GG18,Feuil1!$A:$B,2,FALSE),"")</f>
        <v>C</v>
      </c>
      <c r="GD24" s="82" t="str">
        <f>IFERROR(VLOOKUP([2]Pointage!GH18,Feuil1!$A:$B,2,FALSE),"")</f>
        <v/>
      </c>
      <c r="GE24" s="47" t="str">
        <f>IFERROR(VLOOKUP([2]Pointage!GI18,Feuil1!$A:$B,2,FALSE),"")</f>
        <v/>
      </c>
      <c r="GF24" s="31" t="str">
        <f>IFERROR(VLOOKUP([2]Pointage!GJ18,Feuil1!$A:$B,2,FALSE),"")</f>
        <v/>
      </c>
      <c r="GG24" s="31" t="str">
        <f>IFERROR(VLOOKUP([2]Pointage!GK18,Feuil1!$A:$B,2,FALSE),"")</f>
        <v/>
      </c>
      <c r="GH24" s="31" t="str">
        <f>IFERROR(VLOOKUP([2]Pointage!GL18,Feuil1!$A:$B,2,FALSE),"")</f>
        <v/>
      </c>
      <c r="GI24" s="31" t="str">
        <f>IFERROR(VLOOKUP([2]Pointage!GM18,Feuil1!$A:$B,2,FALSE),"")</f>
        <v/>
      </c>
      <c r="GJ24" s="31" t="str">
        <f>IFERROR(VLOOKUP([2]Pointage!GN18,Feuil1!$A:$B,2,FALSE),"")</f>
        <v/>
      </c>
      <c r="GK24" s="31" t="str">
        <f>IFERROR(VLOOKUP([2]Pointage!GO18,Feuil1!$A:$B,2,FALSE),"")</f>
        <v/>
      </c>
      <c r="GL24" s="31" t="str">
        <f>IFERROR(VLOOKUP([2]Pointage!GP18,Feuil1!$A:$B,2,FALSE),"")</f>
        <v/>
      </c>
      <c r="GM24" s="31" t="str">
        <f>IFERROR(VLOOKUP([2]Pointage!GQ18,Feuil1!$A:$B,2,FALSE),"")</f>
        <v/>
      </c>
      <c r="GN24" s="31" t="str">
        <f>IFERROR(VLOOKUP([2]Pointage!GR18,Feuil1!$A:$B,2,FALSE),"")</f>
        <v/>
      </c>
      <c r="GO24" s="31" t="str">
        <f>IFERROR(VLOOKUP([2]Pointage!GS18,Feuil1!$A:$B,2,FALSE),"")</f>
        <v/>
      </c>
      <c r="GP24" s="31" t="str">
        <f>IFERROR(VLOOKUP([2]Pointage!GT18,Feuil1!$A:$B,2,FALSE),"")</f>
        <v/>
      </c>
      <c r="GQ24" s="31" t="str">
        <f>IFERROR(VLOOKUP([2]Pointage!GU18,Feuil1!$A:$B,2,FALSE),"")</f>
        <v/>
      </c>
      <c r="GR24" s="31" t="str">
        <f>IFERROR(VLOOKUP([2]Pointage!GV18,Feuil1!$A:$B,2,FALSE),"")</f>
        <v/>
      </c>
      <c r="GS24" s="31" t="str">
        <f>IFERROR(VLOOKUP([2]Pointage!GW18,Feuil1!$A:$B,2,FALSE),"")</f>
        <v/>
      </c>
      <c r="GT24" s="31" t="str">
        <f>IFERROR(VLOOKUP([2]Pointage!GX18,Feuil1!$A:$B,2,FALSE),"")</f>
        <v/>
      </c>
      <c r="GU24" s="31" t="str">
        <f>IFERROR(VLOOKUP([2]Pointage!GY18,Feuil1!$A:$B,2,FALSE),"")</f>
        <v/>
      </c>
      <c r="GV24" s="31" t="str">
        <f>IFERROR(VLOOKUP([2]Pointage!GZ18,Feuil1!$A:$B,2,FALSE),"")</f>
        <v/>
      </c>
      <c r="GW24" s="31" t="str">
        <f>IFERROR(VLOOKUP([2]Pointage!HA18,Feuil1!$A:$B,2,FALSE),"")</f>
        <v/>
      </c>
      <c r="GX24" s="31" t="str">
        <f>IFERROR(VLOOKUP([2]Pointage!HB18,Feuil1!$A:$B,2,FALSE),"")</f>
        <v/>
      </c>
      <c r="GY24" s="31" t="str">
        <f>IFERROR(VLOOKUP([2]Pointage!HC18,Feuil1!$A:$B,2,FALSE),"")</f>
        <v/>
      </c>
      <c r="GZ24" s="31" t="str">
        <f>IFERROR(VLOOKUP([2]Pointage!HD18,Feuil1!$A:$B,2,FALSE),"")</f>
        <v/>
      </c>
      <c r="HA24" s="31" t="str">
        <f>IFERROR(VLOOKUP([2]Pointage!HE18,Feuil1!$A:$B,2,FALSE),"")</f>
        <v/>
      </c>
      <c r="HB24" s="31" t="str">
        <f>IFERROR(VLOOKUP([2]Pointage!HF18,Feuil1!$A:$B,2,FALSE),"")</f>
        <v/>
      </c>
      <c r="HC24" s="31" t="str">
        <f>IFERROR(VLOOKUP([2]Pointage!HG18,Feuil1!$A:$B,2,FALSE),"")</f>
        <v/>
      </c>
      <c r="HD24" s="31" t="str">
        <f>IFERROR(VLOOKUP([2]Pointage!HH18,Feuil1!$A:$B,2,FALSE),"")</f>
        <v/>
      </c>
      <c r="HE24" s="31" t="str">
        <f>IFERROR(VLOOKUP([2]Pointage!HI18,Feuil1!$A:$B,2,FALSE),"")</f>
        <v/>
      </c>
      <c r="HF24" s="31" t="str">
        <f>IFERROR(VLOOKUP([2]Pointage!HJ18,Feuil1!$A:$B,2,FALSE),"")</f>
        <v/>
      </c>
      <c r="HG24" s="31" t="str">
        <f>IFERROR(VLOOKUP([2]Pointage!HK18,Feuil1!$A:$B,2,FALSE),"")</f>
        <v/>
      </c>
      <c r="HH24" s="31" t="str">
        <f>IFERROR(VLOOKUP([2]Pointage!HL18,Feuil1!$A:$B,2,FALSE),"")</f>
        <v/>
      </c>
      <c r="HI24" s="82" t="str">
        <f>IFERROR(VLOOKUP([2]Pointage!HM18,Feuil1!$A:$B,2,FALSE),"")</f>
        <v/>
      </c>
      <c r="HJ24" s="47" t="str">
        <f>IFERROR(VLOOKUP([2]Pointage!HN18,Feuil1!$A:$B,2,FALSE),"")</f>
        <v/>
      </c>
      <c r="HK24" s="31" t="str">
        <f>IFERROR(VLOOKUP([2]Pointage!HO18,Feuil1!$A:$B,2,FALSE),"")</f>
        <v/>
      </c>
      <c r="HL24" s="31" t="str">
        <f>IFERROR(VLOOKUP([2]Pointage!HP18,Feuil1!$A:$B,2,FALSE),"")</f>
        <v/>
      </c>
      <c r="HM24" s="31" t="str">
        <f>IFERROR(VLOOKUP([2]Pointage!HQ18,Feuil1!$A:$B,2,FALSE),"")</f>
        <v/>
      </c>
      <c r="HN24" s="31" t="str">
        <f>IFERROR(VLOOKUP([2]Pointage!HR18,Feuil1!$A:$B,2,FALSE),"")</f>
        <v/>
      </c>
      <c r="HO24" s="31" t="str">
        <f>IFERROR(VLOOKUP([2]Pointage!HS18,Feuil1!$A:$B,2,FALSE),"")</f>
        <v/>
      </c>
      <c r="HP24" s="31" t="str">
        <f>IFERROR(VLOOKUP([2]Pointage!HT18,Feuil1!$A:$B,2,FALSE),"")</f>
        <v/>
      </c>
      <c r="HQ24" s="31" t="str">
        <f>IFERROR(VLOOKUP([2]Pointage!HU18,Feuil1!$A:$B,2,FALSE),"")</f>
        <v/>
      </c>
      <c r="HR24" s="31" t="str">
        <f>IFERROR(VLOOKUP([2]Pointage!HV18,Feuil1!$A:$B,2,FALSE),"")</f>
        <v/>
      </c>
      <c r="HS24" s="31" t="str">
        <f>IFERROR(VLOOKUP([2]Pointage!HW18,Feuil1!$A:$B,2,FALSE),"")</f>
        <v/>
      </c>
      <c r="HT24" s="31" t="str">
        <f>IFERROR(VLOOKUP([2]Pointage!HX18,Feuil1!$A:$B,2,FALSE),"")</f>
        <v/>
      </c>
      <c r="HU24" s="31" t="str">
        <f>IFERROR(VLOOKUP([2]Pointage!HY18,Feuil1!$A:$B,2,FALSE),"")</f>
        <v/>
      </c>
      <c r="HV24" s="31" t="str">
        <f>IFERROR(VLOOKUP([2]Pointage!HZ18,Feuil1!$A:$B,2,FALSE),"")</f>
        <v/>
      </c>
      <c r="HW24" s="31" t="str">
        <f>IFERROR(VLOOKUP([2]Pointage!IA18,Feuil1!$A:$B,2,FALSE),"")</f>
        <v/>
      </c>
      <c r="HX24" s="31" t="str">
        <f>IFERROR(VLOOKUP([2]Pointage!IB18,Feuil1!$A:$B,2,FALSE),"")</f>
        <v/>
      </c>
      <c r="HY24" s="31" t="str">
        <f>IFERROR(VLOOKUP([2]Pointage!IC18,Feuil1!$A:$B,2,FALSE),"")</f>
        <v/>
      </c>
      <c r="HZ24" s="31" t="str">
        <f>IFERROR(VLOOKUP([2]Pointage!ID18,Feuil1!$A:$B,2,FALSE),"")</f>
        <v/>
      </c>
      <c r="IA24" s="31" t="str">
        <f>IFERROR(VLOOKUP([2]Pointage!IE18,Feuil1!$A:$B,2,FALSE),"")</f>
        <v/>
      </c>
      <c r="IB24" s="31" t="str">
        <f>IFERROR(VLOOKUP([2]Pointage!IF18,Feuil1!$A:$B,2,FALSE),"")</f>
        <v/>
      </c>
      <c r="IC24" s="31" t="str">
        <f>IFERROR(VLOOKUP([2]Pointage!IG18,Feuil1!$A:$B,2,FALSE),"")</f>
        <v/>
      </c>
      <c r="ID24" s="31" t="str">
        <f>IFERROR(VLOOKUP([2]Pointage!IH18,Feuil1!$A:$B,2,FALSE),"")</f>
        <v/>
      </c>
      <c r="IE24" s="31" t="str">
        <f>IFERROR(VLOOKUP([2]Pointage!II18,Feuil1!$A:$B,2,FALSE),"")</f>
        <v/>
      </c>
      <c r="IF24" s="31" t="str">
        <f>IFERROR(VLOOKUP([2]Pointage!IJ18,Feuil1!$A:$B,2,FALSE),"")</f>
        <v/>
      </c>
      <c r="IG24" s="31" t="str">
        <f>IFERROR(VLOOKUP([2]Pointage!IK18,Feuil1!$A:$B,2,FALSE),"")</f>
        <v/>
      </c>
      <c r="IH24" s="31" t="str">
        <f>IFERROR(VLOOKUP([2]Pointage!IL18,Feuil1!$A:$B,2,FALSE),"")</f>
        <v/>
      </c>
      <c r="II24" s="31" t="str">
        <f>IFERROR(VLOOKUP([2]Pointage!IM18,Feuil1!$A:$B,2,FALSE),"")</f>
        <v/>
      </c>
      <c r="IJ24" s="31" t="str">
        <f>IFERROR(VLOOKUP([2]Pointage!IN18,Feuil1!$A:$B,2,FALSE),"")</f>
        <v>C</v>
      </c>
      <c r="IK24" s="31" t="str">
        <f>IFERROR(VLOOKUP([2]Pointage!IO18,Feuil1!$A:$B,2,FALSE),"")</f>
        <v>C</v>
      </c>
      <c r="IL24" s="31" t="str">
        <f>IFERROR(VLOOKUP([2]Pointage!IP18,Feuil1!$A:$B,2,FALSE),"")</f>
        <v>C</v>
      </c>
      <c r="IM24" s="31" t="str">
        <f>IFERROR(VLOOKUP([2]Pointage!IQ18,Feuil1!$A:$B,2,FALSE),"")</f>
        <v>C</v>
      </c>
      <c r="IN24" s="82" t="str">
        <f>IFERROR(VLOOKUP([2]Pointage!IR18,Feuil1!$A:$B,2,FALSE),"")</f>
        <v>C</v>
      </c>
      <c r="IO24" s="47" t="str">
        <f>IFERROR(VLOOKUP([2]Pointage!IS18,Feuil1!$A:$B,2,FALSE),"")</f>
        <v/>
      </c>
      <c r="IP24" s="31" t="str">
        <f>IFERROR(VLOOKUP([2]Pointage!IT18,Feuil1!$A:$B,2,FALSE),"")</f>
        <v/>
      </c>
      <c r="IQ24" s="31" t="str">
        <f>IFERROR(VLOOKUP([2]Pointage!IU18,Feuil1!$A:$B,2,FALSE),"")</f>
        <v>C</v>
      </c>
      <c r="IR24" s="31" t="str">
        <f>IFERROR(VLOOKUP([2]Pointage!IV18,Feuil1!$A:$B,2,FALSE),"")</f>
        <v>C</v>
      </c>
      <c r="IS24" s="31" t="str">
        <f>IFERROR(VLOOKUP([2]Pointage!IW18,Feuil1!$A:$B,2,FALSE),"")</f>
        <v>C</v>
      </c>
      <c r="IT24" s="31" t="str">
        <f>IFERROR(VLOOKUP([2]Pointage!IX18,Feuil1!$A:$B,2,FALSE),"")</f>
        <v>C</v>
      </c>
      <c r="IU24" s="31" t="str">
        <f>IFERROR(VLOOKUP([2]Pointage!IY18,Feuil1!$A:$B,2,FALSE),"")</f>
        <v>C</v>
      </c>
      <c r="IV24" s="31" t="str">
        <f>IFERROR(VLOOKUP([2]Pointage!IZ18,Feuil1!$A:$B,2,FALSE),"")</f>
        <v/>
      </c>
      <c r="IW24" s="31" t="str">
        <f>IFERROR(VLOOKUP([2]Pointage!JA18,Feuil1!$A:$B,2,FALSE),"")</f>
        <v/>
      </c>
      <c r="IX24" s="31" t="str">
        <f>IFERROR(VLOOKUP([2]Pointage!JB18,Feuil1!$A:$B,2,FALSE),"")</f>
        <v/>
      </c>
      <c r="IY24" s="31" t="str">
        <f>IFERROR(VLOOKUP([2]Pointage!JC18,Feuil1!$A:$B,2,FALSE),"")</f>
        <v/>
      </c>
      <c r="IZ24" s="31" t="str">
        <f>IFERROR(VLOOKUP([2]Pointage!JD18,Feuil1!$A:$B,2,FALSE),"")</f>
        <v/>
      </c>
      <c r="JA24" s="31" t="str">
        <f>IFERROR(VLOOKUP([2]Pointage!JE18,Feuil1!$A:$B,2,FALSE),"")</f>
        <v/>
      </c>
      <c r="JB24" s="31" t="str">
        <f>IFERROR(VLOOKUP([2]Pointage!JF18,Feuil1!$A:$B,2,FALSE),"")</f>
        <v/>
      </c>
      <c r="JC24" s="31" t="str">
        <f>IFERROR(VLOOKUP([2]Pointage!JG18,Feuil1!$A:$B,2,FALSE),"")</f>
        <v/>
      </c>
      <c r="JD24" s="31" t="str">
        <f>IFERROR(VLOOKUP([2]Pointage!JH18,Feuil1!$A:$B,2,FALSE),"")</f>
        <v/>
      </c>
      <c r="JE24" s="31" t="str">
        <f>IFERROR(VLOOKUP([2]Pointage!JI18,Feuil1!$A:$B,2,FALSE),"")</f>
        <v/>
      </c>
      <c r="JF24" s="31" t="str">
        <f>IFERROR(VLOOKUP([2]Pointage!JJ18,Feuil1!$A:$B,2,FALSE),"")</f>
        <v/>
      </c>
      <c r="JG24" s="31" t="str">
        <f>IFERROR(VLOOKUP([2]Pointage!JK18,Feuil1!$A:$B,2,FALSE),"")</f>
        <v/>
      </c>
      <c r="JH24" s="31" t="str">
        <f>IFERROR(VLOOKUP([2]Pointage!JL18,Feuil1!$A:$B,2,FALSE),"")</f>
        <v/>
      </c>
      <c r="JI24" s="31" t="str">
        <f>IFERROR(VLOOKUP([2]Pointage!JM18,Feuil1!$A:$B,2,FALSE),"")</f>
        <v/>
      </c>
      <c r="JJ24" s="31" t="str">
        <f>IFERROR(VLOOKUP([2]Pointage!JN18,Feuil1!$A:$B,2,FALSE),"")</f>
        <v/>
      </c>
      <c r="JK24" s="31" t="str">
        <f>IFERROR(VLOOKUP([2]Pointage!JO18,Feuil1!$A:$B,2,FALSE),"")</f>
        <v/>
      </c>
      <c r="JL24" s="31" t="str">
        <f>IFERROR(VLOOKUP([2]Pointage!JP18,Feuil1!$A:$B,2,FALSE),"")</f>
        <v/>
      </c>
      <c r="JM24" s="31" t="str">
        <f>IFERROR(VLOOKUP([2]Pointage!JQ18,Feuil1!$A:$B,2,FALSE),"")</f>
        <v/>
      </c>
      <c r="JN24" s="31" t="str">
        <f>IFERROR(VLOOKUP([2]Pointage!JR18,Feuil1!$A:$B,2,FALSE),"")</f>
        <v/>
      </c>
      <c r="JO24" s="31" t="str">
        <f>IFERROR(VLOOKUP([2]Pointage!JS18,Feuil1!$A:$B,2,FALSE),"")</f>
        <v/>
      </c>
      <c r="JP24" s="31" t="str">
        <f>IFERROR(VLOOKUP([2]Pointage!JT18,Feuil1!$A:$B,2,FALSE),"")</f>
        <v/>
      </c>
      <c r="JQ24" s="31" t="str">
        <f>IFERROR(VLOOKUP([2]Pointage!JU18,Feuil1!$A:$B,2,FALSE),"")</f>
        <v/>
      </c>
      <c r="JR24" s="82" t="str">
        <f>IFERROR(VLOOKUP([2]Pointage!JV18,Feuil1!$A:$B,2,FALSE),"")</f>
        <v/>
      </c>
      <c r="JS24" s="47" t="str">
        <f>IFERROR(VLOOKUP([2]Pointage!JW18,Feuil1!$A:$B,2,FALSE),"")</f>
        <v/>
      </c>
      <c r="JT24" s="31" t="str">
        <f>IFERROR(VLOOKUP([2]Pointage!JX18,Feuil1!$A:$B,2,FALSE),"")</f>
        <v/>
      </c>
      <c r="JU24" s="31" t="str">
        <f>IFERROR(VLOOKUP([2]Pointage!JY18,Feuil1!$A:$B,2,FALSE),"")</f>
        <v/>
      </c>
      <c r="JV24" s="31" t="str">
        <f>IFERROR(VLOOKUP([2]Pointage!JZ18,Feuil1!$A:$B,2,FALSE),"")</f>
        <v/>
      </c>
      <c r="JW24" s="31" t="str">
        <f>IFERROR(VLOOKUP([2]Pointage!KA18,Feuil1!$A:$B,2,FALSE),"")</f>
        <v/>
      </c>
      <c r="JX24" s="31" t="str">
        <f>IFERROR(VLOOKUP([2]Pointage!KB18,Feuil1!$A:$B,2,FALSE),"")</f>
        <v/>
      </c>
      <c r="JY24" s="31" t="str">
        <f>IFERROR(VLOOKUP([2]Pointage!KC18,Feuil1!$A:$B,2,FALSE),"")</f>
        <v/>
      </c>
      <c r="JZ24" s="31" t="str">
        <f>IFERROR(VLOOKUP([2]Pointage!KD18,Feuil1!$A:$B,2,FALSE),"")</f>
        <v/>
      </c>
      <c r="KA24" s="31" t="str">
        <f>IFERROR(VLOOKUP([2]Pointage!KE18,Feuil1!$A:$B,2,FALSE),"")</f>
        <v/>
      </c>
      <c r="KB24" s="31" t="str">
        <f>IFERROR(VLOOKUP([2]Pointage!KF18,Feuil1!$A:$B,2,FALSE),"")</f>
        <v/>
      </c>
      <c r="KC24" s="31" t="str">
        <f>IFERROR(VLOOKUP([2]Pointage!KG18,Feuil1!$A:$B,2,FALSE),"")</f>
        <v/>
      </c>
      <c r="KD24" s="31" t="str">
        <f>IFERROR(VLOOKUP([2]Pointage!KH18,Feuil1!$A:$B,2,FALSE),"")</f>
        <v/>
      </c>
      <c r="KE24" s="31" t="str">
        <f>IFERROR(VLOOKUP([2]Pointage!KI18,Feuil1!$A:$B,2,FALSE),"")</f>
        <v/>
      </c>
      <c r="KF24" s="31" t="str">
        <f>IFERROR(VLOOKUP([2]Pointage!KJ18,Feuil1!$A:$B,2,FALSE),"")</f>
        <v/>
      </c>
      <c r="KG24" s="31" t="str">
        <f>IFERROR(VLOOKUP([2]Pointage!KK18,Feuil1!$A:$B,2,FALSE),"")</f>
        <v/>
      </c>
      <c r="KH24" s="31" t="str">
        <f>IFERROR(VLOOKUP([2]Pointage!KL18,Feuil1!$A:$B,2,FALSE),"")</f>
        <v/>
      </c>
      <c r="KI24" s="31" t="str">
        <f>IFERROR(VLOOKUP([2]Pointage!KM18,Feuil1!$A:$B,2,FALSE),"")</f>
        <v/>
      </c>
      <c r="KJ24" s="31" t="str">
        <f>IFERROR(VLOOKUP([2]Pointage!KN18,Feuil1!$A:$B,2,FALSE),"")</f>
        <v/>
      </c>
      <c r="KK24" s="31" t="str">
        <f>IFERROR(VLOOKUP([2]Pointage!KO18,Feuil1!$A:$B,2,FALSE),"")</f>
        <v/>
      </c>
      <c r="KL24" s="31" t="str">
        <f>IFERROR(VLOOKUP([2]Pointage!KP18,Feuil1!$A:$B,2,FALSE),"")</f>
        <v/>
      </c>
      <c r="KM24" s="31" t="str">
        <f>IFERROR(VLOOKUP([2]Pointage!KQ18,Feuil1!$A:$B,2,FALSE),"")</f>
        <v/>
      </c>
      <c r="KN24" s="31" t="str">
        <f>IFERROR(VLOOKUP([2]Pointage!KR18,Feuil1!$A:$B,2,FALSE),"")</f>
        <v/>
      </c>
      <c r="KO24" s="31" t="str">
        <f>IFERROR(VLOOKUP([2]Pointage!KS18,Feuil1!$A:$B,2,FALSE),"")</f>
        <v/>
      </c>
      <c r="KP24" s="31" t="str">
        <f>IFERROR(VLOOKUP([2]Pointage!KT18,Feuil1!$A:$B,2,FALSE),"")</f>
        <v/>
      </c>
      <c r="KQ24" s="31" t="str">
        <f>IFERROR(VLOOKUP([2]Pointage!KU18,Feuil1!$A:$B,2,FALSE),"")</f>
        <v/>
      </c>
      <c r="KR24" s="31" t="str">
        <f>IFERROR(VLOOKUP([2]Pointage!KV18,Feuil1!$A:$B,2,FALSE),"")</f>
        <v/>
      </c>
      <c r="KS24" s="31" t="str">
        <f>IFERROR(VLOOKUP([2]Pointage!KW18,Feuil1!$A:$B,2,FALSE),"")</f>
        <v/>
      </c>
      <c r="KT24" s="31" t="str">
        <f>IFERROR(VLOOKUP([2]Pointage!KX18,Feuil1!$A:$B,2,FALSE),"")</f>
        <v/>
      </c>
      <c r="KU24" s="31" t="str">
        <f>IFERROR(VLOOKUP([2]Pointage!KY18,Feuil1!$A:$B,2,FALSE),"")</f>
        <v/>
      </c>
      <c r="KV24" s="31" t="str">
        <f>IFERROR(VLOOKUP([2]Pointage!KZ18,Feuil1!$A:$B,2,FALSE),"")</f>
        <v/>
      </c>
      <c r="KW24" s="82" t="str">
        <f>IFERROR(VLOOKUP([2]Pointage!LA18,Feuil1!$A:$B,2,FALSE),"")</f>
        <v/>
      </c>
      <c r="KX24" s="47" t="str">
        <f>IFERROR(VLOOKUP([2]Pointage!LB18,Feuil1!$A:$B,2,FALSE),"")</f>
        <v/>
      </c>
      <c r="KY24" s="31" t="str">
        <f>IFERROR(VLOOKUP([2]Pointage!LC18,Feuil1!$A:$B,2,FALSE),"")</f>
        <v/>
      </c>
      <c r="KZ24" s="31" t="str">
        <f>IFERROR(VLOOKUP([2]Pointage!LD18,Feuil1!$A:$B,2,FALSE),"")</f>
        <v/>
      </c>
      <c r="LA24" s="31" t="str">
        <f>IFERROR(VLOOKUP([2]Pointage!LE18,Feuil1!$A:$B,2,FALSE),"")</f>
        <v/>
      </c>
      <c r="LB24" s="31" t="str">
        <f>IFERROR(VLOOKUP([2]Pointage!LF18,Feuil1!$A:$B,2,FALSE),"")</f>
        <v/>
      </c>
      <c r="LC24" s="31" t="str">
        <f>IFERROR(VLOOKUP([2]Pointage!LG18,Feuil1!$A:$B,2,FALSE),"")</f>
        <v/>
      </c>
      <c r="LD24" s="31" t="str">
        <f>IFERROR(VLOOKUP([2]Pointage!LH18,Feuil1!$A:$B,2,FALSE),"")</f>
        <v/>
      </c>
      <c r="LE24" s="31" t="str">
        <f>IFERROR(VLOOKUP([2]Pointage!LI18,Feuil1!$A:$B,2,FALSE),"")</f>
        <v/>
      </c>
      <c r="LF24" s="31" t="str">
        <f>IFERROR(VLOOKUP([2]Pointage!LJ18,Feuil1!$A:$B,2,FALSE),"")</f>
        <v/>
      </c>
      <c r="LG24" s="31" t="str">
        <f>IFERROR(VLOOKUP([2]Pointage!LK18,Feuil1!$A:$B,2,FALSE),"")</f>
        <v/>
      </c>
      <c r="LH24" s="31" t="str">
        <f>IFERROR(VLOOKUP([2]Pointage!LL18,Feuil1!$A:$B,2,FALSE),"")</f>
        <v/>
      </c>
      <c r="LI24" s="31" t="str">
        <f>IFERROR(VLOOKUP([2]Pointage!LM18,Feuil1!$A:$B,2,FALSE),"")</f>
        <v/>
      </c>
      <c r="LJ24" s="31" t="str">
        <f>IFERROR(VLOOKUP([2]Pointage!LN18,Feuil1!$A:$B,2,FALSE),"")</f>
        <v/>
      </c>
      <c r="LK24" s="31" t="str">
        <f>IFERROR(VLOOKUP([2]Pointage!LO18,Feuil1!$A:$B,2,FALSE),"")</f>
        <v/>
      </c>
      <c r="LL24" s="31" t="str">
        <f>IFERROR(VLOOKUP([2]Pointage!LP18,Feuil1!$A:$B,2,FALSE),"")</f>
        <v/>
      </c>
      <c r="LM24" s="31" t="str">
        <f>IFERROR(VLOOKUP([2]Pointage!LQ18,Feuil1!$A:$B,2,FALSE),"")</f>
        <v/>
      </c>
      <c r="LN24" s="31" t="str">
        <f>IFERROR(VLOOKUP([2]Pointage!LR18,Feuil1!$A:$B,2,FALSE),"")</f>
        <v/>
      </c>
      <c r="LO24" s="31" t="str">
        <f>IFERROR(VLOOKUP([2]Pointage!LS18,Feuil1!$A:$B,2,FALSE),"")</f>
        <v/>
      </c>
      <c r="LP24" s="31" t="str">
        <f>IFERROR(VLOOKUP([2]Pointage!LT18,Feuil1!$A:$B,2,FALSE),"")</f>
        <v/>
      </c>
      <c r="LQ24" s="31" t="str">
        <f>IFERROR(VLOOKUP([2]Pointage!LU18,Feuil1!$A:$B,2,FALSE),"")</f>
        <v/>
      </c>
      <c r="LR24" s="31" t="str">
        <f>IFERROR(VLOOKUP([2]Pointage!LV18,Feuil1!$A:$B,2,FALSE),"")</f>
        <v/>
      </c>
      <c r="LS24" s="31" t="str">
        <f>IFERROR(VLOOKUP([2]Pointage!LW18,Feuil1!$A:$B,2,FALSE),"")</f>
        <v/>
      </c>
      <c r="LT24" s="31" t="str">
        <f>IFERROR(VLOOKUP([2]Pointage!LX18,Feuil1!$A:$B,2,FALSE),"")</f>
        <v/>
      </c>
      <c r="LU24" s="31" t="str">
        <f>IFERROR(VLOOKUP([2]Pointage!LY18,Feuil1!$A:$B,2,FALSE),"")</f>
        <v/>
      </c>
      <c r="LV24" s="31" t="str">
        <f>IFERROR(VLOOKUP([2]Pointage!LZ18,Feuil1!$A:$B,2,FALSE),"")</f>
        <v/>
      </c>
      <c r="LW24" s="31" t="str">
        <f>IFERROR(VLOOKUP([2]Pointage!MA18,Feuil1!$A:$B,2,FALSE),"")</f>
        <v/>
      </c>
      <c r="LX24" s="31" t="str">
        <f>IFERROR(VLOOKUP([2]Pointage!MB18,Feuil1!$A:$B,2,FALSE),"")</f>
        <v/>
      </c>
      <c r="LY24" s="31" t="str">
        <f>IFERROR(VLOOKUP([2]Pointage!MC18,Feuil1!$A:$B,2,FALSE),"")</f>
        <v/>
      </c>
      <c r="LZ24" s="31" t="str">
        <f>IFERROR(VLOOKUP([2]Pointage!MD18,Feuil1!$A:$B,2,FALSE),"")</f>
        <v/>
      </c>
      <c r="MA24" s="82" t="str">
        <f>IFERROR(VLOOKUP([2]Pointage!ME18,Feuil1!$A:$B,2,FALSE),"")</f>
        <v/>
      </c>
      <c r="MB24" s="47" t="str">
        <f>IFERROR(VLOOKUP([2]Pointage!MF18,Feuil1!$A:$B,2,FALSE),"")</f>
        <v/>
      </c>
      <c r="MC24" s="31" t="str">
        <f>IFERROR(VLOOKUP([2]Pointage!MG18,Feuil1!$A:$B,2,FALSE),"")</f>
        <v/>
      </c>
      <c r="MD24" s="31" t="str">
        <f>IFERROR(VLOOKUP([2]Pointage!MH18,Feuil1!$A:$B,2,FALSE),"")</f>
        <v>C</v>
      </c>
      <c r="ME24" s="31" t="str">
        <f>IFERROR(VLOOKUP([2]Pointage!MI18,Feuil1!$A:$B,2,FALSE),"")</f>
        <v>C</v>
      </c>
      <c r="MF24" s="31" t="str">
        <f>IFERROR(VLOOKUP([2]Pointage!MJ18,Feuil1!$A:$B,2,FALSE),"")</f>
        <v>C</v>
      </c>
      <c r="MG24" s="31" t="str">
        <f>IFERROR(VLOOKUP([2]Pointage!MK18,Feuil1!$A:$B,2,FALSE),"")</f>
        <v>C</v>
      </c>
      <c r="MH24" s="31" t="str">
        <f>IFERROR(VLOOKUP([2]Pointage!ML18,Feuil1!$A:$B,2,FALSE),"")</f>
        <v>C</v>
      </c>
      <c r="MI24" s="31" t="str">
        <f>IFERROR(VLOOKUP([2]Pointage!MM18,Feuil1!$A:$B,2,FALSE),"")</f>
        <v/>
      </c>
      <c r="MJ24" s="31" t="str">
        <f>IFERROR(VLOOKUP([2]Pointage!MN18,Feuil1!$A:$B,2,FALSE),"")</f>
        <v/>
      </c>
      <c r="MK24" s="31" t="str">
        <f>IFERROR(VLOOKUP([2]Pointage!MO18,Feuil1!$A:$B,2,FALSE),"")</f>
        <v>C</v>
      </c>
      <c r="ML24" s="31" t="str">
        <f>IFERROR(VLOOKUP([2]Pointage!MP18,Feuil1!$A:$B,2,FALSE),"")</f>
        <v>C</v>
      </c>
      <c r="MM24" s="31" t="str">
        <f>IFERROR(VLOOKUP([2]Pointage!MQ18,Feuil1!$A:$B,2,FALSE),"")</f>
        <v>C</v>
      </c>
      <c r="MN24" s="31" t="str">
        <f>IFERROR(VLOOKUP([2]Pointage!MR18,Feuil1!$A:$B,2,FALSE),"")</f>
        <v>C</v>
      </c>
      <c r="MO24" s="31" t="str">
        <f>IFERROR(VLOOKUP([2]Pointage!MS18,Feuil1!$A:$B,2,FALSE),"")</f>
        <v>C</v>
      </c>
      <c r="MP24" s="31" t="str">
        <f>IFERROR(VLOOKUP([2]Pointage!MT18,Feuil1!$A:$B,2,FALSE),"")</f>
        <v/>
      </c>
      <c r="MQ24" s="31" t="str">
        <f>IFERROR(VLOOKUP([2]Pointage!MU18,Feuil1!$A:$B,2,FALSE),"")</f>
        <v/>
      </c>
      <c r="MR24" s="31" t="str">
        <f>IFERROR(VLOOKUP([2]Pointage!MV18,Feuil1!$A:$B,2,FALSE),"")</f>
        <v/>
      </c>
      <c r="MS24" s="31" t="str">
        <f>IFERROR(VLOOKUP([2]Pointage!MW18,Feuil1!$A:$B,2,FALSE),"")</f>
        <v/>
      </c>
      <c r="MT24" s="31" t="str">
        <f>IFERROR(VLOOKUP([2]Pointage!MX18,Feuil1!$A:$B,2,FALSE),"")</f>
        <v/>
      </c>
      <c r="MU24" s="31" t="str">
        <f>IFERROR(VLOOKUP([2]Pointage!MY18,Feuil1!$A:$B,2,FALSE),"")</f>
        <v/>
      </c>
      <c r="MV24" s="31" t="str">
        <f>IFERROR(VLOOKUP([2]Pointage!MZ18,Feuil1!$A:$B,2,FALSE),"")</f>
        <v/>
      </c>
      <c r="MW24" s="31" t="str">
        <f>IFERROR(VLOOKUP([2]Pointage!NA18,Feuil1!$A:$B,2,FALSE),"")</f>
        <v/>
      </c>
      <c r="MX24" s="31" t="str">
        <f>IFERROR(VLOOKUP([2]Pointage!NB18,Feuil1!$A:$B,2,FALSE),"")</f>
        <v/>
      </c>
      <c r="MY24" s="31" t="str">
        <f>IFERROR(VLOOKUP([2]Pointage!NC18,Feuil1!$A:$B,2,FALSE),"")</f>
        <v/>
      </c>
      <c r="MZ24" s="31" t="str">
        <f>IFERROR(VLOOKUP([2]Pointage!ND18,Feuil1!$A:$B,2,FALSE),"")</f>
        <v/>
      </c>
      <c r="NA24" s="31" t="str">
        <f>IFERROR(VLOOKUP([2]Pointage!NE18,Feuil1!$A:$B,2,FALSE),"")</f>
        <v/>
      </c>
      <c r="NB24" s="31" t="str">
        <f>IFERROR(VLOOKUP([2]Pointage!NF18,Feuil1!$A:$B,2,FALSE),"")</f>
        <v/>
      </c>
      <c r="NC24" s="31" t="str">
        <f>IFERROR(VLOOKUP([2]Pointage!NG18,Feuil1!$A:$B,2,FALSE),"")</f>
        <v/>
      </c>
      <c r="ND24" s="31" t="str">
        <f>IFERROR(VLOOKUP([2]Pointage!NH18,Feuil1!$A:$B,2,FALSE),"")</f>
        <v/>
      </c>
      <c r="NE24" s="31" t="str">
        <f>IFERROR(VLOOKUP([2]Pointage!NI18,Feuil1!$A:$B,2,FALSE),"")</f>
        <v/>
      </c>
      <c r="NF24" s="48" t="str">
        <f>IFERROR(VLOOKUP([2]Pointage!NJ18,Feuil1!$A:$B,2,FALSE),"")</f>
        <v/>
      </c>
      <c r="NG24" s="52">
        <f>COUNTIF(Global!F24:NF24,"RTT")+(COUNTIF(Global!F24:NF24,"dRTT")/2)</f>
        <v>0</v>
      </c>
      <c r="NH24" s="42">
        <f>COUNTIF(Global!F24:NF24,"C")+(COUNTIF(Global!F24:NF24,"DC")/2)</f>
        <v>42</v>
      </c>
      <c r="NI24" s="42">
        <f>COUNTIF(Global!F24:NF24,"M")</f>
        <v>4</v>
      </c>
      <c r="NJ24" s="42">
        <f>COUNTIF(Global!G24:NG24,"AT")</f>
        <v>0</v>
      </c>
      <c r="NK24" s="42">
        <f>COUNTIF(Global!F24:NF24,"RD")</f>
        <v>0</v>
      </c>
      <c r="NL24" s="42">
        <f>COUNTIF(Global!F24:NF24,"RC")+(COUNTIF(Global!F24:NF24,"dRC")/2)</f>
        <v>0</v>
      </c>
      <c r="NM24" s="68">
        <f t="shared" ca="1" si="0"/>
        <v>3.9178082191780828</v>
      </c>
      <c r="NT24" s="33"/>
      <c r="NU24" s="33"/>
      <c r="NV24" s="28"/>
      <c r="NW24" s="28"/>
      <c r="NX24" s="29">
        <f>COUNTIF(F24:NF24,"C")++(COUNTIF(Global!F24:NF24,"DC")/2)</f>
        <v>42</v>
      </c>
      <c r="NY24" s="29"/>
      <c r="NZ24" s="29"/>
      <c r="OA24" s="29"/>
      <c r="OB24" s="29">
        <f>COUNTIF(Global!F24:NF24,"M")</f>
        <v>4</v>
      </c>
      <c r="OC24" s="30">
        <f t="shared" si="1"/>
        <v>-42</v>
      </c>
      <c r="OD24" s="30"/>
    </row>
    <row r="25" spans="1:394" ht="30" customHeight="1" x14ac:dyDescent="0.2">
      <c r="A25" s="15" t="s">
        <v>81</v>
      </c>
      <c r="B25" s="22" t="s">
        <v>180</v>
      </c>
      <c r="C25" s="22" t="s">
        <v>157</v>
      </c>
      <c r="D25" s="22" t="s">
        <v>181</v>
      </c>
      <c r="E25" s="44">
        <v>0</v>
      </c>
      <c r="F25" s="47" t="str">
        <f>IFERROR(VLOOKUP([2]Pointage!J19,Feuil1!$A:$B,2,FALSE),"")</f>
        <v>M</v>
      </c>
      <c r="G25" s="31" t="str">
        <f>IFERROR(VLOOKUP([2]Pointage!K19,Feuil1!$A:$B,2,FALSE),"")</f>
        <v>M</v>
      </c>
      <c r="H25" s="31" t="str">
        <f>IFERROR(VLOOKUP([2]Pointage!L19,Feuil1!$A:$B,2,FALSE),"")</f>
        <v>M</v>
      </c>
      <c r="I25" s="31" t="str">
        <f>IFERROR(VLOOKUP([2]Pointage!M19,Feuil1!$A:$B,2,FALSE),"")</f>
        <v>M</v>
      </c>
      <c r="J25" s="31" t="str">
        <f>IFERROR(VLOOKUP([2]Pointage!N19,Feuil1!$A:$B,2,FALSE),"")</f>
        <v>M</v>
      </c>
      <c r="K25" s="31" t="str">
        <f>IFERROR(VLOOKUP([2]Pointage!O19,Feuil1!$A:$B,2,FALSE),"")</f>
        <v>M</v>
      </c>
      <c r="L25" s="31" t="str">
        <f>IFERROR(VLOOKUP([2]Pointage!P19,Feuil1!$A:$B,2,FALSE),"")</f>
        <v>M</v>
      </c>
      <c r="M25" s="31" t="str">
        <f>IFERROR(VLOOKUP([2]Pointage!Q19,Feuil1!$A:$B,2,FALSE),"")</f>
        <v>M</v>
      </c>
      <c r="N25" s="31" t="str">
        <f>IFERROR(VLOOKUP([2]Pointage!R19,Feuil1!$A:$B,2,FALSE),"")</f>
        <v>M</v>
      </c>
      <c r="O25" s="31" t="str">
        <f>IFERROR(VLOOKUP([2]Pointage!S19,Feuil1!$A:$B,2,FALSE),"")</f>
        <v>M</v>
      </c>
      <c r="P25" s="31" t="str">
        <f>IFERROR(VLOOKUP([2]Pointage!T19,Feuil1!$A:$B,2,FALSE),"")</f>
        <v>M</v>
      </c>
      <c r="Q25" s="31" t="str">
        <f>IFERROR(VLOOKUP([2]Pointage!U19,Feuil1!$A:$B,2,FALSE),"")</f>
        <v>M</v>
      </c>
      <c r="R25" s="31" t="str">
        <f>IFERROR(VLOOKUP([2]Pointage!V19,Feuil1!$A:$B,2,FALSE),"")</f>
        <v>M</v>
      </c>
      <c r="S25" s="31" t="str">
        <f>IFERROR(VLOOKUP([2]Pointage!W19,Feuil1!$A:$B,2,FALSE),"")</f>
        <v>M</v>
      </c>
      <c r="T25" s="31" t="str">
        <f>IFERROR(VLOOKUP([2]Pointage!X19,Feuil1!$A:$B,2,FALSE),"")</f>
        <v>M</v>
      </c>
      <c r="U25" s="31" t="str">
        <f>IFERROR(VLOOKUP([2]Pointage!Y19,Feuil1!$A:$B,2,FALSE),"")</f>
        <v>M</v>
      </c>
      <c r="V25" s="31" t="str">
        <f>IFERROR(VLOOKUP([2]Pointage!Z19,Feuil1!$A:$B,2,FALSE),"")</f>
        <v>M</v>
      </c>
      <c r="W25" s="31" t="str">
        <f>IFERROR(VLOOKUP([2]Pointage!AA19,Feuil1!$A:$B,2,FALSE),"")</f>
        <v>M</v>
      </c>
      <c r="X25" s="31" t="str">
        <f>IFERROR(VLOOKUP([2]Pointage!AB19,Feuil1!$A:$B,2,FALSE),"")</f>
        <v>M</v>
      </c>
      <c r="Y25" s="31" t="str">
        <f>IFERROR(VLOOKUP([2]Pointage!AC19,Feuil1!$A:$B,2,FALSE),"")</f>
        <v>M</v>
      </c>
      <c r="Z25" s="31" t="str">
        <f>IFERROR(VLOOKUP([2]Pointage!AD19,Feuil1!$A:$B,2,FALSE),"")</f>
        <v>M</v>
      </c>
      <c r="AA25" s="31" t="str">
        <f>IFERROR(VLOOKUP([2]Pointage!AE19,Feuil1!$A:$B,2,FALSE),"")</f>
        <v>M</v>
      </c>
      <c r="AB25" s="31" t="str">
        <f>IFERROR(VLOOKUP([2]Pointage!AF19,Feuil1!$A:$B,2,FALSE),"")</f>
        <v>M</v>
      </c>
      <c r="AC25" s="31" t="str">
        <f>IFERROR(VLOOKUP([2]Pointage!AG19,Feuil1!$A:$B,2,FALSE),"")</f>
        <v>M</v>
      </c>
      <c r="AD25" s="31" t="str">
        <f>IFERROR(VLOOKUP([2]Pointage!AH19,Feuil1!$A:$B,2,FALSE),"")</f>
        <v>M</v>
      </c>
      <c r="AE25" s="31" t="str">
        <f>IFERROR(VLOOKUP([2]Pointage!AI19,Feuil1!$A:$B,2,FALSE),"")</f>
        <v>M</v>
      </c>
      <c r="AF25" s="31" t="str">
        <f>IFERROR(VLOOKUP([2]Pointage!AJ19,Feuil1!$A:$B,2,FALSE),"")</f>
        <v>M</v>
      </c>
      <c r="AG25" s="31" t="str">
        <f>IFERROR(VLOOKUP([2]Pointage!AK19,Feuil1!$A:$B,2,FALSE),"")</f>
        <v>M</v>
      </c>
      <c r="AH25" s="31" t="str">
        <f>IFERROR(VLOOKUP([2]Pointage!AL19,Feuil1!$A:$B,2,FALSE),"")</f>
        <v>M</v>
      </c>
      <c r="AI25" s="31" t="str">
        <f>IFERROR(VLOOKUP([2]Pointage!AM19,Feuil1!$A:$B,2,FALSE),"")</f>
        <v>M</v>
      </c>
      <c r="AJ25" s="82" t="str">
        <f>IFERROR(VLOOKUP([2]Pointage!AN19,Feuil1!$A:$B,2,FALSE),"")</f>
        <v>M</v>
      </c>
      <c r="AK25" s="47" t="str">
        <f>IFERROR(VLOOKUP([2]Pointage!AO19,Feuil1!$A:$B,2,FALSE),"")</f>
        <v>M</v>
      </c>
      <c r="AL25" s="31" t="str">
        <f>IFERROR(VLOOKUP([2]Pointage!AP19,Feuil1!$A:$B,2,FALSE),"")</f>
        <v>M</v>
      </c>
      <c r="AM25" s="31" t="str">
        <f>IFERROR(VLOOKUP([2]Pointage!AQ19,Feuil1!$A:$B,2,FALSE),"")</f>
        <v>M</v>
      </c>
      <c r="AN25" s="31" t="str">
        <f>IFERROR(VLOOKUP([2]Pointage!AR19,Feuil1!$A:$B,2,FALSE),"")</f>
        <v>M</v>
      </c>
      <c r="AO25" s="31" t="str">
        <f>IFERROR(VLOOKUP([2]Pointage!AS19,Feuil1!$A:$B,2,FALSE),"")</f>
        <v>M</v>
      </c>
      <c r="AP25" s="31" t="str">
        <f>IFERROR(VLOOKUP([2]Pointage!AT19,Feuil1!$A:$B,2,FALSE),"")</f>
        <v>M</v>
      </c>
      <c r="AQ25" s="31" t="str">
        <f>IFERROR(VLOOKUP([2]Pointage!AU19,Feuil1!$A:$B,2,FALSE),"")</f>
        <v>M</v>
      </c>
      <c r="AR25" s="31" t="str">
        <f>IFERROR(VLOOKUP([2]Pointage!AV19,Feuil1!$A:$B,2,FALSE),"")</f>
        <v>M</v>
      </c>
      <c r="AS25" s="31" t="str">
        <f>IFERROR(VLOOKUP([2]Pointage!AW19,Feuil1!$A:$B,2,FALSE),"")</f>
        <v>M</v>
      </c>
      <c r="AT25" s="31" t="str">
        <f>IFERROR(VLOOKUP([2]Pointage!AX19,Feuil1!$A:$B,2,FALSE),"")</f>
        <v>M</v>
      </c>
      <c r="AU25" s="31" t="str">
        <f>IFERROR(VLOOKUP([2]Pointage!AY19,Feuil1!$A:$B,2,FALSE),"")</f>
        <v>M</v>
      </c>
      <c r="AV25" s="31" t="str">
        <f>IFERROR(VLOOKUP([2]Pointage!AZ19,Feuil1!$A:$B,2,FALSE),"")</f>
        <v>M</v>
      </c>
      <c r="AW25" s="31" t="str">
        <f>IFERROR(VLOOKUP([2]Pointage!BA19,Feuil1!$A:$B,2,FALSE),"")</f>
        <v>M</v>
      </c>
      <c r="AX25" s="31" t="str">
        <f>IFERROR(VLOOKUP([2]Pointage!BB19,Feuil1!$A:$B,2,FALSE),"")</f>
        <v>M</v>
      </c>
      <c r="AY25" s="31" t="str">
        <f>IFERROR(VLOOKUP([2]Pointage!BC19,Feuil1!$A:$B,2,FALSE),"")</f>
        <v>M</v>
      </c>
      <c r="AZ25" s="31" t="str">
        <f>IFERROR(VLOOKUP([2]Pointage!BD19,Feuil1!$A:$B,2,FALSE),"")</f>
        <v>M</v>
      </c>
      <c r="BA25" s="31" t="str">
        <f>IFERROR(VLOOKUP([2]Pointage!BE19,Feuil1!$A:$B,2,FALSE),"")</f>
        <v>M</v>
      </c>
      <c r="BB25" s="31" t="str">
        <f>IFERROR(VLOOKUP([2]Pointage!BF19,Feuil1!$A:$B,2,FALSE),"")</f>
        <v>M</v>
      </c>
      <c r="BC25" s="31" t="str">
        <f>IFERROR(VLOOKUP([2]Pointage!BG19,Feuil1!$A:$B,2,FALSE),"")</f>
        <v>M</v>
      </c>
      <c r="BD25" s="31" t="str">
        <f>IFERROR(VLOOKUP([2]Pointage!BH19,Feuil1!$A:$B,2,FALSE),"")</f>
        <v>M</v>
      </c>
      <c r="BE25" s="31" t="str">
        <f>IFERROR(VLOOKUP([2]Pointage!BI19,Feuil1!$A:$B,2,FALSE),"")</f>
        <v>M</v>
      </c>
      <c r="BF25" s="31" t="str">
        <f>IFERROR(VLOOKUP([2]Pointage!BJ19,Feuil1!$A:$B,2,FALSE),"")</f>
        <v>M</v>
      </c>
      <c r="BG25" s="31" t="str">
        <f>IFERROR(VLOOKUP([2]Pointage!BK19,Feuil1!$A:$B,2,FALSE),"")</f>
        <v>M</v>
      </c>
      <c r="BH25" s="31" t="str">
        <f>IFERROR(VLOOKUP([2]Pointage!BL19,Feuil1!$A:$B,2,FALSE),"")</f>
        <v>M</v>
      </c>
      <c r="BI25" s="31" t="str">
        <f>IFERROR(VLOOKUP([2]Pointage!BM19,Feuil1!$A:$B,2,FALSE),"")</f>
        <v>M</v>
      </c>
      <c r="BJ25" s="31" t="str">
        <f>IFERROR(VLOOKUP([2]Pointage!BN19,Feuil1!$A:$B,2,FALSE),"")</f>
        <v>M</v>
      </c>
      <c r="BK25" s="31" t="str">
        <f>IFERROR(VLOOKUP([2]Pointage!BO19,Feuil1!$A:$B,2,FALSE),"")</f>
        <v>M</v>
      </c>
      <c r="BL25" s="82" t="str">
        <f>IFERROR(VLOOKUP([2]Pointage!BP19,Feuil1!$A:$B,2,FALSE),"")</f>
        <v>M</v>
      </c>
      <c r="BM25" s="47" t="str">
        <f>IFERROR(VLOOKUP([2]Pointage!BQ19,Feuil1!$A:$B,2,FALSE),"")</f>
        <v>M</v>
      </c>
      <c r="BN25" s="31" t="str">
        <f>IFERROR(VLOOKUP([2]Pointage!BR19,Feuil1!$A:$B,2,FALSE),"")</f>
        <v>M</v>
      </c>
      <c r="BO25" s="31" t="str">
        <f>IFERROR(VLOOKUP([2]Pointage!BS19,Feuil1!$A:$B,2,FALSE),"")</f>
        <v>M</v>
      </c>
      <c r="BP25" s="31" t="str">
        <f>IFERROR(VLOOKUP([2]Pointage!BT19,Feuil1!$A:$B,2,FALSE),"")</f>
        <v>M</v>
      </c>
      <c r="BQ25" s="31" t="str">
        <f>IFERROR(VLOOKUP([2]Pointage!BU19,Feuil1!$A:$B,2,FALSE),"")</f>
        <v>M</v>
      </c>
      <c r="BR25" s="31" t="str">
        <f>IFERROR(VLOOKUP([2]Pointage!BV19,Feuil1!$A:$B,2,FALSE),"")</f>
        <v>M</v>
      </c>
      <c r="BS25" s="31" t="str">
        <f>IFERROR(VLOOKUP([2]Pointage!BW19,Feuil1!$A:$B,2,FALSE),"")</f>
        <v>M</v>
      </c>
      <c r="BT25" s="31" t="str">
        <f>IFERROR(VLOOKUP([2]Pointage!BX19,Feuil1!$A:$B,2,FALSE),"")</f>
        <v>M</v>
      </c>
      <c r="BU25" s="31" t="str">
        <f>IFERROR(VLOOKUP([2]Pointage!BY19,Feuil1!$A:$B,2,FALSE),"")</f>
        <v>M</v>
      </c>
      <c r="BV25" s="31" t="str">
        <f>IFERROR(VLOOKUP([2]Pointage!BZ19,Feuil1!$A:$B,2,FALSE),"")</f>
        <v>M</v>
      </c>
      <c r="BW25" s="31" t="str">
        <f>IFERROR(VLOOKUP([2]Pointage!CA19,Feuil1!$A:$B,2,FALSE),"")</f>
        <v>M</v>
      </c>
      <c r="BX25" s="31" t="str">
        <f>IFERROR(VLOOKUP([2]Pointage!CB19,Feuil1!$A:$B,2,FALSE),"")</f>
        <v>M</v>
      </c>
      <c r="BY25" s="31" t="str">
        <f>IFERROR(VLOOKUP([2]Pointage!CC19,Feuil1!$A:$B,2,FALSE),"")</f>
        <v>M</v>
      </c>
      <c r="BZ25" s="31" t="str">
        <f>IFERROR(VLOOKUP([2]Pointage!CD19,Feuil1!$A:$B,2,FALSE),"")</f>
        <v>M</v>
      </c>
      <c r="CA25" s="31" t="str">
        <f>IFERROR(VLOOKUP([2]Pointage!CE19,Feuil1!$A:$B,2,FALSE),"")</f>
        <v>M</v>
      </c>
      <c r="CB25" s="31" t="str">
        <f>IFERROR(VLOOKUP([2]Pointage!CF19,Feuil1!$A:$B,2,FALSE),"")</f>
        <v>M</v>
      </c>
      <c r="CC25" s="31" t="str">
        <f>IFERROR(VLOOKUP([2]Pointage!CG19,Feuil1!$A:$B,2,FALSE),"")</f>
        <v>M</v>
      </c>
      <c r="CD25" s="31" t="str">
        <f>IFERROR(VLOOKUP([2]Pointage!CH19,Feuil1!$A:$B,2,FALSE),"")</f>
        <v>M</v>
      </c>
      <c r="CE25" s="31" t="str">
        <f>IFERROR(VLOOKUP([2]Pointage!CI19,Feuil1!$A:$B,2,FALSE),"")</f>
        <v>M</v>
      </c>
      <c r="CF25" s="31" t="str">
        <f>IFERROR(VLOOKUP([2]Pointage!CJ19,Feuil1!$A:$B,2,FALSE),"")</f>
        <v>M</v>
      </c>
      <c r="CG25" s="31" t="str">
        <f>IFERROR(VLOOKUP([2]Pointage!CK19,Feuil1!$A:$B,2,FALSE),"")</f>
        <v>M</v>
      </c>
      <c r="CH25" s="31" t="str">
        <f>IFERROR(VLOOKUP([2]Pointage!CL19,Feuil1!$A:$B,2,FALSE),"")</f>
        <v>M</v>
      </c>
      <c r="CI25" s="31" t="str">
        <f>IFERROR(VLOOKUP([2]Pointage!CM19,Feuil1!$A:$B,2,FALSE),"")</f>
        <v>M</v>
      </c>
      <c r="CJ25" s="31" t="str">
        <f>IFERROR(VLOOKUP([2]Pointage!CN19,Feuil1!$A:$B,2,FALSE),"")</f>
        <v>M</v>
      </c>
      <c r="CK25" s="31" t="str">
        <f>IFERROR(VLOOKUP([2]Pointage!CO19,Feuil1!$A:$B,2,FALSE),"")</f>
        <v>M</v>
      </c>
      <c r="CL25" s="31" t="str">
        <f>IFERROR(VLOOKUP([2]Pointage!CP19,Feuil1!$A:$B,2,FALSE),"")</f>
        <v>M</v>
      </c>
      <c r="CM25" s="31" t="str">
        <f>IFERROR(VLOOKUP([2]Pointage!CQ19,Feuil1!$A:$B,2,FALSE),"")</f>
        <v>M</v>
      </c>
      <c r="CN25" s="31" t="str">
        <f>IFERROR(VLOOKUP([2]Pointage!CR19,Feuil1!$A:$B,2,FALSE),"")</f>
        <v>M</v>
      </c>
      <c r="CO25" s="31" t="str">
        <f>IFERROR(VLOOKUP([2]Pointage!CS19,Feuil1!$A:$B,2,FALSE),"")</f>
        <v>M</v>
      </c>
      <c r="CP25" s="31" t="str">
        <f>IFERROR(VLOOKUP([2]Pointage!CT19,Feuil1!$A:$B,2,FALSE),"")</f>
        <v>M</v>
      </c>
      <c r="CQ25" s="82" t="str">
        <f>IFERROR(VLOOKUP([2]Pointage!CU19,Feuil1!$A:$B,2,FALSE),"")</f>
        <v>M</v>
      </c>
      <c r="CR25" s="47" t="str">
        <f>IFERROR(VLOOKUP([2]Pointage!CV19,Feuil1!$A:$B,2,FALSE),"")</f>
        <v>M</v>
      </c>
      <c r="CS25" s="31" t="str">
        <f>IFERROR(VLOOKUP([2]Pointage!CW19,Feuil1!$A:$B,2,FALSE),"")</f>
        <v>M</v>
      </c>
      <c r="CT25" s="31" t="str">
        <f>IFERROR(VLOOKUP([2]Pointage!CX19,Feuil1!$A:$B,2,FALSE),"")</f>
        <v>M</v>
      </c>
      <c r="CU25" s="31" t="str">
        <f>IFERROR(VLOOKUP([2]Pointage!CY19,Feuil1!$A:$B,2,FALSE),"")</f>
        <v>M</v>
      </c>
      <c r="CV25" s="31" t="str">
        <f>IFERROR(VLOOKUP([2]Pointage!CZ19,Feuil1!$A:$B,2,FALSE),"")</f>
        <v>M</v>
      </c>
      <c r="CW25" s="31" t="str">
        <f>IFERROR(VLOOKUP([2]Pointage!DA19,Feuil1!$A:$B,2,FALSE),"")</f>
        <v>M</v>
      </c>
      <c r="CX25" s="31" t="str">
        <f>IFERROR(VLOOKUP([2]Pointage!DB19,Feuil1!$A:$B,2,FALSE),"")</f>
        <v>M</v>
      </c>
      <c r="CY25" s="31" t="str">
        <f>IFERROR(VLOOKUP([2]Pointage!DC19,Feuil1!$A:$B,2,FALSE),"")</f>
        <v>M</v>
      </c>
      <c r="CZ25" s="31" t="str">
        <f>IFERROR(VLOOKUP([2]Pointage!DD19,Feuil1!$A:$B,2,FALSE),"")</f>
        <v>M</v>
      </c>
      <c r="DA25" s="31" t="str">
        <f>IFERROR(VLOOKUP([2]Pointage!DE19,Feuil1!$A:$B,2,FALSE),"")</f>
        <v>M</v>
      </c>
      <c r="DB25" s="31" t="str">
        <f>IFERROR(VLOOKUP([2]Pointage!DF19,Feuil1!$A:$B,2,FALSE),"")</f>
        <v>M</v>
      </c>
      <c r="DC25" s="31" t="str">
        <f>IFERROR(VLOOKUP([2]Pointage!DG19,Feuil1!$A:$B,2,FALSE),"")</f>
        <v>M</v>
      </c>
      <c r="DD25" s="31" t="str">
        <f>IFERROR(VLOOKUP([2]Pointage!DH19,Feuil1!$A:$B,2,FALSE),"")</f>
        <v>M</v>
      </c>
      <c r="DE25" s="31" t="str">
        <f>IFERROR(VLOOKUP([2]Pointage!DI19,Feuil1!$A:$B,2,FALSE),"")</f>
        <v>M</v>
      </c>
      <c r="DF25" s="31" t="str">
        <f>IFERROR(VLOOKUP([2]Pointage!DJ19,Feuil1!$A:$B,2,FALSE),"")</f>
        <v>M</v>
      </c>
      <c r="DG25" s="31" t="str">
        <f>IFERROR(VLOOKUP([2]Pointage!DK19,Feuil1!$A:$B,2,FALSE),"")</f>
        <v>M</v>
      </c>
      <c r="DH25" s="31" t="str">
        <f>IFERROR(VLOOKUP([2]Pointage!DL19,Feuil1!$A:$B,2,FALSE),"")</f>
        <v>M</v>
      </c>
      <c r="DI25" s="31" t="str">
        <f>IFERROR(VLOOKUP([2]Pointage!DM19,Feuil1!$A:$B,2,FALSE),"")</f>
        <v>M</v>
      </c>
      <c r="DJ25" s="31" t="str">
        <f>IFERROR(VLOOKUP([2]Pointage!DN19,Feuil1!$A:$B,2,FALSE),"")</f>
        <v>M</v>
      </c>
      <c r="DK25" s="31" t="str">
        <f>IFERROR(VLOOKUP([2]Pointage!DO19,Feuil1!$A:$B,2,FALSE),"")</f>
        <v>M</v>
      </c>
      <c r="DL25" s="31" t="str">
        <f>IFERROR(VLOOKUP([2]Pointage!DP19,Feuil1!$A:$B,2,FALSE),"")</f>
        <v>M</v>
      </c>
      <c r="DM25" s="31" t="str">
        <f>IFERROR(VLOOKUP([2]Pointage!DQ19,Feuil1!$A:$B,2,FALSE),"")</f>
        <v>M</v>
      </c>
      <c r="DN25" s="31" t="str">
        <f>IFERROR(VLOOKUP([2]Pointage!DR19,Feuil1!$A:$B,2,FALSE),"")</f>
        <v>M</v>
      </c>
      <c r="DO25" s="31" t="str">
        <f>IFERROR(VLOOKUP([2]Pointage!DS19,Feuil1!$A:$B,2,FALSE),"")</f>
        <v>M</v>
      </c>
      <c r="DP25" s="31" t="str">
        <f>IFERROR(VLOOKUP([2]Pointage!DT19,Feuil1!$A:$B,2,FALSE),"")</f>
        <v>M</v>
      </c>
      <c r="DQ25" s="31" t="str">
        <f>IFERROR(VLOOKUP([2]Pointage!DU19,Feuil1!$A:$B,2,FALSE),"")</f>
        <v>M</v>
      </c>
      <c r="DR25" s="31" t="str">
        <f>IFERROR(VLOOKUP([2]Pointage!DV19,Feuil1!$A:$B,2,FALSE),"")</f>
        <v>M</v>
      </c>
      <c r="DS25" s="31" t="str">
        <f>IFERROR(VLOOKUP([2]Pointage!DW19,Feuil1!$A:$B,2,FALSE),"")</f>
        <v>M</v>
      </c>
      <c r="DT25" s="31" t="str">
        <f>IFERROR(VLOOKUP([2]Pointage!DX19,Feuil1!$A:$B,2,FALSE),"")</f>
        <v>M</v>
      </c>
      <c r="DU25" s="82" t="str">
        <f>IFERROR(VLOOKUP([2]Pointage!DY19,Feuil1!$A:$B,2,FALSE),"")</f>
        <v>M</v>
      </c>
      <c r="DV25" s="47" t="str">
        <f>IFERROR(VLOOKUP([2]Pointage!DZ19,Feuil1!$A:$B,2,FALSE),"")</f>
        <v>M</v>
      </c>
      <c r="DW25" s="31" t="str">
        <f>IFERROR(VLOOKUP([2]Pointage!EA19,Feuil1!$A:$B,2,FALSE),"")</f>
        <v>M</v>
      </c>
      <c r="DX25" s="31" t="str">
        <f>IFERROR(VLOOKUP([2]Pointage!EB19,Feuil1!$A:$B,2,FALSE),"")</f>
        <v>M</v>
      </c>
      <c r="DY25" s="31" t="str">
        <f>IFERROR(VLOOKUP([2]Pointage!EC19,Feuil1!$A:$B,2,FALSE),"")</f>
        <v>M</v>
      </c>
      <c r="DZ25" s="31" t="str">
        <f>IFERROR(VLOOKUP([2]Pointage!ED19,Feuil1!$A:$B,2,FALSE),"")</f>
        <v>M</v>
      </c>
      <c r="EA25" s="31" t="str">
        <f>IFERROR(VLOOKUP([2]Pointage!EE19,Feuil1!$A:$B,2,FALSE),"")</f>
        <v>M</v>
      </c>
      <c r="EB25" s="31" t="str">
        <f>IFERROR(VLOOKUP([2]Pointage!EF19,Feuil1!$A:$B,2,FALSE),"")</f>
        <v>M</v>
      </c>
      <c r="EC25" s="31" t="str">
        <f>IFERROR(VLOOKUP([2]Pointage!EG19,Feuil1!$A:$B,2,FALSE),"")</f>
        <v>M</v>
      </c>
      <c r="ED25" s="31" t="str">
        <f>IFERROR(VLOOKUP([2]Pointage!EH19,Feuil1!$A:$B,2,FALSE),"")</f>
        <v>M</v>
      </c>
      <c r="EE25" s="31" t="str">
        <f>IFERROR(VLOOKUP([2]Pointage!EI19,Feuil1!$A:$B,2,FALSE),"")</f>
        <v>M</v>
      </c>
      <c r="EF25" s="31" t="str">
        <f>IFERROR(VLOOKUP([2]Pointage!EJ19,Feuil1!$A:$B,2,FALSE),"")</f>
        <v>M</v>
      </c>
      <c r="EG25" s="31" t="str">
        <f>IFERROR(VLOOKUP([2]Pointage!EK19,Feuil1!$A:$B,2,FALSE),"")</f>
        <v>M</v>
      </c>
      <c r="EH25" s="31" t="str">
        <f>IFERROR(VLOOKUP([2]Pointage!EL19,Feuil1!$A:$B,2,FALSE),"")</f>
        <v>M</v>
      </c>
      <c r="EI25" s="31" t="str">
        <f>IFERROR(VLOOKUP([2]Pointage!EM19,Feuil1!$A:$B,2,FALSE),"")</f>
        <v>M</v>
      </c>
      <c r="EJ25" s="31" t="str">
        <f>IFERROR(VLOOKUP([2]Pointage!EN19,Feuil1!$A:$B,2,FALSE),"")</f>
        <v>M</v>
      </c>
      <c r="EK25" s="31" t="str">
        <f>IFERROR(VLOOKUP([2]Pointage!EO19,Feuil1!$A:$B,2,FALSE),"")</f>
        <v>M</v>
      </c>
      <c r="EL25" s="31" t="str">
        <f>IFERROR(VLOOKUP([2]Pointage!EP19,Feuil1!$A:$B,2,FALSE),"")</f>
        <v>M</v>
      </c>
      <c r="EM25" s="31" t="str">
        <f>IFERROR(VLOOKUP([2]Pointage!EQ19,Feuil1!$A:$B,2,FALSE),"")</f>
        <v>M</v>
      </c>
      <c r="EN25" s="31" t="str">
        <f>IFERROR(VLOOKUP([2]Pointage!ER19,Feuil1!$A:$B,2,FALSE),"")</f>
        <v>M</v>
      </c>
      <c r="EO25" s="31" t="str">
        <f>IFERROR(VLOOKUP([2]Pointage!ES19,Feuil1!$A:$B,2,FALSE),"")</f>
        <v>M</v>
      </c>
      <c r="EP25" s="31" t="str">
        <f>IFERROR(VLOOKUP([2]Pointage!ET19,Feuil1!$A:$B,2,FALSE),"")</f>
        <v>M</v>
      </c>
      <c r="EQ25" s="31" t="str">
        <f>IFERROR(VLOOKUP([2]Pointage!EU19,Feuil1!$A:$B,2,FALSE),"")</f>
        <v>M</v>
      </c>
      <c r="ER25" s="31" t="str">
        <f>IFERROR(VLOOKUP([2]Pointage!EV19,Feuil1!$A:$B,2,FALSE),"")</f>
        <v>M</v>
      </c>
      <c r="ES25" s="31" t="str">
        <f>IFERROR(VLOOKUP([2]Pointage!EW19,Feuil1!$A:$B,2,FALSE),"")</f>
        <v>M</v>
      </c>
      <c r="ET25" s="31" t="str">
        <f>IFERROR(VLOOKUP([2]Pointage!EX19,Feuil1!$A:$B,2,FALSE),"")</f>
        <v>M</v>
      </c>
      <c r="EU25" s="31" t="str">
        <f>IFERROR(VLOOKUP([2]Pointage!EY19,Feuil1!$A:$B,2,FALSE),"")</f>
        <v>M</v>
      </c>
      <c r="EV25" s="31" t="str">
        <f>IFERROR(VLOOKUP([2]Pointage!EZ19,Feuil1!$A:$B,2,FALSE),"")</f>
        <v>M</v>
      </c>
      <c r="EW25" s="31" t="str">
        <f>IFERROR(VLOOKUP([2]Pointage!FA19,Feuil1!$A:$B,2,FALSE),"")</f>
        <v>M</v>
      </c>
      <c r="EX25" s="31" t="str">
        <f>IFERROR(VLOOKUP([2]Pointage!FB19,Feuil1!$A:$B,2,FALSE),"")</f>
        <v>M</v>
      </c>
      <c r="EY25" s="31" t="str">
        <f>IFERROR(VLOOKUP([2]Pointage!FC19,Feuil1!$A:$B,2,FALSE),"")</f>
        <v>M</v>
      </c>
      <c r="EZ25" s="82" t="str">
        <f>IFERROR(VLOOKUP([2]Pointage!FD19,Feuil1!$A:$B,2,FALSE),"")</f>
        <v>M</v>
      </c>
      <c r="FA25" s="47" t="str">
        <f>IFERROR(VLOOKUP([2]Pointage!FE19,Feuil1!$A:$B,2,FALSE),"")</f>
        <v>M</v>
      </c>
      <c r="FB25" s="31" t="str">
        <f>IFERROR(VLOOKUP([2]Pointage!FF19,Feuil1!$A:$B,2,FALSE),"")</f>
        <v>M</v>
      </c>
      <c r="FC25" s="31" t="str">
        <f>IFERROR(VLOOKUP([2]Pointage!FG19,Feuil1!$A:$B,2,FALSE),"")</f>
        <v>M</v>
      </c>
      <c r="FD25" s="31" t="str">
        <f>IFERROR(VLOOKUP([2]Pointage!FH19,Feuil1!$A:$B,2,FALSE),"")</f>
        <v>M</v>
      </c>
      <c r="FE25" s="31" t="str">
        <f>IFERROR(VLOOKUP([2]Pointage!FI19,Feuil1!$A:$B,2,FALSE),"")</f>
        <v>M</v>
      </c>
      <c r="FF25" s="31" t="str">
        <f>IFERROR(VLOOKUP([2]Pointage!FJ19,Feuil1!$A:$B,2,FALSE),"")</f>
        <v>M</v>
      </c>
      <c r="FG25" s="31" t="str">
        <f>IFERROR(VLOOKUP([2]Pointage!FK19,Feuil1!$A:$B,2,FALSE),"")</f>
        <v>M</v>
      </c>
      <c r="FH25" s="31" t="str">
        <f>IFERROR(VLOOKUP([2]Pointage!FL19,Feuil1!$A:$B,2,FALSE),"")</f>
        <v>M</v>
      </c>
      <c r="FI25" s="31" t="str">
        <f>IFERROR(VLOOKUP([2]Pointage!FM19,Feuil1!$A:$B,2,FALSE),"")</f>
        <v>M</v>
      </c>
      <c r="FJ25" s="31" t="str">
        <f>IFERROR(VLOOKUP([2]Pointage!FN19,Feuil1!$A:$B,2,FALSE),"")</f>
        <v>M</v>
      </c>
      <c r="FK25" s="31" t="str">
        <f>IFERROR(VLOOKUP([2]Pointage!FO19,Feuil1!$A:$B,2,FALSE),"")</f>
        <v>M</v>
      </c>
      <c r="FL25" s="31" t="str">
        <f>IFERROR(VLOOKUP([2]Pointage!FP19,Feuil1!$A:$B,2,FALSE),"")</f>
        <v>M</v>
      </c>
      <c r="FM25" s="31" t="str">
        <f>IFERROR(VLOOKUP([2]Pointage!FQ19,Feuil1!$A:$B,2,FALSE),"")</f>
        <v>M</v>
      </c>
      <c r="FN25" s="31" t="str">
        <f>IFERROR(VLOOKUP([2]Pointage!FR19,Feuil1!$A:$B,2,FALSE),"")</f>
        <v>M</v>
      </c>
      <c r="FO25" s="31" t="str">
        <f>IFERROR(VLOOKUP([2]Pointage!FS19,Feuil1!$A:$B,2,FALSE),"")</f>
        <v>M</v>
      </c>
      <c r="FP25" s="31" t="str">
        <f>IFERROR(VLOOKUP([2]Pointage!FT19,Feuil1!$A:$B,2,FALSE),"")</f>
        <v>M</v>
      </c>
      <c r="FQ25" s="31" t="str">
        <f>IFERROR(VLOOKUP([2]Pointage!FU19,Feuil1!$A:$B,2,FALSE),"")</f>
        <v>M</v>
      </c>
      <c r="FR25" s="31" t="str">
        <f>IFERROR(VLOOKUP([2]Pointage!FV19,Feuil1!$A:$B,2,FALSE),"")</f>
        <v>M</v>
      </c>
      <c r="FS25" s="31" t="str">
        <f>IFERROR(VLOOKUP([2]Pointage!FW19,Feuil1!$A:$B,2,FALSE),"")</f>
        <v>M</v>
      </c>
      <c r="FT25" s="31" t="str">
        <f>IFERROR(VLOOKUP([2]Pointage!FX19,Feuil1!$A:$B,2,FALSE),"")</f>
        <v>M</v>
      </c>
      <c r="FU25" s="31" t="str">
        <f>IFERROR(VLOOKUP([2]Pointage!FY19,Feuil1!$A:$B,2,FALSE),"")</f>
        <v>M</v>
      </c>
      <c r="FV25" s="31" t="str">
        <f>IFERROR(VLOOKUP([2]Pointage!FZ19,Feuil1!$A:$B,2,FALSE),"")</f>
        <v>M</v>
      </c>
      <c r="FW25" s="31" t="str">
        <f>IFERROR(VLOOKUP([2]Pointage!GA19,Feuil1!$A:$B,2,FALSE),"")</f>
        <v>M</v>
      </c>
      <c r="FX25" s="31" t="str">
        <f>IFERROR(VLOOKUP([2]Pointage!GB19,Feuil1!$A:$B,2,FALSE),"")</f>
        <v>M</v>
      </c>
      <c r="FY25" s="31" t="str">
        <f>IFERROR(VLOOKUP([2]Pointage!GC19,Feuil1!$A:$B,2,FALSE),"")</f>
        <v/>
      </c>
      <c r="FZ25" s="31" t="str">
        <f>IFERROR(VLOOKUP([2]Pointage!GD19,Feuil1!$A:$B,2,FALSE),"")</f>
        <v/>
      </c>
      <c r="GA25" s="31" t="str">
        <f>IFERROR(VLOOKUP([2]Pointage!GE19,Feuil1!$A:$B,2,FALSE),"")</f>
        <v/>
      </c>
      <c r="GB25" s="31" t="str">
        <f>IFERROR(VLOOKUP([2]Pointage!GF19,Feuil1!$A:$B,2,FALSE),"")</f>
        <v/>
      </c>
      <c r="GC25" s="31" t="str">
        <f>IFERROR(VLOOKUP([2]Pointage!GG19,Feuil1!$A:$B,2,FALSE),"")</f>
        <v/>
      </c>
      <c r="GD25" s="82" t="str">
        <f>IFERROR(VLOOKUP([2]Pointage!GH19,Feuil1!$A:$B,2,FALSE),"")</f>
        <v/>
      </c>
      <c r="GE25" s="47" t="str">
        <f>IFERROR(VLOOKUP([2]Pointage!GI19,Feuil1!$A:$B,2,FALSE),"")</f>
        <v/>
      </c>
      <c r="GF25" s="31" t="str">
        <f>IFERROR(VLOOKUP([2]Pointage!GJ19,Feuil1!$A:$B,2,FALSE),"")</f>
        <v/>
      </c>
      <c r="GG25" s="31" t="str">
        <f>IFERROR(VLOOKUP([2]Pointage!GK19,Feuil1!$A:$B,2,FALSE),"")</f>
        <v/>
      </c>
      <c r="GH25" s="31" t="str">
        <f>IFERROR(VLOOKUP([2]Pointage!GL19,Feuil1!$A:$B,2,FALSE),"")</f>
        <v/>
      </c>
      <c r="GI25" s="31" t="str">
        <f>IFERROR(VLOOKUP([2]Pointage!GM19,Feuil1!$A:$B,2,FALSE),"")</f>
        <v/>
      </c>
      <c r="GJ25" s="31" t="str">
        <f>IFERROR(VLOOKUP([2]Pointage!GN19,Feuil1!$A:$B,2,FALSE),"")</f>
        <v/>
      </c>
      <c r="GK25" s="31" t="str">
        <f>IFERROR(VLOOKUP([2]Pointage!GO19,Feuil1!$A:$B,2,FALSE),"")</f>
        <v/>
      </c>
      <c r="GL25" s="31" t="str">
        <f>IFERROR(VLOOKUP([2]Pointage!GP19,Feuil1!$A:$B,2,FALSE),"")</f>
        <v/>
      </c>
      <c r="GM25" s="31" t="str">
        <f>IFERROR(VLOOKUP([2]Pointage!GQ19,Feuil1!$A:$B,2,FALSE),"")</f>
        <v/>
      </c>
      <c r="GN25" s="31" t="str">
        <f>IFERROR(VLOOKUP([2]Pointage!GR19,Feuil1!$A:$B,2,FALSE),"")</f>
        <v/>
      </c>
      <c r="GO25" s="31" t="str">
        <f>IFERROR(VLOOKUP([2]Pointage!GS19,Feuil1!$A:$B,2,FALSE),"")</f>
        <v/>
      </c>
      <c r="GP25" s="31" t="str">
        <f>IFERROR(VLOOKUP([2]Pointage!GT19,Feuil1!$A:$B,2,FALSE),"")</f>
        <v/>
      </c>
      <c r="GQ25" s="31" t="str">
        <f>IFERROR(VLOOKUP([2]Pointage!GU19,Feuil1!$A:$B,2,FALSE),"")</f>
        <v/>
      </c>
      <c r="GR25" s="31" t="str">
        <f>IFERROR(VLOOKUP([2]Pointage!GV19,Feuil1!$A:$B,2,FALSE),"")</f>
        <v/>
      </c>
      <c r="GS25" s="31" t="str">
        <f>IFERROR(VLOOKUP([2]Pointage!GW19,Feuil1!$A:$B,2,FALSE),"")</f>
        <v/>
      </c>
      <c r="GT25" s="31" t="str">
        <f>IFERROR(VLOOKUP([2]Pointage!GX19,Feuil1!$A:$B,2,FALSE),"")</f>
        <v/>
      </c>
      <c r="GU25" s="31" t="str">
        <f>IFERROR(VLOOKUP([2]Pointage!GY19,Feuil1!$A:$B,2,FALSE),"")</f>
        <v/>
      </c>
      <c r="GV25" s="31" t="str">
        <f>IFERROR(VLOOKUP([2]Pointage!GZ19,Feuil1!$A:$B,2,FALSE),"")</f>
        <v/>
      </c>
      <c r="GW25" s="31" t="str">
        <f>IFERROR(VLOOKUP([2]Pointage!HA19,Feuil1!$A:$B,2,FALSE),"")</f>
        <v/>
      </c>
      <c r="GX25" s="31" t="str">
        <f>IFERROR(VLOOKUP([2]Pointage!HB19,Feuil1!$A:$B,2,FALSE),"")</f>
        <v/>
      </c>
      <c r="GY25" s="31" t="str">
        <f>IFERROR(VLOOKUP([2]Pointage!HC19,Feuil1!$A:$B,2,FALSE),"")</f>
        <v/>
      </c>
      <c r="GZ25" s="31" t="str">
        <f>IFERROR(VLOOKUP([2]Pointage!HD19,Feuil1!$A:$B,2,FALSE),"")</f>
        <v/>
      </c>
      <c r="HA25" s="31" t="str">
        <f>IFERROR(VLOOKUP([2]Pointage!HE19,Feuil1!$A:$B,2,FALSE),"")</f>
        <v/>
      </c>
      <c r="HB25" s="31" t="str">
        <f>IFERROR(VLOOKUP([2]Pointage!HF19,Feuil1!$A:$B,2,FALSE),"")</f>
        <v/>
      </c>
      <c r="HC25" s="31" t="str">
        <f>IFERROR(VLOOKUP([2]Pointage!HG19,Feuil1!$A:$B,2,FALSE),"")</f>
        <v/>
      </c>
      <c r="HD25" s="31" t="str">
        <f>IFERROR(VLOOKUP([2]Pointage!HH19,Feuil1!$A:$B,2,FALSE),"")</f>
        <v/>
      </c>
      <c r="HE25" s="31" t="str">
        <f>IFERROR(VLOOKUP([2]Pointage!HI19,Feuil1!$A:$B,2,FALSE),"")</f>
        <v/>
      </c>
      <c r="HF25" s="31" t="str">
        <f>IFERROR(VLOOKUP([2]Pointage!HJ19,Feuil1!$A:$B,2,FALSE),"")</f>
        <v/>
      </c>
      <c r="HG25" s="31" t="str">
        <f>IFERROR(VLOOKUP([2]Pointage!HK19,Feuil1!$A:$B,2,FALSE),"")</f>
        <v/>
      </c>
      <c r="HH25" s="31" t="str">
        <f>IFERROR(VLOOKUP([2]Pointage!HL19,Feuil1!$A:$B,2,FALSE),"")</f>
        <v/>
      </c>
      <c r="HI25" s="82" t="str">
        <f>IFERROR(VLOOKUP([2]Pointage!HM19,Feuil1!$A:$B,2,FALSE),"")</f>
        <v/>
      </c>
      <c r="HJ25" s="47" t="str">
        <f>IFERROR(VLOOKUP([2]Pointage!HN19,Feuil1!$A:$B,2,FALSE),"")</f>
        <v/>
      </c>
      <c r="HK25" s="31" t="str">
        <f>IFERROR(VLOOKUP([2]Pointage!HO19,Feuil1!$A:$B,2,FALSE),"")</f>
        <v/>
      </c>
      <c r="HL25" s="31" t="str">
        <f>IFERROR(VLOOKUP([2]Pointage!HP19,Feuil1!$A:$B,2,FALSE),"")</f>
        <v/>
      </c>
      <c r="HM25" s="31" t="str">
        <f>IFERROR(VLOOKUP([2]Pointage!HQ19,Feuil1!$A:$B,2,FALSE),"")</f>
        <v/>
      </c>
      <c r="HN25" s="31" t="str">
        <f>IFERROR(VLOOKUP([2]Pointage!HR19,Feuil1!$A:$B,2,FALSE),"")</f>
        <v/>
      </c>
      <c r="HO25" s="31" t="str">
        <f>IFERROR(VLOOKUP([2]Pointage!HS19,Feuil1!$A:$B,2,FALSE),"")</f>
        <v/>
      </c>
      <c r="HP25" s="31" t="str">
        <f>IFERROR(VLOOKUP([2]Pointage!HT19,Feuil1!$A:$B,2,FALSE),"")</f>
        <v/>
      </c>
      <c r="HQ25" s="31" t="str">
        <f>IFERROR(VLOOKUP([2]Pointage!HU19,Feuil1!$A:$B,2,FALSE),"")</f>
        <v/>
      </c>
      <c r="HR25" s="31" t="str">
        <f>IFERROR(VLOOKUP([2]Pointage!HV19,Feuil1!$A:$B,2,FALSE),"")</f>
        <v/>
      </c>
      <c r="HS25" s="31" t="str">
        <f>IFERROR(VLOOKUP([2]Pointage!HW19,Feuil1!$A:$B,2,FALSE),"")</f>
        <v/>
      </c>
      <c r="HT25" s="31" t="str">
        <f>IFERROR(VLOOKUP([2]Pointage!HX19,Feuil1!$A:$B,2,FALSE),"")</f>
        <v/>
      </c>
      <c r="HU25" s="31" t="str">
        <f>IFERROR(VLOOKUP([2]Pointage!HY19,Feuil1!$A:$B,2,FALSE),"")</f>
        <v/>
      </c>
      <c r="HV25" s="31" t="str">
        <f>IFERROR(VLOOKUP([2]Pointage!HZ19,Feuil1!$A:$B,2,FALSE),"")</f>
        <v/>
      </c>
      <c r="HW25" s="31" t="str">
        <f>IFERROR(VLOOKUP([2]Pointage!IA19,Feuil1!$A:$B,2,FALSE),"")</f>
        <v/>
      </c>
      <c r="HX25" s="31" t="str">
        <f>IFERROR(VLOOKUP([2]Pointage!IB19,Feuil1!$A:$B,2,FALSE),"")</f>
        <v/>
      </c>
      <c r="HY25" s="31" t="str">
        <f>IFERROR(VLOOKUP([2]Pointage!IC19,Feuil1!$A:$B,2,FALSE),"")</f>
        <v/>
      </c>
      <c r="HZ25" s="31" t="str">
        <f>IFERROR(VLOOKUP([2]Pointage!ID19,Feuil1!$A:$B,2,FALSE),"")</f>
        <v/>
      </c>
      <c r="IA25" s="31" t="str">
        <f>IFERROR(VLOOKUP([2]Pointage!IE19,Feuil1!$A:$B,2,FALSE),"")</f>
        <v/>
      </c>
      <c r="IB25" s="31" t="str">
        <f>IFERROR(VLOOKUP([2]Pointage!IF19,Feuil1!$A:$B,2,FALSE),"")</f>
        <v/>
      </c>
      <c r="IC25" s="31" t="str">
        <f>IFERROR(VLOOKUP([2]Pointage!IG19,Feuil1!$A:$B,2,FALSE),"")</f>
        <v/>
      </c>
      <c r="ID25" s="31" t="str">
        <f>IFERROR(VLOOKUP([2]Pointage!IH19,Feuil1!$A:$B,2,FALSE),"")</f>
        <v/>
      </c>
      <c r="IE25" s="31" t="str">
        <f>IFERROR(VLOOKUP([2]Pointage!II19,Feuil1!$A:$B,2,FALSE),"")</f>
        <v/>
      </c>
      <c r="IF25" s="31" t="str">
        <f>IFERROR(VLOOKUP([2]Pointage!IJ19,Feuil1!$A:$B,2,FALSE),"")</f>
        <v/>
      </c>
      <c r="IG25" s="31" t="str">
        <f>IFERROR(VLOOKUP([2]Pointage!IK19,Feuil1!$A:$B,2,FALSE),"")</f>
        <v/>
      </c>
      <c r="IH25" s="31" t="str">
        <f>IFERROR(VLOOKUP([2]Pointage!IL19,Feuil1!$A:$B,2,FALSE),"")</f>
        <v/>
      </c>
      <c r="II25" s="31" t="str">
        <f>IFERROR(VLOOKUP([2]Pointage!IM19,Feuil1!$A:$B,2,FALSE),"")</f>
        <v/>
      </c>
      <c r="IJ25" s="31" t="str">
        <f>IFERROR(VLOOKUP([2]Pointage!IN19,Feuil1!$A:$B,2,FALSE),"")</f>
        <v/>
      </c>
      <c r="IK25" s="31" t="str">
        <f>IFERROR(VLOOKUP([2]Pointage!IO19,Feuil1!$A:$B,2,FALSE),"")</f>
        <v/>
      </c>
      <c r="IL25" s="31" t="str">
        <f>IFERROR(VLOOKUP([2]Pointage!IP19,Feuil1!$A:$B,2,FALSE),"")</f>
        <v/>
      </c>
      <c r="IM25" s="31" t="str">
        <f>IFERROR(VLOOKUP([2]Pointage!IQ19,Feuil1!$A:$B,2,FALSE),"")</f>
        <v/>
      </c>
      <c r="IN25" s="82" t="str">
        <f>IFERROR(VLOOKUP([2]Pointage!IR19,Feuil1!$A:$B,2,FALSE),"")</f>
        <v/>
      </c>
      <c r="IO25" s="47" t="str">
        <f>IFERROR(VLOOKUP([2]Pointage!IS19,Feuil1!$A:$B,2,FALSE),"")</f>
        <v/>
      </c>
      <c r="IP25" s="31" t="str">
        <f>IFERROR(VLOOKUP([2]Pointage!IT19,Feuil1!$A:$B,2,FALSE),"")</f>
        <v/>
      </c>
      <c r="IQ25" s="31" t="str">
        <f>IFERROR(VLOOKUP([2]Pointage!IU19,Feuil1!$A:$B,2,FALSE),"")</f>
        <v/>
      </c>
      <c r="IR25" s="31" t="str">
        <f>IFERROR(VLOOKUP([2]Pointage!IV19,Feuil1!$A:$B,2,FALSE),"")</f>
        <v/>
      </c>
      <c r="IS25" s="31" t="str">
        <f>IFERROR(VLOOKUP([2]Pointage!IW19,Feuil1!$A:$B,2,FALSE),"")</f>
        <v/>
      </c>
      <c r="IT25" s="31" t="str">
        <f>IFERROR(VLOOKUP([2]Pointage!IX19,Feuil1!$A:$B,2,FALSE),"")</f>
        <v/>
      </c>
      <c r="IU25" s="31" t="str">
        <f>IFERROR(VLOOKUP([2]Pointage!IY19,Feuil1!$A:$B,2,FALSE),"")</f>
        <v/>
      </c>
      <c r="IV25" s="31" t="str">
        <f>IFERROR(VLOOKUP([2]Pointage!IZ19,Feuil1!$A:$B,2,FALSE),"")</f>
        <v/>
      </c>
      <c r="IW25" s="31" t="str">
        <f>IFERROR(VLOOKUP([2]Pointage!JA19,Feuil1!$A:$B,2,FALSE),"")</f>
        <v/>
      </c>
      <c r="IX25" s="31" t="str">
        <f>IFERROR(VLOOKUP([2]Pointage!JB19,Feuil1!$A:$B,2,FALSE),"")</f>
        <v/>
      </c>
      <c r="IY25" s="31" t="str">
        <f>IFERROR(VLOOKUP([2]Pointage!JC19,Feuil1!$A:$B,2,FALSE),"")</f>
        <v/>
      </c>
      <c r="IZ25" s="31" t="str">
        <f>IFERROR(VLOOKUP([2]Pointage!JD19,Feuil1!$A:$B,2,FALSE),"")</f>
        <v/>
      </c>
      <c r="JA25" s="31" t="str">
        <f>IFERROR(VLOOKUP([2]Pointage!JE19,Feuil1!$A:$B,2,FALSE),"")</f>
        <v/>
      </c>
      <c r="JB25" s="31" t="str">
        <f>IFERROR(VLOOKUP([2]Pointage!JF19,Feuil1!$A:$B,2,FALSE),"")</f>
        <v/>
      </c>
      <c r="JC25" s="31" t="str">
        <f>IFERROR(VLOOKUP([2]Pointage!JG19,Feuil1!$A:$B,2,FALSE),"")</f>
        <v/>
      </c>
      <c r="JD25" s="31" t="str">
        <f>IFERROR(VLOOKUP([2]Pointage!JH19,Feuil1!$A:$B,2,FALSE),"")</f>
        <v/>
      </c>
      <c r="JE25" s="31" t="str">
        <f>IFERROR(VLOOKUP([2]Pointage!JI19,Feuil1!$A:$B,2,FALSE),"")</f>
        <v/>
      </c>
      <c r="JF25" s="31" t="str">
        <f>IFERROR(VLOOKUP([2]Pointage!JJ19,Feuil1!$A:$B,2,FALSE),"")</f>
        <v/>
      </c>
      <c r="JG25" s="31" t="str">
        <f>IFERROR(VLOOKUP([2]Pointage!JK19,Feuil1!$A:$B,2,FALSE),"")</f>
        <v/>
      </c>
      <c r="JH25" s="31" t="str">
        <f>IFERROR(VLOOKUP([2]Pointage!JL19,Feuil1!$A:$B,2,FALSE),"")</f>
        <v/>
      </c>
      <c r="JI25" s="31" t="str">
        <f>IFERROR(VLOOKUP([2]Pointage!JM19,Feuil1!$A:$B,2,FALSE),"")</f>
        <v/>
      </c>
      <c r="JJ25" s="31" t="str">
        <f>IFERROR(VLOOKUP([2]Pointage!JN19,Feuil1!$A:$B,2,FALSE),"")</f>
        <v/>
      </c>
      <c r="JK25" s="31" t="str">
        <f>IFERROR(VLOOKUP([2]Pointage!JO19,Feuil1!$A:$B,2,FALSE),"")</f>
        <v/>
      </c>
      <c r="JL25" s="31" t="str">
        <f>IFERROR(VLOOKUP([2]Pointage!JP19,Feuil1!$A:$B,2,FALSE),"")</f>
        <v/>
      </c>
      <c r="JM25" s="31" t="str">
        <f>IFERROR(VLOOKUP([2]Pointage!JQ19,Feuil1!$A:$B,2,FALSE),"")</f>
        <v/>
      </c>
      <c r="JN25" s="31" t="str">
        <f>IFERROR(VLOOKUP([2]Pointage!JR19,Feuil1!$A:$B,2,FALSE),"")</f>
        <v/>
      </c>
      <c r="JO25" s="31" t="str">
        <f>IFERROR(VLOOKUP([2]Pointage!JS19,Feuil1!$A:$B,2,FALSE),"")</f>
        <v/>
      </c>
      <c r="JP25" s="31" t="str">
        <f>IFERROR(VLOOKUP([2]Pointage!JT19,Feuil1!$A:$B,2,FALSE),"")</f>
        <v/>
      </c>
      <c r="JQ25" s="31" t="str">
        <f>IFERROR(VLOOKUP([2]Pointage!JU19,Feuil1!$A:$B,2,FALSE),"")</f>
        <v/>
      </c>
      <c r="JR25" s="82" t="str">
        <f>IFERROR(VLOOKUP([2]Pointage!JV19,Feuil1!$A:$B,2,FALSE),"")</f>
        <v/>
      </c>
      <c r="JS25" s="47" t="str">
        <f>IFERROR(VLOOKUP([2]Pointage!JW19,Feuil1!$A:$B,2,FALSE),"")</f>
        <v/>
      </c>
      <c r="JT25" s="31" t="str">
        <f>IFERROR(VLOOKUP([2]Pointage!JX19,Feuil1!$A:$B,2,FALSE),"")</f>
        <v/>
      </c>
      <c r="JU25" s="31" t="str">
        <f>IFERROR(VLOOKUP([2]Pointage!JY19,Feuil1!$A:$B,2,FALSE),"")</f>
        <v/>
      </c>
      <c r="JV25" s="31" t="str">
        <f>IFERROR(VLOOKUP([2]Pointage!JZ19,Feuil1!$A:$B,2,FALSE),"")</f>
        <v/>
      </c>
      <c r="JW25" s="31" t="str">
        <f>IFERROR(VLOOKUP([2]Pointage!KA19,Feuil1!$A:$B,2,FALSE),"")</f>
        <v/>
      </c>
      <c r="JX25" s="31" t="str">
        <f>IFERROR(VLOOKUP([2]Pointage!KB19,Feuil1!$A:$B,2,FALSE),"")</f>
        <v/>
      </c>
      <c r="JY25" s="31" t="str">
        <f>IFERROR(VLOOKUP([2]Pointage!KC19,Feuil1!$A:$B,2,FALSE),"")</f>
        <v/>
      </c>
      <c r="JZ25" s="31" t="str">
        <f>IFERROR(VLOOKUP([2]Pointage!KD19,Feuil1!$A:$B,2,FALSE),"")</f>
        <v/>
      </c>
      <c r="KA25" s="31" t="str">
        <f>IFERROR(VLOOKUP([2]Pointage!KE19,Feuil1!$A:$B,2,FALSE),"")</f>
        <v/>
      </c>
      <c r="KB25" s="31" t="str">
        <f>IFERROR(VLOOKUP([2]Pointage!KF19,Feuil1!$A:$B,2,FALSE),"")</f>
        <v/>
      </c>
      <c r="KC25" s="31" t="str">
        <f>IFERROR(VLOOKUP([2]Pointage!KG19,Feuil1!$A:$B,2,FALSE),"")</f>
        <v/>
      </c>
      <c r="KD25" s="31" t="str">
        <f>IFERROR(VLOOKUP([2]Pointage!KH19,Feuil1!$A:$B,2,FALSE),"")</f>
        <v/>
      </c>
      <c r="KE25" s="31" t="str">
        <f>IFERROR(VLOOKUP([2]Pointage!KI19,Feuil1!$A:$B,2,FALSE),"")</f>
        <v/>
      </c>
      <c r="KF25" s="31" t="str">
        <f>IFERROR(VLOOKUP([2]Pointage!KJ19,Feuil1!$A:$B,2,FALSE),"")</f>
        <v/>
      </c>
      <c r="KG25" s="31" t="str">
        <f>IFERROR(VLOOKUP([2]Pointage!KK19,Feuil1!$A:$B,2,FALSE),"")</f>
        <v/>
      </c>
      <c r="KH25" s="31" t="str">
        <f>IFERROR(VLOOKUP([2]Pointage!KL19,Feuil1!$A:$B,2,FALSE),"")</f>
        <v/>
      </c>
      <c r="KI25" s="31" t="str">
        <f>IFERROR(VLOOKUP([2]Pointage!KM19,Feuil1!$A:$B,2,FALSE),"")</f>
        <v/>
      </c>
      <c r="KJ25" s="31" t="str">
        <f>IFERROR(VLOOKUP([2]Pointage!KN19,Feuil1!$A:$B,2,FALSE),"")</f>
        <v/>
      </c>
      <c r="KK25" s="31" t="str">
        <f>IFERROR(VLOOKUP([2]Pointage!KO19,Feuil1!$A:$B,2,FALSE),"")</f>
        <v/>
      </c>
      <c r="KL25" s="31" t="str">
        <f>IFERROR(VLOOKUP([2]Pointage!KP19,Feuil1!$A:$B,2,FALSE),"")</f>
        <v/>
      </c>
      <c r="KM25" s="31" t="str">
        <f>IFERROR(VLOOKUP([2]Pointage!KQ19,Feuil1!$A:$B,2,FALSE),"")</f>
        <v/>
      </c>
      <c r="KN25" s="31" t="str">
        <f>IFERROR(VLOOKUP([2]Pointage!KR19,Feuil1!$A:$B,2,FALSE),"")</f>
        <v/>
      </c>
      <c r="KO25" s="31" t="str">
        <f>IFERROR(VLOOKUP([2]Pointage!KS19,Feuil1!$A:$B,2,FALSE),"")</f>
        <v/>
      </c>
      <c r="KP25" s="31" t="str">
        <f>IFERROR(VLOOKUP([2]Pointage!KT19,Feuil1!$A:$B,2,FALSE),"")</f>
        <v/>
      </c>
      <c r="KQ25" s="31" t="str">
        <f>IFERROR(VLOOKUP([2]Pointage!KU19,Feuil1!$A:$B,2,FALSE),"")</f>
        <v/>
      </c>
      <c r="KR25" s="31" t="str">
        <f>IFERROR(VLOOKUP([2]Pointage!KV19,Feuil1!$A:$B,2,FALSE),"")</f>
        <v/>
      </c>
      <c r="KS25" s="31" t="str">
        <f>IFERROR(VLOOKUP([2]Pointage!KW19,Feuil1!$A:$B,2,FALSE),"")</f>
        <v/>
      </c>
      <c r="KT25" s="31" t="str">
        <f>IFERROR(VLOOKUP([2]Pointage!KX19,Feuil1!$A:$B,2,FALSE),"")</f>
        <v/>
      </c>
      <c r="KU25" s="31" t="str">
        <f>IFERROR(VLOOKUP([2]Pointage!KY19,Feuil1!$A:$B,2,FALSE),"")</f>
        <v/>
      </c>
      <c r="KV25" s="31" t="str">
        <f>IFERROR(VLOOKUP([2]Pointage!KZ19,Feuil1!$A:$B,2,FALSE),"")</f>
        <v/>
      </c>
      <c r="KW25" s="82" t="str">
        <f>IFERROR(VLOOKUP([2]Pointage!LA19,Feuil1!$A:$B,2,FALSE),"")</f>
        <v/>
      </c>
      <c r="KX25" s="47" t="str">
        <f>IFERROR(VLOOKUP([2]Pointage!LB19,Feuil1!$A:$B,2,FALSE),"")</f>
        <v/>
      </c>
      <c r="KY25" s="31" t="str">
        <f>IFERROR(VLOOKUP([2]Pointage!LC19,Feuil1!$A:$B,2,FALSE),"")</f>
        <v/>
      </c>
      <c r="KZ25" s="31" t="str">
        <f>IFERROR(VLOOKUP([2]Pointage!LD19,Feuil1!$A:$B,2,FALSE),"")</f>
        <v/>
      </c>
      <c r="LA25" s="31" t="str">
        <f>IFERROR(VLOOKUP([2]Pointage!LE19,Feuil1!$A:$B,2,FALSE),"")</f>
        <v/>
      </c>
      <c r="LB25" s="31" t="str">
        <f>IFERROR(VLOOKUP([2]Pointage!LF19,Feuil1!$A:$B,2,FALSE),"")</f>
        <v/>
      </c>
      <c r="LC25" s="31" t="str">
        <f>IFERROR(VLOOKUP([2]Pointage!LG19,Feuil1!$A:$B,2,FALSE),"")</f>
        <v/>
      </c>
      <c r="LD25" s="31" t="str">
        <f>IFERROR(VLOOKUP([2]Pointage!LH19,Feuil1!$A:$B,2,FALSE),"")</f>
        <v/>
      </c>
      <c r="LE25" s="31" t="str">
        <f>IFERROR(VLOOKUP([2]Pointage!LI19,Feuil1!$A:$B,2,FALSE),"")</f>
        <v/>
      </c>
      <c r="LF25" s="31" t="str">
        <f>IFERROR(VLOOKUP([2]Pointage!LJ19,Feuil1!$A:$B,2,FALSE),"")</f>
        <v/>
      </c>
      <c r="LG25" s="31" t="str">
        <f>IFERROR(VLOOKUP([2]Pointage!LK19,Feuil1!$A:$B,2,FALSE),"")</f>
        <v/>
      </c>
      <c r="LH25" s="31" t="str">
        <f>IFERROR(VLOOKUP([2]Pointage!LL19,Feuil1!$A:$B,2,FALSE),"")</f>
        <v/>
      </c>
      <c r="LI25" s="31" t="str">
        <f>IFERROR(VLOOKUP([2]Pointage!LM19,Feuil1!$A:$B,2,FALSE),"")</f>
        <v/>
      </c>
      <c r="LJ25" s="31" t="str">
        <f>IFERROR(VLOOKUP([2]Pointage!LN19,Feuil1!$A:$B,2,FALSE),"")</f>
        <v/>
      </c>
      <c r="LK25" s="31" t="str">
        <f>IFERROR(VLOOKUP([2]Pointage!LO19,Feuil1!$A:$B,2,FALSE),"")</f>
        <v/>
      </c>
      <c r="LL25" s="31" t="str">
        <f>IFERROR(VLOOKUP([2]Pointage!LP19,Feuil1!$A:$B,2,FALSE),"")</f>
        <v/>
      </c>
      <c r="LM25" s="31" t="str">
        <f>IFERROR(VLOOKUP([2]Pointage!LQ19,Feuil1!$A:$B,2,FALSE),"")</f>
        <v/>
      </c>
      <c r="LN25" s="31" t="str">
        <f>IFERROR(VLOOKUP([2]Pointage!LR19,Feuil1!$A:$B,2,FALSE),"")</f>
        <v/>
      </c>
      <c r="LO25" s="31" t="str">
        <f>IFERROR(VLOOKUP([2]Pointage!LS19,Feuil1!$A:$B,2,FALSE),"")</f>
        <v/>
      </c>
      <c r="LP25" s="31" t="str">
        <f>IFERROR(VLOOKUP([2]Pointage!LT19,Feuil1!$A:$B,2,FALSE),"")</f>
        <v/>
      </c>
      <c r="LQ25" s="31" t="str">
        <f>IFERROR(VLOOKUP([2]Pointage!LU19,Feuil1!$A:$B,2,FALSE),"")</f>
        <v/>
      </c>
      <c r="LR25" s="31" t="str">
        <f>IFERROR(VLOOKUP([2]Pointage!LV19,Feuil1!$A:$B,2,FALSE),"")</f>
        <v/>
      </c>
      <c r="LS25" s="31" t="str">
        <f>IFERROR(VLOOKUP([2]Pointage!LW19,Feuil1!$A:$B,2,FALSE),"")</f>
        <v/>
      </c>
      <c r="LT25" s="31" t="str">
        <f>IFERROR(VLOOKUP([2]Pointage!LX19,Feuil1!$A:$B,2,FALSE),"")</f>
        <v/>
      </c>
      <c r="LU25" s="31" t="str">
        <f>IFERROR(VLOOKUP([2]Pointage!LY19,Feuil1!$A:$B,2,FALSE),"")</f>
        <v/>
      </c>
      <c r="LV25" s="31" t="str">
        <f>IFERROR(VLOOKUP([2]Pointage!LZ19,Feuil1!$A:$B,2,FALSE),"")</f>
        <v/>
      </c>
      <c r="LW25" s="31" t="str">
        <f>IFERROR(VLOOKUP([2]Pointage!MA19,Feuil1!$A:$B,2,FALSE),"")</f>
        <v/>
      </c>
      <c r="LX25" s="31" t="str">
        <f>IFERROR(VLOOKUP([2]Pointage!MB19,Feuil1!$A:$B,2,FALSE),"")</f>
        <v/>
      </c>
      <c r="LY25" s="31" t="str">
        <f>IFERROR(VLOOKUP([2]Pointage!MC19,Feuil1!$A:$B,2,FALSE),"")</f>
        <v/>
      </c>
      <c r="LZ25" s="31" t="str">
        <f>IFERROR(VLOOKUP([2]Pointage!MD19,Feuil1!$A:$B,2,FALSE),"")</f>
        <v/>
      </c>
      <c r="MA25" s="82" t="str">
        <f>IFERROR(VLOOKUP([2]Pointage!ME19,Feuil1!$A:$B,2,FALSE),"")</f>
        <v/>
      </c>
      <c r="MB25" s="47" t="str">
        <f>IFERROR(VLOOKUP([2]Pointage!MF19,Feuil1!$A:$B,2,FALSE),"")</f>
        <v/>
      </c>
      <c r="MC25" s="31" t="str">
        <f>IFERROR(VLOOKUP([2]Pointage!MG19,Feuil1!$A:$B,2,FALSE),"")</f>
        <v/>
      </c>
      <c r="MD25" s="31" t="str">
        <f>IFERROR(VLOOKUP([2]Pointage!MH19,Feuil1!$A:$B,2,FALSE),"")</f>
        <v/>
      </c>
      <c r="ME25" s="31" t="str">
        <f>IFERROR(VLOOKUP([2]Pointage!MI19,Feuil1!$A:$B,2,FALSE),"")</f>
        <v/>
      </c>
      <c r="MF25" s="31" t="str">
        <f>IFERROR(VLOOKUP([2]Pointage!MJ19,Feuil1!$A:$B,2,FALSE),"")</f>
        <v/>
      </c>
      <c r="MG25" s="31" t="str">
        <f>IFERROR(VLOOKUP([2]Pointage!MK19,Feuil1!$A:$B,2,FALSE),"")</f>
        <v/>
      </c>
      <c r="MH25" s="31" t="str">
        <f>IFERROR(VLOOKUP([2]Pointage!ML19,Feuil1!$A:$B,2,FALSE),"")</f>
        <v/>
      </c>
      <c r="MI25" s="31" t="str">
        <f>IFERROR(VLOOKUP([2]Pointage!MM19,Feuil1!$A:$B,2,FALSE),"")</f>
        <v/>
      </c>
      <c r="MJ25" s="31" t="str">
        <f>IFERROR(VLOOKUP([2]Pointage!MN19,Feuil1!$A:$B,2,FALSE),"")</f>
        <v/>
      </c>
      <c r="MK25" s="31" t="str">
        <f>IFERROR(VLOOKUP([2]Pointage!MO19,Feuil1!$A:$B,2,FALSE),"")</f>
        <v/>
      </c>
      <c r="ML25" s="31" t="str">
        <f>IFERROR(VLOOKUP([2]Pointage!MP19,Feuil1!$A:$B,2,FALSE),"")</f>
        <v/>
      </c>
      <c r="MM25" s="31" t="str">
        <f>IFERROR(VLOOKUP([2]Pointage!MQ19,Feuil1!$A:$B,2,FALSE),"")</f>
        <v/>
      </c>
      <c r="MN25" s="31" t="str">
        <f>IFERROR(VLOOKUP([2]Pointage!MR19,Feuil1!$A:$B,2,FALSE),"")</f>
        <v/>
      </c>
      <c r="MO25" s="31" t="str">
        <f>IFERROR(VLOOKUP([2]Pointage!MS19,Feuil1!$A:$B,2,FALSE),"")</f>
        <v/>
      </c>
      <c r="MP25" s="31" t="str">
        <f>IFERROR(VLOOKUP([2]Pointage!MT19,Feuil1!$A:$B,2,FALSE),"")</f>
        <v/>
      </c>
      <c r="MQ25" s="31" t="str">
        <f>IFERROR(VLOOKUP([2]Pointage!MU19,Feuil1!$A:$B,2,FALSE),"")</f>
        <v/>
      </c>
      <c r="MR25" s="31" t="str">
        <f>IFERROR(VLOOKUP([2]Pointage!MV19,Feuil1!$A:$B,2,FALSE),"")</f>
        <v/>
      </c>
      <c r="MS25" s="31" t="str">
        <f>IFERROR(VLOOKUP([2]Pointage!MW19,Feuil1!$A:$B,2,FALSE),"")</f>
        <v/>
      </c>
      <c r="MT25" s="31" t="str">
        <f>IFERROR(VLOOKUP([2]Pointage!MX19,Feuil1!$A:$B,2,FALSE),"")</f>
        <v/>
      </c>
      <c r="MU25" s="31" t="str">
        <f>IFERROR(VLOOKUP([2]Pointage!MY19,Feuil1!$A:$B,2,FALSE),"")</f>
        <v/>
      </c>
      <c r="MV25" s="31" t="str">
        <f>IFERROR(VLOOKUP([2]Pointage!MZ19,Feuil1!$A:$B,2,FALSE),"")</f>
        <v/>
      </c>
      <c r="MW25" s="31" t="str">
        <f>IFERROR(VLOOKUP([2]Pointage!NA19,Feuil1!$A:$B,2,FALSE),"")</f>
        <v/>
      </c>
      <c r="MX25" s="31" t="str">
        <f>IFERROR(VLOOKUP([2]Pointage!NB19,Feuil1!$A:$B,2,FALSE),"")</f>
        <v/>
      </c>
      <c r="MY25" s="31" t="str">
        <f>IFERROR(VLOOKUP([2]Pointage!NC19,Feuil1!$A:$B,2,FALSE),"")</f>
        <v/>
      </c>
      <c r="MZ25" s="31" t="str">
        <f>IFERROR(VLOOKUP([2]Pointage!ND19,Feuil1!$A:$B,2,FALSE),"")</f>
        <v/>
      </c>
      <c r="NA25" s="31" t="str">
        <f>IFERROR(VLOOKUP([2]Pointage!NE19,Feuil1!$A:$B,2,FALSE),"")</f>
        <v/>
      </c>
      <c r="NB25" s="31" t="str">
        <f>IFERROR(VLOOKUP([2]Pointage!NF19,Feuil1!$A:$B,2,FALSE),"")</f>
        <v/>
      </c>
      <c r="NC25" s="31" t="str">
        <f>IFERROR(VLOOKUP([2]Pointage!NG19,Feuil1!$A:$B,2,FALSE),"")</f>
        <v/>
      </c>
      <c r="ND25" s="31" t="str">
        <f>IFERROR(VLOOKUP([2]Pointage!NH19,Feuil1!$A:$B,2,FALSE),"")</f>
        <v/>
      </c>
      <c r="NE25" s="31" t="str">
        <f>IFERROR(VLOOKUP([2]Pointage!NI19,Feuil1!$A:$B,2,FALSE),"")</f>
        <v/>
      </c>
      <c r="NF25" s="48" t="str">
        <f>IFERROR(VLOOKUP([2]Pointage!NJ19,Feuil1!$A:$B,2,FALSE),"")</f>
        <v/>
      </c>
      <c r="NG25" s="52">
        <f>COUNTIF(Global!F25:NF25,"RTT")+(COUNTIF(Global!F25:NF25,"dRTT")/2)</f>
        <v>0</v>
      </c>
      <c r="NH25" s="42">
        <f>COUNTIF(Global!F25:NF25,"C")+(COUNTIF(Global!F25:NF25,"DC")/2)</f>
        <v>0</v>
      </c>
      <c r="NI25" s="42">
        <f>COUNTIF(Global!F25:NF25,"M")</f>
        <v>175</v>
      </c>
      <c r="NJ25" s="42">
        <f>COUNTIF(Global!G25:NG25,"AT")</f>
        <v>0</v>
      </c>
      <c r="NK25" s="42">
        <f>COUNTIF(Global!F25:NF25,"RD")</f>
        <v>0</v>
      </c>
      <c r="NL25" s="42">
        <f>COUNTIF(Global!F25:NF25,"RC")+(COUNTIF(Global!F25:NF25,"dRC")/2)</f>
        <v>0</v>
      </c>
      <c r="NM25" s="68">
        <f t="shared" ca="1" si="0"/>
        <v>-0.76712328767123295</v>
      </c>
      <c r="NT25" s="33"/>
      <c r="NU25" s="33"/>
      <c r="NV25" s="28"/>
      <c r="NW25" s="28"/>
      <c r="NX25" s="29">
        <f>COUNTIF(F25:NF25,"C")++(COUNTIF(Global!F25:NF25,"DC")/2)</f>
        <v>0</v>
      </c>
      <c r="NY25" s="29"/>
      <c r="NZ25" s="29"/>
      <c r="OA25" s="29"/>
      <c r="OB25" s="29">
        <f>COUNTIF(Global!F25:NF25,"M")</f>
        <v>175</v>
      </c>
      <c r="OC25" s="30">
        <f t="shared" si="1"/>
        <v>0</v>
      </c>
      <c r="OD25" s="30"/>
    </row>
    <row r="26" spans="1:394" ht="30" customHeight="1" x14ac:dyDescent="0.2">
      <c r="A26" s="15" t="s">
        <v>82</v>
      </c>
      <c r="B26" s="22" t="s">
        <v>182</v>
      </c>
      <c r="C26" s="22" t="s">
        <v>183</v>
      </c>
      <c r="D26" s="22" t="s">
        <v>184</v>
      </c>
      <c r="E26" s="44">
        <v>0</v>
      </c>
      <c r="F26" s="47" t="str">
        <f>IFERROR(VLOOKUP([2]Pointage!J20,Feuil1!$A:$B,2,FALSE),"")</f>
        <v/>
      </c>
      <c r="G26" s="31" t="str">
        <f>IFERROR(VLOOKUP([2]Pointage!K20,Feuil1!$A:$B,2,FALSE),"")</f>
        <v>C</v>
      </c>
      <c r="H26" s="31" t="str">
        <f>IFERROR(VLOOKUP([2]Pointage!L20,Feuil1!$A:$B,2,FALSE),"")</f>
        <v/>
      </c>
      <c r="I26" s="31" t="str">
        <f>IFERROR(VLOOKUP([2]Pointage!M20,Feuil1!$A:$B,2,FALSE),"")</f>
        <v/>
      </c>
      <c r="J26" s="31" t="str">
        <f>IFERROR(VLOOKUP([2]Pointage!N20,Feuil1!$A:$B,2,FALSE),"")</f>
        <v/>
      </c>
      <c r="K26" s="31" t="str">
        <f>IFERROR(VLOOKUP([2]Pointage!O20,Feuil1!$A:$B,2,FALSE),"")</f>
        <v/>
      </c>
      <c r="L26" s="31" t="str">
        <f>IFERROR(VLOOKUP([2]Pointage!P20,Feuil1!$A:$B,2,FALSE),"")</f>
        <v/>
      </c>
      <c r="M26" s="31" t="str">
        <f>IFERROR(VLOOKUP([2]Pointage!Q20,Feuil1!$A:$B,2,FALSE),"")</f>
        <v/>
      </c>
      <c r="N26" s="31" t="str">
        <f>IFERROR(VLOOKUP([2]Pointage!R20,Feuil1!$A:$B,2,FALSE),"")</f>
        <v/>
      </c>
      <c r="O26" s="31" t="str">
        <f>IFERROR(VLOOKUP([2]Pointage!S20,Feuil1!$A:$B,2,FALSE),"")</f>
        <v/>
      </c>
      <c r="P26" s="31" t="str">
        <f>IFERROR(VLOOKUP([2]Pointage!T20,Feuil1!$A:$B,2,FALSE),"")</f>
        <v/>
      </c>
      <c r="Q26" s="31" t="str">
        <f>IFERROR(VLOOKUP([2]Pointage!U20,Feuil1!$A:$B,2,FALSE),"")</f>
        <v/>
      </c>
      <c r="R26" s="31" t="str">
        <f>IFERROR(VLOOKUP([2]Pointage!V20,Feuil1!$A:$B,2,FALSE),"")</f>
        <v/>
      </c>
      <c r="S26" s="31" t="str">
        <f>IFERROR(VLOOKUP([2]Pointage!W20,Feuil1!$A:$B,2,FALSE),"")</f>
        <v/>
      </c>
      <c r="T26" s="31" t="str">
        <f>IFERROR(VLOOKUP([2]Pointage!X20,Feuil1!$A:$B,2,FALSE),"")</f>
        <v/>
      </c>
      <c r="U26" s="31" t="str">
        <f>IFERROR(VLOOKUP([2]Pointage!Y20,Feuil1!$A:$B,2,FALSE),"")</f>
        <v/>
      </c>
      <c r="V26" s="31" t="str">
        <f>IFERROR(VLOOKUP([2]Pointage!Z20,Feuil1!$A:$B,2,FALSE),"")</f>
        <v/>
      </c>
      <c r="W26" s="31" t="str">
        <f>IFERROR(VLOOKUP([2]Pointage!AA20,Feuil1!$A:$B,2,FALSE),"")</f>
        <v/>
      </c>
      <c r="X26" s="31" t="str">
        <f>IFERROR(VLOOKUP([2]Pointage!AB20,Feuil1!$A:$B,2,FALSE),"")</f>
        <v/>
      </c>
      <c r="Y26" s="31" t="str">
        <f>IFERROR(VLOOKUP([2]Pointage!AC20,Feuil1!$A:$B,2,FALSE),"")</f>
        <v/>
      </c>
      <c r="Z26" s="31" t="str">
        <f>IFERROR(VLOOKUP([2]Pointage!AD20,Feuil1!$A:$B,2,FALSE),"")</f>
        <v/>
      </c>
      <c r="AA26" s="31" t="str">
        <f>IFERROR(VLOOKUP([2]Pointage!AE20,Feuil1!$A:$B,2,FALSE),"")</f>
        <v/>
      </c>
      <c r="AB26" s="31" t="str">
        <f>IFERROR(VLOOKUP([2]Pointage!AF20,Feuil1!$A:$B,2,FALSE),"")</f>
        <v/>
      </c>
      <c r="AC26" s="31" t="str">
        <f>IFERROR(VLOOKUP([2]Pointage!AG20,Feuil1!$A:$B,2,FALSE),"")</f>
        <v/>
      </c>
      <c r="AD26" s="31" t="str">
        <f>IFERROR(VLOOKUP([2]Pointage!AH20,Feuil1!$A:$B,2,FALSE),"")</f>
        <v/>
      </c>
      <c r="AE26" s="31" t="str">
        <f>IFERROR(VLOOKUP([2]Pointage!AI20,Feuil1!$A:$B,2,FALSE),"")</f>
        <v/>
      </c>
      <c r="AF26" s="31" t="str">
        <f>IFERROR(VLOOKUP([2]Pointage!AJ20,Feuil1!$A:$B,2,FALSE),"")</f>
        <v/>
      </c>
      <c r="AG26" s="31" t="str">
        <f>IFERROR(VLOOKUP([2]Pointage!AK20,Feuil1!$A:$B,2,FALSE),"")</f>
        <v/>
      </c>
      <c r="AH26" s="31" t="str">
        <f>IFERROR(VLOOKUP([2]Pointage!AL20,Feuil1!$A:$B,2,FALSE),"")</f>
        <v/>
      </c>
      <c r="AI26" s="31" t="str">
        <f>IFERROR(VLOOKUP([2]Pointage!AM20,Feuil1!$A:$B,2,FALSE),"")</f>
        <v/>
      </c>
      <c r="AJ26" s="82" t="str">
        <f>IFERROR(VLOOKUP([2]Pointage!AN20,Feuil1!$A:$B,2,FALSE),"")</f>
        <v/>
      </c>
      <c r="AK26" s="47" t="str">
        <f>IFERROR(VLOOKUP([2]Pointage!AO20,Feuil1!$A:$B,2,FALSE),"")</f>
        <v/>
      </c>
      <c r="AL26" s="31" t="str">
        <f>IFERROR(VLOOKUP([2]Pointage!AP20,Feuil1!$A:$B,2,FALSE),"")</f>
        <v/>
      </c>
      <c r="AM26" s="31" t="str">
        <f>IFERROR(VLOOKUP([2]Pointage!AQ20,Feuil1!$A:$B,2,FALSE),"")</f>
        <v/>
      </c>
      <c r="AN26" s="31" t="str">
        <f>IFERROR(VLOOKUP([2]Pointage!AR20,Feuil1!$A:$B,2,FALSE),"")</f>
        <v/>
      </c>
      <c r="AO26" s="31" t="str">
        <f>IFERROR(VLOOKUP([2]Pointage!AS20,Feuil1!$A:$B,2,FALSE),"")</f>
        <v/>
      </c>
      <c r="AP26" s="31" t="str">
        <f>IFERROR(VLOOKUP([2]Pointage!AT20,Feuil1!$A:$B,2,FALSE),"")</f>
        <v/>
      </c>
      <c r="AQ26" s="31" t="str">
        <f>IFERROR(VLOOKUP([2]Pointage!AU20,Feuil1!$A:$B,2,FALSE),"")</f>
        <v/>
      </c>
      <c r="AR26" s="31" t="str">
        <f>IFERROR(VLOOKUP([2]Pointage!AV20,Feuil1!$A:$B,2,FALSE),"")</f>
        <v/>
      </c>
      <c r="AS26" s="31" t="str">
        <f>IFERROR(VLOOKUP([2]Pointage!AW20,Feuil1!$A:$B,2,FALSE),"")</f>
        <v/>
      </c>
      <c r="AT26" s="31" t="str">
        <f>IFERROR(VLOOKUP([2]Pointage!AX20,Feuil1!$A:$B,2,FALSE),"")</f>
        <v/>
      </c>
      <c r="AU26" s="31" t="str">
        <f>IFERROR(VLOOKUP([2]Pointage!AY20,Feuil1!$A:$B,2,FALSE),"")</f>
        <v/>
      </c>
      <c r="AV26" s="31" t="str">
        <f>IFERROR(VLOOKUP([2]Pointage!AZ20,Feuil1!$A:$B,2,FALSE),"")</f>
        <v/>
      </c>
      <c r="AW26" s="31" t="str">
        <f>IFERROR(VLOOKUP([2]Pointage!BA20,Feuil1!$A:$B,2,FALSE),"")</f>
        <v/>
      </c>
      <c r="AX26" s="31" t="str">
        <f>IFERROR(VLOOKUP([2]Pointage!BB20,Feuil1!$A:$B,2,FALSE),"")</f>
        <v/>
      </c>
      <c r="AY26" s="31" t="str">
        <f>IFERROR(VLOOKUP([2]Pointage!BC20,Feuil1!$A:$B,2,FALSE),"")</f>
        <v/>
      </c>
      <c r="AZ26" s="31" t="str">
        <f>IFERROR(VLOOKUP([2]Pointage!BD20,Feuil1!$A:$B,2,FALSE),"")</f>
        <v/>
      </c>
      <c r="BA26" s="31" t="str">
        <f>IFERROR(VLOOKUP([2]Pointage!BE20,Feuil1!$A:$B,2,FALSE),"")</f>
        <v/>
      </c>
      <c r="BB26" s="31" t="str">
        <f>IFERROR(VLOOKUP([2]Pointage!BF20,Feuil1!$A:$B,2,FALSE),"")</f>
        <v/>
      </c>
      <c r="BC26" s="31" t="str">
        <f>IFERROR(VLOOKUP([2]Pointage!BG20,Feuil1!$A:$B,2,FALSE),"")</f>
        <v>DC</v>
      </c>
      <c r="BD26" s="31" t="str">
        <f>IFERROR(VLOOKUP([2]Pointage!BH20,Feuil1!$A:$B,2,FALSE),"")</f>
        <v/>
      </c>
      <c r="BE26" s="31" t="str">
        <f>IFERROR(VLOOKUP([2]Pointage!BI20,Feuil1!$A:$B,2,FALSE),"")</f>
        <v/>
      </c>
      <c r="BF26" s="31" t="str">
        <f>IFERROR(VLOOKUP([2]Pointage!BJ20,Feuil1!$A:$B,2,FALSE),"")</f>
        <v/>
      </c>
      <c r="BG26" s="31" t="str">
        <f>IFERROR(VLOOKUP([2]Pointage!BK20,Feuil1!$A:$B,2,FALSE),"")</f>
        <v/>
      </c>
      <c r="BH26" s="31" t="str">
        <f>IFERROR(VLOOKUP([2]Pointage!BL20,Feuil1!$A:$B,2,FALSE),"")</f>
        <v/>
      </c>
      <c r="BI26" s="31" t="str">
        <f>IFERROR(VLOOKUP([2]Pointage!BM20,Feuil1!$A:$B,2,FALSE),"")</f>
        <v/>
      </c>
      <c r="BJ26" s="31" t="str">
        <f>IFERROR(VLOOKUP([2]Pointage!BN20,Feuil1!$A:$B,2,FALSE),"")</f>
        <v/>
      </c>
      <c r="BK26" s="31" t="str">
        <f>IFERROR(VLOOKUP([2]Pointage!BO20,Feuil1!$A:$B,2,FALSE),"")</f>
        <v/>
      </c>
      <c r="BL26" s="82" t="str">
        <f>IFERROR(VLOOKUP([2]Pointage!BP20,Feuil1!$A:$B,2,FALSE),"")</f>
        <v/>
      </c>
      <c r="BM26" s="47" t="str">
        <f>IFERROR(VLOOKUP([2]Pointage!BQ20,Feuil1!$A:$B,2,FALSE),"")</f>
        <v/>
      </c>
      <c r="BN26" s="31" t="str">
        <f>IFERROR(VLOOKUP([2]Pointage!BR20,Feuil1!$A:$B,2,FALSE),"")</f>
        <v/>
      </c>
      <c r="BO26" s="31" t="str">
        <f>IFERROR(VLOOKUP([2]Pointage!BS20,Feuil1!$A:$B,2,FALSE),"")</f>
        <v/>
      </c>
      <c r="BP26" s="31" t="str">
        <f>IFERROR(VLOOKUP([2]Pointage!BT20,Feuil1!$A:$B,2,FALSE),"")</f>
        <v/>
      </c>
      <c r="BQ26" s="31" t="str">
        <f>IFERROR(VLOOKUP([2]Pointage!BU20,Feuil1!$A:$B,2,FALSE),"")</f>
        <v/>
      </c>
      <c r="BR26" s="31" t="str">
        <f>IFERROR(VLOOKUP([2]Pointage!BV20,Feuil1!$A:$B,2,FALSE),"")</f>
        <v/>
      </c>
      <c r="BS26" s="31" t="str">
        <f>IFERROR(VLOOKUP([2]Pointage!BW20,Feuil1!$A:$B,2,FALSE),"")</f>
        <v/>
      </c>
      <c r="BT26" s="31" t="str">
        <f>IFERROR(VLOOKUP([2]Pointage!BX20,Feuil1!$A:$B,2,FALSE),"")</f>
        <v/>
      </c>
      <c r="BU26" s="31" t="str">
        <f>IFERROR(VLOOKUP([2]Pointage!BY20,Feuil1!$A:$B,2,FALSE),"")</f>
        <v/>
      </c>
      <c r="BV26" s="31" t="str">
        <f>IFERROR(VLOOKUP([2]Pointage!BZ20,Feuil1!$A:$B,2,FALSE),"")</f>
        <v/>
      </c>
      <c r="BW26" s="31" t="str">
        <f>IFERROR(VLOOKUP([2]Pointage!CA20,Feuil1!$A:$B,2,FALSE),"")</f>
        <v/>
      </c>
      <c r="BX26" s="31" t="str">
        <f>IFERROR(VLOOKUP([2]Pointage!CB20,Feuil1!$A:$B,2,FALSE),"")</f>
        <v/>
      </c>
      <c r="BY26" s="31" t="str">
        <f>IFERROR(VLOOKUP([2]Pointage!CC20,Feuil1!$A:$B,2,FALSE),"")</f>
        <v/>
      </c>
      <c r="BZ26" s="31" t="str">
        <f>IFERROR(VLOOKUP([2]Pointage!CD20,Feuil1!$A:$B,2,FALSE),"")</f>
        <v/>
      </c>
      <c r="CA26" s="31" t="str">
        <f>IFERROR(VLOOKUP([2]Pointage!CE20,Feuil1!$A:$B,2,FALSE),"")</f>
        <v/>
      </c>
      <c r="CB26" s="31" t="str">
        <f>IFERROR(VLOOKUP([2]Pointage!CF20,Feuil1!$A:$B,2,FALSE),"")</f>
        <v/>
      </c>
      <c r="CC26" s="31" t="str">
        <f>IFERROR(VLOOKUP([2]Pointage!CG20,Feuil1!$A:$B,2,FALSE),"")</f>
        <v/>
      </c>
      <c r="CD26" s="31" t="str">
        <f>IFERROR(VLOOKUP([2]Pointage!CH20,Feuil1!$A:$B,2,FALSE),"")</f>
        <v/>
      </c>
      <c r="CE26" s="31" t="str">
        <f>IFERROR(VLOOKUP([2]Pointage!CI20,Feuil1!$A:$B,2,FALSE),"")</f>
        <v/>
      </c>
      <c r="CF26" s="31" t="str">
        <f>IFERROR(VLOOKUP([2]Pointage!CJ20,Feuil1!$A:$B,2,FALSE),"")</f>
        <v/>
      </c>
      <c r="CG26" s="31" t="str">
        <f>IFERROR(VLOOKUP([2]Pointage!CK20,Feuil1!$A:$B,2,FALSE),"")</f>
        <v/>
      </c>
      <c r="CH26" s="31" t="str">
        <f>IFERROR(VLOOKUP([2]Pointage!CL20,Feuil1!$A:$B,2,FALSE),"")</f>
        <v>C</v>
      </c>
      <c r="CI26" s="31" t="str">
        <f>IFERROR(VLOOKUP([2]Pointage!CM20,Feuil1!$A:$B,2,FALSE),"")</f>
        <v/>
      </c>
      <c r="CJ26" s="31" t="str">
        <f>IFERROR(VLOOKUP([2]Pointage!CN20,Feuil1!$A:$B,2,FALSE),"")</f>
        <v/>
      </c>
      <c r="CK26" s="31" t="str">
        <f>IFERROR(VLOOKUP([2]Pointage!CO20,Feuil1!$A:$B,2,FALSE),"")</f>
        <v/>
      </c>
      <c r="CL26" s="31" t="str">
        <f>IFERROR(VLOOKUP([2]Pointage!CP20,Feuil1!$A:$B,2,FALSE),"")</f>
        <v/>
      </c>
      <c r="CM26" s="31" t="str">
        <f>IFERROR(VLOOKUP([2]Pointage!CQ20,Feuil1!$A:$B,2,FALSE),"")</f>
        <v/>
      </c>
      <c r="CN26" s="31" t="str">
        <f>IFERROR(VLOOKUP([2]Pointage!CR20,Feuil1!$A:$B,2,FALSE),"")</f>
        <v/>
      </c>
      <c r="CO26" s="31" t="str">
        <f>IFERROR(VLOOKUP([2]Pointage!CS20,Feuil1!$A:$B,2,FALSE),"")</f>
        <v/>
      </c>
      <c r="CP26" s="31" t="str">
        <f>IFERROR(VLOOKUP([2]Pointage!CT20,Feuil1!$A:$B,2,FALSE),"")</f>
        <v/>
      </c>
      <c r="CQ26" s="82" t="str">
        <f>IFERROR(VLOOKUP([2]Pointage!CU20,Feuil1!$A:$B,2,FALSE),"")</f>
        <v/>
      </c>
      <c r="CR26" s="47" t="str">
        <f>IFERROR(VLOOKUP([2]Pointage!CV20,Feuil1!$A:$B,2,FALSE),"")</f>
        <v/>
      </c>
      <c r="CS26" s="31" t="str">
        <f>IFERROR(VLOOKUP([2]Pointage!CW20,Feuil1!$A:$B,2,FALSE),"")</f>
        <v/>
      </c>
      <c r="CT26" s="31" t="str">
        <f>IFERROR(VLOOKUP([2]Pointage!CX20,Feuil1!$A:$B,2,FALSE),"")</f>
        <v/>
      </c>
      <c r="CU26" s="31" t="str">
        <f>IFERROR(VLOOKUP([2]Pointage!CY20,Feuil1!$A:$B,2,FALSE),"")</f>
        <v/>
      </c>
      <c r="CV26" s="31" t="str">
        <f>IFERROR(VLOOKUP([2]Pointage!CZ20,Feuil1!$A:$B,2,FALSE),"")</f>
        <v/>
      </c>
      <c r="CW26" s="31" t="str">
        <f>IFERROR(VLOOKUP([2]Pointage!DA20,Feuil1!$A:$B,2,FALSE),"")</f>
        <v/>
      </c>
      <c r="CX26" s="31" t="str">
        <f>IFERROR(VLOOKUP([2]Pointage!DB20,Feuil1!$A:$B,2,FALSE),"")</f>
        <v/>
      </c>
      <c r="CY26" s="31" t="str">
        <f>IFERROR(VLOOKUP([2]Pointage!DC20,Feuil1!$A:$B,2,FALSE),"")</f>
        <v/>
      </c>
      <c r="CZ26" s="31" t="str">
        <f>IFERROR(VLOOKUP([2]Pointage!DD20,Feuil1!$A:$B,2,FALSE),"")</f>
        <v/>
      </c>
      <c r="DA26" s="31" t="str">
        <f>IFERROR(VLOOKUP([2]Pointage!DE20,Feuil1!$A:$B,2,FALSE),"")</f>
        <v/>
      </c>
      <c r="DB26" s="31" t="str">
        <f>IFERROR(VLOOKUP([2]Pointage!DF20,Feuil1!$A:$B,2,FALSE),"")</f>
        <v/>
      </c>
      <c r="DC26" s="31" t="str">
        <f>IFERROR(VLOOKUP([2]Pointage!DG20,Feuil1!$A:$B,2,FALSE),"")</f>
        <v/>
      </c>
      <c r="DD26" s="31" t="str">
        <f>IFERROR(VLOOKUP([2]Pointage!DH20,Feuil1!$A:$B,2,FALSE),"")</f>
        <v/>
      </c>
      <c r="DE26" s="31" t="str">
        <f>IFERROR(VLOOKUP([2]Pointage!DI20,Feuil1!$A:$B,2,FALSE),"")</f>
        <v/>
      </c>
      <c r="DF26" s="31" t="str">
        <f>IFERROR(VLOOKUP([2]Pointage!DJ20,Feuil1!$A:$B,2,FALSE),"")</f>
        <v/>
      </c>
      <c r="DG26" s="31" t="str">
        <f>IFERROR(VLOOKUP([2]Pointage!DK20,Feuil1!$A:$B,2,FALSE),"")</f>
        <v/>
      </c>
      <c r="DH26" s="31" t="str">
        <f>IFERROR(VLOOKUP([2]Pointage!DL20,Feuil1!$A:$B,2,FALSE),"")</f>
        <v>C</v>
      </c>
      <c r="DI26" s="31" t="str">
        <f>IFERROR(VLOOKUP([2]Pointage!DM20,Feuil1!$A:$B,2,FALSE),"")</f>
        <v/>
      </c>
      <c r="DJ26" s="31" t="str">
        <f>IFERROR(VLOOKUP([2]Pointage!DN20,Feuil1!$A:$B,2,FALSE),"")</f>
        <v/>
      </c>
      <c r="DK26" s="31" t="str">
        <f>IFERROR(VLOOKUP([2]Pointage!DO20,Feuil1!$A:$B,2,FALSE),"")</f>
        <v/>
      </c>
      <c r="DL26" s="31" t="str">
        <f>IFERROR(VLOOKUP([2]Pointage!DP20,Feuil1!$A:$B,2,FALSE),"")</f>
        <v/>
      </c>
      <c r="DM26" s="31" t="str">
        <f>IFERROR(VLOOKUP([2]Pointage!DQ20,Feuil1!$A:$B,2,FALSE),"")</f>
        <v/>
      </c>
      <c r="DN26" s="31" t="str">
        <f>IFERROR(VLOOKUP([2]Pointage!DR20,Feuil1!$A:$B,2,FALSE),"")</f>
        <v/>
      </c>
      <c r="DO26" s="31" t="str">
        <f>IFERROR(VLOOKUP([2]Pointage!DS20,Feuil1!$A:$B,2,FALSE),"")</f>
        <v/>
      </c>
      <c r="DP26" s="31" t="str">
        <f>IFERROR(VLOOKUP([2]Pointage!DT20,Feuil1!$A:$B,2,FALSE),"")</f>
        <v/>
      </c>
      <c r="DQ26" s="31" t="str">
        <f>IFERROR(VLOOKUP([2]Pointage!DU20,Feuil1!$A:$B,2,FALSE),"")</f>
        <v/>
      </c>
      <c r="DR26" s="31" t="str">
        <f>IFERROR(VLOOKUP([2]Pointage!DV20,Feuil1!$A:$B,2,FALSE),"")</f>
        <v/>
      </c>
      <c r="DS26" s="31" t="str">
        <f>IFERROR(VLOOKUP([2]Pointage!DW20,Feuil1!$A:$B,2,FALSE),"")</f>
        <v/>
      </c>
      <c r="DT26" s="31" t="str">
        <f>IFERROR(VLOOKUP([2]Pointage!DX20,Feuil1!$A:$B,2,FALSE),"")</f>
        <v/>
      </c>
      <c r="DU26" s="82" t="str">
        <f>IFERROR(VLOOKUP([2]Pointage!DY20,Feuil1!$A:$B,2,FALSE),"")</f>
        <v>C</v>
      </c>
      <c r="DV26" s="47" t="str">
        <f>IFERROR(VLOOKUP([2]Pointage!DZ20,Feuil1!$A:$B,2,FALSE),"")</f>
        <v/>
      </c>
      <c r="DW26" s="31" t="str">
        <f>IFERROR(VLOOKUP([2]Pointage!EA20,Feuil1!$A:$B,2,FALSE),"")</f>
        <v/>
      </c>
      <c r="DX26" s="31" t="str">
        <f>IFERROR(VLOOKUP([2]Pointage!EB20,Feuil1!$A:$B,2,FALSE),"")</f>
        <v/>
      </c>
      <c r="DY26" s="31" t="str">
        <f>IFERROR(VLOOKUP([2]Pointage!EC20,Feuil1!$A:$B,2,FALSE),"")</f>
        <v/>
      </c>
      <c r="DZ26" s="31" t="str">
        <f>IFERROR(VLOOKUP([2]Pointage!ED20,Feuil1!$A:$B,2,FALSE),"")</f>
        <v/>
      </c>
      <c r="EA26" s="31" t="str">
        <f>IFERROR(VLOOKUP([2]Pointage!EE20,Feuil1!$A:$B,2,FALSE),"")</f>
        <v/>
      </c>
      <c r="EB26" s="31" t="str">
        <f>IFERROR(VLOOKUP([2]Pointage!EF20,Feuil1!$A:$B,2,FALSE),"")</f>
        <v/>
      </c>
      <c r="EC26" s="31" t="str">
        <f>IFERROR(VLOOKUP([2]Pointage!EG20,Feuil1!$A:$B,2,FALSE),"")</f>
        <v/>
      </c>
      <c r="ED26" s="31" t="str">
        <f>IFERROR(VLOOKUP([2]Pointage!EH20,Feuil1!$A:$B,2,FALSE),"")</f>
        <v/>
      </c>
      <c r="EE26" s="31" t="str">
        <f>IFERROR(VLOOKUP([2]Pointage!EI20,Feuil1!$A:$B,2,FALSE),"")</f>
        <v/>
      </c>
      <c r="EF26" s="31" t="str">
        <f>IFERROR(VLOOKUP([2]Pointage!EJ20,Feuil1!$A:$B,2,FALSE),"")</f>
        <v/>
      </c>
      <c r="EG26" s="31" t="str">
        <f>IFERROR(VLOOKUP([2]Pointage!EK20,Feuil1!$A:$B,2,FALSE),"")</f>
        <v/>
      </c>
      <c r="EH26" s="31" t="str">
        <f>IFERROR(VLOOKUP([2]Pointage!EL20,Feuil1!$A:$B,2,FALSE),"")</f>
        <v/>
      </c>
      <c r="EI26" s="31" t="str">
        <f>IFERROR(VLOOKUP([2]Pointage!EM20,Feuil1!$A:$B,2,FALSE),"")</f>
        <v/>
      </c>
      <c r="EJ26" s="31" t="str">
        <f>IFERROR(VLOOKUP([2]Pointage!EN20,Feuil1!$A:$B,2,FALSE),"")</f>
        <v/>
      </c>
      <c r="EK26" s="31" t="str">
        <f>IFERROR(VLOOKUP([2]Pointage!EO20,Feuil1!$A:$B,2,FALSE),"")</f>
        <v/>
      </c>
      <c r="EL26" s="31" t="str">
        <f>IFERROR(VLOOKUP([2]Pointage!EP20,Feuil1!$A:$B,2,FALSE),"")</f>
        <v/>
      </c>
      <c r="EM26" s="31" t="str">
        <f>IFERROR(VLOOKUP([2]Pointage!EQ20,Feuil1!$A:$B,2,FALSE),"")</f>
        <v/>
      </c>
      <c r="EN26" s="31" t="str">
        <f>IFERROR(VLOOKUP([2]Pointage!ER20,Feuil1!$A:$B,2,FALSE),"")</f>
        <v/>
      </c>
      <c r="EO26" s="31" t="str">
        <f>IFERROR(VLOOKUP([2]Pointage!ES20,Feuil1!$A:$B,2,FALSE),"")</f>
        <v/>
      </c>
      <c r="EP26" s="31" t="str">
        <f>IFERROR(VLOOKUP([2]Pointage!ET20,Feuil1!$A:$B,2,FALSE),"")</f>
        <v/>
      </c>
      <c r="EQ26" s="31" t="str">
        <f>IFERROR(VLOOKUP([2]Pointage!EU20,Feuil1!$A:$B,2,FALSE),"")</f>
        <v/>
      </c>
      <c r="ER26" s="31" t="str">
        <f>IFERROR(VLOOKUP([2]Pointage!EV20,Feuil1!$A:$B,2,FALSE),"")</f>
        <v/>
      </c>
      <c r="ES26" s="31" t="str">
        <f>IFERROR(VLOOKUP([2]Pointage!EW20,Feuil1!$A:$B,2,FALSE),"")</f>
        <v/>
      </c>
      <c r="ET26" s="31" t="str">
        <f>IFERROR(VLOOKUP([2]Pointage!EX20,Feuil1!$A:$B,2,FALSE),"")</f>
        <v/>
      </c>
      <c r="EU26" s="31" t="str">
        <f>IFERROR(VLOOKUP([2]Pointage!EY20,Feuil1!$A:$B,2,FALSE),"")</f>
        <v/>
      </c>
      <c r="EV26" s="31" t="str">
        <f>IFERROR(VLOOKUP([2]Pointage!EZ20,Feuil1!$A:$B,2,FALSE),"")</f>
        <v/>
      </c>
      <c r="EW26" s="31" t="str">
        <f>IFERROR(VLOOKUP([2]Pointage!FA20,Feuil1!$A:$B,2,FALSE),"")</f>
        <v/>
      </c>
      <c r="EX26" s="31" t="str">
        <f>IFERROR(VLOOKUP([2]Pointage!FB20,Feuil1!$A:$B,2,FALSE),"")</f>
        <v/>
      </c>
      <c r="EY26" s="31" t="str">
        <f>IFERROR(VLOOKUP([2]Pointage!FC20,Feuil1!$A:$B,2,FALSE),"")</f>
        <v/>
      </c>
      <c r="EZ26" s="82" t="str">
        <f>IFERROR(VLOOKUP([2]Pointage!FD20,Feuil1!$A:$B,2,FALSE),"")</f>
        <v/>
      </c>
      <c r="FA26" s="47" t="str">
        <f>IFERROR(VLOOKUP([2]Pointage!FE20,Feuil1!$A:$B,2,FALSE),"")</f>
        <v/>
      </c>
      <c r="FB26" s="31" t="str">
        <f>IFERROR(VLOOKUP([2]Pointage!FF20,Feuil1!$A:$B,2,FALSE),"")</f>
        <v/>
      </c>
      <c r="FC26" s="31" t="str">
        <f>IFERROR(VLOOKUP([2]Pointage!FG20,Feuil1!$A:$B,2,FALSE),"")</f>
        <v/>
      </c>
      <c r="FD26" s="31" t="str">
        <f>IFERROR(VLOOKUP([2]Pointage!FH20,Feuil1!$A:$B,2,FALSE),"")</f>
        <v/>
      </c>
      <c r="FE26" s="31" t="str">
        <f>IFERROR(VLOOKUP([2]Pointage!FI20,Feuil1!$A:$B,2,FALSE),"")</f>
        <v/>
      </c>
      <c r="FF26" s="31" t="str">
        <f>IFERROR(VLOOKUP([2]Pointage!FJ20,Feuil1!$A:$B,2,FALSE),"")</f>
        <v/>
      </c>
      <c r="FG26" s="31" t="str">
        <f>IFERROR(VLOOKUP([2]Pointage!FK20,Feuil1!$A:$B,2,FALSE),"")</f>
        <v/>
      </c>
      <c r="FH26" s="31" t="str">
        <f>IFERROR(VLOOKUP([2]Pointage!FL20,Feuil1!$A:$B,2,FALSE),"")</f>
        <v/>
      </c>
      <c r="FI26" s="31" t="str">
        <f>IFERROR(VLOOKUP([2]Pointage!FM20,Feuil1!$A:$B,2,FALSE),"")</f>
        <v/>
      </c>
      <c r="FJ26" s="31" t="str">
        <f>IFERROR(VLOOKUP([2]Pointage!FN20,Feuil1!$A:$B,2,FALSE),"")</f>
        <v/>
      </c>
      <c r="FK26" s="31" t="str">
        <f>IFERROR(VLOOKUP([2]Pointage!FO20,Feuil1!$A:$B,2,FALSE),"")</f>
        <v/>
      </c>
      <c r="FL26" s="31" t="str">
        <f>IFERROR(VLOOKUP([2]Pointage!FP20,Feuil1!$A:$B,2,FALSE),"")</f>
        <v/>
      </c>
      <c r="FM26" s="31" t="str">
        <f>IFERROR(VLOOKUP([2]Pointage!FQ20,Feuil1!$A:$B,2,FALSE),"")</f>
        <v/>
      </c>
      <c r="FN26" s="31" t="str">
        <f>IFERROR(VLOOKUP([2]Pointage!FR20,Feuil1!$A:$B,2,FALSE),"")</f>
        <v/>
      </c>
      <c r="FO26" s="31" t="str">
        <f>IFERROR(VLOOKUP([2]Pointage!FS20,Feuil1!$A:$B,2,FALSE),"")</f>
        <v/>
      </c>
      <c r="FP26" s="31" t="str">
        <f>IFERROR(VLOOKUP([2]Pointage!FT20,Feuil1!$A:$B,2,FALSE),"")</f>
        <v/>
      </c>
      <c r="FQ26" s="31" t="str">
        <f>IFERROR(VLOOKUP([2]Pointage!FU20,Feuil1!$A:$B,2,FALSE),"")</f>
        <v/>
      </c>
      <c r="FR26" s="31" t="str">
        <f>IFERROR(VLOOKUP([2]Pointage!FV20,Feuil1!$A:$B,2,FALSE),"")</f>
        <v/>
      </c>
      <c r="FS26" s="31" t="str">
        <f>IFERROR(VLOOKUP([2]Pointage!FW20,Feuil1!$A:$B,2,FALSE),"")</f>
        <v/>
      </c>
      <c r="FT26" s="31" t="str">
        <f>IFERROR(VLOOKUP([2]Pointage!FX20,Feuil1!$A:$B,2,FALSE),"")</f>
        <v/>
      </c>
      <c r="FU26" s="31" t="str">
        <f>IFERROR(VLOOKUP([2]Pointage!FY20,Feuil1!$A:$B,2,FALSE),"")</f>
        <v/>
      </c>
      <c r="FV26" s="31" t="str">
        <f>IFERROR(VLOOKUP([2]Pointage!FZ20,Feuil1!$A:$B,2,FALSE),"")</f>
        <v/>
      </c>
      <c r="FW26" s="31" t="str">
        <f>IFERROR(VLOOKUP([2]Pointage!GA20,Feuil1!$A:$B,2,FALSE),"")</f>
        <v/>
      </c>
      <c r="FX26" s="31" t="str">
        <f>IFERROR(VLOOKUP([2]Pointage!GB20,Feuil1!$A:$B,2,FALSE),"")</f>
        <v/>
      </c>
      <c r="FY26" s="31" t="str">
        <f>IFERROR(VLOOKUP([2]Pointage!GC20,Feuil1!$A:$B,2,FALSE),"")</f>
        <v/>
      </c>
      <c r="FZ26" s="31" t="str">
        <f>IFERROR(VLOOKUP([2]Pointage!GD20,Feuil1!$A:$B,2,FALSE),"")</f>
        <v/>
      </c>
      <c r="GA26" s="31" t="str">
        <f>IFERROR(VLOOKUP([2]Pointage!GE20,Feuil1!$A:$B,2,FALSE),"")</f>
        <v/>
      </c>
      <c r="GB26" s="31" t="str">
        <f>IFERROR(VLOOKUP([2]Pointage!GF20,Feuil1!$A:$B,2,FALSE),"")</f>
        <v/>
      </c>
      <c r="GC26" s="31" t="str">
        <f>IFERROR(VLOOKUP([2]Pointage!GG20,Feuil1!$A:$B,2,FALSE),"")</f>
        <v/>
      </c>
      <c r="GD26" s="82" t="str">
        <f>IFERROR(VLOOKUP([2]Pointage!GH20,Feuil1!$A:$B,2,FALSE),"")</f>
        <v/>
      </c>
      <c r="GE26" s="47" t="str">
        <f>IFERROR(VLOOKUP([2]Pointage!GI20,Feuil1!$A:$B,2,FALSE),"")</f>
        <v/>
      </c>
      <c r="GF26" s="31" t="str">
        <f>IFERROR(VLOOKUP([2]Pointage!GJ20,Feuil1!$A:$B,2,FALSE),"")</f>
        <v/>
      </c>
      <c r="GG26" s="31" t="str">
        <f>IFERROR(VLOOKUP([2]Pointage!GK20,Feuil1!$A:$B,2,FALSE),"")</f>
        <v/>
      </c>
      <c r="GH26" s="31" t="str">
        <f>IFERROR(VLOOKUP([2]Pointage!GL20,Feuil1!$A:$B,2,FALSE),"")</f>
        <v/>
      </c>
      <c r="GI26" s="31" t="str">
        <f>IFERROR(VLOOKUP([2]Pointage!GM20,Feuil1!$A:$B,2,FALSE),"")</f>
        <v/>
      </c>
      <c r="GJ26" s="31" t="str">
        <f>IFERROR(VLOOKUP([2]Pointage!GN20,Feuil1!$A:$B,2,FALSE),"")</f>
        <v/>
      </c>
      <c r="GK26" s="31" t="str">
        <f>IFERROR(VLOOKUP([2]Pointage!GO20,Feuil1!$A:$B,2,FALSE),"")</f>
        <v/>
      </c>
      <c r="GL26" s="31" t="str">
        <f>IFERROR(VLOOKUP([2]Pointage!GP20,Feuil1!$A:$B,2,FALSE),"")</f>
        <v/>
      </c>
      <c r="GM26" s="31" t="str">
        <f>IFERROR(VLOOKUP([2]Pointage!GQ20,Feuil1!$A:$B,2,FALSE),"")</f>
        <v/>
      </c>
      <c r="GN26" s="31" t="str">
        <f>IFERROR(VLOOKUP([2]Pointage!GR20,Feuil1!$A:$B,2,FALSE),"")</f>
        <v/>
      </c>
      <c r="GO26" s="31" t="str">
        <f>IFERROR(VLOOKUP([2]Pointage!GS20,Feuil1!$A:$B,2,FALSE),"")</f>
        <v/>
      </c>
      <c r="GP26" s="31" t="str">
        <f>IFERROR(VLOOKUP([2]Pointage!GT20,Feuil1!$A:$B,2,FALSE),"")</f>
        <v/>
      </c>
      <c r="GQ26" s="31" t="str">
        <f>IFERROR(VLOOKUP([2]Pointage!GU20,Feuil1!$A:$B,2,FALSE),"")</f>
        <v/>
      </c>
      <c r="GR26" s="31" t="str">
        <f>IFERROR(VLOOKUP([2]Pointage!GV20,Feuil1!$A:$B,2,FALSE),"")</f>
        <v/>
      </c>
      <c r="GS26" s="31" t="str">
        <f>IFERROR(VLOOKUP([2]Pointage!GW20,Feuil1!$A:$B,2,FALSE),"")</f>
        <v/>
      </c>
      <c r="GT26" s="31" t="str">
        <f>IFERROR(VLOOKUP([2]Pointage!GX20,Feuil1!$A:$B,2,FALSE),"")</f>
        <v/>
      </c>
      <c r="GU26" s="31" t="str">
        <f>IFERROR(VLOOKUP([2]Pointage!GY20,Feuil1!$A:$B,2,FALSE),"")</f>
        <v/>
      </c>
      <c r="GV26" s="31" t="str">
        <f>IFERROR(VLOOKUP([2]Pointage!GZ20,Feuil1!$A:$B,2,FALSE),"")</f>
        <v/>
      </c>
      <c r="GW26" s="31" t="str">
        <f>IFERROR(VLOOKUP([2]Pointage!HA20,Feuil1!$A:$B,2,FALSE),"")</f>
        <v/>
      </c>
      <c r="GX26" s="31" t="str">
        <f>IFERROR(VLOOKUP([2]Pointage!HB20,Feuil1!$A:$B,2,FALSE),"")</f>
        <v/>
      </c>
      <c r="GY26" s="31" t="str">
        <f>IFERROR(VLOOKUP([2]Pointage!HC20,Feuil1!$A:$B,2,FALSE),"")</f>
        <v/>
      </c>
      <c r="GZ26" s="31" t="str">
        <f>IFERROR(VLOOKUP([2]Pointage!HD20,Feuil1!$A:$B,2,FALSE),"")</f>
        <v/>
      </c>
      <c r="HA26" s="31" t="str">
        <f>IFERROR(VLOOKUP([2]Pointage!HE20,Feuil1!$A:$B,2,FALSE),"")</f>
        <v/>
      </c>
      <c r="HB26" s="31" t="str">
        <f>IFERROR(VLOOKUP([2]Pointage!HF20,Feuil1!$A:$B,2,FALSE),"")</f>
        <v/>
      </c>
      <c r="HC26" s="31" t="str">
        <f>IFERROR(VLOOKUP([2]Pointage!HG20,Feuil1!$A:$B,2,FALSE),"")</f>
        <v/>
      </c>
      <c r="HD26" s="31" t="str">
        <f>IFERROR(VLOOKUP([2]Pointage!HH20,Feuil1!$A:$B,2,FALSE),"")</f>
        <v/>
      </c>
      <c r="HE26" s="31" t="str">
        <f>IFERROR(VLOOKUP([2]Pointage!HI20,Feuil1!$A:$B,2,FALSE),"")</f>
        <v/>
      </c>
      <c r="HF26" s="31" t="str">
        <f>IFERROR(VLOOKUP([2]Pointage!HJ20,Feuil1!$A:$B,2,FALSE),"")</f>
        <v/>
      </c>
      <c r="HG26" s="31" t="str">
        <f>IFERROR(VLOOKUP([2]Pointage!HK20,Feuil1!$A:$B,2,FALSE),"")</f>
        <v/>
      </c>
      <c r="HH26" s="31" t="str">
        <f>IFERROR(VLOOKUP([2]Pointage!HL20,Feuil1!$A:$B,2,FALSE),"")</f>
        <v/>
      </c>
      <c r="HI26" s="82" t="str">
        <f>IFERROR(VLOOKUP([2]Pointage!HM20,Feuil1!$A:$B,2,FALSE),"")</f>
        <v/>
      </c>
      <c r="HJ26" s="47" t="str">
        <f>IFERROR(VLOOKUP([2]Pointage!HN20,Feuil1!$A:$B,2,FALSE),"")</f>
        <v/>
      </c>
      <c r="HK26" s="31" t="str">
        <f>IFERROR(VLOOKUP([2]Pointage!HO20,Feuil1!$A:$B,2,FALSE),"")</f>
        <v/>
      </c>
      <c r="HL26" s="31" t="str">
        <f>IFERROR(VLOOKUP([2]Pointage!HP20,Feuil1!$A:$B,2,FALSE),"")</f>
        <v/>
      </c>
      <c r="HM26" s="31" t="str">
        <f>IFERROR(VLOOKUP([2]Pointage!HQ20,Feuil1!$A:$B,2,FALSE),"")</f>
        <v/>
      </c>
      <c r="HN26" s="31" t="str">
        <f>IFERROR(VLOOKUP([2]Pointage!HR20,Feuil1!$A:$B,2,FALSE),"")</f>
        <v/>
      </c>
      <c r="HO26" s="31" t="str">
        <f>IFERROR(VLOOKUP([2]Pointage!HS20,Feuil1!$A:$B,2,FALSE),"")</f>
        <v>C</v>
      </c>
      <c r="HP26" s="31" t="str">
        <f>IFERROR(VLOOKUP([2]Pointage!HT20,Feuil1!$A:$B,2,FALSE),"")</f>
        <v>C</v>
      </c>
      <c r="HQ26" s="31" t="str">
        <f>IFERROR(VLOOKUP([2]Pointage!HU20,Feuil1!$A:$B,2,FALSE),"")</f>
        <v>C</v>
      </c>
      <c r="HR26" s="31" t="str">
        <f>IFERROR(VLOOKUP([2]Pointage!HV20,Feuil1!$A:$B,2,FALSE),"")</f>
        <v>C</v>
      </c>
      <c r="HS26" s="31" t="str">
        <f>IFERROR(VLOOKUP([2]Pointage!HW20,Feuil1!$A:$B,2,FALSE),"")</f>
        <v>C</v>
      </c>
      <c r="HT26" s="31" t="str">
        <f>IFERROR(VLOOKUP([2]Pointage!HX20,Feuil1!$A:$B,2,FALSE),"")</f>
        <v/>
      </c>
      <c r="HU26" s="31" t="str">
        <f>IFERROR(VLOOKUP([2]Pointage!HY20,Feuil1!$A:$B,2,FALSE),"")</f>
        <v/>
      </c>
      <c r="HV26" s="31" t="str">
        <f>IFERROR(VLOOKUP([2]Pointage!HZ20,Feuil1!$A:$B,2,FALSE),"")</f>
        <v>C</v>
      </c>
      <c r="HW26" s="31" t="str">
        <f>IFERROR(VLOOKUP([2]Pointage!IA20,Feuil1!$A:$B,2,FALSE),"")</f>
        <v>C</v>
      </c>
      <c r="HX26" s="31" t="str">
        <f>IFERROR(VLOOKUP([2]Pointage!IB20,Feuil1!$A:$B,2,FALSE),"")</f>
        <v/>
      </c>
      <c r="HY26" s="31" t="str">
        <f>IFERROR(VLOOKUP([2]Pointage!IC20,Feuil1!$A:$B,2,FALSE),"")</f>
        <v>C</v>
      </c>
      <c r="HZ26" s="31" t="str">
        <f>IFERROR(VLOOKUP([2]Pointage!ID20,Feuil1!$A:$B,2,FALSE),"")</f>
        <v>C</v>
      </c>
      <c r="IA26" s="31" t="str">
        <f>IFERROR(VLOOKUP([2]Pointage!IE20,Feuil1!$A:$B,2,FALSE),"")</f>
        <v/>
      </c>
      <c r="IB26" s="31" t="str">
        <f>IFERROR(VLOOKUP([2]Pointage!IF20,Feuil1!$A:$B,2,FALSE),"")</f>
        <v/>
      </c>
      <c r="IC26" s="31" t="str">
        <f>IFERROR(VLOOKUP([2]Pointage!IG20,Feuil1!$A:$B,2,FALSE),"")</f>
        <v>C</v>
      </c>
      <c r="ID26" s="31" t="str">
        <f>IFERROR(VLOOKUP([2]Pointage!IH20,Feuil1!$A:$B,2,FALSE),"")</f>
        <v/>
      </c>
      <c r="IE26" s="31" t="str">
        <f>IFERROR(VLOOKUP([2]Pointage!II20,Feuil1!$A:$B,2,FALSE),"")</f>
        <v/>
      </c>
      <c r="IF26" s="31" t="str">
        <f>IFERROR(VLOOKUP([2]Pointage!IJ20,Feuil1!$A:$B,2,FALSE),"")</f>
        <v/>
      </c>
      <c r="IG26" s="31" t="str">
        <f>IFERROR(VLOOKUP([2]Pointage!IK20,Feuil1!$A:$B,2,FALSE),"")</f>
        <v/>
      </c>
      <c r="IH26" s="31" t="str">
        <f>IFERROR(VLOOKUP([2]Pointage!IL20,Feuil1!$A:$B,2,FALSE),"")</f>
        <v/>
      </c>
      <c r="II26" s="31" t="str">
        <f>IFERROR(VLOOKUP([2]Pointage!IM20,Feuil1!$A:$B,2,FALSE),"")</f>
        <v/>
      </c>
      <c r="IJ26" s="31" t="str">
        <f>IFERROR(VLOOKUP([2]Pointage!IN20,Feuil1!$A:$B,2,FALSE),"")</f>
        <v/>
      </c>
      <c r="IK26" s="31" t="str">
        <f>IFERROR(VLOOKUP([2]Pointage!IO20,Feuil1!$A:$B,2,FALSE),"")</f>
        <v/>
      </c>
      <c r="IL26" s="31" t="str">
        <f>IFERROR(VLOOKUP([2]Pointage!IP20,Feuil1!$A:$B,2,FALSE),"")</f>
        <v/>
      </c>
      <c r="IM26" s="31" t="str">
        <f>IFERROR(VLOOKUP([2]Pointage!IQ20,Feuil1!$A:$B,2,FALSE),"")</f>
        <v/>
      </c>
      <c r="IN26" s="82" t="str">
        <f>IFERROR(VLOOKUP([2]Pointage!IR20,Feuil1!$A:$B,2,FALSE),"")</f>
        <v/>
      </c>
      <c r="IO26" s="47" t="str">
        <f>IFERROR(VLOOKUP([2]Pointage!IS20,Feuil1!$A:$B,2,FALSE),"")</f>
        <v/>
      </c>
      <c r="IP26" s="31" t="str">
        <f>IFERROR(VLOOKUP([2]Pointage!IT20,Feuil1!$A:$B,2,FALSE),"")</f>
        <v/>
      </c>
      <c r="IQ26" s="31" t="str">
        <f>IFERROR(VLOOKUP([2]Pointage!IU20,Feuil1!$A:$B,2,FALSE),"")</f>
        <v/>
      </c>
      <c r="IR26" s="31" t="str">
        <f>IFERROR(VLOOKUP([2]Pointage!IV20,Feuil1!$A:$B,2,FALSE),"")</f>
        <v/>
      </c>
      <c r="IS26" s="31" t="str">
        <f>IFERROR(VLOOKUP([2]Pointage!IW20,Feuil1!$A:$B,2,FALSE),"")</f>
        <v/>
      </c>
      <c r="IT26" s="31" t="str">
        <f>IFERROR(VLOOKUP([2]Pointage!IX20,Feuil1!$A:$B,2,FALSE),"")</f>
        <v/>
      </c>
      <c r="IU26" s="31" t="str">
        <f>IFERROR(VLOOKUP([2]Pointage!IY20,Feuil1!$A:$B,2,FALSE),"")</f>
        <v/>
      </c>
      <c r="IV26" s="31" t="str">
        <f>IFERROR(VLOOKUP([2]Pointage!IZ20,Feuil1!$A:$B,2,FALSE),"")</f>
        <v/>
      </c>
      <c r="IW26" s="31" t="str">
        <f>IFERROR(VLOOKUP([2]Pointage!JA20,Feuil1!$A:$B,2,FALSE),"")</f>
        <v/>
      </c>
      <c r="IX26" s="31" t="str">
        <f>IFERROR(VLOOKUP([2]Pointage!JB20,Feuil1!$A:$B,2,FALSE),"")</f>
        <v/>
      </c>
      <c r="IY26" s="31" t="str">
        <f>IFERROR(VLOOKUP([2]Pointage!JC20,Feuil1!$A:$B,2,FALSE),"")</f>
        <v/>
      </c>
      <c r="IZ26" s="31" t="str">
        <f>IFERROR(VLOOKUP([2]Pointage!JD20,Feuil1!$A:$B,2,FALSE),"")</f>
        <v/>
      </c>
      <c r="JA26" s="31" t="str">
        <f>IFERROR(VLOOKUP([2]Pointage!JE20,Feuil1!$A:$B,2,FALSE),"")</f>
        <v/>
      </c>
      <c r="JB26" s="31" t="str">
        <f>IFERROR(VLOOKUP([2]Pointage!JF20,Feuil1!$A:$B,2,FALSE),"")</f>
        <v/>
      </c>
      <c r="JC26" s="31" t="str">
        <f>IFERROR(VLOOKUP([2]Pointage!JG20,Feuil1!$A:$B,2,FALSE),"")</f>
        <v/>
      </c>
      <c r="JD26" s="31" t="str">
        <f>IFERROR(VLOOKUP([2]Pointage!JH20,Feuil1!$A:$B,2,FALSE),"")</f>
        <v/>
      </c>
      <c r="JE26" s="31" t="str">
        <f>IFERROR(VLOOKUP([2]Pointage!JI20,Feuil1!$A:$B,2,FALSE),"")</f>
        <v/>
      </c>
      <c r="JF26" s="31" t="str">
        <f>IFERROR(VLOOKUP([2]Pointage!JJ20,Feuil1!$A:$B,2,FALSE),"")</f>
        <v/>
      </c>
      <c r="JG26" s="31" t="str">
        <f>IFERROR(VLOOKUP([2]Pointage!JK20,Feuil1!$A:$B,2,FALSE),"")</f>
        <v/>
      </c>
      <c r="JH26" s="31" t="str">
        <f>IFERROR(VLOOKUP([2]Pointage!JL20,Feuil1!$A:$B,2,FALSE),"")</f>
        <v/>
      </c>
      <c r="JI26" s="31" t="str">
        <f>IFERROR(VLOOKUP([2]Pointage!JM20,Feuil1!$A:$B,2,FALSE),"")</f>
        <v/>
      </c>
      <c r="JJ26" s="31" t="str">
        <f>IFERROR(VLOOKUP([2]Pointage!JN20,Feuil1!$A:$B,2,FALSE),"")</f>
        <v/>
      </c>
      <c r="JK26" s="31" t="str">
        <f>IFERROR(VLOOKUP([2]Pointage!JO20,Feuil1!$A:$B,2,FALSE),"")</f>
        <v/>
      </c>
      <c r="JL26" s="31" t="str">
        <f>IFERROR(VLOOKUP([2]Pointage!JP20,Feuil1!$A:$B,2,FALSE),"")</f>
        <v/>
      </c>
      <c r="JM26" s="31" t="str">
        <f>IFERROR(VLOOKUP([2]Pointage!JQ20,Feuil1!$A:$B,2,FALSE),"")</f>
        <v/>
      </c>
      <c r="JN26" s="31" t="str">
        <f>IFERROR(VLOOKUP([2]Pointage!JR20,Feuil1!$A:$B,2,FALSE),"")</f>
        <v/>
      </c>
      <c r="JO26" s="31" t="str">
        <f>IFERROR(VLOOKUP([2]Pointage!JS20,Feuil1!$A:$B,2,FALSE),"")</f>
        <v/>
      </c>
      <c r="JP26" s="31" t="str">
        <f>IFERROR(VLOOKUP([2]Pointage!JT20,Feuil1!$A:$B,2,FALSE),"")</f>
        <v/>
      </c>
      <c r="JQ26" s="31" t="str">
        <f>IFERROR(VLOOKUP([2]Pointage!JU20,Feuil1!$A:$B,2,FALSE),"")</f>
        <v/>
      </c>
      <c r="JR26" s="82" t="str">
        <f>IFERROR(VLOOKUP([2]Pointage!JV20,Feuil1!$A:$B,2,FALSE),"")</f>
        <v/>
      </c>
      <c r="JS26" s="47" t="str">
        <f>IFERROR(VLOOKUP([2]Pointage!JW20,Feuil1!$A:$B,2,FALSE),"")</f>
        <v/>
      </c>
      <c r="JT26" s="31" t="str">
        <f>IFERROR(VLOOKUP([2]Pointage!JX20,Feuil1!$A:$B,2,FALSE),"")</f>
        <v/>
      </c>
      <c r="JU26" s="31" t="str">
        <f>IFERROR(VLOOKUP([2]Pointage!JY20,Feuil1!$A:$B,2,FALSE),"")</f>
        <v/>
      </c>
      <c r="JV26" s="31" t="str">
        <f>IFERROR(VLOOKUP([2]Pointage!JZ20,Feuil1!$A:$B,2,FALSE),"")</f>
        <v/>
      </c>
      <c r="JW26" s="31" t="str">
        <f>IFERROR(VLOOKUP([2]Pointage!KA20,Feuil1!$A:$B,2,FALSE),"")</f>
        <v/>
      </c>
      <c r="JX26" s="31" t="str">
        <f>IFERROR(VLOOKUP([2]Pointage!KB20,Feuil1!$A:$B,2,FALSE),"")</f>
        <v/>
      </c>
      <c r="JY26" s="31" t="str">
        <f>IFERROR(VLOOKUP([2]Pointage!KC20,Feuil1!$A:$B,2,FALSE),"")</f>
        <v/>
      </c>
      <c r="JZ26" s="31" t="str">
        <f>IFERROR(VLOOKUP([2]Pointage!KD20,Feuil1!$A:$B,2,FALSE),"")</f>
        <v/>
      </c>
      <c r="KA26" s="31" t="str">
        <f>IFERROR(VLOOKUP([2]Pointage!KE20,Feuil1!$A:$B,2,FALSE),"")</f>
        <v/>
      </c>
      <c r="KB26" s="31" t="str">
        <f>IFERROR(VLOOKUP([2]Pointage!KF20,Feuil1!$A:$B,2,FALSE),"")</f>
        <v/>
      </c>
      <c r="KC26" s="31" t="str">
        <f>IFERROR(VLOOKUP([2]Pointage!KG20,Feuil1!$A:$B,2,FALSE),"")</f>
        <v/>
      </c>
      <c r="KD26" s="31" t="str">
        <f>IFERROR(VLOOKUP([2]Pointage!KH20,Feuil1!$A:$B,2,FALSE),"")</f>
        <v/>
      </c>
      <c r="KE26" s="31" t="str">
        <f>IFERROR(VLOOKUP([2]Pointage!KI20,Feuil1!$A:$B,2,FALSE),"")</f>
        <v/>
      </c>
      <c r="KF26" s="31" t="str">
        <f>IFERROR(VLOOKUP([2]Pointage!KJ20,Feuil1!$A:$B,2,FALSE),"")</f>
        <v/>
      </c>
      <c r="KG26" s="31" t="str">
        <f>IFERROR(VLOOKUP([2]Pointage!KK20,Feuil1!$A:$B,2,FALSE),"")</f>
        <v/>
      </c>
      <c r="KH26" s="31" t="str">
        <f>IFERROR(VLOOKUP([2]Pointage!KL20,Feuil1!$A:$B,2,FALSE),"")</f>
        <v/>
      </c>
      <c r="KI26" s="31" t="str">
        <f>IFERROR(VLOOKUP([2]Pointage!KM20,Feuil1!$A:$B,2,FALSE),"")</f>
        <v/>
      </c>
      <c r="KJ26" s="31" t="str">
        <f>IFERROR(VLOOKUP([2]Pointage!KN20,Feuil1!$A:$B,2,FALSE),"")</f>
        <v/>
      </c>
      <c r="KK26" s="31" t="str">
        <f>IFERROR(VLOOKUP([2]Pointage!KO20,Feuil1!$A:$B,2,FALSE),"")</f>
        <v/>
      </c>
      <c r="KL26" s="31" t="str">
        <f>IFERROR(VLOOKUP([2]Pointage!KP20,Feuil1!$A:$B,2,FALSE),"")</f>
        <v/>
      </c>
      <c r="KM26" s="31" t="str">
        <f>IFERROR(VLOOKUP([2]Pointage!KQ20,Feuil1!$A:$B,2,FALSE),"")</f>
        <v/>
      </c>
      <c r="KN26" s="31" t="str">
        <f>IFERROR(VLOOKUP([2]Pointage!KR20,Feuil1!$A:$B,2,FALSE),"")</f>
        <v/>
      </c>
      <c r="KO26" s="31" t="str">
        <f>IFERROR(VLOOKUP([2]Pointage!KS20,Feuil1!$A:$B,2,FALSE),"")</f>
        <v/>
      </c>
      <c r="KP26" s="31" t="str">
        <f>IFERROR(VLOOKUP([2]Pointage!KT20,Feuil1!$A:$B,2,FALSE),"")</f>
        <v/>
      </c>
      <c r="KQ26" s="31" t="str">
        <f>IFERROR(VLOOKUP([2]Pointage!KU20,Feuil1!$A:$B,2,FALSE),"")</f>
        <v/>
      </c>
      <c r="KR26" s="31" t="str">
        <f>IFERROR(VLOOKUP([2]Pointage!KV20,Feuil1!$A:$B,2,FALSE),"")</f>
        <v/>
      </c>
      <c r="KS26" s="31" t="str">
        <f>IFERROR(VLOOKUP([2]Pointage!KW20,Feuil1!$A:$B,2,FALSE),"")</f>
        <v/>
      </c>
      <c r="KT26" s="31" t="str">
        <f>IFERROR(VLOOKUP([2]Pointage!KX20,Feuil1!$A:$B,2,FALSE),"")</f>
        <v/>
      </c>
      <c r="KU26" s="31" t="str">
        <f>IFERROR(VLOOKUP([2]Pointage!KY20,Feuil1!$A:$B,2,FALSE),"")</f>
        <v/>
      </c>
      <c r="KV26" s="31" t="str">
        <f>IFERROR(VLOOKUP([2]Pointage!KZ20,Feuil1!$A:$B,2,FALSE),"")</f>
        <v/>
      </c>
      <c r="KW26" s="82" t="str">
        <f>IFERROR(VLOOKUP([2]Pointage!LA20,Feuil1!$A:$B,2,FALSE),"")</f>
        <v/>
      </c>
      <c r="KX26" s="47" t="str">
        <f>IFERROR(VLOOKUP([2]Pointage!LB20,Feuil1!$A:$B,2,FALSE),"")</f>
        <v/>
      </c>
      <c r="KY26" s="31" t="str">
        <f>IFERROR(VLOOKUP([2]Pointage!LC20,Feuil1!$A:$B,2,FALSE),"")</f>
        <v/>
      </c>
      <c r="KZ26" s="31" t="str">
        <f>IFERROR(VLOOKUP([2]Pointage!LD20,Feuil1!$A:$B,2,FALSE),"")</f>
        <v/>
      </c>
      <c r="LA26" s="31" t="str">
        <f>IFERROR(VLOOKUP([2]Pointage!LE20,Feuil1!$A:$B,2,FALSE),"")</f>
        <v/>
      </c>
      <c r="LB26" s="31" t="str">
        <f>IFERROR(VLOOKUP([2]Pointage!LF20,Feuil1!$A:$B,2,FALSE),"")</f>
        <v/>
      </c>
      <c r="LC26" s="31" t="str">
        <f>IFERROR(VLOOKUP([2]Pointage!LG20,Feuil1!$A:$B,2,FALSE),"")</f>
        <v/>
      </c>
      <c r="LD26" s="31" t="str">
        <f>IFERROR(VLOOKUP([2]Pointage!LH20,Feuil1!$A:$B,2,FALSE),"")</f>
        <v/>
      </c>
      <c r="LE26" s="31" t="str">
        <f>IFERROR(VLOOKUP([2]Pointage!LI20,Feuil1!$A:$B,2,FALSE),"")</f>
        <v/>
      </c>
      <c r="LF26" s="31" t="str">
        <f>IFERROR(VLOOKUP([2]Pointage!LJ20,Feuil1!$A:$B,2,FALSE),"")</f>
        <v/>
      </c>
      <c r="LG26" s="31" t="str">
        <f>IFERROR(VLOOKUP([2]Pointage!LK20,Feuil1!$A:$B,2,FALSE),"")</f>
        <v/>
      </c>
      <c r="LH26" s="31" t="str">
        <f>IFERROR(VLOOKUP([2]Pointage!LL20,Feuil1!$A:$B,2,FALSE),"")</f>
        <v/>
      </c>
      <c r="LI26" s="31" t="str">
        <f>IFERROR(VLOOKUP([2]Pointage!LM20,Feuil1!$A:$B,2,FALSE),"")</f>
        <v/>
      </c>
      <c r="LJ26" s="31" t="str">
        <f>IFERROR(VLOOKUP([2]Pointage!LN20,Feuil1!$A:$B,2,FALSE),"")</f>
        <v/>
      </c>
      <c r="LK26" s="31" t="str">
        <f>IFERROR(VLOOKUP([2]Pointage!LO20,Feuil1!$A:$B,2,FALSE),"")</f>
        <v/>
      </c>
      <c r="LL26" s="31" t="str">
        <f>IFERROR(VLOOKUP([2]Pointage!LP20,Feuil1!$A:$B,2,FALSE),"")</f>
        <v/>
      </c>
      <c r="LM26" s="31" t="str">
        <f>IFERROR(VLOOKUP([2]Pointage!LQ20,Feuil1!$A:$B,2,FALSE),"")</f>
        <v/>
      </c>
      <c r="LN26" s="31" t="str">
        <f>IFERROR(VLOOKUP([2]Pointage!LR20,Feuil1!$A:$B,2,FALSE),"")</f>
        <v/>
      </c>
      <c r="LO26" s="31" t="str">
        <f>IFERROR(VLOOKUP([2]Pointage!LS20,Feuil1!$A:$B,2,FALSE),"")</f>
        <v/>
      </c>
      <c r="LP26" s="31" t="str">
        <f>IFERROR(VLOOKUP([2]Pointage!LT20,Feuil1!$A:$B,2,FALSE),"")</f>
        <v/>
      </c>
      <c r="LQ26" s="31" t="str">
        <f>IFERROR(VLOOKUP([2]Pointage!LU20,Feuil1!$A:$B,2,FALSE),"")</f>
        <v/>
      </c>
      <c r="LR26" s="31" t="str">
        <f>IFERROR(VLOOKUP([2]Pointage!LV20,Feuil1!$A:$B,2,FALSE),"")</f>
        <v/>
      </c>
      <c r="LS26" s="31" t="str">
        <f>IFERROR(VLOOKUP([2]Pointage!LW20,Feuil1!$A:$B,2,FALSE),"")</f>
        <v/>
      </c>
      <c r="LT26" s="31" t="str">
        <f>IFERROR(VLOOKUP([2]Pointage!LX20,Feuil1!$A:$B,2,FALSE),"")</f>
        <v/>
      </c>
      <c r="LU26" s="31" t="str">
        <f>IFERROR(VLOOKUP([2]Pointage!LY20,Feuil1!$A:$B,2,FALSE),"")</f>
        <v/>
      </c>
      <c r="LV26" s="31" t="str">
        <f>IFERROR(VLOOKUP([2]Pointage!LZ20,Feuil1!$A:$B,2,FALSE),"")</f>
        <v/>
      </c>
      <c r="LW26" s="31" t="str">
        <f>IFERROR(VLOOKUP([2]Pointage!MA20,Feuil1!$A:$B,2,FALSE),"")</f>
        <v/>
      </c>
      <c r="LX26" s="31" t="str">
        <f>IFERROR(VLOOKUP([2]Pointage!MB20,Feuil1!$A:$B,2,FALSE),"")</f>
        <v/>
      </c>
      <c r="LY26" s="31" t="str">
        <f>IFERROR(VLOOKUP([2]Pointage!MC20,Feuil1!$A:$B,2,FALSE),"")</f>
        <v/>
      </c>
      <c r="LZ26" s="31" t="str">
        <f>IFERROR(VLOOKUP([2]Pointage!MD20,Feuil1!$A:$B,2,FALSE),"")</f>
        <v/>
      </c>
      <c r="MA26" s="82" t="str">
        <f>IFERROR(VLOOKUP([2]Pointage!ME20,Feuil1!$A:$B,2,FALSE),"")</f>
        <v/>
      </c>
      <c r="MB26" s="47" t="str">
        <f>IFERROR(VLOOKUP([2]Pointage!MF20,Feuil1!$A:$B,2,FALSE),"")</f>
        <v/>
      </c>
      <c r="MC26" s="31" t="str">
        <f>IFERROR(VLOOKUP([2]Pointage!MG20,Feuil1!$A:$B,2,FALSE),"")</f>
        <v/>
      </c>
      <c r="MD26" s="31" t="str">
        <f>IFERROR(VLOOKUP([2]Pointage!MH20,Feuil1!$A:$B,2,FALSE),"")</f>
        <v/>
      </c>
      <c r="ME26" s="31" t="str">
        <f>IFERROR(VLOOKUP([2]Pointage!MI20,Feuil1!$A:$B,2,FALSE),"")</f>
        <v/>
      </c>
      <c r="MF26" s="31" t="str">
        <f>IFERROR(VLOOKUP([2]Pointage!MJ20,Feuil1!$A:$B,2,FALSE),"")</f>
        <v/>
      </c>
      <c r="MG26" s="31" t="str">
        <f>IFERROR(VLOOKUP([2]Pointage!MK20,Feuil1!$A:$B,2,FALSE),"")</f>
        <v/>
      </c>
      <c r="MH26" s="31" t="str">
        <f>IFERROR(VLOOKUP([2]Pointage!ML20,Feuil1!$A:$B,2,FALSE),"")</f>
        <v/>
      </c>
      <c r="MI26" s="31" t="str">
        <f>IFERROR(VLOOKUP([2]Pointage!MM20,Feuil1!$A:$B,2,FALSE),"")</f>
        <v/>
      </c>
      <c r="MJ26" s="31" t="str">
        <f>IFERROR(VLOOKUP([2]Pointage!MN20,Feuil1!$A:$B,2,FALSE),"")</f>
        <v/>
      </c>
      <c r="MK26" s="31" t="str">
        <f>IFERROR(VLOOKUP([2]Pointage!MO20,Feuil1!$A:$B,2,FALSE),"")</f>
        <v/>
      </c>
      <c r="ML26" s="31" t="str">
        <f>IFERROR(VLOOKUP([2]Pointage!MP20,Feuil1!$A:$B,2,FALSE),"")</f>
        <v/>
      </c>
      <c r="MM26" s="31" t="str">
        <f>IFERROR(VLOOKUP([2]Pointage!MQ20,Feuil1!$A:$B,2,FALSE),"")</f>
        <v/>
      </c>
      <c r="MN26" s="31" t="str">
        <f>IFERROR(VLOOKUP([2]Pointage!MR20,Feuil1!$A:$B,2,FALSE),"")</f>
        <v/>
      </c>
      <c r="MO26" s="31" t="str">
        <f>IFERROR(VLOOKUP([2]Pointage!MS20,Feuil1!$A:$B,2,FALSE),"")</f>
        <v/>
      </c>
      <c r="MP26" s="31" t="str">
        <f>IFERROR(VLOOKUP([2]Pointage!MT20,Feuil1!$A:$B,2,FALSE),"")</f>
        <v/>
      </c>
      <c r="MQ26" s="31" t="str">
        <f>IFERROR(VLOOKUP([2]Pointage!MU20,Feuil1!$A:$B,2,FALSE),"")</f>
        <v/>
      </c>
      <c r="MR26" s="31" t="str">
        <f>IFERROR(VLOOKUP([2]Pointage!MV20,Feuil1!$A:$B,2,FALSE),"")</f>
        <v/>
      </c>
      <c r="MS26" s="31" t="str">
        <f>IFERROR(VLOOKUP([2]Pointage!MW20,Feuil1!$A:$B,2,FALSE),"")</f>
        <v/>
      </c>
      <c r="MT26" s="31" t="str">
        <f>IFERROR(VLOOKUP([2]Pointage!MX20,Feuil1!$A:$B,2,FALSE),"")</f>
        <v/>
      </c>
      <c r="MU26" s="31" t="str">
        <f>IFERROR(VLOOKUP([2]Pointage!MY20,Feuil1!$A:$B,2,FALSE),"")</f>
        <v/>
      </c>
      <c r="MV26" s="31" t="str">
        <f>IFERROR(VLOOKUP([2]Pointage!MZ20,Feuil1!$A:$B,2,FALSE),"")</f>
        <v/>
      </c>
      <c r="MW26" s="31" t="str">
        <f>IFERROR(VLOOKUP([2]Pointage!NA20,Feuil1!$A:$B,2,FALSE),"")</f>
        <v/>
      </c>
      <c r="MX26" s="31" t="str">
        <f>IFERROR(VLOOKUP([2]Pointage!NB20,Feuil1!$A:$B,2,FALSE),"")</f>
        <v/>
      </c>
      <c r="MY26" s="31" t="str">
        <f>IFERROR(VLOOKUP([2]Pointage!NC20,Feuil1!$A:$B,2,FALSE),"")</f>
        <v/>
      </c>
      <c r="MZ26" s="31" t="str">
        <f>IFERROR(VLOOKUP([2]Pointage!ND20,Feuil1!$A:$B,2,FALSE),"")</f>
        <v/>
      </c>
      <c r="NA26" s="31" t="str">
        <f>IFERROR(VLOOKUP([2]Pointage!NE20,Feuil1!$A:$B,2,FALSE),"")</f>
        <v/>
      </c>
      <c r="NB26" s="31" t="str">
        <f>IFERROR(VLOOKUP([2]Pointage!NF20,Feuil1!$A:$B,2,FALSE),"")</f>
        <v/>
      </c>
      <c r="NC26" s="31" t="str">
        <f>IFERROR(VLOOKUP([2]Pointage!NG20,Feuil1!$A:$B,2,FALSE),"")</f>
        <v/>
      </c>
      <c r="ND26" s="31" t="str">
        <f>IFERROR(VLOOKUP([2]Pointage!NH20,Feuil1!$A:$B,2,FALSE),"")</f>
        <v/>
      </c>
      <c r="NE26" s="31" t="str">
        <f>IFERROR(VLOOKUP([2]Pointage!NI20,Feuil1!$A:$B,2,FALSE),"")</f>
        <v/>
      </c>
      <c r="NF26" s="48" t="str">
        <f>IFERROR(VLOOKUP([2]Pointage!NJ20,Feuil1!$A:$B,2,FALSE),"")</f>
        <v/>
      </c>
      <c r="NG26" s="52">
        <f>COUNTIF(Global!F26:NF26,"RTT")+(COUNTIF(Global!F26:NF26,"dRTT")/2)</f>
        <v>0</v>
      </c>
      <c r="NH26" s="42">
        <f>COUNTIF(Global!F26:NF26,"C")+(COUNTIF(Global!F26:NF26,"DC")/2)</f>
        <v>14.5</v>
      </c>
      <c r="NI26" s="42">
        <f>COUNTIF(Global!F26:NF26,"M")</f>
        <v>0</v>
      </c>
      <c r="NJ26" s="42">
        <f>COUNTIF(Global!G26:NG26,"AT")</f>
        <v>0</v>
      </c>
      <c r="NK26" s="42">
        <f>COUNTIF(Global!F26:NF26,"RD")</f>
        <v>0</v>
      </c>
      <c r="NL26" s="42">
        <f>COUNTIF(Global!F26:NF26,"RC")+(COUNTIF(Global!F26:NF26,"dRC")/2)</f>
        <v>0</v>
      </c>
      <c r="NM26" s="68">
        <f t="shared" ca="1" si="0"/>
        <v>4.0273972602739727</v>
      </c>
      <c r="NT26" s="33"/>
      <c r="NU26" s="33"/>
      <c r="NV26" s="28"/>
      <c r="NW26" s="28"/>
      <c r="NX26" s="29">
        <f>COUNTIF(F26:NF26,"C")++(COUNTIF(Global!F26:NF26,"DC")/2)</f>
        <v>14.5</v>
      </c>
      <c r="NY26" s="29"/>
      <c r="NZ26" s="29"/>
      <c r="OA26" s="29"/>
      <c r="OB26" s="29">
        <f>COUNTIF(Global!F26:NF26,"M")</f>
        <v>0</v>
      </c>
      <c r="OC26" s="30">
        <f t="shared" si="1"/>
        <v>-14.5</v>
      </c>
      <c r="OD26" s="30"/>
    </row>
    <row r="27" spans="1:394" ht="30" customHeight="1" x14ac:dyDescent="0.2">
      <c r="A27" s="15" t="s">
        <v>83</v>
      </c>
      <c r="B27" s="22" t="s">
        <v>185</v>
      </c>
      <c r="C27" s="22" t="s">
        <v>186</v>
      </c>
      <c r="D27" s="22" t="s">
        <v>187</v>
      </c>
      <c r="E27" s="44">
        <v>0</v>
      </c>
      <c r="F27" s="47" t="str">
        <f>IFERROR(VLOOKUP([2]Pointage!J21,Feuil1!$A:$B,2,FALSE),"")</f>
        <v/>
      </c>
      <c r="G27" s="31" t="str">
        <f>IFERROR(VLOOKUP([2]Pointage!K21,Feuil1!$A:$B,2,FALSE),"")</f>
        <v>C</v>
      </c>
      <c r="H27" s="31" t="str">
        <f>IFERROR(VLOOKUP([2]Pointage!L21,Feuil1!$A:$B,2,FALSE),"")</f>
        <v>C</v>
      </c>
      <c r="I27" s="31" t="str">
        <f>IFERROR(VLOOKUP([2]Pointage!M21,Feuil1!$A:$B,2,FALSE),"")</f>
        <v>C</v>
      </c>
      <c r="J27" s="31" t="str">
        <f>IFERROR(VLOOKUP([2]Pointage!N21,Feuil1!$A:$B,2,FALSE),"")</f>
        <v>C</v>
      </c>
      <c r="K27" s="31" t="str">
        <f>IFERROR(VLOOKUP([2]Pointage!O21,Feuil1!$A:$B,2,FALSE),"")</f>
        <v/>
      </c>
      <c r="L27" s="31" t="str">
        <f>IFERROR(VLOOKUP([2]Pointage!P21,Feuil1!$A:$B,2,FALSE),"")</f>
        <v/>
      </c>
      <c r="M27" s="31" t="str">
        <f>IFERROR(VLOOKUP([2]Pointage!Q21,Feuil1!$A:$B,2,FALSE),"")</f>
        <v>C</v>
      </c>
      <c r="N27" s="31" t="str">
        <f>IFERROR(VLOOKUP([2]Pointage!R21,Feuil1!$A:$B,2,FALSE),"")</f>
        <v>C</v>
      </c>
      <c r="O27" s="31" t="str">
        <f>IFERROR(VLOOKUP([2]Pointage!S21,Feuil1!$A:$B,2,FALSE),"")</f>
        <v>C</v>
      </c>
      <c r="P27" s="31" t="str">
        <f>IFERROR(VLOOKUP([2]Pointage!T21,Feuil1!$A:$B,2,FALSE),"")</f>
        <v>C</v>
      </c>
      <c r="Q27" s="31" t="str">
        <f>IFERROR(VLOOKUP([2]Pointage!U21,Feuil1!$A:$B,2,FALSE),"")</f>
        <v>C</v>
      </c>
      <c r="R27" s="31" t="str">
        <f>IFERROR(VLOOKUP([2]Pointage!V21,Feuil1!$A:$B,2,FALSE),"")</f>
        <v/>
      </c>
      <c r="S27" s="31" t="str">
        <f>IFERROR(VLOOKUP([2]Pointage!W21,Feuil1!$A:$B,2,FALSE),"")</f>
        <v/>
      </c>
      <c r="T27" s="31" t="str">
        <f>IFERROR(VLOOKUP([2]Pointage!X21,Feuil1!$A:$B,2,FALSE),"")</f>
        <v/>
      </c>
      <c r="U27" s="31" t="str">
        <f>IFERROR(VLOOKUP([2]Pointage!Y21,Feuil1!$A:$B,2,FALSE),"")</f>
        <v/>
      </c>
      <c r="V27" s="31" t="str">
        <f>IFERROR(VLOOKUP([2]Pointage!Z21,Feuil1!$A:$B,2,FALSE),"")</f>
        <v/>
      </c>
      <c r="W27" s="31" t="str">
        <f>IFERROR(VLOOKUP([2]Pointage!AA21,Feuil1!$A:$B,2,FALSE),"")</f>
        <v/>
      </c>
      <c r="X27" s="31" t="str">
        <f>IFERROR(VLOOKUP([2]Pointage!AB21,Feuil1!$A:$B,2,FALSE),"")</f>
        <v/>
      </c>
      <c r="Y27" s="31" t="str">
        <f>IFERROR(VLOOKUP([2]Pointage!AC21,Feuil1!$A:$B,2,FALSE),"")</f>
        <v/>
      </c>
      <c r="Z27" s="31" t="str">
        <f>IFERROR(VLOOKUP([2]Pointage!AD21,Feuil1!$A:$B,2,FALSE),"")</f>
        <v/>
      </c>
      <c r="AA27" s="31" t="str">
        <f>IFERROR(VLOOKUP([2]Pointage!AE21,Feuil1!$A:$B,2,FALSE),"")</f>
        <v/>
      </c>
      <c r="AB27" s="31" t="str">
        <f>IFERROR(VLOOKUP([2]Pointage!AF21,Feuil1!$A:$B,2,FALSE),"")</f>
        <v/>
      </c>
      <c r="AC27" s="31" t="str">
        <f>IFERROR(VLOOKUP([2]Pointage!AG21,Feuil1!$A:$B,2,FALSE),"")</f>
        <v/>
      </c>
      <c r="AD27" s="31" t="str">
        <f>IFERROR(VLOOKUP([2]Pointage!AH21,Feuil1!$A:$B,2,FALSE),"")</f>
        <v/>
      </c>
      <c r="AE27" s="31" t="str">
        <f>IFERROR(VLOOKUP([2]Pointage!AI21,Feuil1!$A:$B,2,FALSE),"")</f>
        <v/>
      </c>
      <c r="AF27" s="31" t="str">
        <f>IFERROR(VLOOKUP([2]Pointage!AJ21,Feuil1!$A:$B,2,FALSE),"")</f>
        <v/>
      </c>
      <c r="AG27" s="31" t="str">
        <f>IFERROR(VLOOKUP([2]Pointage!AK21,Feuil1!$A:$B,2,FALSE),"")</f>
        <v/>
      </c>
      <c r="AH27" s="31" t="str">
        <f>IFERROR(VLOOKUP([2]Pointage!AL21,Feuil1!$A:$B,2,FALSE),"")</f>
        <v/>
      </c>
      <c r="AI27" s="31" t="str">
        <f>IFERROR(VLOOKUP([2]Pointage!AM21,Feuil1!$A:$B,2,FALSE),"")</f>
        <v/>
      </c>
      <c r="AJ27" s="82" t="str">
        <f>IFERROR(VLOOKUP([2]Pointage!AN21,Feuil1!$A:$B,2,FALSE),"")</f>
        <v/>
      </c>
      <c r="AK27" s="47" t="str">
        <f>IFERROR(VLOOKUP([2]Pointage!AO21,Feuil1!$A:$B,2,FALSE),"")</f>
        <v/>
      </c>
      <c r="AL27" s="31" t="str">
        <f>IFERROR(VLOOKUP([2]Pointage!AP21,Feuil1!$A:$B,2,FALSE),"")</f>
        <v/>
      </c>
      <c r="AM27" s="31" t="str">
        <f>IFERROR(VLOOKUP([2]Pointage!AQ21,Feuil1!$A:$B,2,FALSE),"")</f>
        <v/>
      </c>
      <c r="AN27" s="31" t="str">
        <f>IFERROR(VLOOKUP([2]Pointage!AR21,Feuil1!$A:$B,2,FALSE),"")</f>
        <v/>
      </c>
      <c r="AO27" s="31" t="str">
        <f>IFERROR(VLOOKUP([2]Pointage!AS21,Feuil1!$A:$B,2,FALSE),"")</f>
        <v/>
      </c>
      <c r="AP27" s="31" t="str">
        <f>IFERROR(VLOOKUP([2]Pointage!AT21,Feuil1!$A:$B,2,FALSE),"")</f>
        <v/>
      </c>
      <c r="AQ27" s="31" t="str">
        <f>IFERROR(VLOOKUP([2]Pointage!AU21,Feuil1!$A:$B,2,FALSE),"")</f>
        <v/>
      </c>
      <c r="AR27" s="31" t="str">
        <f>IFERROR(VLOOKUP([2]Pointage!AV21,Feuil1!$A:$B,2,FALSE),"")</f>
        <v/>
      </c>
      <c r="AS27" s="31" t="str">
        <f>IFERROR(VLOOKUP([2]Pointage!AW21,Feuil1!$A:$B,2,FALSE),"")</f>
        <v/>
      </c>
      <c r="AT27" s="31" t="str">
        <f>IFERROR(VLOOKUP([2]Pointage!AX21,Feuil1!$A:$B,2,FALSE),"")</f>
        <v/>
      </c>
      <c r="AU27" s="31" t="str">
        <f>IFERROR(VLOOKUP([2]Pointage!AY21,Feuil1!$A:$B,2,FALSE),"")</f>
        <v/>
      </c>
      <c r="AV27" s="31" t="str">
        <f>IFERROR(VLOOKUP([2]Pointage!AZ21,Feuil1!$A:$B,2,FALSE),"")</f>
        <v/>
      </c>
      <c r="AW27" s="31" t="str">
        <f>IFERROR(VLOOKUP([2]Pointage!BA21,Feuil1!$A:$B,2,FALSE),"")</f>
        <v/>
      </c>
      <c r="AX27" s="31" t="str">
        <f>IFERROR(VLOOKUP([2]Pointage!BB21,Feuil1!$A:$B,2,FALSE),"")</f>
        <v/>
      </c>
      <c r="AY27" s="31" t="str">
        <f>IFERROR(VLOOKUP([2]Pointage!BC21,Feuil1!$A:$B,2,FALSE),"")</f>
        <v/>
      </c>
      <c r="AZ27" s="31" t="str">
        <f>IFERROR(VLOOKUP([2]Pointage!BD21,Feuil1!$A:$B,2,FALSE),"")</f>
        <v/>
      </c>
      <c r="BA27" s="31" t="str">
        <f>IFERROR(VLOOKUP([2]Pointage!BE21,Feuil1!$A:$B,2,FALSE),"")</f>
        <v/>
      </c>
      <c r="BB27" s="31" t="str">
        <f>IFERROR(VLOOKUP([2]Pointage!BF21,Feuil1!$A:$B,2,FALSE),"")</f>
        <v/>
      </c>
      <c r="BC27" s="31" t="str">
        <f>IFERROR(VLOOKUP([2]Pointage!BG21,Feuil1!$A:$B,2,FALSE),"")</f>
        <v/>
      </c>
      <c r="BD27" s="31" t="str">
        <f>IFERROR(VLOOKUP([2]Pointage!BH21,Feuil1!$A:$B,2,FALSE),"")</f>
        <v/>
      </c>
      <c r="BE27" s="31" t="str">
        <f>IFERROR(VLOOKUP([2]Pointage!BI21,Feuil1!$A:$B,2,FALSE),"")</f>
        <v/>
      </c>
      <c r="BF27" s="31" t="str">
        <f>IFERROR(VLOOKUP([2]Pointage!BJ21,Feuil1!$A:$B,2,FALSE),"")</f>
        <v/>
      </c>
      <c r="BG27" s="31" t="str">
        <f>IFERROR(VLOOKUP([2]Pointage!BK21,Feuil1!$A:$B,2,FALSE),"")</f>
        <v/>
      </c>
      <c r="BH27" s="31" t="str">
        <f>IFERROR(VLOOKUP([2]Pointage!BL21,Feuil1!$A:$B,2,FALSE),"")</f>
        <v/>
      </c>
      <c r="BI27" s="31" t="str">
        <f>IFERROR(VLOOKUP([2]Pointage!BM21,Feuil1!$A:$B,2,FALSE),"")</f>
        <v/>
      </c>
      <c r="BJ27" s="31" t="str">
        <f>IFERROR(VLOOKUP([2]Pointage!BN21,Feuil1!$A:$B,2,FALSE),"")</f>
        <v>C</v>
      </c>
      <c r="BK27" s="31" t="str">
        <f>IFERROR(VLOOKUP([2]Pointage!BO21,Feuil1!$A:$B,2,FALSE),"")</f>
        <v>C</v>
      </c>
      <c r="BL27" s="82" t="str">
        <f>IFERROR(VLOOKUP([2]Pointage!BP21,Feuil1!$A:$B,2,FALSE),"")</f>
        <v>C</v>
      </c>
      <c r="BM27" s="47" t="str">
        <f>IFERROR(VLOOKUP([2]Pointage!BQ21,Feuil1!$A:$B,2,FALSE),"")</f>
        <v>C</v>
      </c>
      <c r="BN27" s="31" t="str">
        <f>IFERROR(VLOOKUP([2]Pointage!BR21,Feuil1!$A:$B,2,FALSE),"")</f>
        <v>C</v>
      </c>
      <c r="BO27" s="31" t="str">
        <f>IFERROR(VLOOKUP([2]Pointage!BS21,Feuil1!$A:$B,2,FALSE),"")</f>
        <v/>
      </c>
      <c r="BP27" s="31" t="str">
        <f>IFERROR(VLOOKUP([2]Pointage!BT21,Feuil1!$A:$B,2,FALSE),"")</f>
        <v/>
      </c>
      <c r="BQ27" s="31" t="str">
        <f>IFERROR(VLOOKUP([2]Pointage!BU21,Feuil1!$A:$B,2,FALSE),"")</f>
        <v/>
      </c>
      <c r="BR27" s="31" t="str">
        <f>IFERROR(VLOOKUP([2]Pointage!BV21,Feuil1!$A:$B,2,FALSE),"")</f>
        <v/>
      </c>
      <c r="BS27" s="31" t="str">
        <f>IFERROR(VLOOKUP([2]Pointage!BW21,Feuil1!$A:$B,2,FALSE),"")</f>
        <v/>
      </c>
      <c r="BT27" s="31" t="str">
        <f>IFERROR(VLOOKUP([2]Pointage!BX21,Feuil1!$A:$B,2,FALSE),"")</f>
        <v/>
      </c>
      <c r="BU27" s="31" t="str">
        <f>IFERROR(VLOOKUP([2]Pointage!BY21,Feuil1!$A:$B,2,FALSE),"")</f>
        <v/>
      </c>
      <c r="BV27" s="31" t="str">
        <f>IFERROR(VLOOKUP([2]Pointage!BZ21,Feuil1!$A:$B,2,FALSE),"")</f>
        <v/>
      </c>
      <c r="BW27" s="31" t="str">
        <f>IFERROR(VLOOKUP([2]Pointage!CA21,Feuil1!$A:$B,2,FALSE),"")</f>
        <v/>
      </c>
      <c r="BX27" s="31" t="str">
        <f>IFERROR(VLOOKUP([2]Pointage!CB21,Feuil1!$A:$B,2,FALSE),"")</f>
        <v/>
      </c>
      <c r="BY27" s="31" t="str">
        <f>IFERROR(VLOOKUP([2]Pointage!CC21,Feuil1!$A:$B,2,FALSE),"")</f>
        <v/>
      </c>
      <c r="BZ27" s="31" t="str">
        <f>IFERROR(VLOOKUP([2]Pointage!CD21,Feuil1!$A:$B,2,FALSE),"")</f>
        <v/>
      </c>
      <c r="CA27" s="31" t="str">
        <f>IFERROR(VLOOKUP([2]Pointage!CE21,Feuil1!$A:$B,2,FALSE),"")</f>
        <v/>
      </c>
      <c r="CB27" s="31" t="str">
        <f>IFERROR(VLOOKUP([2]Pointage!CF21,Feuil1!$A:$B,2,FALSE),"")</f>
        <v/>
      </c>
      <c r="CC27" s="31" t="str">
        <f>IFERROR(VLOOKUP([2]Pointage!CG21,Feuil1!$A:$B,2,FALSE),"")</f>
        <v/>
      </c>
      <c r="CD27" s="31" t="str">
        <f>IFERROR(VLOOKUP([2]Pointage!CH21,Feuil1!$A:$B,2,FALSE),"")</f>
        <v/>
      </c>
      <c r="CE27" s="31" t="str">
        <f>IFERROR(VLOOKUP([2]Pointage!CI21,Feuil1!$A:$B,2,FALSE),"")</f>
        <v/>
      </c>
      <c r="CF27" s="31" t="str">
        <f>IFERROR(VLOOKUP([2]Pointage!CJ21,Feuil1!$A:$B,2,FALSE),"")</f>
        <v/>
      </c>
      <c r="CG27" s="31" t="str">
        <f>IFERROR(VLOOKUP([2]Pointage!CK21,Feuil1!$A:$B,2,FALSE),"")</f>
        <v/>
      </c>
      <c r="CH27" s="31" t="str">
        <f>IFERROR(VLOOKUP([2]Pointage!CL21,Feuil1!$A:$B,2,FALSE),"")</f>
        <v/>
      </c>
      <c r="CI27" s="31" t="str">
        <f>IFERROR(VLOOKUP([2]Pointage!CM21,Feuil1!$A:$B,2,FALSE),"")</f>
        <v/>
      </c>
      <c r="CJ27" s="31" t="str">
        <f>IFERROR(VLOOKUP([2]Pointage!CN21,Feuil1!$A:$B,2,FALSE),"")</f>
        <v/>
      </c>
      <c r="CK27" s="31" t="str">
        <f>IFERROR(VLOOKUP([2]Pointage!CO21,Feuil1!$A:$B,2,FALSE),"")</f>
        <v/>
      </c>
      <c r="CL27" s="31" t="str">
        <f>IFERROR(VLOOKUP([2]Pointage!CP21,Feuil1!$A:$B,2,FALSE),"")</f>
        <v/>
      </c>
      <c r="CM27" s="31" t="str">
        <f>IFERROR(VLOOKUP([2]Pointage!CQ21,Feuil1!$A:$B,2,FALSE),"")</f>
        <v/>
      </c>
      <c r="CN27" s="31" t="str">
        <f>IFERROR(VLOOKUP([2]Pointage!CR21,Feuil1!$A:$B,2,FALSE),"")</f>
        <v/>
      </c>
      <c r="CO27" s="31" t="str">
        <f>IFERROR(VLOOKUP([2]Pointage!CS21,Feuil1!$A:$B,2,FALSE),"")</f>
        <v/>
      </c>
      <c r="CP27" s="31" t="str">
        <f>IFERROR(VLOOKUP([2]Pointage!CT21,Feuil1!$A:$B,2,FALSE),"")</f>
        <v/>
      </c>
      <c r="CQ27" s="82" t="str">
        <f>IFERROR(VLOOKUP([2]Pointage!CU21,Feuil1!$A:$B,2,FALSE),"")</f>
        <v/>
      </c>
      <c r="CR27" s="47" t="str">
        <f>IFERROR(VLOOKUP([2]Pointage!CV21,Feuil1!$A:$B,2,FALSE),"")</f>
        <v/>
      </c>
      <c r="CS27" s="31" t="str">
        <f>IFERROR(VLOOKUP([2]Pointage!CW21,Feuil1!$A:$B,2,FALSE),"")</f>
        <v/>
      </c>
      <c r="CT27" s="31" t="str">
        <f>IFERROR(VLOOKUP([2]Pointage!CX21,Feuil1!$A:$B,2,FALSE),"")</f>
        <v/>
      </c>
      <c r="CU27" s="31" t="str">
        <f>IFERROR(VLOOKUP([2]Pointage!CY21,Feuil1!$A:$B,2,FALSE),"")</f>
        <v/>
      </c>
      <c r="CV27" s="31" t="str">
        <f>IFERROR(VLOOKUP([2]Pointage!CZ21,Feuil1!$A:$B,2,FALSE),"")</f>
        <v/>
      </c>
      <c r="CW27" s="31" t="str">
        <f>IFERROR(VLOOKUP([2]Pointage!DA21,Feuil1!$A:$B,2,FALSE),"")</f>
        <v/>
      </c>
      <c r="CX27" s="31" t="str">
        <f>IFERROR(VLOOKUP([2]Pointage!DB21,Feuil1!$A:$B,2,FALSE),"")</f>
        <v/>
      </c>
      <c r="CY27" s="31" t="str">
        <f>IFERROR(VLOOKUP([2]Pointage!DC21,Feuil1!$A:$B,2,FALSE),"")</f>
        <v/>
      </c>
      <c r="CZ27" s="31" t="str">
        <f>IFERROR(VLOOKUP([2]Pointage!DD21,Feuil1!$A:$B,2,FALSE),"")</f>
        <v/>
      </c>
      <c r="DA27" s="31" t="str">
        <f>IFERROR(VLOOKUP([2]Pointage!DE21,Feuil1!$A:$B,2,FALSE),"")</f>
        <v/>
      </c>
      <c r="DB27" s="31" t="str">
        <f>IFERROR(VLOOKUP([2]Pointage!DF21,Feuil1!$A:$B,2,FALSE),"")</f>
        <v/>
      </c>
      <c r="DC27" s="31" t="str">
        <f>IFERROR(VLOOKUP([2]Pointage!DG21,Feuil1!$A:$B,2,FALSE),"")</f>
        <v/>
      </c>
      <c r="DD27" s="31" t="str">
        <f>IFERROR(VLOOKUP([2]Pointage!DH21,Feuil1!$A:$B,2,FALSE),"")</f>
        <v/>
      </c>
      <c r="DE27" s="31" t="str">
        <f>IFERROR(VLOOKUP([2]Pointage!DI21,Feuil1!$A:$B,2,FALSE),"")</f>
        <v/>
      </c>
      <c r="DF27" s="31" t="str">
        <f>IFERROR(VLOOKUP([2]Pointage!DJ21,Feuil1!$A:$B,2,FALSE),"")</f>
        <v/>
      </c>
      <c r="DG27" s="31" t="str">
        <f>IFERROR(VLOOKUP([2]Pointage!DK21,Feuil1!$A:$B,2,FALSE),"")</f>
        <v/>
      </c>
      <c r="DH27" s="31" t="str">
        <f>IFERROR(VLOOKUP([2]Pointage!DL21,Feuil1!$A:$B,2,FALSE),"")</f>
        <v/>
      </c>
      <c r="DI27" s="31" t="str">
        <f>IFERROR(VLOOKUP([2]Pointage!DM21,Feuil1!$A:$B,2,FALSE),"")</f>
        <v/>
      </c>
      <c r="DJ27" s="31" t="str">
        <f>IFERROR(VLOOKUP([2]Pointage!DN21,Feuil1!$A:$B,2,FALSE),"")</f>
        <v/>
      </c>
      <c r="DK27" s="31" t="str">
        <f>IFERROR(VLOOKUP([2]Pointage!DO21,Feuil1!$A:$B,2,FALSE),"")</f>
        <v>C</v>
      </c>
      <c r="DL27" s="31" t="str">
        <f>IFERROR(VLOOKUP([2]Pointage!DP21,Feuil1!$A:$B,2,FALSE),"")</f>
        <v/>
      </c>
      <c r="DM27" s="31" t="str">
        <f>IFERROR(VLOOKUP([2]Pointage!DQ21,Feuil1!$A:$B,2,FALSE),"")</f>
        <v/>
      </c>
      <c r="DN27" s="31" t="str">
        <f>IFERROR(VLOOKUP([2]Pointage!DR21,Feuil1!$A:$B,2,FALSE),"")</f>
        <v>C</v>
      </c>
      <c r="DO27" s="31" t="str">
        <f>IFERROR(VLOOKUP([2]Pointage!DS21,Feuil1!$A:$B,2,FALSE),"")</f>
        <v>C</v>
      </c>
      <c r="DP27" s="31" t="str">
        <f>IFERROR(VLOOKUP([2]Pointage!DT21,Feuil1!$A:$B,2,FALSE),"")</f>
        <v>C</v>
      </c>
      <c r="DQ27" s="31" t="str">
        <f>IFERROR(VLOOKUP([2]Pointage!DU21,Feuil1!$A:$B,2,FALSE),"")</f>
        <v>C</v>
      </c>
      <c r="DR27" s="31" t="str">
        <f>IFERROR(VLOOKUP([2]Pointage!DV21,Feuil1!$A:$B,2,FALSE),"")</f>
        <v>C</v>
      </c>
      <c r="DS27" s="31" t="str">
        <f>IFERROR(VLOOKUP([2]Pointage!DW21,Feuil1!$A:$B,2,FALSE),"")</f>
        <v/>
      </c>
      <c r="DT27" s="31" t="str">
        <f>IFERROR(VLOOKUP([2]Pointage!DX21,Feuil1!$A:$B,2,FALSE),"")</f>
        <v/>
      </c>
      <c r="DU27" s="82" t="str">
        <f>IFERROR(VLOOKUP([2]Pointage!DY21,Feuil1!$A:$B,2,FALSE),"")</f>
        <v>C</v>
      </c>
      <c r="DV27" s="47" t="str">
        <f>IFERROR(VLOOKUP([2]Pointage!DZ21,Feuil1!$A:$B,2,FALSE),"")</f>
        <v/>
      </c>
      <c r="DW27" s="31" t="str">
        <f>IFERROR(VLOOKUP([2]Pointage!EA21,Feuil1!$A:$B,2,FALSE),"")</f>
        <v>C</v>
      </c>
      <c r="DX27" s="31" t="str">
        <f>IFERROR(VLOOKUP([2]Pointage!EB21,Feuil1!$A:$B,2,FALSE),"")</f>
        <v>C</v>
      </c>
      <c r="DY27" s="31" t="str">
        <f>IFERROR(VLOOKUP([2]Pointage!EC21,Feuil1!$A:$B,2,FALSE),"")</f>
        <v>C</v>
      </c>
      <c r="DZ27" s="31" t="str">
        <f>IFERROR(VLOOKUP([2]Pointage!ED21,Feuil1!$A:$B,2,FALSE),"")</f>
        <v/>
      </c>
      <c r="EA27" s="31" t="str">
        <f>IFERROR(VLOOKUP([2]Pointage!EE21,Feuil1!$A:$B,2,FALSE),"")</f>
        <v/>
      </c>
      <c r="EB27" s="31" t="str">
        <f>IFERROR(VLOOKUP([2]Pointage!EF21,Feuil1!$A:$B,2,FALSE),"")</f>
        <v/>
      </c>
      <c r="EC27" s="31" t="str">
        <f>IFERROR(VLOOKUP([2]Pointage!EG21,Feuil1!$A:$B,2,FALSE),"")</f>
        <v/>
      </c>
      <c r="ED27" s="31" t="str">
        <f>IFERROR(VLOOKUP([2]Pointage!EH21,Feuil1!$A:$B,2,FALSE),"")</f>
        <v/>
      </c>
      <c r="EE27" s="31" t="str">
        <f>IFERROR(VLOOKUP([2]Pointage!EI21,Feuil1!$A:$B,2,FALSE),"")</f>
        <v/>
      </c>
      <c r="EF27" s="31" t="str">
        <f>IFERROR(VLOOKUP([2]Pointage!EJ21,Feuil1!$A:$B,2,FALSE),"")</f>
        <v/>
      </c>
      <c r="EG27" s="31" t="str">
        <f>IFERROR(VLOOKUP([2]Pointage!EK21,Feuil1!$A:$B,2,FALSE),"")</f>
        <v/>
      </c>
      <c r="EH27" s="31" t="str">
        <f>IFERROR(VLOOKUP([2]Pointage!EL21,Feuil1!$A:$B,2,FALSE),"")</f>
        <v/>
      </c>
      <c r="EI27" s="31" t="str">
        <f>IFERROR(VLOOKUP([2]Pointage!EM21,Feuil1!$A:$B,2,FALSE),"")</f>
        <v/>
      </c>
      <c r="EJ27" s="31" t="str">
        <f>IFERROR(VLOOKUP([2]Pointage!EN21,Feuil1!$A:$B,2,FALSE),"")</f>
        <v/>
      </c>
      <c r="EK27" s="31" t="str">
        <f>IFERROR(VLOOKUP([2]Pointage!EO21,Feuil1!$A:$B,2,FALSE),"")</f>
        <v/>
      </c>
      <c r="EL27" s="31" t="str">
        <f>IFERROR(VLOOKUP([2]Pointage!EP21,Feuil1!$A:$B,2,FALSE),"")</f>
        <v/>
      </c>
      <c r="EM27" s="31" t="str">
        <f>IFERROR(VLOOKUP([2]Pointage!EQ21,Feuil1!$A:$B,2,FALSE),"")</f>
        <v/>
      </c>
      <c r="EN27" s="31" t="str">
        <f>IFERROR(VLOOKUP([2]Pointage!ER21,Feuil1!$A:$B,2,FALSE),"")</f>
        <v/>
      </c>
      <c r="EO27" s="31" t="str">
        <f>IFERROR(VLOOKUP([2]Pointage!ES21,Feuil1!$A:$B,2,FALSE),"")</f>
        <v/>
      </c>
      <c r="EP27" s="31" t="str">
        <f>IFERROR(VLOOKUP([2]Pointage!ET21,Feuil1!$A:$B,2,FALSE),"")</f>
        <v/>
      </c>
      <c r="EQ27" s="31" t="str">
        <f>IFERROR(VLOOKUP([2]Pointage!EU21,Feuil1!$A:$B,2,FALSE),"")</f>
        <v/>
      </c>
      <c r="ER27" s="31" t="str">
        <f>IFERROR(VLOOKUP([2]Pointage!EV21,Feuil1!$A:$B,2,FALSE),"")</f>
        <v/>
      </c>
      <c r="ES27" s="31" t="str">
        <f>IFERROR(VLOOKUP([2]Pointage!EW21,Feuil1!$A:$B,2,FALSE),"")</f>
        <v/>
      </c>
      <c r="ET27" s="31" t="str">
        <f>IFERROR(VLOOKUP([2]Pointage!EX21,Feuil1!$A:$B,2,FALSE),"")</f>
        <v/>
      </c>
      <c r="EU27" s="31" t="str">
        <f>IFERROR(VLOOKUP([2]Pointage!EY21,Feuil1!$A:$B,2,FALSE),"")</f>
        <v/>
      </c>
      <c r="EV27" s="31" t="str">
        <f>IFERROR(VLOOKUP([2]Pointage!EZ21,Feuil1!$A:$B,2,FALSE),"")</f>
        <v/>
      </c>
      <c r="EW27" s="31" t="str">
        <f>IFERROR(VLOOKUP([2]Pointage!FA21,Feuil1!$A:$B,2,FALSE),"")</f>
        <v/>
      </c>
      <c r="EX27" s="31" t="str">
        <f>IFERROR(VLOOKUP([2]Pointage!FB21,Feuil1!$A:$B,2,FALSE),"")</f>
        <v/>
      </c>
      <c r="EY27" s="31" t="str">
        <f>IFERROR(VLOOKUP([2]Pointage!FC21,Feuil1!$A:$B,2,FALSE),"")</f>
        <v/>
      </c>
      <c r="EZ27" s="82" t="str">
        <f>IFERROR(VLOOKUP([2]Pointage!FD21,Feuil1!$A:$B,2,FALSE),"")</f>
        <v/>
      </c>
      <c r="FA27" s="47" t="str">
        <f>IFERROR(VLOOKUP([2]Pointage!FE21,Feuil1!$A:$B,2,FALSE),"")</f>
        <v/>
      </c>
      <c r="FB27" s="31" t="str">
        <f>IFERROR(VLOOKUP([2]Pointage!FF21,Feuil1!$A:$B,2,FALSE),"")</f>
        <v/>
      </c>
      <c r="FC27" s="31" t="str">
        <f>IFERROR(VLOOKUP([2]Pointage!FG21,Feuil1!$A:$B,2,FALSE),"")</f>
        <v/>
      </c>
      <c r="FD27" s="31" t="str">
        <f>IFERROR(VLOOKUP([2]Pointage!FH21,Feuil1!$A:$B,2,FALSE),"")</f>
        <v/>
      </c>
      <c r="FE27" s="31" t="str">
        <f>IFERROR(VLOOKUP([2]Pointage!FI21,Feuil1!$A:$B,2,FALSE),"")</f>
        <v/>
      </c>
      <c r="FF27" s="31" t="str">
        <f>IFERROR(VLOOKUP([2]Pointage!FJ21,Feuil1!$A:$B,2,FALSE),"")</f>
        <v/>
      </c>
      <c r="FG27" s="31" t="str">
        <f>IFERROR(VLOOKUP([2]Pointage!FK21,Feuil1!$A:$B,2,FALSE),"")</f>
        <v/>
      </c>
      <c r="FH27" s="31" t="str">
        <f>IFERROR(VLOOKUP([2]Pointage!FL21,Feuil1!$A:$B,2,FALSE),"")</f>
        <v/>
      </c>
      <c r="FI27" s="31" t="str">
        <f>IFERROR(VLOOKUP([2]Pointage!FM21,Feuil1!$A:$B,2,FALSE),"")</f>
        <v/>
      </c>
      <c r="FJ27" s="31" t="str">
        <f>IFERROR(VLOOKUP([2]Pointage!FN21,Feuil1!$A:$B,2,FALSE),"")</f>
        <v/>
      </c>
      <c r="FK27" s="31" t="str">
        <f>IFERROR(VLOOKUP([2]Pointage!FO21,Feuil1!$A:$B,2,FALSE),"")</f>
        <v/>
      </c>
      <c r="FL27" s="31" t="str">
        <f>IFERROR(VLOOKUP([2]Pointage!FP21,Feuil1!$A:$B,2,FALSE),"")</f>
        <v/>
      </c>
      <c r="FM27" s="31" t="str">
        <f>IFERROR(VLOOKUP([2]Pointage!FQ21,Feuil1!$A:$B,2,FALSE),"")</f>
        <v/>
      </c>
      <c r="FN27" s="31" t="str">
        <f>IFERROR(VLOOKUP([2]Pointage!FR21,Feuil1!$A:$B,2,FALSE),"")</f>
        <v/>
      </c>
      <c r="FO27" s="31" t="str">
        <f>IFERROR(VLOOKUP([2]Pointage!FS21,Feuil1!$A:$B,2,FALSE),"")</f>
        <v/>
      </c>
      <c r="FP27" s="31" t="str">
        <f>IFERROR(VLOOKUP([2]Pointage!FT21,Feuil1!$A:$B,2,FALSE),"")</f>
        <v/>
      </c>
      <c r="FQ27" s="31" t="str">
        <f>IFERROR(VLOOKUP([2]Pointage!FU21,Feuil1!$A:$B,2,FALSE),"")</f>
        <v/>
      </c>
      <c r="FR27" s="31" t="str">
        <f>IFERROR(VLOOKUP([2]Pointage!FV21,Feuil1!$A:$B,2,FALSE),"")</f>
        <v/>
      </c>
      <c r="FS27" s="31" t="str">
        <f>IFERROR(VLOOKUP([2]Pointage!FW21,Feuil1!$A:$B,2,FALSE),"")</f>
        <v/>
      </c>
      <c r="FT27" s="31" t="str">
        <f>IFERROR(VLOOKUP([2]Pointage!FX21,Feuil1!$A:$B,2,FALSE),"")</f>
        <v/>
      </c>
      <c r="FU27" s="31" t="str">
        <f>IFERROR(VLOOKUP([2]Pointage!FY21,Feuil1!$A:$B,2,FALSE),"")</f>
        <v/>
      </c>
      <c r="FV27" s="31" t="str">
        <f>IFERROR(VLOOKUP([2]Pointage!FZ21,Feuil1!$A:$B,2,FALSE),"")</f>
        <v/>
      </c>
      <c r="FW27" s="31" t="str">
        <f>IFERROR(VLOOKUP([2]Pointage!GA21,Feuil1!$A:$B,2,FALSE),"")</f>
        <v/>
      </c>
      <c r="FX27" s="31" t="str">
        <f>IFERROR(VLOOKUP([2]Pointage!GB21,Feuil1!$A:$B,2,FALSE),"")</f>
        <v/>
      </c>
      <c r="FY27" s="31" t="str">
        <f>IFERROR(VLOOKUP([2]Pointage!GC21,Feuil1!$A:$B,2,FALSE),"")</f>
        <v/>
      </c>
      <c r="FZ27" s="31" t="str">
        <f>IFERROR(VLOOKUP([2]Pointage!GD21,Feuil1!$A:$B,2,FALSE),"")</f>
        <v/>
      </c>
      <c r="GA27" s="31" t="str">
        <f>IFERROR(VLOOKUP([2]Pointage!GE21,Feuil1!$A:$B,2,FALSE),"")</f>
        <v/>
      </c>
      <c r="GB27" s="31" t="str">
        <f>IFERROR(VLOOKUP([2]Pointage!GF21,Feuil1!$A:$B,2,FALSE),"")</f>
        <v/>
      </c>
      <c r="GC27" s="31" t="str">
        <f>IFERROR(VLOOKUP([2]Pointage!GG21,Feuil1!$A:$B,2,FALSE),"")</f>
        <v/>
      </c>
      <c r="GD27" s="82" t="str">
        <f>IFERROR(VLOOKUP([2]Pointage!GH21,Feuil1!$A:$B,2,FALSE),"")</f>
        <v/>
      </c>
      <c r="GE27" s="47" t="str">
        <f>IFERROR(VLOOKUP([2]Pointage!GI21,Feuil1!$A:$B,2,FALSE),"")</f>
        <v/>
      </c>
      <c r="GF27" s="31" t="str">
        <f>IFERROR(VLOOKUP([2]Pointage!GJ21,Feuil1!$A:$B,2,FALSE),"")</f>
        <v/>
      </c>
      <c r="GG27" s="31" t="str">
        <f>IFERROR(VLOOKUP([2]Pointage!GK21,Feuil1!$A:$B,2,FALSE),"")</f>
        <v/>
      </c>
      <c r="GH27" s="31" t="str">
        <f>IFERROR(VLOOKUP([2]Pointage!GL21,Feuil1!$A:$B,2,FALSE),"")</f>
        <v/>
      </c>
      <c r="GI27" s="31" t="str">
        <f>IFERROR(VLOOKUP([2]Pointage!GM21,Feuil1!$A:$B,2,FALSE),"")</f>
        <v/>
      </c>
      <c r="GJ27" s="31" t="str">
        <f>IFERROR(VLOOKUP([2]Pointage!GN21,Feuil1!$A:$B,2,FALSE),"")</f>
        <v/>
      </c>
      <c r="GK27" s="31" t="str">
        <f>IFERROR(VLOOKUP([2]Pointage!GO21,Feuil1!$A:$B,2,FALSE),"")</f>
        <v/>
      </c>
      <c r="GL27" s="31" t="str">
        <f>IFERROR(VLOOKUP([2]Pointage!GP21,Feuil1!$A:$B,2,FALSE),"")</f>
        <v/>
      </c>
      <c r="GM27" s="31" t="str">
        <f>IFERROR(VLOOKUP([2]Pointage!GQ21,Feuil1!$A:$B,2,FALSE),"")</f>
        <v>C</v>
      </c>
      <c r="GN27" s="31" t="str">
        <f>IFERROR(VLOOKUP([2]Pointage!GR21,Feuil1!$A:$B,2,FALSE),"")</f>
        <v>C</v>
      </c>
      <c r="GO27" s="31" t="str">
        <f>IFERROR(VLOOKUP([2]Pointage!GS21,Feuil1!$A:$B,2,FALSE),"")</f>
        <v>C</v>
      </c>
      <c r="GP27" s="31" t="str">
        <f>IFERROR(VLOOKUP([2]Pointage!GT21,Feuil1!$A:$B,2,FALSE),"")</f>
        <v>C</v>
      </c>
      <c r="GQ27" s="31" t="str">
        <f>IFERROR(VLOOKUP([2]Pointage!GU21,Feuil1!$A:$B,2,FALSE),"")</f>
        <v>C</v>
      </c>
      <c r="GR27" s="31" t="str">
        <f>IFERROR(VLOOKUP([2]Pointage!GV21,Feuil1!$A:$B,2,FALSE),"")</f>
        <v/>
      </c>
      <c r="GS27" s="31" t="str">
        <f>IFERROR(VLOOKUP([2]Pointage!GW21,Feuil1!$A:$B,2,FALSE),"")</f>
        <v/>
      </c>
      <c r="GT27" s="31" t="str">
        <f>IFERROR(VLOOKUP([2]Pointage!GX21,Feuil1!$A:$B,2,FALSE),"")</f>
        <v>C</v>
      </c>
      <c r="GU27" s="31" t="str">
        <f>IFERROR(VLOOKUP([2]Pointage!GY21,Feuil1!$A:$B,2,FALSE),"")</f>
        <v>C</v>
      </c>
      <c r="GV27" s="31" t="str">
        <f>IFERROR(VLOOKUP([2]Pointage!GZ21,Feuil1!$A:$B,2,FALSE),"")</f>
        <v>C</v>
      </c>
      <c r="GW27" s="31" t="str">
        <f>IFERROR(VLOOKUP([2]Pointage!HA21,Feuil1!$A:$B,2,FALSE),"")</f>
        <v>C</v>
      </c>
      <c r="GX27" s="31" t="str">
        <f>IFERROR(VLOOKUP([2]Pointage!HB21,Feuil1!$A:$B,2,FALSE),"")</f>
        <v>C</v>
      </c>
      <c r="GY27" s="31" t="str">
        <f>IFERROR(VLOOKUP([2]Pointage!HC21,Feuil1!$A:$B,2,FALSE),"")</f>
        <v/>
      </c>
      <c r="GZ27" s="31" t="str">
        <f>IFERROR(VLOOKUP([2]Pointage!HD21,Feuil1!$A:$B,2,FALSE),"")</f>
        <v/>
      </c>
      <c r="HA27" s="31" t="str">
        <f>IFERROR(VLOOKUP([2]Pointage!HE21,Feuil1!$A:$B,2,FALSE),"")</f>
        <v>C</v>
      </c>
      <c r="HB27" s="31" t="str">
        <f>IFERROR(VLOOKUP([2]Pointage!HF21,Feuil1!$A:$B,2,FALSE),"")</f>
        <v>C</v>
      </c>
      <c r="HC27" s="31" t="str">
        <f>IFERROR(VLOOKUP([2]Pointage!HG21,Feuil1!$A:$B,2,FALSE),"")</f>
        <v>C</v>
      </c>
      <c r="HD27" s="31" t="str">
        <f>IFERROR(VLOOKUP([2]Pointage!HH21,Feuil1!$A:$B,2,FALSE),"")</f>
        <v>C</v>
      </c>
      <c r="HE27" s="31" t="str">
        <f>IFERROR(VLOOKUP([2]Pointage!HI21,Feuil1!$A:$B,2,FALSE),"")</f>
        <v>C</v>
      </c>
      <c r="HF27" s="31" t="str">
        <f>IFERROR(VLOOKUP([2]Pointage!HJ21,Feuil1!$A:$B,2,FALSE),"")</f>
        <v/>
      </c>
      <c r="HG27" s="31" t="str">
        <f>IFERROR(VLOOKUP([2]Pointage!HK21,Feuil1!$A:$B,2,FALSE),"")</f>
        <v/>
      </c>
      <c r="HH27" s="31" t="str">
        <f>IFERROR(VLOOKUP([2]Pointage!HL21,Feuil1!$A:$B,2,FALSE),"")</f>
        <v/>
      </c>
      <c r="HI27" s="82" t="str">
        <f>IFERROR(VLOOKUP([2]Pointage!HM21,Feuil1!$A:$B,2,FALSE),"")</f>
        <v/>
      </c>
      <c r="HJ27" s="47" t="str">
        <f>IFERROR(VLOOKUP([2]Pointage!HN21,Feuil1!$A:$B,2,FALSE),"")</f>
        <v/>
      </c>
      <c r="HK27" s="31" t="str">
        <f>IFERROR(VLOOKUP([2]Pointage!HO21,Feuil1!$A:$B,2,FALSE),"")</f>
        <v/>
      </c>
      <c r="HL27" s="31" t="str">
        <f>IFERROR(VLOOKUP([2]Pointage!HP21,Feuil1!$A:$B,2,FALSE),"")</f>
        <v/>
      </c>
      <c r="HM27" s="31" t="str">
        <f>IFERROR(VLOOKUP([2]Pointage!HQ21,Feuil1!$A:$B,2,FALSE),"")</f>
        <v/>
      </c>
      <c r="HN27" s="31" t="str">
        <f>IFERROR(VLOOKUP([2]Pointage!HR21,Feuil1!$A:$B,2,FALSE),"")</f>
        <v/>
      </c>
      <c r="HO27" s="31" t="str">
        <f>IFERROR(VLOOKUP([2]Pointage!HS21,Feuil1!$A:$B,2,FALSE),"")</f>
        <v/>
      </c>
      <c r="HP27" s="31" t="str">
        <f>IFERROR(VLOOKUP([2]Pointage!HT21,Feuil1!$A:$B,2,FALSE),"")</f>
        <v/>
      </c>
      <c r="HQ27" s="31" t="str">
        <f>IFERROR(VLOOKUP([2]Pointage!HU21,Feuil1!$A:$B,2,FALSE),"")</f>
        <v/>
      </c>
      <c r="HR27" s="31" t="str">
        <f>IFERROR(VLOOKUP([2]Pointage!HV21,Feuil1!$A:$B,2,FALSE),"")</f>
        <v/>
      </c>
      <c r="HS27" s="31" t="str">
        <f>IFERROR(VLOOKUP([2]Pointage!HW21,Feuil1!$A:$B,2,FALSE),"")</f>
        <v/>
      </c>
      <c r="HT27" s="31" t="str">
        <f>IFERROR(VLOOKUP([2]Pointage!HX21,Feuil1!$A:$B,2,FALSE),"")</f>
        <v/>
      </c>
      <c r="HU27" s="31" t="str">
        <f>IFERROR(VLOOKUP([2]Pointage!HY21,Feuil1!$A:$B,2,FALSE),"")</f>
        <v/>
      </c>
      <c r="HV27" s="31" t="str">
        <f>IFERROR(VLOOKUP([2]Pointage!HZ21,Feuil1!$A:$B,2,FALSE),"")</f>
        <v/>
      </c>
      <c r="HW27" s="31" t="str">
        <f>IFERROR(VLOOKUP([2]Pointage!IA21,Feuil1!$A:$B,2,FALSE),"")</f>
        <v/>
      </c>
      <c r="HX27" s="31" t="str">
        <f>IFERROR(VLOOKUP([2]Pointage!IB21,Feuil1!$A:$B,2,FALSE),"")</f>
        <v/>
      </c>
      <c r="HY27" s="31" t="str">
        <f>IFERROR(VLOOKUP([2]Pointage!IC21,Feuil1!$A:$B,2,FALSE),"")</f>
        <v/>
      </c>
      <c r="HZ27" s="31" t="str">
        <f>IFERROR(VLOOKUP([2]Pointage!ID21,Feuil1!$A:$B,2,FALSE),"")</f>
        <v/>
      </c>
      <c r="IA27" s="31" t="str">
        <f>IFERROR(VLOOKUP([2]Pointage!IE21,Feuil1!$A:$B,2,FALSE),"")</f>
        <v/>
      </c>
      <c r="IB27" s="31" t="str">
        <f>IFERROR(VLOOKUP([2]Pointage!IF21,Feuil1!$A:$B,2,FALSE),"")</f>
        <v/>
      </c>
      <c r="IC27" s="31" t="str">
        <f>IFERROR(VLOOKUP([2]Pointage!IG21,Feuil1!$A:$B,2,FALSE),"")</f>
        <v/>
      </c>
      <c r="ID27" s="31" t="str">
        <f>IFERROR(VLOOKUP([2]Pointage!IH21,Feuil1!$A:$B,2,FALSE),"")</f>
        <v/>
      </c>
      <c r="IE27" s="31" t="str">
        <f>IFERROR(VLOOKUP([2]Pointage!II21,Feuil1!$A:$B,2,FALSE),"")</f>
        <v/>
      </c>
      <c r="IF27" s="31" t="str">
        <f>IFERROR(VLOOKUP([2]Pointage!IJ21,Feuil1!$A:$B,2,FALSE),"")</f>
        <v/>
      </c>
      <c r="IG27" s="31" t="str">
        <f>IFERROR(VLOOKUP([2]Pointage!IK21,Feuil1!$A:$B,2,FALSE),"")</f>
        <v/>
      </c>
      <c r="IH27" s="31" t="str">
        <f>IFERROR(VLOOKUP([2]Pointage!IL21,Feuil1!$A:$B,2,FALSE),"")</f>
        <v/>
      </c>
      <c r="II27" s="31" t="str">
        <f>IFERROR(VLOOKUP([2]Pointage!IM21,Feuil1!$A:$B,2,FALSE),"")</f>
        <v/>
      </c>
      <c r="IJ27" s="31" t="str">
        <f>IFERROR(VLOOKUP([2]Pointage!IN21,Feuil1!$A:$B,2,FALSE),"")</f>
        <v/>
      </c>
      <c r="IK27" s="31" t="str">
        <f>IFERROR(VLOOKUP([2]Pointage!IO21,Feuil1!$A:$B,2,FALSE),"")</f>
        <v/>
      </c>
      <c r="IL27" s="31" t="str">
        <f>IFERROR(VLOOKUP([2]Pointage!IP21,Feuil1!$A:$B,2,FALSE),"")</f>
        <v/>
      </c>
      <c r="IM27" s="31" t="str">
        <f>IFERROR(VLOOKUP([2]Pointage!IQ21,Feuil1!$A:$B,2,FALSE),"")</f>
        <v/>
      </c>
      <c r="IN27" s="82" t="str">
        <f>IFERROR(VLOOKUP([2]Pointage!IR21,Feuil1!$A:$B,2,FALSE),"")</f>
        <v/>
      </c>
      <c r="IO27" s="47" t="str">
        <f>IFERROR(VLOOKUP([2]Pointage!IS21,Feuil1!$A:$B,2,FALSE),"")</f>
        <v/>
      </c>
      <c r="IP27" s="31" t="str">
        <f>IFERROR(VLOOKUP([2]Pointage!IT21,Feuil1!$A:$B,2,FALSE),"")</f>
        <v/>
      </c>
      <c r="IQ27" s="31" t="str">
        <f>IFERROR(VLOOKUP([2]Pointage!IU21,Feuil1!$A:$B,2,FALSE),"")</f>
        <v/>
      </c>
      <c r="IR27" s="31" t="str">
        <f>IFERROR(VLOOKUP([2]Pointage!IV21,Feuil1!$A:$B,2,FALSE),"")</f>
        <v/>
      </c>
      <c r="IS27" s="31" t="str">
        <f>IFERROR(VLOOKUP([2]Pointage!IW21,Feuil1!$A:$B,2,FALSE),"")</f>
        <v/>
      </c>
      <c r="IT27" s="31" t="str">
        <f>IFERROR(VLOOKUP([2]Pointage!IX21,Feuil1!$A:$B,2,FALSE),"")</f>
        <v/>
      </c>
      <c r="IU27" s="31" t="str">
        <f>IFERROR(VLOOKUP([2]Pointage!IY21,Feuil1!$A:$B,2,FALSE),"")</f>
        <v/>
      </c>
      <c r="IV27" s="31" t="str">
        <f>IFERROR(VLOOKUP([2]Pointage!IZ21,Feuil1!$A:$B,2,FALSE),"")</f>
        <v/>
      </c>
      <c r="IW27" s="31" t="str">
        <f>IFERROR(VLOOKUP([2]Pointage!JA21,Feuil1!$A:$B,2,FALSE),"")</f>
        <v/>
      </c>
      <c r="IX27" s="31" t="str">
        <f>IFERROR(VLOOKUP([2]Pointage!JB21,Feuil1!$A:$B,2,FALSE),"")</f>
        <v/>
      </c>
      <c r="IY27" s="31" t="str">
        <f>IFERROR(VLOOKUP([2]Pointage!JC21,Feuil1!$A:$B,2,FALSE),"")</f>
        <v/>
      </c>
      <c r="IZ27" s="31" t="str">
        <f>IFERROR(VLOOKUP([2]Pointage!JD21,Feuil1!$A:$B,2,FALSE),"")</f>
        <v/>
      </c>
      <c r="JA27" s="31" t="str">
        <f>IFERROR(VLOOKUP([2]Pointage!JE21,Feuil1!$A:$B,2,FALSE),"")</f>
        <v/>
      </c>
      <c r="JB27" s="31" t="str">
        <f>IFERROR(VLOOKUP([2]Pointage!JF21,Feuil1!$A:$B,2,FALSE),"")</f>
        <v/>
      </c>
      <c r="JC27" s="31" t="str">
        <f>IFERROR(VLOOKUP([2]Pointage!JG21,Feuil1!$A:$B,2,FALSE),"")</f>
        <v/>
      </c>
      <c r="JD27" s="31" t="str">
        <f>IFERROR(VLOOKUP([2]Pointage!JH21,Feuil1!$A:$B,2,FALSE),"")</f>
        <v/>
      </c>
      <c r="JE27" s="31" t="str">
        <f>IFERROR(VLOOKUP([2]Pointage!JI21,Feuil1!$A:$B,2,FALSE),"")</f>
        <v/>
      </c>
      <c r="JF27" s="31" t="str">
        <f>IFERROR(VLOOKUP([2]Pointage!JJ21,Feuil1!$A:$B,2,FALSE),"")</f>
        <v/>
      </c>
      <c r="JG27" s="31" t="str">
        <f>IFERROR(VLOOKUP([2]Pointage!JK21,Feuil1!$A:$B,2,FALSE),"")</f>
        <v/>
      </c>
      <c r="JH27" s="31" t="str">
        <f>IFERROR(VLOOKUP([2]Pointage!JL21,Feuil1!$A:$B,2,FALSE),"")</f>
        <v/>
      </c>
      <c r="JI27" s="31" t="str">
        <f>IFERROR(VLOOKUP([2]Pointage!JM21,Feuil1!$A:$B,2,FALSE),"")</f>
        <v/>
      </c>
      <c r="JJ27" s="31" t="str">
        <f>IFERROR(VLOOKUP([2]Pointage!JN21,Feuil1!$A:$B,2,FALSE),"")</f>
        <v/>
      </c>
      <c r="JK27" s="31" t="str">
        <f>IFERROR(VLOOKUP([2]Pointage!JO21,Feuil1!$A:$B,2,FALSE),"")</f>
        <v/>
      </c>
      <c r="JL27" s="31" t="str">
        <f>IFERROR(VLOOKUP([2]Pointage!JP21,Feuil1!$A:$B,2,FALSE),"")</f>
        <v/>
      </c>
      <c r="JM27" s="31" t="str">
        <f>IFERROR(VLOOKUP([2]Pointage!JQ21,Feuil1!$A:$B,2,FALSE),"")</f>
        <v/>
      </c>
      <c r="JN27" s="31" t="str">
        <f>IFERROR(VLOOKUP([2]Pointage!JR21,Feuil1!$A:$B,2,FALSE),"")</f>
        <v/>
      </c>
      <c r="JO27" s="31" t="str">
        <f>IFERROR(VLOOKUP([2]Pointage!JS21,Feuil1!$A:$B,2,FALSE),"")</f>
        <v/>
      </c>
      <c r="JP27" s="31" t="str">
        <f>IFERROR(VLOOKUP([2]Pointage!JT21,Feuil1!$A:$B,2,FALSE),"")</f>
        <v/>
      </c>
      <c r="JQ27" s="31" t="str">
        <f>IFERROR(VLOOKUP([2]Pointage!JU21,Feuil1!$A:$B,2,FALSE),"")</f>
        <v/>
      </c>
      <c r="JR27" s="82" t="str">
        <f>IFERROR(VLOOKUP([2]Pointage!JV21,Feuil1!$A:$B,2,FALSE),"")</f>
        <v/>
      </c>
      <c r="JS27" s="47" t="str">
        <f>IFERROR(VLOOKUP([2]Pointage!JW21,Feuil1!$A:$B,2,FALSE),"")</f>
        <v/>
      </c>
      <c r="JT27" s="31" t="str">
        <f>IFERROR(VLOOKUP([2]Pointage!JX21,Feuil1!$A:$B,2,FALSE),"")</f>
        <v/>
      </c>
      <c r="JU27" s="31" t="str">
        <f>IFERROR(VLOOKUP([2]Pointage!JY21,Feuil1!$A:$B,2,FALSE),"")</f>
        <v/>
      </c>
      <c r="JV27" s="31" t="str">
        <f>IFERROR(VLOOKUP([2]Pointage!JZ21,Feuil1!$A:$B,2,FALSE),"")</f>
        <v/>
      </c>
      <c r="JW27" s="31" t="str">
        <f>IFERROR(VLOOKUP([2]Pointage!KA21,Feuil1!$A:$B,2,FALSE),"")</f>
        <v/>
      </c>
      <c r="JX27" s="31" t="str">
        <f>IFERROR(VLOOKUP([2]Pointage!KB21,Feuil1!$A:$B,2,FALSE),"")</f>
        <v/>
      </c>
      <c r="JY27" s="31" t="str">
        <f>IFERROR(VLOOKUP([2]Pointage!KC21,Feuil1!$A:$B,2,FALSE),"")</f>
        <v/>
      </c>
      <c r="JZ27" s="31" t="str">
        <f>IFERROR(VLOOKUP([2]Pointage!KD21,Feuil1!$A:$B,2,FALSE),"")</f>
        <v/>
      </c>
      <c r="KA27" s="31" t="str">
        <f>IFERROR(VLOOKUP([2]Pointage!KE21,Feuil1!$A:$B,2,FALSE),"")</f>
        <v/>
      </c>
      <c r="KB27" s="31" t="str">
        <f>IFERROR(VLOOKUP([2]Pointage!KF21,Feuil1!$A:$B,2,FALSE),"")</f>
        <v/>
      </c>
      <c r="KC27" s="31" t="str">
        <f>IFERROR(VLOOKUP([2]Pointage!KG21,Feuil1!$A:$B,2,FALSE),"")</f>
        <v/>
      </c>
      <c r="KD27" s="31" t="str">
        <f>IFERROR(VLOOKUP([2]Pointage!KH21,Feuil1!$A:$B,2,FALSE),"")</f>
        <v/>
      </c>
      <c r="KE27" s="31" t="str">
        <f>IFERROR(VLOOKUP([2]Pointage!KI21,Feuil1!$A:$B,2,FALSE),"")</f>
        <v/>
      </c>
      <c r="KF27" s="31" t="str">
        <f>IFERROR(VLOOKUP([2]Pointage!KJ21,Feuil1!$A:$B,2,FALSE),"")</f>
        <v/>
      </c>
      <c r="KG27" s="31" t="str">
        <f>IFERROR(VLOOKUP([2]Pointage!KK21,Feuil1!$A:$B,2,FALSE),"")</f>
        <v/>
      </c>
      <c r="KH27" s="31" t="str">
        <f>IFERROR(VLOOKUP([2]Pointage!KL21,Feuil1!$A:$B,2,FALSE),"")</f>
        <v/>
      </c>
      <c r="KI27" s="31" t="str">
        <f>IFERROR(VLOOKUP([2]Pointage!KM21,Feuil1!$A:$B,2,FALSE),"")</f>
        <v/>
      </c>
      <c r="KJ27" s="31" t="str">
        <f>IFERROR(VLOOKUP([2]Pointage!KN21,Feuil1!$A:$B,2,FALSE),"")</f>
        <v/>
      </c>
      <c r="KK27" s="31" t="str">
        <f>IFERROR(VLOOKUP([2]Pointage!KO21,Feuil1!$A:$B,2,FALSE),"")</f>
        <v/>
      </c>
      <c r="KL27" s="31" t="str">
        <f>IFERROR(VLOOKUP([2]Pointage!KP21,Feuil1!$A:$B,2,FALSE),"")</f>
        <v/>
      </c>
      <c r="KM27" s="31" t="str">
        <f>IFERROR(VLOOKUP([2]Pointage!KQ21,Feuil1!$A:$B,2,FALSE),"")</f>
        <v/>
      </c>
      <c r="KN27" s="31" t="str">
        <f>IFERROR(VLOOKUP([2]Pointage!KR21,Feuil1!$A:$B,2,FALSE),"")</f>
        <v/>
      </c>
      <c r="KO27" s="31" t="str">
        <f>IFERROR(VLOOKUP([2]Pointage!KS21,Feuil1!$A:$B,2,FALSE),"")</f>
        <v/>
      </c>
      <c r="KP27" s="31" t="str">
        <f>IFERROR(VLOOKUP([2]Pointage!KT21,Feuil1!$A:$B,2,FALSE),"")</f>
        <v/>
      </c>
      <c r="KQ27" s="31" t="str">
        <f>IFERROR(VLOOKUP([2]Pointage!KU21,Feuil1!$A:$B,2,FALSE),"")</f>
        <v/>
      </c>
      <c r="KR27" s="31" t="str">
        <f>IFERROR(VLOOKUP([2]Pointage!KV21,Feuil1!$A:$B,2,FALSE),"")</f>
        <v/>
      </c>
      <c r="KS27" s="31" t="str">
        <f>IFERROR(VLOOKUP([2]Pointage!KW21,Feuil1!$A:$B,2,FALSE),"")</f>
        <v/>
      </c>
      <c r="KT27" s="31" t="str">
        <f>IFERROR(VLOOKUP([2]Pointage!KX21,Feuil1!$A:$B,2,FALSE),"")</f>
        <v/>
      </c>
      <c r="KU27" s="31" t="str">
        <f>IFERROR(VLOOKUP([2]Pointage!KY21,Feuil1!$A:$B,2,FALSE),"")</f>
        <v/>
      </c>
      <c r="KV27" s="31" t="str">
        <f>IFERROR(VLOOKUP([2]Pointage!KZ21,Feuil1!$A:$B,2,FALSE),"")</f>
        <v/>
      </c>
      <c r="KW27" s="82" t="str">
        <f>IFERROR(VLOOKUP([2]Pointage!LA21,Feuil1!$A:$B,2,FALSE),"")</f>
        <v/>
      </c>
      <c r="KX27" s="47" t="str">
        <f>IFERROR(VLOOKUP([2]Pointage!LB21,Feuil1!$A:$B,2,FALSE),"")</f>
        <v/>
      </c>
      <c r="KY27" s="31" t="str">
        <f>IFERROR(VLOOKUP([2]Pointage!LC21,Feuil1!$A:$B,2,FALSE),"")</f>
        <v/>
      </c>
      <c r="KZ27" s="31" t="str">
        <f>IFERROR(VLOOKUP([2]Pointage!LD21,Feuil1!$A:$B,2,FALSE),"")</f>
        <v/>
      </c>
      <c r="LA27" s="31" t="str">
        <f>IFERROR(VLOOKUP([2]Pointage!LE21,Feuil1!$A:$B,2,FALSE),"")</f>
        <v/>
      </c>
      <c r="LB27" s="31" t="str">
        <f>IFERROR(VLOOKUP([2]Pointage!LF21,Feuil1!$A:$B,2,FALSE),"")</f>
        <v/>
      </c>
      <c r="LC27" s="31" t="str">
        <f>IFERROR(VLOOKUP([2]Pointage!LG21,Feuil1!$A:$B,2,FALSE),"")</f>
        <v/>
      </c>
      <c r="LD27" s="31" t="str">
        <f>IFERROR(VLOOKUP([2]Pointage!LH21,Feuil1!$A:$B,2,FALSE),"")</f>
        <v/>
      </c>
      <c r="LE27" s="31" t="str">
        <f>IFERROR(VLOOKUP([2]Pointage!LI21,Feuil1!$A:$B,2,FALSE),"")</f>
        <v/>
      </c>
      <c r="LF27" s="31" t="str">
        <f>IFERROR(VLOOKUP([2]Pointage!LJ21,Feuil1!$A:$B,2,FALSE),"")</f>
        <v/>
      </c>
      <c r="LG27" s="31" t="str">
        <f>IFERROR(VLOOKUP([2]Pointage!LK21,Feuil1!$A:$B,2,FALSE),"")</f>
        <v/>
      </c>
      <c r="LH27" s="31" t="str">
        <f>IFERROR(VLOOKUP([2]Pointage!LL21,Feuil1!$A:$B,2,FALSE),"")</f>
        <v/>
      </c>
      <c r="LI27" s="31" t="str">
        <f>IFERROR(VLOOKUP([2]Pointage!LM21,Feuil1!$A:$B,2,FALSE),"")</f>
        <v/>
      </c>
      <c r="LJ27" s="31" t="str">
        <f>IFERROR(VLOOKUP([2]Pointage!LN21,Feuil1!$A:$B,2,FALSE),"")</f>
        <v/>
      </c>
      <c r="LK27" s="31" t="str">
        <f>IFERROR(VLOOKUP([2]Pointage!LO21,Feuil1!$A:$B,2,FALSE),"")</f>
        <v/>
      </c>
      <c r="LL27" s="31" t="str">
        <f>IFERROR(VLOOKUP([2]Pointage!LP21,Feuil1!$A:$B,2,FALSE),"")</f>
        <v/>
      </c>
      <c r="LM27" s="31" t="str">
        <f>IFERROR(VLOOKUP([2]Pointage!LQ21,Feuil1!$A:$B,2,FALSE),"")</f>
        <v/>
      </c>
      <c r="LN27" s="31" t="str">
        <f>IFERROR(VLOOKUP([2]Pointage!LR21,Feuil1!$A:$B,2,FALSE),"")</f>
        <v/>
      </c>
      <c r="LO27" s="31" t="str">
        <f>IFERROR(VLOOKUP([2]Pointage!LS21,Feuil1!$A:$B,2,FALSE),"")</f>
        <v/>
      </c>
      <c r="LP27" s="31" t="str">
        <f>IFERROR(VLOOKUP([2]Pointage!LT21,Feuil1!$A:$B,2,FALSE),"")</f>
        <v/>
      </c>
      <c r="LQ27" s="31" t="str">
        <f>IFERROR(VLOOKUP([2]Pointage!LU21,Feuil1!$A:$B,2,FALSE),"")</f>
        <v/>
      </c>
      <c r="LR27" s="31" t="str">
        <f>IFERROR(VLOOKUP([2]Pointage!LV21,Feuil1!$A:$B,2,FALSE),"")</f>
        <v/>
      </c>
      <c r="LS27" s="31" t="str">
        <f>IFERROR(VLOOKUP([2]Pointage!LW21,Feuil1!$A:$B,2,FALSE),"")</f>
        <v/>
      </c>
      <c r="LT27" s="31" t="str">
        <f>IFERROR(VLOOKUP([2]Pointage!LX21,Feuil1!$A:$B,2,FALSE),"")</f>
        <v/>
      </c>
      <c r="LU27" s="31" t="str">
        <f>IFERROR(VLOOKUP([2]Pointage!LY21,Feuil1!$A:$B,2,FALSE),"")</f>
        <v/>
      </c>
      <c r="LV27" s="31" t="str">
        <f>IFERROR(VLOOKUP([2]Pointage!LZ21,Feuil1!$A:$B,2,FALSE),"")</f>
        <v/>
      </c>
      <c r="LW27" s="31" t="str">
        <f>IFERROR(VLOOKUP([2]Pointage!MA21,Feuil1!$A:$B,2,FALSE),"")</f>
        <v/>
      </c>
      <c r="LX27" s="31" t="str">
        <f>IFERROR(VLOOKUP([2]Pointage!MB21,Feuil1!$A:$B,2,FALSE),"")</f>
        <v/>
      </c>
      <c r="LY27" s="31" t="str">
        <f>IFERROR(VLOOKUP([2]Pointage!MC21,Feuil1!$A:$B,2,FALSE),"")</f>
        <v/>
      </c>
      <c r="LZ27" s="31" t="str">
        <f>IFERROR(VLOOKUP([2]Pointage!MD21,Feuil1!$A:$B,2,FALSE),"")</f>
        <v/>
      </c>
      <c r="MA27" s="82" t="str">
        <f>IFERROR(VLOOKUP([2]Pointage!ME21,Feuil1!$A:$B,2,FALSE),"")</f>
        <v/>
      </c>
      <c r="MB27" s="47" t="str">
        <f>IFERROR(VLOOKUP([2]Pointage!MF21,Feuil1!$A:$B,2,FALSE),"")</f>
        <v/>
      </c>
      <c r="MC27" s="31" t="str">
        <f>IFERROR(VLOOKUP([2]Pointage!MG21,Feuil1!$A:$B,2,FALSE),"")</f>
        <v/>
      </c>
      <c r="MD27" s="31" t="str">
        <f>IFERROR(VLOOKUP([2]Pointage!MH21,Feuil1!$A:$B,2,FALSE),"")</f>
        <v/>
      </c>
      <c r="ME27" s="31" t="str">
        <f>IFERROR(VLOOKUP([2]Pointage!MI21,Feuil1!$A:$B,2,FALSE),"")</f>
        <v/>
      </c>
      <c r="MF27" s="31" t="str">
        <f>IFERROR(VLOOKUP([2]Pointage!MJ21,Feuil1!$A:$B,2,FALSE),"")</f>
        <v/>
      </c>
      <c r="MG27" s="31" t="str">
        <f>IFERROR(VLOOKUP([2]Pointage!MK21,Feuil1!$A:$B,2,FALSE),"")</f>
        <v/>
      </c>
      <c r="MH27" s="31" t="str">
        <f>IFERROR(VLOOKUP([2]Pointage!ML21,Feuil1!$A:$B,2,FALSE),"")</f>
        <v/>
      </c>
      <c r="MI27" s="31" t="str">
        <f>IFERROR(VLOOKUP([2]Pointage!MM21,Feuil1!$A:$B,2,FALSE),"")</f>
        <v/>
      </c>
      <c r="MJ27" s="31" t="str">
        <f>IFERROR(VLOOKUP([2]Pointage!MN21,Feuil1!$A:$B,2,FALSE),"")</f>
        <v/>
      </c>
      <c r="MK27" s="31" t="str">
        <f>IFERROR(VLOOKUP([2]Pointage!MO21,Feuil1!$A:$B,2,FALSE),"")</f>
        <v/>
      </c>
      <c r="ML27" s="31" t="str">
        <f>IFERROR(VLOOKUP([2]Pointage!MP21,Feuil1!$A:$B,2,FALSE),"")</f>
        <v/>
      </c>
      <c r="MM27" s="31" t="str">
        <f>IFERROR(VLOOKUP([2]Pointage!MQ21,Feuil1!$A:$B,2,FALSE),"")</f>
        <v/>
      </c>
      <c r="MN27" s="31" t="str">
        <f>IFERROR(VLOOKUP([2]Pointage!MR21,Feuil1!$A:$B,2,FALSE),"")</f>
        <v/>
      </c>
      <c r="MO27" s="31" t="str">
        <f>IFERROR(VLOOKUP([2]Pointage!MS21,Feuil1!$A:$B,2,FALSE),"")</f>
        <v/>
      </c>
      <c r="MP27" s="31" t="str">
        <f>IFERROR(VLOOKUP([2]Pointage!MT21,Feuil1!$A:$B,2,FALSE),"")</f>
        <v/>
      </c>
      <c r="MQ27" s="31" t="str">
        <f>IFERROR(VLOOKUP([2]Pointage!MU21,Feuil1!$A:$B,2,FALSE),"")</f>
        <v/>
      </c>
      <c r="MR27" s="31" t="str">
        <f>IFERROR(VLOOKUP([2]Pointage!MV21,Feuil1!$A:$B,2,FALSE),"")</f>
        <v/>
      </c>
      <c r="MS27" s="31" t="str">
        <f>IFERROR(VLOOKUP([2]Pointage!MW21,Feuil1!$A:$B,2,FALSE),"")</f>
        <v/>
      </c>
      <c r="MT27" s="31" t="str">
        <f>IFERROR(VLOOKUP([2]Pointage!MX21,Feuil1!$A:$B,2,FALSE),"")</f>
        <v/>
      </c>
      <c r="MU27" s="31" t="str">
        <f>IFERROR(VLOOKUP([2]Pointage!MY21,Feuil1!$A:$B,2,FALSE),"")</f>
        <v/>
      </c>
      <c r="MV27" s="31" t="str">
        <f>IFERROR(VLOOKUP([2]Pointage!MZ21,Feuil1!$A:$B,2,FALSE),"")</f>
        <v/>
      </c>
      <c r="MW27" s="31" t="str">
        <f>IFERROR(VLOOKUP([2]Pointage!NA21,Feuil1!$A:$B,2,FALSE),"")</f>
        <v/>
      </c>
      <c r="MX27" s="31" t="str">
        <f>IFERROR(VLOOKUP([2]Pointage!NB21,Feuil1!$A:$B,2,FALSE),"")</f>
        <v/>
      </c>
      <c r="MY27" s="31" t="str">
        <f>IFERROR(VLOOKUP([2]Pointage!NC21,Feuil1!$A:$B,2,FALSE),"")</f>
        <v/>
      </c>
      <c r="MZ27" s="31" t="str">
        <f>IFERROR(VLOOKUP([2]Pointage!ND21,Feuil1!$A:$B,2,FALSE),"")</f>
        <v/>
      </c>
      <c r="NA27" s="31" t="str">
        <f>IFERROR(VLOOKUP([2]Pointage!NE21,Feuil1!$A:$B,2,FALSE),"")</f>
        <v/>
      </c>
      <c r="NB27" s="31" t="str">
        <f>IFERROR(VLOOKUP([2]Pointage!NF21,Feuil1!$A:$B,2,FALSE),"")</f>
        <v/>
      </c>
      <c r="NC27" s="31" t="str">
        <f>IFERROR(VLOOKUP([2]Pointage!NG21,Feuil1!$A:$B,2,FALSE),"")</f>
        <v/>
      </c>
      <c r="ND27" s="31" t="str">
        <f>IFERROR(VLOOKUP([2]Pointage!NH21,Feuil1!$A:$B,2,FALSE),"")</f>
        <v/>
      </c>
      <c r="NE27" s="31" t="str">
        <f>IFERROR(VLOOKUP([2]Pointage!NI21,Feuil1!$A:$B,2,FALSE),"")</f>
        <v/>
      </c>
      <c r="NF27" s="48" t="str">
        <f>IFERROR(VLOOKUP([2]Pointage!NJ21,Feuil1!$A:$B,2,FALSE),"")</f>
        <v/>
      </c>
      <c r="NG27" s="52">
        <f>COUNTIF(Global!F27:NF27,"RTT")+(COUNTIF(Global!F27:NF27,"dRTT")/2)</f>
        <v>0</v>
      </c>
      <c r="NH27" s="42">
        <f>COUNTIF(Global!F27:NF27,"C")+(COUNTIF(Global!F27:NF27,"DC")/2)</f>
        <v>39</v>
      </c>
      <c r="NI27" s="42">
        <f>COUNTIF(Global!F27:NF27,"M")</f>
        <v>0</v>
      </c>
      <c r="NJ27" s="42">
        <f>COUNTIF(Global!G27:NG27,"AT")</f>
        <v>0</v>
      </c>
      <c r="NK27" s="42">
        <f>COUNTIF(Global!F27:NF27,"RD")</f>
        <v>0</v>
      </c>
      <c r="NL27" s="42">
        <f>COUNTIF(Global!F27:NF27,"RC")+(COUNTIF(Global!F27:NF27,"dRC")/2)</f>
        <v>0</v>
      </c>
      <c r="NM27" s="68">
        <f t="shared" ca="1" si="0"/>
        <v>4.0273972602739727</v>
      </c>
      <c r="NT27" s="33"/>
      <c r="NU27" s="33"/>
      <c r="NV27" s="28"/>
      <c r="NW27" s="28"/>
      <c r="NX27" s="29">
        <f>COUNTIF(F27:NF27,"C")++(COUNTIF(Global!F27:NF27,"DC")/2)</f>
        <v>39</v>
      </c>
      <c r="NY27" s="29"/>
      <c r="NZ27" s="29"/>
      <c r="OA27" s="29"/>
      <c r="OB27" s="29">
        <f>COUNTIF(Global!F27:NF27,"M")</f>
        <v>0</v>
      </c>
      <c r="OC27" s="30">
        <f t="shared" si="1"/>
        <v>-39</v>
      </c>
      <c r="OD27" s="30"/>
    </row>
    <row r="28" spans="1:394" ht="30" customHeight="1" x14ac:dyDescent="0.2">
      <c r="A28" s="15" t="s">
        <v>84</v>
      </c>
      <c r="B28" s="22" t="s">
        <v>188</v>
      </c>
      <c r="C28" s="22" t="s">
        <v>189</v>
      </c>
      <c r="D28" s="22" t="s">
        <v>190</v>
      </c>
      <c r="E28" s="44">
        <v>0</v>
      </c>
      <c r="F28" s="47" t="str">
        <f>IFERROR(VLOOKUP([2]Pointage!J22,Feuil1!$A:$B,2,FALSE),"")</f>
        <v/>
      </c>
      <c r="G28" s="31" t="str">
        <f>IFERROR(VLOOKUP([2]Pointage!K22,Feuil1!$A:$B,2,FALSE),"")</f>
        <v/>
      </c>
      <c r="H28" s="31" t="str">
        <f>IFERROR(VLOOKUP([2]Pointage!L22,Feuil1!$A:$B,2,FALSE),"")</f>
        <v/>
      </c>
      <c r="I28" s="31" t="str">
        <f>IFERROR(VLOOKUP([2]Pointage!M22,Feuil1!$A:$B,2,FALSE),"")</f>
        <v/>
      </c>
      <c r="J28" s="31" t="str">
        <f>IFERROR(VLOOKUP([2]Pointage!N22,Feuil1!$A:$B,2,FALSE),"")</f>
        <v/>
      </c>
      <c r="K28" s="31" t="str">
        <f>IFERROR(VLOOKUP([2]Pointage!O22,Feuil1!$A:$B,2,FALSE),"")</f>
        <v/>
      </c>
      <c r="L28" s="31" t="str">
        <f>IFERROR(VLOOKUP([2]Pointage!P22,Feuil1!$A:$B,2,FALSE),"")</f>
        <v/>
      </c>
      <c r="M28" s="31" t="str">
        <f>IFERROR(VLOOKUP([2]Pointage!Q22,Feuil1!$A:$B,2,FALSE),"")</f>
        <v/>
      </c>
      <c r="N28" s="31" t="str">
        <f>IFERROR(VLOOKUP([2]Pointage!R22,Feuil1!$A:$B,2,FALSE),"")</f>
        <v/>
      </c>
      <c r="O28" s="31" t="str">
        <f>IFERROR(VLOOKUP([2]Pointage!S22,Feuil1!$A:$B,2,FALSE),"")</f>
        <v/>
      </c>
      <c r="P28" s="31" t="str">
        <f>IFERROR(VLOOKUP([2]Pointage!T22,Feuil1!$A:$B,2,FALSE),"")</f>
        <v/>
      </c>
      <c r="Q28" s="31" t="str">
        <f>IFERROR(VLOOKUP([2]Pointage!U22,Feuil1!$A:$B,2,FALSE),"")</f>
        <v/>
      </c>
      <c r="R28" s="31" t="str">
        <f>IFERROR(VLOOKUP([2]Pointage!V22,Feuil1!$A:$B,2,FALSE),"")</f>
        <v/>
      </c>
      <c r="S28" s="31" t="str">
        <f>IFERROR(VLOOKUP([2]Pointage!W22,Feuil1!$A:$B,2,FALSE),"")</f>
        <v/>
      </c>
      <c r="T28" s="31" t="str">
        <f>IFERROR(VLOOKUP([2]Pointage!X22,Feuil1!$A:$B,2,FALSE),"")</f>
        <v/>
      </c>
      <c r="U28" s="31" t="str">
        <f>IFERROR(VLOOKUP([2]Pointage!Y22,Feuil1!$A:$B,2,FALSE),"")</f>
        <v/>
      </c>
      <c r="V28" s="31" t="str">
        <f>IFERROR(VLOOKUP([2]Pointage!Z22,Feuil1!$A:$B,2,FALSE),"")</f>
        <v/>
      </c>
      <c r="W28" s="31" t="str">
        <f>IFERROR(VLOOKUP([2]Pointage!AA22,Feuil1!$A:$B,2,FALSE),"")</f>
        <v/>
      </c>
      <c r="X28" s="31" t="str">
        <f>IFERROR(VLOOKUP([2]Pointage!AB22,Feuil1!$A:$B,2,FALSE),"")</f>
        <v/>
      </c>
      <c r="Y28" s="31" t="str">
        <f>IFERROR(VLOOKUP([2]Pointage!AC22,Feuil1!$A:$B,2,FALSE),"")</f>
        <v/>
      </c>
      <c r="Z28" s="31" t="str">
        <f>IFERROR(VLOOKUP([2]Pointage!AD22,Feuil1!$A:$B,2,FALSE),"")</f>
        <v/>
      </c>
      <c r="AA28" s="31" t="str">
        <f>IFERROR(VLOOKUP([2]Pointage!AE22,Feuil1!$A:$B,2,FALSE),"")</f>
        <v/>
      </c>
      <c r="AB28" s="31" t="str">
        <f>IFERROR(VLOOKUP([2]Pointage!AF22,Feuil1!$A:$B,2,FALSE),"")</f>
        <v/>
      </c>
      <c r="AC28" s="31" t="str">
        <f>IFERROR(VLOOKUP([2]Pointage!AG22,Feuil1!$A:$B,2,FALSE),"")</f>
        <v/>
      </c>
      <c r="AD28" s="31" t="str">
        <f>IFERROR(VLOOKUP([2]Pointage!AH22,Feuil1!$A:$B,2,FALSE),"")</f>
        <v/>
      </c>
      <c r="AE28" s="31" t="str">
        <f>IFERROR(VLOOKUP([2]Pointage!AI22,Feuil1!$A:$B,2,FALSE),"")</f>
        <v/>
      </c>
      <c r="AF28" s="31" t="str">
        <f>IFERROR(VLOOKUP([2]Pointage!AJ22,Feuil1!$A:$B,2,FALSE),"")</f>
        <v/>
      </c>
      <c r="AG28" s="31" t="str">
        <f>IFERROR(VLOOKUP([2]Pointage!AK22,Feuil1!$A:$B,2,FALSE),"")</f>
        <v/>
      </c>
      <c r="AH28" s="31" t="str">
        <f>IFERROR(VLOOKUP([2]Pointage!AL22,Feuil1!$A:$B,2,FALSE),"")</f>
        <v/>
      </c>
      <c r="AI28" s="31" t="str">
        <f>IFERROR(VLOOKUP([2]Pointage!AM22,Feuil1!$A:$B,2,FALSE),"")</f>
        <v/>
      </c>
      <c r="AJ28" s="82" t="str">
        <f>IFERROR(VLOOKUP([2]Pointage!AN22,Feuil1!$A:$B,2,FALSE),"")</f>
        <v/>
      </c>
      <c r="AK28" s="47" t="str">
        <f>IFERROR(VLOOKUP([2]Pointage!AO22,Feuil1!$A:$B,2,FALSE),"")</f>
        <v/>
      </c>
      <c r="AL28" s="31" t="str">
        <f>IFERROR(VLOOKUP([2]Pointage!AP22,Feuil1!$A:$B,2,FALSE),"")</f>
        <v/>
      </c>
      <c r="AM28" s="31" t="str">
        <f>IFERROR(VLOOKUP([2]Pointage!AQ22,Feuil1!$A:$B,2,FALSE),"")</f>
        <v/>
      </c>
      <c r="AN28" s="31" t="str">
        <f>IFERROR(VLOOKUP([2]Pointage!AR22,Feuil1!$A:$B,2,FALSE),"")</f>
        <v/>
      </c>
      <c r="AO28" s="31" t="str">
        <f>IFERROR(VLOOKUP([2]Pointage!AS22,Feuil1!$A:$B,2,FALSE),"")</f>
        <v/>
      </c>
      <c r="AP28" s="31" t="str">
        <f>IFERROR(VLOOKUP([2]Pointage!AT22,Feuil1!$A:$B,2,FALSE),"")</f>
        <v/>
      </c>
      <c r="AQ28" s="31" t="str">
        <f>IFERROR(VLOOKUP([2]Pointage!AU22,Feuil1!$A:$B,2,FALSE),"")</f>
        <v/>
      </c>
      <c r="AR28" s="31" t="str">
        <f>IFERROR(VLOOKUP([2]Pointage!AV22,Feuil1!$A:$B,2,FALSE),"")</f>
        <v/>
      </c>
      <c r="AS28" s="31" t="str">
        <f>IFERROR(VLOOKUP([2]Pointage!AW22,Feuil1!$A:$B,2,FALSE),"")</f>
        <v/>
      </c>
      <c r="AT28" s="31" t="str">
        <f>IFERROR(VLOOKUP([2]Pointage!AX22,Feuil1!$A:$B,2,FALSE),"")</f>
        <v/>
      </c>
      <c r="AU28" s="31" t="str">
        <f>IFERROR(VLOOKUP([2]Pointage!AY22,Feuil1!$A:$B,2,FALSE),"")</f>
        <v/>
      </c>
      <c r="AV28" s="31" t="str">
        <f>IFERROR(VLOOKUP([2]Pointage!AZ22,Feuil1!$A:$B,2,FALSE),"")</f>
        <v/>
      </c>
      <c r="AW28" s="31" t="str">
        <f>IFERROR(VLOOKUP([2]Pointage!BA22,Feuil1!$A:$B,2,FALSE),"")</f>
        <v/>
      </c>
      <c r="AX28" s="31" t="str">
        <f>IFERROR(VLOOKUP([2]Pointage!BB22,Feuil1!$A:$B,2,FALSE),"")</f>
        <v/>
      </c>
      <c r="AY28" s="31" t="str">
        <f>IFERROR(VLOOKUP([2]Pointage!BC22,Feuil1!$A:$B,2,FALSE),"")</f>
        <v/>
      </c>
      <c r="AZ28" s="31" t="str">
        <f>IFERROR(VLOOKUP([2]Pointage!BD22,Feuil1!$A:$B,2,FALSE),"")</f>
        <v/>
      </c>
      <c r="BA28" s="31" t="str">
        <f>IFERROR(VLOOKUP([2]Pointage!BE22,Feuil1!$A:$B,2,FALSE),"")</f>
        <v/>
      </c>
      <c r="BB28" s="31" t="str">
        <f>IFERROR(VLOOKUP([2]Pointage!BF22,Feuil1!$A:$B,2,FALSE),"")</f>
        <v/>
      </c>
      <c r="BC28" s="31" t="str">
        <f>IFERROR(VLOOKUP([2]Pointage!BG22,Feuil1!$A:$B,2,FALSE),"")</f>
        <v/>
      </c>
      <c r="BD28" s="31" t="str">
        <f>IFERROR(VLOOKUP([2]Pointage!BH22,Feuil1!$A:$B,2,FALSE),"")</f>
        <v/>
      </c>
      <c r="BE28" s="31" t="str">
        <f>IFERROR(VLOOKUP([2]Pointage!BI22,Feuil1!$A:$B,2,FALSE),"")</f>
        <v/>
      </c>
      <c r="BF28" s="31" t="str">
        <f>IFERROR(VLOOKUP([2]Pointage!BJ22,Feuil1!$A:$B,2,FALSE),"")</f>
        <v/>
      </c>
      <c r="BG28" s="31" t="str">
        <f>IFERROR(VLOOKUP([2]Pointage!BK22,Feuil1!$A:$B,2,FALSE),"")</f>
        <v/>
      </c>
      <c r="BH28" s="31" t="str">
        <f>IFERROR(VLOOKUP([2]Pointage!BL22,Feuil1!$A:$B,2,FALSE),"")</f>
        <v/>
      </c>
      <c r="BI28" s="31" t="str">
        <f>IFERROR(VLOOKUP([2]Pointage!BM22,Feuil1!$A:$B,2,FALSE),"")</f>
        <v/>
      </c>
      <c r="BJ28" s="31" t="str">
        <f>IFERROR(VLOOKUP([2]Pointage!BN22,Feuil1!$A:$B,2,FALSE),"")</f>
        <v/>
      </c>
      <c r="BK28" s="31" t="str">
        <f>IFERROR(VLOOKUP([2]Pointage!BO22,Feuil1!$A:$B,2,FALSE),"")</f>
        <v/>
      </c>
      <c r="BL28" s="82" t="str">
        <f>IFERROR(VLOOKUP([2]Pointage!BP22,Feuil1!$A:$B,2,FALSE),"")</f>
        <v/>
      </c>
      <c r="BM28" s="47" t="str">
        <f>IFERROR(VLOOKUP([2]Pointage!BQ22,Feuil1!$A:$B,2,FALSE),"")</f>
        <v/>
      </c>
      <c r="BN28" s="31" t="str">
        <f>IFERROR(VLOOKUP([2]Pointage!BR22,Feuil1!$A:$B,2,FALSE),"")</f>
        <v/>
      </c>
      <c r="BO28" s="31" t="str">
        <f>IFERROR(VLOOKUP([2]Pointage!BS22,Feuil1!$A:$B,2,FALSE),"")</f>
        <v/>
      </c>
      <c r="BP28" s="31" t="str">
        <f>IFERROR(VLOOKUP([2]Pointage!BT22,Feuil1!$A:$B,2,FALSE),"")</f>
        <v/>
      </c>
      <c r="BQ28" s="31" t="str">
        <f>IFERROR(VLOOKUP([2]Pointage!BU22,Feuil1!$A:$B,2,FALSE),"")</f>
        <v/>
      </c>
      <c r="BR28" s="31" t="str">
        <f>IFERROR(VLOOKUP([2]Pointage!BV22,Feuil1!$A:$B,2,FALSE),"")</f>
        <v/>
      </c>
      <c r="BS28" s="31" t="str">
        <f>IFERROR(VLOOKUP([2]Pointage!BW22,Feuil1!$A:$B,2,FALSE),"")</f>
        <v/>
      </c>
      <c r="BT28" s="31" t="str">
        <f>IFERROR(VLOOKUP([2]Pointage!BX22,Feuil1!$A:$B,2,FALSE),"")</f>
        <v/>
      </c>
      <c r="BU28" s="31" t="str">
        <f>IFERROR(VLOOKUP([2]Pointage!BY22,Feuil1!$A:$B,2,FALSE),"")</f>
        <v/>
      </c>
      <c r="BV28" s="31" t="str">
        <f>IFERROR(VLOOKUP([2]Pointage!BZ22,Feuil1!$A:$B,2,FALSE),"")</f>
        <v/>
      </c>
      <c r="BW28" s="31" t="str">
        <f>IFERROR(VLOOKUP([2]Pointage!CA22,Feuil1!$A:$B,2,FALSE),"")</f>
        <v/>
      </c>
      <c r="BX28" s="31" t="str">
        <f>IFERROR(VLOOKUP([2]Pointage!CB22,Feuil1!$A:$B,2,FALSE),"")</f>
        <v/>
      </c>
      <c r="BY28" s="31" t="str">
        <f>IFERROR(VLOOKUP([2]Pointage!CC22,Feuil1!$A:$B,2,FALSE),"")</f>
        <v/>
      </c>
      <c r="BZ28" s="31" t="str">
        <f>IFERROR(VLOOKUP([2]Pointage!CD22,Feuil1!$A:$B,2,FALSE),"")</f>
        <v/>
      </c>
      <c r="CA28" s="31" t="str">
        <f>IFERROR(VLOOKUP([2]Pointage!CE22,Feuil1!$A:$B,2,FALSE),"")</f>
        <v/>
      </c>
      <c r="CB28" s="31" t="str">
        <f>IFERROR(VLOOKUP([2]Pointage!CF22,Feuil1!$A:$B,2,FALSE),"")</f>
        <v/>
      </c>
      <c r="CC28" s="31" t="str">
        <f>IFERROR(VLOOKUP([2]Pointage!CG22,Feuil1!$A:$B,2,FALSE),"")</f>
        <v/>
      </c>
      <c r="CD28" s="31" t="str">
        <f>IFERROR(VLOOKUP([2]Pointage!CH22,Feuil1!$A:$B,2,FALSE),"")</f>
        <v/>
      </c>
      <c r="CE28" s="31" t="str">
        <f>IFERROR(VLOOKUP([2]Pointage!CI22,Feuil1!$A:$B,2,FALSE),"")</f>
        <v/>
      </c>
      <c r="CF28" s="31" t="str">
        <f>IFERROR(VLOOKUP([2]Pointage!CJ22,Feuil1!$A:$B,2,FALSE),"")</f>
        <v/>
      </c>
      <c r="CG28" s="31" t="str">
        <f>IFERROR(VLOOKUP([2]Pointage!CK22,Feuil1!$A:$B,2,FALSE),"")</f>
        <v/>
      </c>
      <c r="CH28" s="31" t="str">
        <f>IFERROR(VLOOKUP([2]Pointage!CL22,Feuil1!$A:$B,2,FALSE),"")</f>
        <v/>
      </c>
      <c r="CI28" s="31" t="str">
        <f>IFERROR(VLOOKUP([2]Pointage!CM22,Feuil1!$A:$B,2,FALSE),"")</f>
        <v/>
      </c>
      <c r="CJ28" s="31" t="str">
        <f>IFERROR(VLOOKUP([2]Pointage!CN22,Feuil1!$A:$B,2,FALSE),"")</f>
        <v/>
      </c>
      <c r="CK28" s="31" t="str">
        <f>IFERROR(VLOOKUP([2]Pointage!CO22,Feuil1!$A:$B,2,FALSE),"")</f>
        <v/>
      </c>
      <c r="CL28" s="31" t="str">
        <f>IFERROR(VLOOKUP([2]Pointage!CP22,Feuil1!$A:$B,2,FALSE),"")</f>
        <v/>
      </c>
      <c r="CM28" s="31" t="str">
        <f>IFERROR(VLOOKUP([2]Pointage!CQ22,Feuil1!$A:$B,2,FALSE),"")</f>
        <v/>
      </c>
      <c r="CN28" s="31" t="str">
        <f>IFERROR(VLOOKUP([2]Pointage!CR22,Feuil1!$A:$B,2,FALSE),"")</f>
        <v/>
      </c>
      <c r="CO28" s="31" t="str">
        <f>IFERROR(VLOOKUP([2]Pointage!CS22,Feuil1!$A:$B,2,FALSE),"")</f>
        <v/>
      </c>
      <c r="CP28" s="31" t="str">
        <f>IFERROR(VLOOKUP([2]Pointage!CT22,Feuil1!$A:$B,2,FALSE),"")</f>
        <v/>
      </c>
      <c r="CQ28" s="82" t="str">
        <f>IFERROR(VLOOKUP([2]Pointage!CU22,Feuil1!$A:$B,2,FALSE),"")</f>
        <v/>
      </c>
      <c r="CR28" s="47" t="str">
        <f>IFERROR(VLOOKUP([2]Pointage!CV22,Feuil1!$A:$B,2,FALSE),"")</f>
        <v/>
      </c>
      <c r="CS28" s="31" t="str">
        <f>IFERROR(VLOOKUP([2]Pointage!CW22,Feuil1!$A:$B,2,FALSE),"")</f>
        <v/>
      </c>
      <c r="CT28" s="31" t="str">
        <f>IFERROR(VLOOKUP([2]Pointage!CX22,Feuil1!$A:$B,2,FALSE),"")</f>
        <v/>
      </c>
      <c r="CU28" s="31" t="str">
        <f>IFERROR(VLOOKUP([2]Pointage!CY22,Feuil1!$A:$B,2,FALSE),"")</f>
        <v/>
      </c>
      <c r="CV28" s="31" t="str">
        <f>IFERROR(VLOOKUP([2]Pointage!CZ22,Feuil1!$A:$B,2,FALSE),"")</f>
        <v/>
      </c>
      <c r="CW28" s="31" t="str">
        <f>IFERROR(VLOOKUP([2]Pointage!DA22,Feuil1!$A:$B,2,FALSE),"")</f>
        <v/>
      </c>
      <c r="CX28" s="31" t="str">
        <f>IFERROR(VLOOKUP([2]Pointage!DB22,Feuil1!$A:$B,2,FALSE),"")</f>
        <v/>
      </c>
      <c r="CY28" s="31" t="str">
        <f>IFERROR(VLOOKUP([2]Pointage!DC22,Feuil1!$A:$B,2,FALSE),"")</f>
        <v/>
      </c>
      <c r="CZ28" s="31" t="str">
        <f>IFERROR(VLOOKUP([2]Pointage!DD22,Feuil1!$A:$B,2,FALSE),"")</f>
        <v/>
      </c>
      <c r="DA28" s="31" t="str">
        <f>IFERROR(VLOOKUP([2]Pointage!DE22,Feuil1!$A:$B,2,FALSE),"")</f>
        <v/>
      </c>
      <c r="DB28" s="31" t="str">
        <f>IFERROR(VLOOKUP([2]Pointage!DF22,Feuil1!$A:$B,2,FALSE),"")</f>
        <v/>
      </c>
      <c r="DC28" s="31" t="str">
        <f>IFERROR(VLOOKUP([2]Pointage!DG22,Feuil1!$A:$B,2,FALSE),"")</f>
        <v/>
      </c>
      <c r="DD28" s="31" t="str">
        <f>IFERROR(VLOOKUP([2]Pointage!DH22,Feuil1!$A:$B,2,FALSE),"")</f>
        <v/>
      </c>
      <c r="DE28" s="31" t="str">
        <f>IFERROR(VLOOKUP([2]Pointage!DI22,Feuil1!$A:$B,2,FALSE),"")</f>
        <v/>
      </c>
      <c r="DF28" s="31" t="str">
        <f>IFERROR(VLOOKUP([2]Pointage!DJ22,Feuil1!$A:$B,2,FALSE),"")</f>
        <v/>
      </c>
      <c r="DG28" s="31" t="str">
        <f>IFERROR(VLOOKUP([2]Pointage!DK22,Feuil1!$A:$B,2,FALSE),"")</f>
        <v/>
      </c>
      <c r="DH28" s="31" t="str">
        <f>IFERROR(VLOOKUP([2]Pointage!DL22,Feuil1!$A:$B,2,FALSE),"")</f>
        <v/>
      </c>
      <c r="DI28" s="31" t="str">
        <f>IFERROR(VLOOKUP([2]Pointage!DM22,Feuil1!$A:$B,2,FALSE),"")</f>
        <v/>
      </c>
      <c r="DJ28" s="31" t="str">
        <f>IFERROR(VLOOKUP([2]Pointage!DN22,Feuil1!$A:$B,2,FALSE),"")</f>
        <v/>
      </c>
      <c r="DK28" s="31" t="str">
        <f>IFERROR(VLOOKUP([2]Pointage!DO22,Feuil1!$A:$B,2,FALSE),"")</f>
        <v/>
      </c>
      <c r="DL28" s="31" t="str">
        <f>IFERROR(VLOOKUP([2]Pointage!DP22,Feuil1!$A:$B,2,FALSE),"")</f>
        <v/>
      </c>
      <c r="DM28" s="31" t="str">
        <f>IFERROR(VLOOKUP([2]Pointage!DQ22,Feuil1!$A:$B,2,FALSE),"")</f>
        <v/>
      </c>
      <c r="DN28" s="31" t="str">
        <f>IFERROR(VLOOKUP([2]Pointage!DR22,Feuil1!$A:$B,2,FALSE),"")</f>
        <v/>
      </c>
      <c r="DO28" s="31" t="str">
        <f>IFERROR(VLOOKUP([2]Pointage!DS22,Feuil1!$A:$B,2,FALSE),"")</f>
        <v/>
      </c>
      <c r="DP28" s="31" t="str">
        <f>IFERROR(VLOOKUP([2]Pointage!DT22,Feuil1!$A:$B,2,FALSE),"")</f>
        <v/>
      </c>
      <c r="DQ28" s="31" t="str">
        <f>IFERROR(VLOOKUP([2]Pointage!DU22,Feuil1!$A:$B,2,FALSE),"")</f>
        <v/>
      </c>
      <c r="DR28" s="31" t="str">
        <f>IFERROR(VLOOKUP([2]Pointage!DV22,Feuil1!$A:$B,2,FALSE),"")</f>
        <v/>
      </c>
      <c r="DS28" s="31" t="str">
        <f>IFERROR(VLOOKUP([2]Pointage!DW22,Feuil1!$A:$B,2,FALSE),"")</f>
        <v/>
      </c>
      <c r="DT28" s="31" t="str">
        <f>IFERROR(VLOOKUP([2]Pointage!DX22,Feuil1!$A:$B,2,FALSE),"")</f>
        <v/>
      </c>
      <c r="DU28" s="82" t="str">
        <f>IFERROR(VLOOKUP([2]Pointage!DY22,Feuil1!$A:$B,2,FALSE),"")</f>
        <v/>
      </c>
      <c r="DV28" s="47" t="str">
        <f>IFERROR(VLOOKUP([2]Pointage!DZ22,Feuil1!$A:$B,2,FALSE),"")</f>
        <v/>
      </c>
      <c r="DW28" s="31" t="str">
        <f>IFERROR(VLOOKUP([2]Pointage!EA22,Feuil1!$A:$B,2,FALSE),"")</f>
        <v/>
      </c>
      <c r="DX28" s="31" t="str">
        <f>IFERROR(VLOOKUP([2]Pointage!EB22,Feuil1!$A:$B,2,FALSE),"")</f>
        <v/>
      </c>
      <c r="DY28" s="31" t="str">
        <f>IFERROR(VLOOKUP([2]Pointage!EC22,Feuil1!$A:$B,2,FALSE),"")</f>
        <v/>
      </c>
      <c r="DZ28" s="31" t="str">
        <f>IFERROR(VLOOKUP([2]Pointage!ED22,Feuil1!$A:$B,2,FALSE),"")</f>
        <v/>
      </c>
      <c r="EA28" s="31" t="str">
        <f>IFERROR(VLOOKUP([2]Pointage!EE22,Feuil1!$A:$B,2,FALSE),"")</f>
        <v/>
      </c>
      <c r="EB28" s="31" t="str">
        <f>IFERROR(VLOOKUP([2]Pointage!EF22,Feuil1!$A:$B,2,FALSE),"")</f>
        <v/>
      </c>
      <c r="EC28" s="31" t="str">
        <f>IFERROR(VLOOKUP([2]Pointage!EG22,Feuil1!$A:$B,2,FALSE),"")</f>
        <v/>
      </c>
      <c r="ED28" s="31" t="str">
        <f>IFERROR(VLOOKUP([2]Pointage!EH22,Feuil1!$A:$B,2,FALSE),"")</f>
        <v/>
      </c>
      <c r="EE28" s="31" t="str">
        <f>IFERROR(VLOOKUP([2]Pointage!EI22,Feuil1!$A:$B,2,FALSE),"")</f>
        <v/>
      </c>
      <c r="EF28" s="31" t="str">
        <f>IFERROR(VLOOKUP([2]Pointage!EJ22,Feuil1!$A:$B,2,FALSE),"")</f>
        <v/>
      </c>
      <c r="EG28" s="31" t="str">
        <f>IFERROR(VLOOKUP([2]Pointage!EK22,Feuil1!$A:$B,2,FALSE),"")</f>
        <v/>
      </c>
      <c r="EH28" s="31" t="str">
        <f>IFERROR(VLOOKUP([2]Pointage!EL22,Feuil1!$A:$B,2,FALSE),"")</f>
        <v/>
      </c>
      <c r="EI28" s="31" t="str">
        <f>IFERROR(VLOOKUP([2]Pointage!EM22,Feuil1!$A:$B,2,FALSE),"")</f>
        <v>dRTT</v>
      </c>
      <c r="EJ28" s="31" t="str">
        <f>IFERROR(VLOOKUP([2]Pointage!EN22,Feuil1!$A:$B,2,FALSE),"")</f>
        <v>C</v>
      </c>
      <c r="EK28" s="31" t="str">
        <f>IFERROR(VLOOKUP([2]Pointage!EO22,Feuil1!$A:$B,2,FALSE),"")</f>
        <v/>
      </c>
      <c r="EL28" s="31" t="str">
        <f>IFERROR(VLOOKUP([2]Pointage!EP22,Feuil1!$A:$B,2,FALSE),"")</f>
        <v/>
      </c>
      <c r="EM28" s="31" t="str">
        <f>IFERROR(VLOOKUP([2]Pointage!EQ22,Feuil1!$A:$B,2,FALSE),"")</f>
        <v/>
      </c>
      <c r="EN28" s="31" t="str">
        <f>IFERROR(VLOOKUP([2]Pointage!ER22,Feuil1!$A:$B,2,FALSE),"")</f>
        <v/>
      </c>
      <c r="EO28" s="31" t="str">
        <f>IFERROR(VLOOKUP([2]Pointage!ES22,Feuil1!$A:$B,2,FALSE),"")</f>
        <v/>
      </c>
      <c r="EP28" s="31" t="str">
        <f>IFERROR(VLOOKUP([2]Pointage!ET22,Feuil1!$A:$B,2,FALSE),"")</f>
        <v>C</v>
      </c>
      <c r="EQ28" s="31" t="str">
        <f>IFERROR(VLOOKUP([2]Pointage!EU22,Feuil1!$A:$B,2,FALSE),"")</f>
        <v/>
      </c>
      <c r="ER28" s="31" t="str">
        <f>IFERROR(VLOOKUP([2]Pointage!EV22,Feuil1!$A:$B,2,FALSE),"")</f>
        <v/>
      </c>
      <c r="ES28" s="31" t="str">
        <f>IFERROR(VLOOKUP([2]Pointage!EW22,Feuil1!$A:$B,2,FALSE),"")</f>
        <v/>
      </c>
      <c r="ET28" s="31" t="str">
        <f>IFERROR(VLOOKUP([2]Pointage!EX22,Feuil1!$A:$B,2,FALSE),"")</f>
        <v/>
      </c>
      <c r="EU28" s="31" t="str">
        <f>IFERROR(VLOOKUP([2]Pointage!EY22,Feuil1!$A:$B,2,FALSE),"")</f>
        <v/>
      </c>
      <c r="EV28" s="31" t="str">
        <f>IFERROR(VLOOKUP([2]Pointage!EZ22,Feuil1!$A:$B,2,FALSE),"")</f>
        <v/>
      </c>
      <c r="EW28" s="31" t="str">
        <f>IFERROR(VLOOKUP([2]Pointage!FA22,Feuil1!$A:$B,2,FALSE),"")</f>
        <v/>
      </c>
      <c r="EX28" s="31" t="str">
        <f>IFERROR(VLOOKUP([2]Pointage!FB22,Feuil1!$A:$B,2,FALSE),"")</f>
        <v/>
      </c>
      <c r="EY28" s="31" t="str">
        <f>IFERROR(VLOOKUP([2]Pointage!FC22,Feuil1!$A:$B,2,FALSE),"")</f>
        <v/>
      </c>
      <c r="EZ28" s="82" t="str">
        <f>IFERROR(VLOOKUP([2]Pointage!FD22,Feuil1!$A:$B,2,FALSE),"")</f>
        <v/>
      </c>
      <c r="FA28" s="47" t="str">
        <f>IFERROR(VLOOKUP([2]Pointage!FE22,Feuil1!$A:$B,2,FALSE),"")</f>
        <v/>
      </c>
      <c r="FB28" s="31" t="str">
        <f>IFERROR(VLOOKUP([2]Pointage!FF22,Feuil1!$A:$B,2,FALSE),"")</f>
        <v/>
      </c>
      <c r="FC28" s="31" t="str">
        <f>IFERROR(VLOOKUP([2]Pointage!FG22,Feuil1!$A:$B,2,FALSE),"")</f>
        <v/>
      </c>
      <c r="FD28" s="31" t="str">
        <f>IFERROR(VLOOKUP([2]Pointage!FH22,Feuil1!$A:$B,2,FALSE),"")</f>
        <v/>
      </c>
      <c r="FE28" s="31" t="str">
        <f>IFERROR(VLOOKUP([2]Pointage!FI22,Feuil1!$A:$B,2,FALSE),"")</f>
        <v/>
      </c>
      <c r="FF28" s="31" t="str">
        <f>IFERROR(VLOOKUP([2]Pointage!FJ22,Feuil1!$A:$B,2,FALSE),"")</f>
        <v/>
      </c>
      <c r="FG28" s="31" t="str">
        <f>IFERROR(VLOOKUP([2]Pointage!FK22,Feuil1!$A:$B,2,FALSE),"")</f>
        <v/>
      </c>
      <c r="FH28" s="31" t="str">
        <f>IFERROR(VLOOKUP([2]Pointage!FL22,Feuil1!$A:$B,2,FALSE),"")</f>
        <v/>
      </c>
      <c r="FI28" s="31" t="str">
        <f>IFERROR(VLOOKUP([2]Pointage!FM22,Feuil1!$A:$B,2,FALSE),"")</f>
        <v/>
      </c>
      <c r="FJ28" s="31" t="str">
        <f>IFERROR(VLOOKUP([2]Pointage!FN22,Feuil1!$A:$B,2,FALSE),"")</f>
        <v/>
      </c>
      <c r="FK28" s="31" t="str">
        <f>IFERROR(VLOOKUP([2]Pointage!FO22,Feuil1!$A:$B,2,FALSE),"")</f>
        <v/>
      </c>
      <c r="FL28" s="31" t="str">
        <f>IFERROR(VLOOKUP([2]Pointage!FP22,Feuil1!$A:$B,2,FALSE),"")</f>
        <v/>
      </c>
      <c r="FM28" s="31" t="str">
        <f>IFERROR(VLOOKUP([2]Pointage!FQ22,Feuil1!$A:$B,2,FALSE),"")</f>
        <v/>
      </c>
      <c r="FN28" s="31" t="str">
        <f>IFERROR(VLOOKUP([2]Pointage!FR22,Feuil1!$A:$B,2,FALSE),"")</f>
        <v/>
      </c>
      <c r="FO28" s="31" t="str">
        <f>IFERROR(VLOOKUP([2]Pointage!FS22,Feuil1!$A:$B,2,FALSE),"")</f>
        <v/>
      </c>
      <c r="FP28" s="31" t="str">
        <f>IFERROR(VLOOKUP([2]Pointage!FT22,Feuil1!$A:$B,2,FALSE),"")</f>
        <v/>
      </c>
      <c r="FQ28" s="31" t="str">
        <f>IFERROR(VLOOKUP([2]Pointage!FU22,Feuil1!$A:$B,2,FALSE),"")</f>
        <v/>
      </c>
      <c r="FR28" s="31" t="str">
        <f>IFERROR(VLOOKUP([2]Pointage!FV22,Feuil1!$A:$B,2,FALSE),"")</f>
        <v/>
      </c>
      <c r="FS28" s="31" t="str">
        <f>IFERROR(VLOOKUP([2]Pointage!FW22,Feuil1!$A:$B,2,FALSE),"")</f>
        <v/>
      </c>
      <c r="FT28" s="31" t="str">
        <f>IFERROR(VLOOKUP([2]Pointage!FX22,Feuil1!$A:$B,2,FALSE),"")</f>
        <v/>
      </c>
      <c r="FU28" s="31" t="str">
        <f>IFERROR(VLOOKUP([2]Pointage!FY22,Feuil1!$A:$B,2,FALSE),"")</f>
        <v/>
      </c>
      <c r="FV28" s="31" t="str">
        <f>IFERROR(VLOOKUP([2]Pointage!FZ22,Feuil1!$A:$B,2,FALSE),"")</f>
        <v/>
      </c>
      <c r="FW28" s="31" t="str">
        <f>IFERROR(VLOOKUP([2]Pointage!GA22,Feuil1!$A:$B,2,FALSE),"")</f>
        <v/>
      </c>
      <c r="FX28" s="31" t="str">
        <f>IFERROR(VLOOKUP([2]Pointage!GB22,Feuil1!$A:$B,2,FALSE),"")</f>
        <v/>
      </c>
      <c r="FY28" s="31" t="str">
        <f>IFERROR(VLOOKUP([2]Pointage!GC22,Feuil1!$A:$B,2,FALSE),"")</f>
        <v/>
      </c>
      <c r="FZ28" s="31" t="str">
        <f>IFERROR(VLOOKUP([2]Pointage!GD22,Feuil1!$A:$B,2,FALSE),"")</f>
        <v/>
      </c>
      <c r="GA28" s="31" t="str">
        <f>IFERROR(VLOOKUP([2]Pointage!GE22,Feuil1!$A:$B,2,FALSE),"")</f>
        <v/>
      </c>
      <c r="GB28" s="31" t="str">
        <f>IFERROR(VLOOKUP([2]Pointage!GF22,Feuil1!$A:$B,2,FALSE),"")</f>
        <v/>
      </c>
      <c r="GC28" s="31" t="str">
        <f>IFERROR(VLOOKUP([2]Pointage!GG22,Feuil1!$A:$B,2,FALSE),"")</f>
        <v/>
      </c>
      <c r="GD28" s="82" t="str">
        <f>IFERROR(VLOOKUP([2]Pointage!GH22,Feuil1!$A:$B,2,FALSE),"")</f>
        <v/>
      </c>
      <c r="GE28" s="47" t="str">
        <f>IFERROR(VLOOKUP([2]Pointage!GI22,Feuil1!$A:$B,2,FALSE),"")</f>
        <v/>
      </c>
      <c r="GF28" s="31" t="str">
        <f>IFERROR(VLOOKUP([2]Pointage!GJ22,Feuil1!$A:$B,2,FALSE),"")</f>
        <v/>
      </c>
      <c r="GG28" s="31" t="str">
        <f>IFERROR(VLOOKUP([2]Pointage!GK22,Feuil1!$A:$B,2,FALSE),"")</f>
        <v/>
      </c>
      <c r="GH28" s="31" t="str">
        <f>IFERROR(VLOOKUP([2]Pointage!GL22,Feuil1!$A:$B,2,FALSE),"")</f>
        <v/>
      </c>
      <c r="GI28" s="31" t="str">
        <f>IFERROR(VLOOKUP([2]Pointage!GM22,Feuil1!$A:$B,2,FALSE),"")</f>
        <v/>
      </c>
      <c r="GJ28" s="31" t="str">
        <f>IFERROR(VLOOKUP([2]Pointage!GN22,Feuil1!$A:$B,2,FALSE),"")</f>
        <v/>
      </c>
      <c r="GK28" s="31" t="str">
        <f>IFERROR(VLOOKUP([2]Pointage!GO22,Feuil1!$A:$B,2,FALSE),"")</f>
        <v/>
      </c>
      <c r="GL28" s="31" t="str">
        <f>IFERROR(VLOOKUP([2]Pointage!GP22,Feuil1!$A:$B,2,FALSE),"")</f>
        <v/>
      </c>
      <c r="GM28" s="31" t="str">
        <f>IFERROR(VLOOKUP([2]Pointage!GQ22,Feuil1!$A:$B,2,FALSE),"")</f>
        <v/>
      </c>
      <c r="GN28" s="31" t="str">
        <f>IFERROR(VLOOKUP([2]Pointage!GR22,Feuil1!$A:$B,2,FALSE),"")</f>
        <v/>
      </c>
      <c r="GO28" s="31" t="str">
        <f>IFERROR(VLOOKUP([2]Pointage!GS22,Feuil1!$A:$B,2,FALSE),"")</f>
        <v/>
      </c>
      <c r="GP28" s="31" t="str">
        <f>IFERROR(VLOOKUP([2]Pointage!GT22,Feuil1!$A:$B,2,FALSE),"")</f>
        <v/>
      </c>
      <c r="GQ28" s="31" t="str">
        <f>IFERROR(VLOOKUP([2]Pointage!GU22,Feuil1!$A:$B,2,FALSE),"")</f>
        <v/>
      </c>
      <c r="GR28" s="31" t="str">
        <f>IFERROR(VLOOKUP([2]Pointage!GV22,Feuil1!$A:$B,2,FALSE),"")</f>
        <v/>
      </c>
      <c r="GS28" s="31" t="str">
        <f>IFERROR(VLOOKUP([2]Pointage!GW22,Feuil1!$A:$B,2,FALSE),"")</f>
        <v/>
      </c>
      <c r="GT28" s="31" t="str">
        <f>IFERROR(VLOOKUP([2]Pointage!GX22,Feuil1!$A:$B,2,FALSE),"")</f>
        <v/>
      </c>
      <c r="GU28" s="31" t="str">
        <f>IFERROR(VLOOKUP([2]Pointage!GY22,Feuil1!$A:$B,2,FALSE),"")</f>
        <v/>
      </c>
      <c r="GV28" s="31" t="str">
        <f>IFERROR(VLOOKUP([2]Pointage!GZ22,Feuil1!$A:$B,2,FALSE),"")</f>
        <v/>
      </c>
      <c r="GW28" s="31" t="str">
        <f>IFERROR(VLOOKUP([2]Pointage!HA22,Feuil1!$A:$B,2,FALSE),"")</f>
        <v/>
      </c>
      <c r="GX28" s="31" t="str">
        <f>IFERROR(VLOOKUP([2]Pointage!HB22,Feuil1!$A:$B,2,FALSE),"")</f>
        <v/>
      </c>
      <c r="GY28" s="31" t="str">
        <f>IFERROR(VLOOKUP([2]Pointage!HC22,Feuil1!$A:$B,2,FALSE),"")</f>
        <v/>
      </c>
      <c r="GZ28" s="31" t="str">
        <f>IFERROR(VLOOKUP([2]Pointage!HD22,Feuil1!$A:$B,2,FALSE),"")</f>
        <v/>
      </c>
      <c r="HA28" s="31" t="str">
        <f>IFERROR(VLOOKUP([2]Pointage!HE22,Feuil1!$A:$B,2,FALSE),"")</f>
        <v/>
      </c>
      <c r="HB28" s="31" t="str">
        <f>IFERROR(VLOOKUP([2]Pointage!HF22,Feuil1!$A:$B,2,FALSE),"")</f>
        <v/>
      </c>
      <c r="HC28" s="31" t="str">
        <f>IFERROR(VLOOKUP([2]Pointage!HG22,Feuil1!$A:$B,2,FALSE),"")</f>
        <v/>
      </c>
      <c r="HD28" s="31" t="str">
        <f>IFERROR(VLOOKUP([2]Pointage!HH22,Feuil1!$A:$B,2,FALSE),"")</f>
        <v/>
      </c>
      <c r="HE28" s="31" t="str">
        <f>IFERROR(VLOOKUP([2]Pointage!HI22,Feuil1!$A:$B,2,FALSE),"")</f>
        <v/>
      </c>
      <c r="HF28" s="31" t="str">
        <f>IFERROR(VLOOKUP([2]Pointage!HJ22,Feuil1!$A:$B,2,FALSE),"")</f>
        <v/>
      </c>
      <c r="HG28" s="31" t="str">
        <f>IFERROR(VLOOKUP([2]Pointage!HK22,Feuil1!$A:$B,2,FALSE),"")</f>
        <v/>
      </c>
      <c r="HH28" s="31" t="str">
        <f>IFERROR(VLOOKUP([2]Pointage!HL22,Feuil1!$A:$B,2,FALSE),"")</f>
        <v/>
      </c>
      <c r="HI28" s="82" t="str">
        <f>IFERROR(VLOOKUP([2]Pointage!HM22,Feuil1!$A:$B,2,FALSE),"")</f>
        <v/>
      </c>
      <c r="HJ28" s="47" t="str">
        <f>IFERROR(VLOOKUP([2]Pointage!HN22,Feuil1!$A:$B,2,FALSE),"")</f>
        <v/>
      </c>
      <c r="HK28" s="31" t="str">
        <f>IFERROR(VLOOKUP([2]Pointage!HO22,Feuil1!$A:$B,2,FALSE),"")</f>
        <v/>
      </c>
      <c r="HL28" s="31" t="str">
        <f>IFERROR(VLOOKUP([2]Pointage!HP22,Feuil1!$A:$B,2,FALSE),"")</f>
        <v/>
      </c>
      <c r="HM28" s="31" t="str">
        <f>IFERROR(VLOOKUP([2]Pointage!HQ22,Feuil1!$A:$B,2,FALSE),"")</f>
        <v/>
      </c>
      <c r="HN28" s="31" t="str">
        <f>IFERROR(VLOOKUP([2]Pointage!HR22,Feuil1!$A:$B,2,FALSE),"")</f>
        <v/>
      </c>
      <c r="HO28" s="31" t="str">
        <f>IFERROR(VLOOKUP([2]Pointage!HS22,Feuil1!$A:$B,2,FALSE),"")</f>
        <v/>
      </c>
      <c r="HP28" s="31" t="str">
        <f>IFERROR(VLOOKUP([2]Pointage!HT22,Feuil1!$A:$B,2,FALSE),"")</f>
        <v/>
      </c>
      <c r="HQ28" s="31" t="str">
        <f>IFERROR(VLOOKUP([2]Pointage!HU22,Feuil1!$A:$B,2,FALSE),"")</f>
        <v/>
      </c>
      <c r="HR28" s="31" t="str">
        <f>IFERROR(VLOOKUP([2]Pointage!HV22,Feuil1!$A:$B,2,FALSE),"")</f>
        <v/>
      </c>
      <c r="HS28" s="31" t="str">
        <f>IFERROR(VLOOKUP([2]Pointage!HW22,Feuil1!$A:$B,2,FALSE),"")</f>
        <v/>
      </c>
      <c r="HT28" s="31" t="str">
        <f>IFERROR(VLOOKUP([2]Pointage!HX22,Feuil1!$A:$B,2,FALSE),"")</f>
        <v/>
      </c>
      <c r="HU28" s="31" t="str">
        <f>IFERROR(VLOOKUP([2]Pointage!HY22,Feuil1!$A:$B,2,FALSE),"")</f>
        <v/>
      </c>
      <c r="HV28" s="31" t="str">
        <f>IFERROR(VLOOKUP([2]Pointage!HZ22,Feuil1!$A:$B,2,FALSE),"")</f>
        <v/>
      </c>
      <c r="HW28" s="31" t="str">
        <f>IFERROR(VLOOKUP([2]Pointage!IA22,Feuil1!$A:$B,2,FALSE),"")</f>
        <v/>
      </c>
      <c r="HX28" s="31" t="str">
        <f>IFERROR(VLOOKUP([2]Pointage!IB22,Feuil1!$A:$B,2,FALSE),"")</f>
        <v/>
      </c>
      <c r="HY28" s="31" t="str">
        <f>IFERROR(VLOOKUP([2]Pointage!IC22,Feuil1!$A:$B,2,FALSE),"")</f>
        <v/>
      </c>
      <c r="HZ28" s="31" t="str">
        <f>IFERROR(VLOOKUP([2]Pointage!ID22,Feuil1!$A:$B,2,FALSE),"")</f>
        <v/>
      </c>
      <c r="IA28" s="31" t="str">
        <f>IFERROR(VLOOKUP([2]Pointage!IE22,Feuil1!$A:$B,2,FALSE),"")</f>
        <v/>
      </c>
      <c r="IB28" s="31" t="str">
        <f>IFERROR(VLOOKUP([2]Pointage!IF22,Feuil1!$A:$B,2,FALSE),"")</f>
        <v/>
      </c>
      <c r="IC28" s="31" t="str">
        <f>IFERROR(VLOOKUP([2]Pointage!IG22,Feuil1!$A:$B,2,FALSE),"")</f>
        <v/>
      </c>
      <c r="ID28" s="31" t="str">
        <f>IFERROR(VLOOKUP([2]Pointage!IH22,Feuil1!$A:$B,2,FALSE),"")</f>
        <v/>
      </c>
      <c r="IE28" s="31" t="str">
        <f>IFERROR(VLOOKUP([2]Pointage!II22,Feuil1!$A:$B,2,FALSE),"")</f>
        <v/>
      </c>
      <c r="IF28" s="31" t="str">
        <f>IFERROR(VLOOKUP([2]Pointage!IJ22,Feuil1!$A:$B,2,FALSE),"")</f>
        <v/>
      </c>
      <c r="IG28" s="31" t="str">
        <f>IFERROR(VLOOKUP([2]Pointage!IK22,Feuil1!$A:$B,2,FALSE),"")</f>
        <v/>
      </c>
      <c r="IH28" s="31" t="str">
        <f>IFERROR(VLOOKUP([2]Pointage!IL22,Feuil1!$A:$B,2,FALSE),"")</f>
        <v/>
      </c>
      <c r="II28" s="31" t="str">
        <f>IFERROR(VLOOKUP([2]Pointage!IM22,Feuil1!$A:$B,2,FALSE),"")</f>
        <v/>
      </c>
      <c r="IJ28" s="31" t="str">
        <f>IFERROR(VLOOKUP([2]Pointage!IN22,Feuil1!$A:$B,2,FALSE),"")</f>
        <v/>
      </c>
      <c r="IK28" s="31" t="str">
        <f>IFERROR(VLOOKUP([2]Pointage!IO22,Feuil1!$A:$B,2,FALSE),"")</f>
        <v/>
      </c>
      <c r="IL28" s="31" t="str">
        <f>IFERROR(VLOOKUP([2]Pointage!IP22,Feuil1!$A:$B,2,FALSE),"")</f>
        <v/>
      </c>
      <c r="IM28" s="31" t="str">
        <f>IFERROR(VLOOKUP([2]Pointage!IQ22,Feuil1!$A:$B,2,FALSE),"")</f>
        <v/>
      </c>
      <c r="IN28" s="82" t="str">
        <f>IFERROR(VLOOKUP([2]Pointage!IR22,Feuil1!$A:$B,2,FALSE),"")</f>
        <v/>
      </c>
      <c r="IO28" s="47" t="str">
        <f>IFERROR(VLOOKUP([2]Pointage!IS22,Feuil1!$A:$B,2,FALSE),"")</f>
        <v/>
      </c>
      <c r="IP28" s="31" t="str">
        <f>IFERROR(VLOOKUP([2]Pointage!IT22,Feuil1!$A:$B,2,FALSE),"")</f>
        <v/>
      </c>
      <c r="IQ28" s="31" t="str">
        <f>IFERROR(VLOOKUP([2]Pointage!IU22,Feuil1!$A:$B,2,FALSE),"")</f>
        <v/>
      </c>
      <c r="IR28" s="31" t="str">
        <f>IFERROR(VLOOKUP([2]Pointage!IV22,Feuil1!$A:$B,2,FALSE),"")</f>
        <v/>
      </c>
      <c r="IS28" s="31" t="str">
        <f>IFERROR(VLOOKUP([2]Pointage!IW22,Feuil1!$A:$B,2,FALSE),"")</f>
        <v/>
      </c>
      <c r="IT28" s="31" t="str">
        <f>IFERROR(VLOOKUP([2]Pointage!IX22,Feuil1!$A:$B,2,FALSE),"")</f>
        <v/>
      </c>
      <c r="IU28" s="31" t="str">
        <f>IFERROR(VLOOKUP([2]Pointage!IY22,Feuil1!$A:$B,2,FALSE),"")</f>
        <v/>
      </c>
      <c r="IV28" s="31" t="str">
        <f>IFERROR(VLOOKUP([2]Pointage!IZ22,Feuil1!$A:$B,2,FALSE),"")</f>
        <v/>
      </c>
      <c r="IW28" s="31" t="str">
        <f>IFERROR(VLOOKUP([2]Pointage!JA22,Feuil1!$A:$B,2,FALSE),"")</f>
        <v/>
      </c>
      <c r="IX28" s="31" t="str">
        <f>IFERROR(VLOOKUP([2]Pointage!JB22,Feuil1!$A:$B,2,FALSE),"")</f>
        <v/>
      </c>
      <c r="IY28" s="31" t="str">
        <f>IFERROR(VLOOKUP([2]Pointage!JC22,Feuil1!$A:$B,2,FALSE),"")</f>
        <v/>
      </c>
      <c r="IZ28" s="31" t="str">
        <f>IFERROR(VLOOKUP([2]Pointage!JD22,Feuil1!$A:$B,2,FALSE),"")</f>
        <v/>
      </c>
      <c r="JA28" s="31" t="str">
        <f>IFERROR(VLOOKUP([2]Pointage!JE22,Feuil1!$A:$B,2,FALSE),"")</f>
        <v/>
      </c>
      <c r="JB28" s="31" t="str">
        <f>IFERROR(VLOOKUP([2]Pointage!JF22,Feuil1!$A:$B,2,FALSE),"")</f>
        <v/>
      </c>
      <c r="JC28" s="31" t="str">
        <f>IFERROR(VLOOKUP([2]Pointage!JG22,Feuil1!$A:$B,2,FALSE),"")</f>
        <v/>
      </c>
      <c r="JD28" s="31" t="str">
        <f>IFERROR(VLOOKUP([2]Pointage!JH22,Feuil1!$A:$B,2,FALSE),"")</f>
        <v/>
      </c>
      <c r="JE28" s="31" t="str">
        <f>IFERROR(VLOOKUP([2]Pointage!JI22,Feuil1!$A:$B,2,FALSE),"")</f>
        <v/>
      </c>
      <c r="JF28" s="31" t="str">
        <f>IFERROR(VLOOKUP([2]Pointage!JJ22,Feuil1!$A:$B,2,FALSE),"")</f>
        <v/>
      </c>
      <c r="JG28" s="31" t="str">
        <f>IFERROR(VLOOKUP([2]Pointage!JK22,Feuil1!$A:$B,2,FALSE),"")</f>
        <v/>
      </c>
      <c r="JH28" s="31" t="str">
        <f>IFERROR(VLOOKUP([2]Pointage!JL22,Feuil1!$A:$B,2,FALSE),"")</f>
        <v/>
      </c>
      <c r="JI28" s="31" t="str">
        <f>IFERROR(VLOOKUP([2]Pointage!JM22,Feuil1!$A:$B,2,FALSE),"")</f>
        <v/>
      </c>
      <c r="JJ28" s="31" t="str">
        <f>IFERROR(VLOOKUP([2]Pointage!JN22,Feuil1!$A:$B,2,FALSE),"")</f>
        <v/>
      </c>
      <c r="JK28" s="31" t="str">
        <f>IFERROR(VLOOKUP([2]Pointage!JO22,Feuil1!$A:$B,2,FALSE),"")</f>
        <v/>
      </c>
      <c r="JL28" s="31" t="str">
        <f>IFERROR(VLOOKUP([2]Pointage!JP22,Feuil1!$A:$B,2,FALSE),"")</f>
        <v/>
      </c>
      <c r="JM28" s="31" t="str">
        <f>IFERROR(VLOOKUP([2]Pointage!JQ22,Feuil1!$A:$B,2,FALSE),"")</f>
        <v/>
      </c>
      <c r="JN28" s="31" t="str">
        <f>IFERROR(VLOOKUP([2]Pointage!JR22,Feuil1!$A:$B,2,FALSE),"")</f>
        <v/>
      </c>
      <c r="JO28" s="31" t="str">
        <f>IFERROR(VLOOKUP([2]Pointage!JS22,Feuil1!$A:$B,2,FALSE),"")</f>
        <v/>
      </c>
      <c r="JP28" s="31" t="str">
        <f>IFERROR(VLOOKUP([2]Pointage!JT22,Feuil1!$A:$B,2,FALSE),"")</f>
        <v/>
      </c>
      <c r="JQ28" s="31" t="str">
        <f>IFERROR(VLOOKUP([2]Pointage!JU22,Feuil1!$A:$B,2,FALSE),"")</f>
        <v/>
      </c>
      <c r="JR28" s="82" t="str">
        <f>IFERROR(VLOOKUP([2]Pointage!JV22,Feuil1!$A:$B,2,FALSE),"")</f>
        <v/>
      </c>
      <c r="JS28" s="47" t="str">
        <f>IFERROR(VLOOKUP([2]Pointage!JW22,Feuil1!$A:$B,2,FALSE),"")</f>
        <v/>
      </c>
      <c r="JT28" s="31" t="str">
        <f>IFERROR(VLOOKUP([2]Pointage!JX22,Feuil1!$A:$B,2,FALSE),"")</f>
        <v/>
      </c>
      <c r="JU28" s="31" t="str">
        <f>IFERROR(VLOOKUP([2]Pointage!JY22,Feuil1!$A:$B,2,FALSE),"")</f>
        <v/>
      </c>
      <c r="JV28" s="31" t="str">
        <f>IFERROR(VLOOKUP([2]Pointage!JZ22,Feuil1!$A:$B,2,FALSE),"")</f>
        <v/>
      </c>
      <c r="JW28" s="31" t="str">
        <f>IFERROR(VLOOKUP([2]Pointage!KA22,Feuil1!$A:$B,2,FALSE),"")</f>
        <v/>
      </c>
      <c r="JX28" s="31" t="str">
        <f>IFERROR(VLOOKUP([2]Pointage!KB22,Feuil1!$A:$B,2,FALSE),"")</f>
        <v/>
      </c>
      <c r="JY28" s="31" t="str">
        <f>IFERROR(VLOOKUP([2]Pointage!KC22,Feuil1!$A:$B,2,FALSE),"")</f>
        <v/>
      </c>
      <c r="JZ28" s="31" t="str">
        <f>IFERROR(VLOOKUP([2]Pointage!KD22,Feuil1!$A:$B,2,FALSE),"")</f>
        <v/>
      </c>
      <c r="KA28" s="31" t="str">
        <f>IFERROR(VLOOKUP([2]Pointage!KE22,Feuil1!$A:$B,2,FALSE),"")</f>
        <v/>
      </c>
      <c r="KB28" s="31" t="str">
        <f>IFERROR(VLOOKUP([2]Pointage!KF22,Feuil1!$A:$B,2,FALSE),"")</f>
        <v/>
      </c>
      <c r="KC28" s="31" t="str">
        <f>IFERROR(VLOOKUP([2]Pointage!KG22,Feuil1!$A:$B,2,FALSE),"")</f>
        <v/>
      </c>
      <c r="KD28" s="31" t="str">
        <f>IFERROR(VLOOKUP([2]Pointage!KH22,Feuil1!$A:$B,2,FALSE),"")</f>
        <v/>
      </c>
      <c r="KE28" s="31" t="str">
        <f>IFERROR(VLOOKUP([2]Pointage!KI22,Feuil1!$A:$B,2,FALSE),"")</f>
        <v/>
      </c>
      <c r="KF28" s="31" t="str">
        <f>IFERROR(VLOOKUP([2]Pointage!KJ22,Feuil1!$A:$B,2,FALSE),"")</f>
        <v/>
      </c>
      <c r="KG28" s="31" t="str">
        <f>IFERROR(VLOOKUP([2]Pointage!KK22,Feuil1!$A:$B,2,FALSE),"")</f>
        <v/>
      </c>
      <c r="KH28" s="31" t="str">
        <f>IFERROR(VLOOKUP([2]Pointage!KL22,Feuil1!$A:$B,2,FALSE),"")</f>
        <v/>
      </c>
      <c r="KI28" s="31" t="str">
        <f>IFERROR(VLOOKUP([2]Pointage!KM22,Feuil1!$A:$B,2,FALSE),"")</f>
        <v/>
      </c>
      <c r="KJ28" s="31" t="str">
        <f>IFERROR(VLOOKUP([2]Pointage!KN22,Feuil1!$A:$B,2,FALSE),"")</f>
        <v/>
      </c>
      <c r="KK28" s="31" t="str">
        <f>IFERROR(VLOOKUP([2]Pointage!KO22,Feuil1!$A:$B,2,FALSE),"")</f>
        <v/>
      </c>
      <c r="KL28" s="31" t="str">
        <f>IFERROR(VLOOKUP([2]Pointage!KP22,Feuil1!$A:$B,2,FALSE),"")</f>
        <v/>
      </c>
      <c r="KM28" s="31" t="str">
        <f>IFERROR(VLOOKUP([2]Pointage!KQ22,Feuil1!$A:$B,2,FALSE),"")</f>
        <v/>
      </c>
      <c r="KN28" s="31" t="str">
        <f>IFERROR(VLOOKUP([2]Pointage!KR22,Feuil1!$A:$B,2,FALSE),"")</f>
        <v/>
      </c>
      <c r="KO28" s="31" t="str">
        <f>IFERROR(VLOOKUP([2]Pointage!KS22,Feuil1!$A:$B,2,FALSE),"")</f>
        <v/>
      </c>
      <c r="KP28" s="31" t="str">
        <f>IFERROR(VLOOKUP([2]Pointage!KT22,Feuil1!$A:$B,2,FALSE),"")</f>
        <v/>
      </c>
      <c r="KQ28" s="31" t="str">
        <f>IFERROR(VLOOKUP([2]Pointage!KU22,Feuil1!$A:$B,2,FALSE),"")</f>
        <v/>
      </c>
      <c r="KR28" s="31" t="str">
        <f>IFERROR(VLOOKUP([2]Pointage!KV22,Feuil1!$A:$B,2,FALSE),"")</f>
        <v/>
      </c>
      <c r="KS28" s="31" t="str">
        <f>IFERROR(VLOOKUP([2]Pointage!KW22,Feuil1!$A:$B,2,FALSE),"")</f>
        <v/>
      </c>
      <c r="KT28" s="31" t="str">
        <f>IFERROR(VLOOKUP([2]Pointage!KX22,Feuil1!$A:$B,2,FALSE),"")</f>
        <v/>
      </c>
      <c r="KU28" s="31" t="str">
        <f>IFERROR(VLOOKUP([2]Pointage!KY22,Feuil1!$A:$B,2,FALSE),"")</f>
        <v/>
      </c>
      <c r="KV28" s="31" t="str">
        <f>IFERROR(VLOOKUP([2]Pointage!KZ22,Feuil1!$A:$B,2,FALSE),"")</f>
        <v/>
      </c>
      <c r="KW28" s="82" t="str">
        <f>IFERROR(VLOOKUP([2]Pointage!LA22,Feuil1!$A:$B,2,FALSE),"")</f>
        <v/>
      </c>
      <c r="KX28" s="47" t="str">
        <f>IFERROR(VLOOKUP([2]Pointage!LB22,Feuil1!$A:$B,2,FALSE),"")</f>
        <v/>
      </c>
      <c r="KY28" s="31" t="str">
        <f>IFERROR(VLOOKUP([2]Pointage!LC22,Feuil1!$A:$B,2,FALSE),"")</f>
        <v/>
      </c>
      <c r="KZ28" s="31" t="str">
        <f>IFERROR(VLOOKUP([2]Pointage!LD22,Feuil1!$A:$B,2,FALSE),"")</f>
        <v/>
      </c>
      <c r="LA28" s="31" t="str">
        <f>IFERROR(VLOOKUP([2]Pointage!LE22,Feuil1!$A:$B,2,FALSE),"")</f>
        <v/>
      </c>
      <c r="LB28" s="31" t="str">
        <f>IFERROR(VLOOKUP([2]Pointage!LF22,Feuil1!$A:$B,2,FALSE),"")</f>
        <v/>
      </c>
      <c r="LC28" s="31" t="str">
        <f>IFERROR(VLOOKUP([2]Pointage!LG22,Feuil1!$A:$B,2,FALSE),"")</f>
        <v/>
      </c>
      <c r="LD28" s="31" t="str">
        <f>IFERROR(VLOOKUP([2]Pointage!LH22,Feuil1!$A:$B,2,FALSE),"")</f>
        <v/>
      </c>
      <c r="LE28" s="31" t="str">
        <f>IFERROR(VLOOKUP([2]Pointage!LI22,Feuil1!$A:$B,2,FALSE),"")</f>
        <v/>
      </c>
      <c r="LF28" s="31" t="str">
        <f>IFERROR(VLOOKUP([2]Pointage!LJ22,Feuil1!$A:$B,2,FALSE),"")</f>
        <v/>
      </c>
      <c r="LG28" s="31" t="str">
        <f>IFERROR(VLOOKUP([2]Pointage!LK22,Feuil1!$A:$B,2,FALSE),"")</f>
        <v/>
      </c>
      <c r="LH28" s="31" t="str">
        <f>IFERROR(VLOOKUP([2]Pointage!LL22,Feuil1!$A:$B,2,FALSE),"")</f>
        <v/>
      </c>
      <c r="LI28" s="31" t="str">
        <f>IFERROR(VLOOKUP([2]Pointage!LM22,Feuil1!$A:$B,2,FALSE),"")</f>
        <v/>
      </c>
      <c r="LJ28" s="31" t="str">
        <f>IFERROR(VLOOKUP([2]Pointage!LN22,Feuil1!$A:$B,2,FALSE),"")</f>
        <v/>
      </c>
      <c r="LK28" s="31" t="str">
        <f>IFERROR(VLOOKUP([2]Pointage!LO22,Feuil1!$A:$B,2,FALSE),"")</f>
        <v/>
      </c>
      <c r="LL28" s="31" t="str">
        <f>IFERROR(VLOOKUP([2]Pointage!LP22,Feuil1!$A:$B,2,FALSE),"")</f>
        <v/>
      </c>
      <c r="LM28" s="31" t="str">
        <f>IFERROR(VLOOKUP([2]Pointage!LQ22,Feuil1!$A:$B,2,FALSE),"")</f>
        <v/>
      </c>
      <c r="LN28" s="31" t="str">
        <f>IFERROR(VLOOKUP([2]Pointage!LR22,Feuil1!$A:$B,2,FALSE),"")</f>
        <v/>
      </c>
      <c r="LO28" s="31" t="str">
        <f>IFERROR(VLOOKUP([2]Pointage!LS22,Feuil1!$A:$B,2,FALSE),"")</f>
        <v/>
      </c>
      <c r="LP28" s="31" t="str">
        <f>IFERROR(VLOOKUP([2]Pointage!LT22,Feuil1!$A:$B,2,FALSE),"")</f>
        <v/>
      </c>
      <c r="LQ28" s="31" t="str">
        <f>IFERROR(VLOOKUP([2]Pointage!LU22,Feuil1!$A:$B,2,FALSE),"")</f>
        <v/>
      </c>
      <c r="LR28" s="31" t="str">
        <f>IFERROR(VLOOKUP([2]Pointage!LV22,Feuil1!$A:$B,2,FALSE),"")</f>
        <v/>
      </c>
      <c r="LS28" s="31" t="str">
        <f>IFERROR(VLOOKUP([2]Pointage!LW22,Feuil1!$A:$B,2,FALSE),"")</f>
        <v/>
      </c>
      <c r="LT28" s="31" t="str">
        <f>IFERROR(VLOOKUP([2]Pointage!LX22,Feuil1!$A:$B,2,FALSE),"")</f>
        <v/>
      </c>
      <c r="LU28" s="31" t="str">
        <f>IFERROR(VLOOKUP([2]Pointage!LY22,Feuil1!$A:$B,2,FALSE),"")</f>
        <v/>
      </c>
      <c r="LV28" s="31" t="str">
        <f>IFERROR(VLOOKUP([2]Pointage!LZ22,Feuil1!$A:$B,2,FALSE),"")</f>
        <v/>
      </c>
      <c r="LW28" s="31" t="str">
        <f>IFERROR(VLOOKUP([2]Pointage!MA22,Feuil1!$A:$B,2,FALSE),"")</f>
        <v/>
      </c>
      <c r="LX28" s="31" t="str">
        <f>IFERROR(VLOOKUP([2]Pointage!MB22,Feuil1!$A:$B,2,FALSE),"")</f>
        <v/>
      </c>
      <c r="LY28" s="31" t="str">
        <f>IFERROR(VLOOKUP([2]Pointage!MC22,Feuil1!$A:$B,2,FALSE),"")</f>
        <v/>
      </c>
      <c r="LZ28" s="31" t="str">
        <f>IFERROR(VLOOKUP([2]Pointage!MD22,Feuil1!$A:$B,2,FALSE),"")</f>
        <v/>
      </c>
      <c r="MA28" s="82" t="str">
        <f>IFERROR(VLOOKUP([2]Pointage!ME22,Feuil1!$A:$B,2,FALSE),"")</f>
        <v/>
      </c>
      <c r="MB28" s="47" t="str">
        <f>IFERROR(VLOOKUP([2]Pointage!MF22,Feuil1!$A:$B,2,FALSE),"")</f>
        <v/>
      </c>
      <c r="MC28" s="31" t="str">
        <f>IFERROR(VLOOKUP([2]Pointage!MG22,Feuil1!$A:$B,2,FALSE),"")</f>
        <v/>
      </c>
      <c r="MD28" s="31" t="str">
        <f>IFERROR(VLOOKUP([2]Pointage!MH22,Feuil1!$A:$B,2,FALSE),"")</f>
        <v/>
      </c>
      <c r="ME28" s="31" t="str">
        <f>IFERROR(VLOOKUP([2]Pointage!MI22,Feuil1!$A:$B,2,FALSE),"")</f>
        <v/>
      </c>
      <c r="MF28" s="31" t="str">
        <f>IFERROR(VLOOKUP([2]Pointage!MJ22,Feuil1!$A:$B,2,FALSE),"")</f>
        <v/>
      </c>
      <c r="MG28" s="31" t="str">
        <f>IFERROR(VLOOKUP([2]Pointage!MK22,Feuil1!$A:$B,2,FALSE),"")</f>
        <v/>
      </c>
      <c r="MH28" s="31" t="str">
        <f>IFERROR(VLOOKUP([2]Pointage!ML22,Feuil1!$A:$B,2,FALSE),"")</f>
        <v/>
      </c>
      <c r="MI28" s="31" t="str">
        <f>IFERROR(VLOOKUP([2]Pointage!MM22,Feuil1!$A:$B,2,FALSE),"")</f>
        <v/>
      </c>
      <c r="MJ28" s="31" t="str">
        <f>IFERROR(VLOOKUP([2]Pointage!MN22,Feuil1!$A:$B,2,FALSE),"")</f>
        <v/>
      </c>
      <c r="MK28" s="31" t="str">
        <f>IFERROR(VLOOKUP([2]Pointage!MO22,Feuil1!$A:$B,2,FALSE),"")</f>
        <v/>
      </c>
      <c r="ML28" s="31" t="str">
        <f>IFERROR(VLOOKUP([2]Pointage!MP22,Feuil1!$A:$B,2,FALSE),"")</f>
        <v/>
      </c>
      <c r="MM28" s="31" t="str">
        <f>IFERROR(VLOOKUP([2]Pointage!MQ22,Feuil1!$A:$B,2,FALSE),"")</f>
        <v/>
      </c>
      <c r="MN28" s="31" t="str">
        <f>IFERROR(VLOOKUP([2]Pointage!MR22,Feuil1!$A:$B,2,FALSE),"")</f>
        <v/>
      </c>
      <c r="MO28" s="31" t="str">
        <f>IFERROR(VLOOKUP([2]Pointage!MS22,Feuil1!$A:$B,2,FALSE),"")</f>
        <v/>
      </c>
      <c r="MP28" s="31" t="str">
        <f>IFERROR(VLOOKUP([2]Pointage!MT22,Feuil1!$A:$B,2,FALSE),"")</f>
        <v/>
      </c>
      <c r="MQ28" s="31" t="str">
        <f>IFERROR(VLOOKUP([2]Pointage!MU22,Feuil1!$A:$B,2,FALSE),"")</f>
        <v/>
      </c>
      <c r="MR28" s="31" t="str">
        <f>IFERROR(VLOOKUP([2]Pointage!MV22,Feuil1!$A:$B,2,FALSE),"")</f>
        <v/>
      </c>
      <c r="MS28" s="31" t="str">
        <f>IFERROR(VLOOKUP([2]Pointage!MW22,Feuil1!$A:$B,2,FALSE),"")</f>
        <v/>
      </c>
      <c r="MT28" s="31" t="str">
        <f>IFERROR(VLOOKUP([2]Pointage!MX22,Feuil1!$A:$B,2,FALSE),"")</f>
        <v/>
      </c>
      <c r="MU28" s="31" t="str">
        <f>IFERROR(VLOOKUP([2]Pointage!MY22,Feuil1!$A:$B,2,FALSE),"")</f>
        <v/>
      </c>
      <c r="MV28" s="31" t="str">
        <f>IFERROR(VLOOKUP([2]Pointage!MZ22,Feuil1!$A:$B,2,FALSE),"")</f>
        <v/>
      </c>
      <c r="MW28" s="31" t="str">
        <f>IFERROR(VLOOKUP([2]Pointage!NA22,Feuil1!$A:$B,2,FALSE),"")</f>
        <v/>
      </c>
      <c r="MX28" s="31" t="str">
        <f>IFERROR(VLOOKUP([2]Pointage!NB22,Feuil1!$A:$B,2,FALSE),"")</f>
        <v/>
      </c>
      <c r="MY28" s="31" t="str">
        <f>IFERROR(VLOOKUP([2]Pointage!NC22,Feuil1!$A:$B,2,FALSE),"")</f>
        <v/>
      </c>
      <c r="MZ28" s="31" t="str">
        <f>IFERROR(VLOOKUP([2]Pointage!ND22,Feuil1!$A:$B,2,FALSE),"")</f>
        <v/>
      </c>
      <c r="NA28" s="31" t="str">
        <f>IFERROR(VLOOKUP([2]Pointage!NE22,Feuil1!$A:$B,2,FALSE),"")</f>
        <v/>
      </c>
      <c r="NB28" s="31" t="str">
        <f>IFERROR(VLOOKUP([2]Pointage!NF22,Feuil1!$A:$B,2,FALSE),"")</f>
        <v/>
      </c>
      <c r="NC28" s="31" t="str">
        <f>IFERROR(VLOOKUP([2]Pointage!NG22,Feuil1!$A:$B,2,FALSE),"")</f>
        <v/>
      </c>
      <c r="ND28" s="31" t="str">
        <f>IFERROR(VLOOKUP([2]Pointage!NH22,Feuil1!$A:$B,2,FALSE),"")</f>
        <v/>
      </c>
      <c r="NE28" s="31" t="str">
        <f>IFERROR(VLOOKUP([2]Pointage!NI22,Feuil1!$A:$B,2,FALSE),"")</f>
        <v/>
      </c>
      <c r="NF28" s="48" t="str">
        <f>IFERROR(VLOOKUP([2]Pointage!NJ22,Feuil1!$A:$B,2,FALSE),"")</f>
        <v/>
      </c>
      <c r="NG28" s="52">
        <f>COUNTIF(Global!F28:NF28,"RTT")+(COUNTIF(Global!F28:NF28,"dRTT")/2)</f>
        <v>0.5</v>
      </c>
      <c r="NH28" s="42">
        <f>COUNTIF(Global!F28:NF28,"C")+(COUNTIF(Global!F28:NF28,"DC")/2)</f>
        <v>2</v>
      </c>
      <c r="NI28" s="42">
        <f>COUNTIF(Global!F28:NF28,"M")</f>
        <v>0</v>
      </c>
      <c r="NJ28" s="42">
        <f>COUNTIF(Global!G28:NG28,"AT")</f>
        <v>0</v>
      </c>
      <c r="NK28" s="42">
        <f>COUNTIF(Global!F28:NF28,"RD")</f>
        <v>0</v>
      </c>
      <c r="NL28" s="42">
        <f>COUNTIF(Global!F28:NF28,"RC")+(COUNTIF(Global!F28:NF28,"dRC")/2)</f>
        <v>0</v>
      </c>
      <c r="NM28" s="68">
        <f t="shared" ca="1" si="0"/>
        <v>4.0273972602739727</v>
      </c>
      <c r="NT28" s="33"/>
      <c r="NU28" s="33"/>
      <c r="NV28" s="28"/>
      <c r="NW28" s="28"/>
      <c r="NX28" s="29">
        <f>COUNTIF(F28:NF28,"C")++(COUNTIF(Global!F28:NF28,"DC")/2)</f>
        <v>2</v>
      </c>
      <c r="NY28" s="29"/>
      <c r="NZ28" s="29"/>
      <c r="OA28" s="29"/>
      <c r="OB28" s="29">
        <f>COUNTIF(Global!F28:NF28,"M")</f>
        <v>0</v>
      </c>
      <c r="OC28" s="30">
        <f t="shared" si="1"/>
        <v>-2</v>
      </c>
      <c r="OD28" s="30"/>
    </row>
    <row r="29" spans="1:394" ht="30" customHeight="1" x14ac:dyDescent="0.2">
      <c r="A29" s="15" t="s">
        <v>85</v>
      </c>
      <c r="B29" s="22" t="s">
        <v>191</v>
      </c>
      <c r="C29" s="22" t="s">
        <v>192</v>
      </c>
      <c r="D29" s="22" t="s">
        <v>193</v>
      </c>
      <c r="E29" s="44">
        <v>0</v>
      </c>
      <c r="F29" s="47" t="str">
        <f>IFERROR(VLOOKUP([2]Pointage!J23,Feuil1!$A:$B,2,FALSE),"")</f>
        <v/>
      </c>
      <c r="G29" s="31" t="str">
        <f>IFERROR(VLOOKUP([2]Pointage!K23,Feuil1!$A:$B,2,FALSE),"")</f>
        <v>C</v>
      </c>
      <c r="H29" s="31" t="str">
        <f>IFERROR(VLOOKUP([2]Pointage!L23,Feuil1!$A:$B,2,FALSE),"")</f>
        <v>C</v>
      </c>
      <c r="I29" s="31" t="str">
        <f>IFERROR(VLOOKUP([2]Pointage!M23,Feuil1!$A:$B,2,FALSE),"")</f>
        <v>C</v>
      </c>
      <c r="J29" s="31" t="str">
        <f>IFERROR(VLOOKUP([2]Pointage!N23,Feuil1!$A:$B,2,FALSE),"")</f>
        <v>C</v>
      </c>
      <c r="K29" s="31" t="str">
        <f>IFERROR(VLOOKUP([2]Pointage!O23,Feuil1!$A:$B,2,FALSE),"")</f>
        <v/>
      </c>
      <c r="L29" s="31" t="str">
        <f>IFERROR(VLOOKUP([2]Pointage!P23,Feuil1!$A:$B,2,FALSE),"")</f>
        <v/>
      </c>
      <c r="M29" s="31" t="str">
        <f>IFERROR(VLOOKUP([2]Pointage!Q23,Feuil1!$A:$B,2,FALSE),"")</f>
        <v/>
      </c>
      <c r="N29" s="31" t="str">
        <f>IFERROR(VLOOKUP([2]Pointage!R23,Feuil1!$A:$B,2,FALSE),"")</f>
        <v/>
      </c>
      <c r="O29" s="31" t="str">
        <f>IFERROR(VLOOKUP([2]Pointage!S23,Feuil1!$A:$B,2,FALSE),"")</f>
        <v>M</v>
      </c>
      <c r="P29" s="31" t="str">
        <f>IFERROR(VLOOKUP([2]Pointage!T23,Feuil1!$A:$B,2,FALSE),"")</f>
        <v>M</v>
      </c>
      <c r="Q29" s="31" t="str">
        <f>IFERROR(VLOOKUP([2]Pointage!U23,Feuil1!$A:$B,2,FALSE),"")</f>
        <v>M</v>
      </c>
      <c r="R29" s="31" t="str">
        <f>IFERROR(VLOOKUP([2]Pointage!V23,Feuil1!$A:$B,2,FALSE),"")</f>
        <v>M</v>
      </c>
      <c r="S29" s="31" t="str">
        <f>IFERROR(VLOOKUP([2]Pointage!W23,Feuil1!$A:$B,2,FALSE),"")</f>
        <v>M</v>
      </c>
      <c r="T29" s="31" t="str">
        <f>IFERROR(VLOOKUP([2]Pointage!X23,Feuil1!$A:$B,2,FALSE),"")</f>
        <v/>
      </c>
      <c r="U29" s="31" t="str">
        <f>IFERROR(VLOOKUP([2]Pointage!Y23,Feuil1!$A:$B,2,FALSE),"")</f>
        <v/>
      </c>
      <c r="V29" s="31" t="str">
        <f>IFERROR(VLOOKUP([2]Pointage!Z23,Feuil1!$A:$B,2,FALSE),"")</f>
        <v/>
      </c>
      <c r="W29" s="31" t="str">
        <f>IFERROR(VLOOKUP([2]Pointage!AA23,Feuil1!$A:$B,2,FALSE),"")</f>
        <v/>
      </c>
      <c r="X29" s="31" t="str">
        <f>IFERROR(VLOOKUP([2]Pointage!AB23,Feuil1!$A:$B,2,FALSE),"")</f>
        <v/>
      </c>
      <c r="Y29" s="31" t="str">
        <f>IFERROR(VLOOKUP([2]Pointage!AC23,Feuil1!$A:$B,2,FALSE),"")</f>
        <v/>
      </c>
      <c r="Z29" s="31" t="str">
        <f>IFERROR(VLOOKUP([2]Pointage!AD23,Feuil1!$A:$B,2,FALSE),"")</f>
        <v/>
      </c>
      <c r="AA29" s="31" t="str">
        <f>IFERROR(VLOOKUP([2]Pointage!AE23,Feuil1!$A:$B,2,FALSE),"")</f>
        <v/>
      </c>
      <c r="AB29" s="31" t="str">
        <f>IFERROR(VLOOKUP([2]Pointage!AF23,Feuil1!$A:$B,2,FALSE),"")</f>
        <v/>
      </c>
      <c r="AC29" s="31" t="str">
        <f>IFERROR(VLOOKUP([2]Pointage!AG23,Feuil1!$A:$B,2,FALSE),"")</f>
        <v/>
      </c>
      <c r="AD29" s="31" t="str">
        <f>IFERROR(VLOOKUP([2]Pointage!AH23,Feuil1!$A:$B,2,FALSE),"")</f>
        <v/>
      </c>
      <c r="AE29" s="31" t="str">
        <f>IFERROR(VLOOKUP([2]Pointage!AI23,Feuil1!$A:$B,2,FALSE),"")</f>
        <v/>
      </c>
      <c r="AF29" s="31" t="str">
        <f>IFERROR(VLOOKUP([2]Pointage!AJ23,Feuil1!$A:$B,2,FALSE),"")</f>
        <v/>
      </c>
      <c r="AG29" s="31" t="str">
        <f>IFERROR(VLOOKUP([2]Pointage!AK23,Feuil1!$A:$B,2,FALSE),"")</f>
        <v/>
      </c>
      <c r="AH29" s="31" t="str">
        <f>IFERROR(VLOOKUP([2]Pointage!AL23,Feuil1!$A:$B,2,FALSE),"")</f>
        <v/>
      </c>
      <c r="AI29" s="31" t="str">
        <f>IFERROR(VLOOKUP([2]Pointage!AM23,Feuil1!$A:$B,2,FALSE),"")</f>
        <v/>
      </c>
      <c r="AJ29" s="82" t="str">
        <f>IFERROR(VLOOKUP([2]Pointage!AN23,Feuil1!$A:$B,2,FALSE),"")</f>
        <v/>
      </c>
      <c r="AK29" s="47" t="str">
        <f>IFERROR(VLOOKUP([2]Pointage!AO23,Feuil1!$A:$B,2,FALSE),"")</f>
        <v/>
      </c>
      <c r="AL29" s="31" t="str">
        <f>IFERROR(VLOOKUP([2]Pointage!AP23,Feuil1!$A:$B,2,FALSE),"")</f>
        <v/>
      </c>
      <c r="AM29" s="31" t="str">
        <f>IFERROR(VLOOKUP([2]Pointage!AQ23,Feuil1!$A:$B,2,FALSE),"")</f>
        <v/>
      </c>
      <c r="AN29" s="31" t="str">
        <f>IFERROR(VLOOKUP([2]Pointage!AR23,Feuil1!$A:$B,2,FALSE),"")</f>
        <v/>
      </c>
      <c r="AO29" s="31" t="str">
        <f>IFERROR(VLOOKUP([2]Pointage!AS23,Feuil1!$A:$B,2,FALSE),"")</f>
        <v/>
      </c>
      <c r="AP29" s="31" t="str">
        <f>IFERROR(VLOOKUP([2]Pointage!AT23,Feuil1!$A:$B,2,FALSE),"")</f>
        <v/>
      </c>
      <c r="AQ29" s="31" t="str">
        <f>IFERROR(VLOOKUP([2]Pointage!AU23,Feuil1!$A:$B,2,FALSE),"")</f>
        <v/>
      </c>
      <c r="AR29" s="31" t="str">
        <f>IFERROR(VLOOKUP([2]Pointage!AV23,Feuil1!$A:$B,2,FALSE),"")</f>
        <v>C</v>
      </c>
      <c r="AS29" s="31" t="str">
        <f>IFERROR(VLOOKUP([2]Pointage!AW23,Feuil1!$A:$B,2,FALSE),"")</f>
        <v/>
      </c>
      <c r="AT29" s="31" t="str">
        <f>IFERROR(VLOOKUP([2]Pointage!AX23,Feuil1!$A:$B,2,FALSE),"")</f>
        <v/>
      </c>
      <c r="AU29" s="31" t="str">
        <f>IFERROR(VLOOKUP([2]Pointage!AY23,Feuil1!$A:$B,2,FALSE),"")</f>
        <v/>
      </c>
      <c r="AV29" s="31" t="str">
        <f>IFERROR(VLOOKUP([2]Pointage!AZ23,Feuil1!$A:$B,2,FALSE),"")</f>
        <v/>
      </c>
      <c r="AW29" s="31" t="str">
        <f>IFERROR(VLOOKUP([2]Pointage!BA23,Feuil1!$A:$B,2,FALSE),"")</f>
        <v/>
      </c>
      <c r="AX29" s="31" t="str">
        <f>IFERROR(VLOOKUP([2]Pointage!BB23,Feuil1!$A:$B,2,FALSE),"")</f>
        <v/>
      </c>
      <c r="AY29" s="31" t="str">
        <f>IFERROR(VLOOKUP([2]Pointage!BC23,Feuil1!$A:$B,2,FALSE),"")</f>
        <v/>
      </c>
      <c r="AZ29" s="31" t="str">
        <f>IFERROR(VLOOKUP([2]Pointage!BD23,Feuil1!$A:$B,2,FALSE),"")</f>
        <v/>
      </c>
      <c r="BA29" s="31" t="str">
        <f>IFERROR(VLOOKUP([2]Pointage!BE23,Feuil1!$A:$B,2,FALSE),"")</f>
        <v/>
      </c>
      <c r="BB29" s="31" t="str">
        <f>IFERROR(VLOOKUP([2]Pointage!BF23,Feuil1!$A:$B,2,FALSE),"")</f>
        <v/>
      </c>
      <c r="BC29" s="31" t="str">
        <f>IFERROR(VLOOKUP([2]Pointage!BG23,Feuil1!$A:$B,2,FALSE),"")</f>
        <v/>
      </c>
      <c r="BD29" s="31" t="str">
        <f>IFERROR(VLOOKUP([2]Pointage!BH23,Feuil1!$A:$B,2,FALSE),"")</f>
        <v/>
      </c>
      <c r="BE29" s="31" t="str">
        <f>IFERROR(VLOOKUP([2]Pointage!BI23,Feuil1!$A:$B,2,FALSE),"")</f>
        <v/>
      </c>
      <c r="BF29" s="31" t="str">
        <f>IFERROR(VLOOKUP([2]Pointage!BJ23,Feuil1!$A:$B,2,FALSE),"")</f>
        <v/>
      </c>
      <c r="BG29" s="31" t="str">
        <f>IFERROR(VLOOKUP([2]Pointage!BK23,Feuil1!$A:$B,2,FALSE),"")</f>
        <v/>
      </c>
      <c r="BH29" s="31" t="str">
        <f>IFERROR(VLOOKUP([2]Pointage!BL23,Feuil1!$A:$B,2,FALSE),"")</f>
        <v/>
      </c>
      <c r="BI29" s="31" t="str">
        <f>IFERROR(VLOOKUP([2]Pointage!BM23,Feuil1!$A:$B,2,FALSE),"")</f>
        <v/>
      </c>
      <c r="BJ29" s="31" t="str">
        <f>IFERROR(VLOOKUP([2]Pointage!BN23,Feuil1!$A:$B,2,FALSE),"")</f>
        <v/>
      </c>
      <c r="BK29" s="31" t="str">
        <f>IFERROR(VLOOKUP([2]Pointage!BO23,Feuil1!$A:$B,2,FALSE),"")</f>
        <v/>
      </c>
      <c r="BL29" s="82" t="str">
        <f>IFERROR(VLOOKUP([2]Pointage!BP23,Feuil1!$A:$B,2,FALSE),"")</f>
        <v/>
      </c>
      <c r="BM29" s="47" t="str">
        <f>IFERROR(VLOOKUP([2]Pointage!BQ23,Feuil1!$A:$B,2,FALSE),"")</f>
        <v>C</v>
      </c>
      <c r="BN29" s="31" t="str">
        <f>IFERROR(VLOOKUP([2]Pointage!BR23,Feuil1!$A:$B,2,FALSE),"")</f>
        <v/>
      </c>
      <c r="BO29" s="31" t="str">
        <f>IFERROR(VLOOKUP([2]Pointage!BS23,Feuil1!$A:$B,2,FALSE),"")</f>
        <v/>
      </c>
      <c r="BP29" s="31" t="str">
        <f>IFERROR(VLOOKUP([2]Pointage!BT23,Feuil1!$A:$B,2,FALSE),"")</f>
        <v/>
      </c>
      <c r="BQ29" s="31" t="str">
        <f>IFERROR(VLOOKUP([2]Pointage!BU23,Feuil1!$A:$B,2,FALSE),"")</f>
        <v/>
      </c>
      <c r="BR29" s="31" t="str">
        <f>IFERROR(VLOOKUP([2]Pointage!BV23,Feuil1!$A:$B,2,FALSE),"")</f>
        <v/>
      </c>
      <c r="BS29" s="31" t="str">
        <f>IFERROR(VLOOKUP([2]Pointage!BW23,Feuil1!$A:$B,2,FALSE),"")</f>
        <v>C</v>
      </c>
      <c r="BT29" s="31" t="str">
        <f>IFERROR(VLOOKUP([2]Pointage!BX23,Feuil1!$A:$B,2,FALSE),"")</f>
        <v/>
      </c>
      <c r="BU29" s="31" t="str">
        <f>IFERROR(VLOOKUP([2]Pointage!BY23,Feuil1!$A:$B,2,FALSE),"")</f>
        <v/>
      </c>
      <c r="BV29" s="31" t="str">
        <f>IFERROR(VLOOKUP([2]Pointage!BZ23,Feuil1!$A:$B,2,FALSE),"")</f>
        <v/>
      </c>
      <c r="BW29" s="31" t="str">
        <f>IFERROR(VLOOKUP([2]Pointage!CA23,Feuil1!$A:$B,2,FALSE),"")</f>
        <v/>
      </c>
      <c r="BX29" s="31" t="str">
        <f>IFERROR(VLOOKUP([2]Pointage!CB23,Feuil1!$A:$B,2,FALSE),"")</f>
        <v/>
      </c>
      <c r="BY29" s="31" t="str">
        <f>IFERROR(VLOOKUP([2]Pointage!CC23,Feuil1!$A:$B,2,FALSE),"")</f>
        <v/>
      </c>
      <c r="BZ29" s="31" t="str">
        <f>IFERROR(VLOOKUP([2]Pointage!CD23,Feuil1!$A:$B,2,FALSE),"")</f>
        <v/>
      </c>
      <c r="CA29" s="31" t="str">
        <f>IFERROR(VLOOKUP([2]Pointage!CE23,Feuil1!$A:$B,2,FALSE),"")</f>
        <v/>
      </c>
      <c r="CB29" s="31" t="str">
        <f>IFERROR(VLOOKUP([2]Pointage!CF23,Feuil1!$A:$B,2,FALSE),"")</f>
        <v/>
      </c>
      <c r="CC29" s="31" t="str">
        <f>IFERROR(VLOOKUP([2]Pointage!CG23,Feuil1!$A:$B,2,FALSE),"")</f>
        <v/>
      </c>
      <c r="CD29" s="31" t="str">
        <f>IFERROR(VLOOKUP([2]Pointage!CH23,Feuil1!$A:$B,2,FALSE),"")</f>
        <v/>
      </c>
      <c r="CE29" s="31" t="str">
        <f>IFERROR(VLOOKUP([2]Pointage!CI23,Feuil1!$A:$B,2,FALSE),"")</f>
        <v/>
      </c>
      <c r="CF29" s="31" t="str">
        <f>IFERROR(VLOOKUP([2]Pointage!CJ23,Feuil1!$A:$B,2,FALSE),"")</f>
        <v/>
      </c>
      <c r="CG29" s="31" t="str">
        <f>IFERROR(VLOOKUP([2]Pointage!CK23,Feuil1!$A:$B,2,FALSE),"")</f>
        <v>C</v>
      </c>
      <c r="CH29" s="31" t="str">
        <f>IFERROR(VLOOKUP([2]Pointage!CL23,Feuil1!$A:$B,2,FALSE),"")</f>
        <v/>
      </c>
      <c r="CI29" s="31" t="str">
        <f>IFERROR(VLOOKUP([2]Pointage!CM23,Feuil1!$A:$B,2,FALSE),"")</f>
        <v/>
      </c>
      <c r="CJ29" s="31" t="str">
        <f>IFERROR(VLOOKUP([2]Pointage!CN23,Feuil1!$A:$B,2,FALSE),"")</f>
        <v/>
      </c>
      <c r="CK29" s="31" t="str">
        <f>IFERROR(VLOOKUP([2]Pointage!CO23,Feuil1!$A:$B,2,FALSE),"")</f>
        <v/>
      </c>
      <c r="CL29" s="31" t="str">
        <f>IFERROR(VLOOKUP([2]Pointage!CP23,Feuil1!$A:$B,2,FALSE),"")</f>
        <v/>
      </c>
      <c r="CM29" s="31" t="str">
        <f>IFERROR(VLOOKUP([2]Pointage!CQ23,Feuil1!$A:$B,2,FALSE),"")</f>
        <v/>
      </c>
      <c r="CN29" s="31" t="str">
        <f>IFERROR(VLOOKUP([2]Pointage!CR23,Feuil1!$A:$B,2,FALSE),"")</f>
        <v/>
      </c>
      <c r="CO29" s="31" t="str">
        <f>IFERROR(VLOOKUP([2]Pointage!CS23,Feuil1!$A:$B,2,FALSE),"")</f>
        <v/>
      </c>
      <c r="CP29" s="31" t="str">
        <f>IFERROR(VLOOKUP([2]Pointage!CT23,Feuil1!$A:$B,2,FALSE),"")</f>
        <v/>
      </c>
      <c r="CQ29" s="82" t="str">
        <f>IFERROR(VLOOKUP([2]Pointage!CU23,Feuil1!$A:$B,2,FALSE),"")</f>
        <v/>
      </c>
      <c r="CR29" s="47" t="str">
        <f>IFERROR(VLOOKUP([2]Pointage!CV23,Feuil1!$A:$B,2,FALSE),"")</f>
        <v/>
      </c>
      <c r="CS29" s="31" t="str">
        <f>IFERROR(VLOOKUP([2]Pointage!CW23,Feuil1!$A:$B,2,FALSE),"")</f>
        <v/>
      </c>
      <c r="CT29" s="31" t="str">
        <f>IFERROR(VLOOKUP([2]Pointage!CX23,Feuil1!$A:$B,2,FALSE),"")</f>
        <v>C</v>
      </c>
      <c r="CU29" s="31" t="str">
        <f>IFERROR(VLOOKUP([2]Pointage!CY23,Feuil1!$A:$B,2,FALSE),"")</f>
        <v>C</v>
      </c>
      <c r="CV29" s="31" t="str">
        <f>IFERROR(VLOOKUP([2]Pointage!CZ23,Feuil1!$A:$B,2,FALSE),"")</f>
        <v>C</v>
      </c>
      <c r="CW29" s="31" t="str">
        <f>IFERROR(VLOOKUP([2]Pointage!DA23,Feuil1!$A:$B,2,FALSE),"")</f>
        <v>C</v>
      </c>
      <c r="CX29" s="31" t="str">
        <f>IFERROR(VLOOKUP([2]Pointage!DB23,Feuil1!$A:$B,2,FALSE),"")</f>
        <v/>
      </c>
      <c r="CY29" s="31" t="str">
        <f>IFERROR(VLOOKUP([2]Pointage!DC23,Feuil1!$A:$B,2,FALSE),"")</f>
        <v/>
      </c>
      <c r="CZ29" s="31" t="str">
        <f>IFERROR(VLOOKUP([2]Pointage!DD23,Feuil1!$A:$B,2,FALSE),"")</f>
        <v>C</v>
      </c>
      <c r="DA29" s="31" t="str">
        <f>IFERROR(VLOOKUP([2]Pointage!DE23,Feuil1!$A:$B,2,FALSE),"")</f>
        <v>C</v>
      </c>
      <c r="DB29" s="31" t="str">
        <f>IFERROR(VLOOKUP([2]Pointage!DF23,Feuil1!$A:$B,2,FALSE),"")</f>
        <v>C</v>
      </c>
      <c r="DC29" s="31" t="str">
        <f>IFERROR(VLOOKUP([2]Pointage!DG23,Feuil1!$A:$B,2,FALSE),"")</f>
        <v>C</v>
      </c>
      <c r="DD29" s="31" t="str">
        <f>IFERROR(VLOOKUP([2]Pointage!DH23,Feuil1!$A:$B,2,FALSE),"")</f>
        <v>C</v>
      </c>
      <c r="DE29" s="31" t="str">
        <f>IFERROR(VLOOKUP([2]Pointage!DI23,Feuil1!$A:$B,2,FALSE),"")</f>
        <v/>
      </c>
      <c r="DF29" s="31" t="str">
        <f>IFERROR(VLOOKUP([2]Pointage!DJ23,Feuil1!$A:$B,2,FALSE),"")</f>
        <v/>
      </c>
      <c r="DG29" s="31" t="str">
        <f>IFERROR(VLOOKUP([2]Pointage!DK23,Feuil1!$A:$B,2,FALSE),"")</f>
        <v/>
      </c>
      <c r="DH29" s="31" t="str">
        <f>IFERROR(VLOOKUP([2]Pointage!DL23,Feuil1!$A:$B,2,FALSE),"")</f>
        <v/>
      </c>
      <c r="DI29" s="31" t="str">
        <f>IFERROR(VLOOKUP([2]Pointage!DM23,Feuil1!$A:$B,2,FALSE),"")</f>
        <v/>
      </c>
      <c r="DJ29" s="31" t="str">
        <f>IFERROR(VLOOKUP([2]Pointage!DN23,Feuil1!$A:$B,2,FALSE),"")</f>
        <v/>
      </c>
      <c r="DK29" s="31" t="str">
        <f>IFERROR(VLOOKUP([2]Pointage!DO23,Feuil1!$A:$B,2,FALSE),"")</f>
        <v/>
      </c>
      <c r="DL29" s="31" t="str">
        <f>IFERROR(VLOOKUP([2]Pointage!DP23,Feuil1!$A:$B,2,FALSE),"")</f>
        <v/>
      </c>
      <c r="DM29" s="31" t="str">
        <f>IFERROR(VLOOKUP([2]Pointage!DQ23,Feuil1!$A:$B,2,FALSE),"")</f>
        <v/>
      </c>
      <c r="DN29" s="31" t="str">
        <f>IFERROR(VLOOKUP([2]Pointage!DR23,Feuil1!$A:$B,2,FALSE),"")</f>
        <v/>
      </c>
      <c r="DO29" s="31" t="str">
        <f>IFERROR(VLOOKUP([2]Pointage!DS23,Feuil1!$A:$B,2,FALSE),"")</f>
        <v/>
      </c>
      <c r="DP29" s="31" t="str">
        <f>IFERROR(VLOOKUP([2]Pointage!DT23,Feuil1!$A:$B,2,FALSE),"")</f>
        <v/>
      </c>
      <c r="DQ29" s="31" t="str">
        <f>IFERROR(VLOOKUP([2]Pointage!DU23,Feuil1!$A:$B,2,FALSE),"")</f>
        <v/>
      </c>
      <c r="DR29" s="31" t="str">
        <f>IFERROR(VLOOKUP([2]Pointage!DV23,Feuil1!$A:$B,2,FALSE),"")</f>
        <v>M</v>
      </c>
      <c r="DS29" s="31" t="str">
        <f>IFERROR(VLOOKUP([2]Pointage!DW23,Feuil1!$A:$B,2,FALSE),"")</f>
        <v>M</v>
      </c>
      <c r="DT29" s="31" t="str">
        <f>IFERROR(VLOOKUP([2]Pointage!DX23,Feuil1!$A:$B,2,FALSE),"")</f>
        <v>M</v>
      </c>
      <c r="DU29" s="82" t="str">
        <f>IFERROR(VLOOKUP([2]Pointage!DY23,Feuil1!$A:$B,2,FALSE),"")</f>
        <v>M</v>
      </c>
      <c r="DV29" s="47" t="str">
        <f>IFERROR(VLOOKUP([2]Pointage!DZ23,Feuil1!$A:$B,2,FALSE),"")</f>
        <v>M</v>
      </c>
      <c r="DW29" s="31" t="str">
        <f>IFERROR(VLOOKUP([2]Pointage!EA23,Feuil1!$A:$B,2,FALSE),"")</f>
        <v>M</v>
      </c>
      <c r="DX29" s="31" t="str">
        <f>IFERROR(VLOOKUP([2]Pointage!EB23,Feuil1!$A:$B,2,FALSE),"")</f>
        <v>M</v>
      </c>
      <c r="DY29" s="31" t="str">
        <f>IFERROR(VLOOKUP([2]Pointage!EC23,Feuil1!$A:$B,2,FALSE),"")</f>
        <v>M</v>
      </c>
      <c r="DZ29" s="31" t="str">
        <f>IFERROR(VLOOKUP([2]Pointage!ED23,Feuil1!$A:$B,2,FALSE),"")</f>
        <v>M</v>
      </c>
      <c r="EA29" s="31" t="str">
        <f>IFERROR(VLOOKUP([2]Pointage!EE23,Feuil1!$A:$B,2,FALSE),"")</f>
        <v>M</v>
      </c>
      <c r="EB29" s="31" t="str">
        <f>IFERROR(VLOOKUP([2]Pointage!EF23,Feuil1!$A:$B,2,FALSE),"")</f>
        <v>M</v>
      </c>
      <c r="EC29" s="31" t="str">
        <f>IFERROR(VLOOKUP([2]Pointage!EG23,Feuil1!$A:$B,2,FALSE),"")</f>
        <v>M</v>
      </c>
      <c r="ED29" s="31" t="str">
        <f>IFERROR(VLOOKUP([2]Pointage!EH23,Feuil1!$A:$B,2,FALSE),"")</f>
        <v>M</v>
      </c>
      <c r="EE29" s="31" t="str">
        <f>IFERROR(VLOOKUP([2]Pointage!EI23,Feuil1!$A:$B,2,FALSE),"")</f>
        <v>M</v>
      </c>
      <c r="EF29" s="31" t="str">
        <f>IFERROR(VLOOKUP([2]Pointage!EJ23,Feuil1!$A:$B,2,FALSE),"")</f>
        <v>M</v>
      </c>
      <c r="EG29" s="31" t="str">
        <f>IFERROR(VLOOKUP([2]Pointage!EK23,Feuil1!$A:$B,2,FALSE),"")</f>
        <v/>
      </c>
      <c r="EH29" s="31" t="str">
        <f>IFERROR(VLOOKUP([2]Pointage!EL23,Feuil1!$A:$B,2,FALSE),"")</f>
        <v/>
      </c>
      <c r="EI29" s="31" t="str">
        <f>IFERROR(VLOOKUP([2]Pointage!EM23,Feuil1!$A:$B,2,FALSE),"")</f>
        <v/>
      </c>
      <c r="EJ29" s="31" t="str">
        <f>IFERROR(VLOOKUP([2]Pointage!EN23,Feuil1!$A:$B,2,FALSE),"")</f>
        <v/>
      </c>
      <c r="EK29" s="31" t="str">
        <f>IFERROR(VLOOKUP([2]Pointage!EO23,Feuil1!$A:$B,2,FALSE),"")</f>
        <v/>
      </c>
      <c r="EL29" s="31" t="str">
        <f>IFERROR(VLOOKUP([2]Pointage!EP23,Feuil1!$A:$B,2,FALSE),"")</f>
        <v/>
      </c>
      <c r="EM29" s="31" t="str">
        <f>IFERROR(VLOOKUP([2]Pointage!EQ23,Feuil1!$A:$B,2,FALSE),"")</f>
        <v/>
      </c>
      <c r="EN29" s="31" t="str">
        <f>IFERROR(VLOOKUP([2]Pointage!ER23,Feuil1!$A:$B,2,FALSE),"")</f>
        <v/>
      </c>
      <c r="EO29" s="31" t="str">
        <f>IFERROR(VLOOKUP([2]Pointage!ES23,Feuil1!$A:$B,2,FALSE),"")</f>
        <v/>
      </c>
      <c r="EP29" s="31" t="str">
        <f>IFERROR(VLOOKUP([2]Pointage!ET23,Feuil1!$A:$B,2,FALSE),"")</f>
        <v/>
      </c>
      <c r="EQ29" s="31" t="str">
        <f>IFERROR(VLOOKUP([2]Pointage!EU23,Feuil1!$A:$B,2,FALSE),"")</f>
        <v/>
      </c>
      <c r="ER29" s="31" t="str">
        <f>IFERROR(VLOOKUP([2]Pointage!EV23,Feuil1!$A:$B,2,FALSE),"")</f>
        <v/>
      </c>
      <c r="ES29" s="31" t="str">
        <f>IFERROR(VLOOKUP([2]Pointage!EW23,Feuil1!$A:$B,2,FALSE),"")</f>
        <v/>
      </c>
      <c r="ET29" s="31" t="str">
        <f>IFERROR(VLOOKUP([2]Pointage!EX23,Feuil1!$A:$B,2,FALSE),"")</f>
        <v/>
      </c>
      <c r="EU29" s="31" t="str">
        <f>IFERROR(VLOOKUP([2]Pointage!EY23,Feuil1!$A:$B,2,FALSE),"")</f>
        <v/>
      </c>
      <c r="EV29" s="31" t="str">
        <f>IFERROR(VLOOKUP([2]Pointage!EZ23,Feuil1!$A:$B,2,FALSE),"")</f>
        <v/>
      </c>
      <c r="EW29" s="31" t="str">
        <f>IFERROR(VLOOKUP([2]Pointage!FA23,Feuil1!$A:$B,2,FALSE),"")</f>
        <v>RTT</v>
      </c>
      <c r="EX29" s="31" t="str">
        <f>IFERROR(VLOOKUP([2]Pointage!FB23,Feuil1!$A:$B,2,FALSE),"")</f>
        <v/>
      </c>
      <c r="EY29" s="31" t="str">
        <f>IFERROR(VLOOKUP([2]Pointage!FC23,Feuil1!$A:$B,2,FALSE),"")</f>
        <v/>
      </c>
      <c r="EZ29" s="82" t="str">
        <f>IFERROR(VLOOKUP([2]Pointage!FD23,Feuil1!$A:$B,2,FALSE),"")</f>
        <v/>
      </c>
      <c r="FA29" s="47" t="str">
        <f>IFERROR(VLOOKUP([2]Pointage!FE23,Feuil1!$A:$B,2,FALSE),"")</f>
        <v/>
      </c>
      <c r="FB29" s="31" t="str">
        <f>IFERROR(VLOOKUP([2]Pointage!FF23,Feuil1!$A:$B,2,FALSE),"")</f>
        <v/>
      </c>
      <c r="FC29" s="31" t="str">
        <f>IFERROR(VLOOKUP([2]Pointage!FG23,Feuil1!$A:$B,2,FALSE),"")</f>
        <v/>
      </c>
      <c r="FD29" s="31" t="str">
        <f>IFERROR(VLOOKUP([2]Pointage!FH23,Feuil1!$A:$B,2,FALSE),"")</f>
        <v/>
      </c>
      <c r="FE29" s="31" t="str">
        <f>IFERROR(VLOOKUP([2]Pointage!FI23,Feuil1!$A:$B,2,FALSE),"")</f>
        <v/>
      </c>
      <c r="FF29" s="31" t="str">
        <f>IFERROR(VLOOKUP([2]Pointage!FJ23,Feuil1!$A:$B,2,FALSE),"")</f>
        <v/>
      </c>
      <c r="FG29" s="31" t="str">
        <f>IFERROR(VLOOKUP([2]Pointage!FK23,Feuil1!$A:$B,2,FALSE),"")</f>
        <v/>
      </c>
      <c r="FH29" s="31" t="str">
        <f>IFERROR(VLOOKUP([2]Pointage!FL23,Feuil1!$A:$B,2,FALSE),"")</f>
        <v/>
      </c>
      <c r="FI29" s="31" t="str">
        <f>IFERROR(VLOOKUP([2]Pointage!FM23,Feuil1!$A:$B,2,FALSE),"")</f>
        <v/>
      </c>
      <c r="FJ29" s="31" t="str">
        <f>IFERROR(VLOOKUP([2]Pointage!FN23,Feuil1!$A:$B,2,FALSE),"")</f>
        <v/>
      </c>
      <c r="FK29" s="31" t="str">
        <f>IFERROR(VLOOKUP([2]Pointage!FO23,Feuil1!$A:$B,2,FALSE),"")</f>
        <v/>
      </c>
      <c r="FL29" s="31" t="str">
        <f>IFERROR(VLOOKUP([2]Pointage!FP23,Feuil1!$A:$B,2,FALSE),"")</f>
        <v/>
      </c>
      <c r="FM29" s="31" t="str">
        <f>IFERROR(VLOOKUP([2]Pointage!FQ23,Feuil1!$A:$B,2,FALSE),"")</f>
        <v/>
      </c>
      <c r="FN29" s="31" t="str">
        <f>IFERROR(VLOOKUP([2]Pointage!FR23,Feuil1!$A:$B,2,FALSE),"")</f>
        <v/>
      </c>
      <c r="FO29" s="31" t="str">
        <f>IFERROR(VLOOKUP([2]Pointage!FS23,Feuil1!$A:$B,2,FALSE),"")</f>
        <v/>
      </c>
      <c r="FP29" s="31" t="str">
        <f>IFERROR(VLOOKUP([2]Pointage!FT23,Feuil1!$A:$B,2,FALSE),"")</f>
        <v/>
      </c>
      <c r="FQ29" s="31" t="str">
        <f>IFERROR(VLOOKUP([2]Pointage!FU23,Feuil1!$A:$B,2,FALSE),"")</f>
        <v/>
      </c>
      <c r="FR29" s="31" t="str">
        <f>IFERROR(VLOOKUP([2]Pointage!FV23,Feuil1!$A:$B,2,FALSE),"")</f>
        <v/>
      </c>
      <c r="FS29" s="31" t="str">
        <f>IFERROR(VLOOKUP([2]Pointage!FW23,Feuil1!$A:$B,2,FALSE),"")</f>
        <v/>
      </c>
      <c r="FT29" s="31" t="str">
        <f>IFERROR(VLOOKUP([2]Pointage!FX23,Feuil1!$A:$B,2,FALSE),"")</f>
        <v/>
      </c>
      <c r="FU29" s="31" t="str">
        <f>IFERROR(VLOOKUP([2]Pointage!FY23,Feuil1!$A:$B,2,FALSE),"")</f>
        <v/>
      </c>
      <c r="FV29" s="31" t="str">
        <f>IFERROR(VLOOKUP([2]Pointage!FZ23,Feuil1!$A:$B,2,FALSE),"")</f>
        <v/>
      </c>
      <c r="FW29" s="31" t="str">
        <f>IFERROR(VLOOKUP([2]Pointage!GA23,Feuil1!$A:$B,2,FALSE),"")</f>
        <v/>
      </c>
      <c r="FX29" s="31" t="str">
        <f>IFERROR(VLOOKUP([2]Pointage!GB23,Feuil1!$A:$B,2,FALSE),"")</f>
        <v/>
      </c>
      <c r="FY29" s="31" t="str">
        <f>IFERROR(VLOOKUP([2]Pointage!GC23,Feuil1!$A:$B,2,FALSE),"")</f>
        <v/>
      </c>
      <c r="FZ29" s="31" t="str">
        <f>IFERROR(VLOOKUP([2]Pointage!GD23,Feuil1!$A:$B,2,FALSE),"")</f>
        <v/>
      </c>
      <c r="GA29" s="31" t="str">
        <f>IFERROR(VLOOKUP([2]Pointage!GE23,Feuil1!$A:$B,2,FALSE),"")</f>
        <v/>
      </c>
      <c r="GB29" s="31" t="str">
        <f>IFERROR(VLOOKUP([2]Pointage!GF23,Feuil1!$A:$B,2,FALSE),"")</f>
        <v/>
      </c>
      <c r="GC29" s="31" t="str">
        <f>IFERROR(VLOOKUP([2]Pointage!GG23,Feuil1!$A:$B,2,FALSE),"")</f>
        <v/>
      </c>
      <c r="GD29" s="82" t="str">
        <f>IFERROR(VLOOKUP([2]Pointage!GH23,Feuil1!$A:$B,2,FALSE),"")</f>
        <v/>
      </c>
      <c r="GE29" s="47" t="str">
        <f>IFERROR(VLOOKUP([2]Pointage!GI23,Feuil1!$A:$B,2,FALSE),"")</f>
        <v/>
      </c>
      <c r="GF29" s="31" t="str">
        <f>IFERROR(VLOOKUP([2]Pointage!GJ23,Feuil1!$A:$B,2,FALSE),"")</f>
        <v/>
      </c>
      <c r="GG29" s="31" t="str">
        <f>IFERROR(VLOOKUP([2]Pointage!GK23,Feuil1!$A:$B,2,FALSE),"")</f>
        <v/>
      </c>
      <c r="GH29" s="31" t="str">
        <f>IFERROR(VLOOKUP([2]Pointage!GL23,Feuil1!$A:$B,2,FALSE),"")</f>
        <v/>
      </c>
      <c r="GI29" s="31" t="str">
        <f>IFERROR(VLOOKUP([2]Pointage!GM23,Feuil1!$A:$B,2,FALSE),"")</f>
        <v/>
      </c>
      <c r="GJ29" s="31" t="str">
        <f>IFERROR(VLOOKUP([2]Pointage!GN23,Feuil1!$A:$B,2,FALSE),"")</f>
        <v/>
      </c>
      <c r="GK29" s="31" t="str">
        <f>IFERROR(VLOOKUP([2]Pointage!GO23,Feuil1!$A:$B,2,FALSE),"")</f>
        <v/>
      </c>
      <c r="GL29" s="31" t="str">
        <f>IFERROR(VLOOKUP([2]Pointage!GP23,Feuil1!$A:$B,2,FALSE),"")</f>
        <v/>
      </c>
      <c r="GM29" s="31" t="str">
        <f>IFERROR(VLOOKUP([2]Pointage!GQ23,Feuil1!$A:$B,2,FALSE),"")</f>
        <v/>
      </c>
      <c r="GN29" s="31" t="str">
        <f>IFERROR(VLOOKUP([2]Pointage!GR23,Feuil1!$A:$B,2,FALSE),"")</f>
        <v/>
      </c>
      <c r="GO29" s="31" t="str">
        <f>IFERROR(VLOOKUP([2]Pointage!GS23,Feuil1!$A:$B,2,FALSE),"")</f>
        <v/>
      </c>
      <c r="GP29" s="31" t="str">
        <f>IFERROR(VLOOKUP([2]Pointage!GT23,Feuil1!$A:$B,2,FALSE),"")</f>
        <v/>
      </c>
      <c r="GQ29" s="31" t="str">
        <f>IFERROR(VLOOKUP([2]Pointage!GU23,Feuil1!$A:$B,2,FALSE),"")</f>
        <v/>
      </c>
      <c r="GR29" s="31" t="str">
        <f>IFERROR(VLOOKUP([2]Pointage!GV23,Feuil1!$A:$B,2,FALSE),"")</f>
        <v/>
      </c>
      <c r="GS29" s="31" t="str">
        <f>IFERROR(VLOOKUP([2]Pointage!GW23,Feuil1!$A:$B,2,FALSE),"")</f>
        <v/>
      </c>
      <c r="GT29" s="31" t="str">
        <f>IFERROR(VLOOKUP([2]Pointage!GX23,Feuil1!$A:$B,2,FALSE),"")</f>
        <v/>
      </c>
      <c r="GU29" s="31" t="str">
        <f>IFERROR(VLOOKUP([2]Pointage!GY23,Feuil1!$A:$B,2,FALSE),"")</f>
        <v/>
      </c>
      <c r="GV29" s="31" t="str">
        <f>IFERROR(VLOOKUP([2]Pointage!GZ23,Feuil1!$A:$B,2,FALSE),"")</f>
        <v/>
      </c>
      <c r="GW29" s="31" t="str">
        <f>IFERROR(VLOOKUP([2]Pointage!HA23,Feuil1!$A:$B,2,FALSE),"")</f>
        <v/>
      </c>
      <c r="GX29" s="31" t="str">
        <f>IFERROR(VLOOKUP([2]Pointage!HB23,Feuil1!$A:$B,2,FALSE),"")</f>
        <v/>
      </c>
      <c r="GY29" s="31" t="str">
        <f>IFERROR(VLOOKUP([2]Pointage!HC23,Feuil1!$A:$B,2,FALSE),"")</f>
        <v/>
      </c>
      <c r="GZ29" s="31" t="str">
        <f>IFERROR(VLOOKUP([2]Pointage!HD23,Feuil1!$A:$B,2,FALSE),"")</f>
        <v/>
      </c>
      <c r="HA29" s="31" t="str">
        <f>IFERROR(VLOOKUP([2]Pointage!HE23,Feuil1!$A:$B,2,FALSE),"")</f>
        <v/>
      </c>
      <c r="HB29" s="31" t="str">
        <f>IFERROR(VLOOKUP([2]Pointage!HF23,Feuil1!$A:$B,2,FALSE),"")</f>
        <v/>
      </c>
      <c r="HC29" s="31" t="str">
        <f>IFERROR(VLOOKUP([2]Pointage!HG23,Feuil1!$A:$B,2,FALSE),"")</f>
        <v/>
      </c>
      <c r="HD29" s="31" t="str">
        <f>IFERROR(VLOOKUP([2]Pointage!HH23,Feuil1!$A:$B,2,FALSE),"")</f>
        <v/>
      </c>
      <c r="HE29" s="31" t="str">
        <f>IFERROR(VLOOKUP([2]Pointage!HI23,Feuil1!$A:$B,2,FALSE),"")</f>
        <v/>
      </c>
      <c r="HF29" s="31" t="str">
        <f>IFERROR(VLOOKUP([2]Pointage!HJ23,Feuil1!$A:$B,2,FALSE),"")</f>
        <v/>
      </c>
      <c r="HG29" s="31" t="str">
        <f>IFERROR(VLOOKUP([2]Pointage!HK23,Feuil1!$A:$B,2,FALSE),"")</f>
        <v/>
      </c>
      <c r="HH29" s="31" t="str">
        <f>IFERROR(VLOOKUP([2]Pointage!HL23,Feuil1!$A:$B,2,FALSE),"")</f>
        <v/>
      </c>
      <c r="HI29" s="82" t="str">
        <f>IFERROR(VLOOKUP([2]Pointage!HM23,Feuil1!$A:$B,2,FALSE),"")</f>
        <v/>
      </c>
      <c r="HJ29" s="47" t="str">
        <f>IFERROR(VLOOKUP([2]Pointage!HN23,Feuil1!$A:$B,2,FALSE),"")</f>
        <v/>
      </c>
      <c r="HK29" s="31" t="str">
        <f>IFERROR(VLOOKUP([2]Pointage!HO23,Feuil1!$A:$B,2,FALSE),"")</f>
        <v/>
      </c>
      <c r="HL29" s="31" t="str">
        <f>IFERROR(VLOOKUP([2]Pointage!HP23,Feuil1!$A:$B,2,FALSE),"")</f>
        <v/>
      </c>
      <c r="HM29" s="31" t="str">
        <f>IFERROR(VLOOKUP([2]Pointage!HQ23,Feuil1!$A:$B,2,FALSE),"")</f>
        <v/>
      </c>
      <c r="HN29" s="31" t="str">
        <f>IFERROR(VLOOKUP([2]Pointage!HR23,Feuil1!$A:$B,2,FALSE),"")</f>
        <v/>
      </c>
      <c r="HO29" s="31" t="str">
        <f>IFERROR(VLOOKUP([2]Pointage!HS23,Feuil1!$A:$B,2,FALSE),"")</f>
        <v/>
      </c>
      <c r="HP29" s="31" t="str">
        <f>IFERROR(VLOOKUP([2]Pointage!HT23,Feuil1!$A:$B,2,FALSE),"")</f>
        <v/>
      </c>
      <c r="HQ29" s="31" t="str">
        <f>IFERROR(VLOOKUP([2]Pointage!HU23,Feuil1!$A:$B,2,FALSE),"")</f>
        <v/>
      </c>
      <c r="HR29" s="31" t="str">
        <f>IFERROR(VLOOKUP([2]Pointage!HV23,Feuil1!$A:$B,2,FALSE),"")</f>
        <v/>
      </c>
      <c r="HS29" s="31" t="str">
        <f>IFERROR(VLOOKUP([2]Pointage!HW23,Feuil1!$A:$B,2,FALSE),"")</f>
        <v/>
      </c>
      <c r="HT29" s="31" t="str">
        <f>IFERROR(VLOOKUP([2]Pointage!HX23,Feuil1!$A:$B,2,FALSE),"")</f>
        <v/>
      </c>
      <c r="HU29" s="31" t="str">
        <f>IFERROR(VLOOKUP([2]Pointage!HY23,Feuil1!$A:$B,2,FALSE),"")</f>
        <v/>
      </c>
      <c r="HV29" s="31" t="str">
        <f>IFERROR(VLOOKUP([2]Pointage!HZ23,Feuil1!$A:$B,2,FALSE),"")</f>
        <v/>
      </c>
      <c r="HW29" s="31" t="str">
        <f>IFERROR(VLOOKUP([2]Pointage!IA23,Feuil1!$A:$B,2,FALSE),"")</f>
        <v/>
      </c>
      <c r="HX29" s="31" t="str">
        <f>IFERROR(VLOOKUP([2]Pointage!IB23,Feuil1!$A:$B,2,FALSE),"")</f>
        <v/>
      </c>
      <c r="HY29" s="31" t="str">
        <f>IFERROR(VLOOKUP([2]Pointage!IC23,Feuil1!$A:$B,2,FALSE),"")</f>
        <v/>
      </c>
      <c r="HZ29" s="31" t="str">
        <f>IFERROR(VLOOKUP([2]Pointage!ID23,Feuil1!$A:$B,2,FALSE),"")</f>
        <v/>
      </c>
      <c r="IA29" s="31" t="str">
        <f>IFERROR(VLOOKUP([2]Pointage!IE23,Feuil1!$A:$B,2,FALSE),"")</f>
        <v/>
      </c>
      <c r="IB29" s="31" t="str">
        <f>IFERROR(VLOOKUP([2]Pointage!IF23,Feuil1!$A:$B,2,FALSE),"")</f>
        <v/>
      </c>
      <c r="IC29" s="31" t="str">
        <f>IFERROR(VLOOKUP([2]Pointage!IG23,Feuil1!$A:$B,2,FALSE),"")</f>
        <v/>
      </c>
      <c r="ID29" s="31" t="str">
        <f>IFERROR(VLOOKUP([2]Pointage!IH23,Feuil1!$A:$B,2,FALSE),"")</f>
        <v/>
      </c>
      <c r="IE29" s="31" t="str">
        <f>IFERROR(VLOOKUP([2]Pointage!II23,Feuil1!$A:$B,2,FALSE),"")</f>
        <v/>
      </c>
      <c r="IF29" s="31" t="str">
        <f>IFERROR(VLOOKUP([2]Pointage!IJ23,Feuil1!$A:$B,2,FALSE),"")</f>
        <v/>
      </c>
      <c r="IG29" s="31" t="str">
        <f>IFERROR(VLOOKUP([2]Pointage!IK23,Feuil1!$A:$B,2,FALSE),"")</f>
        <v>C</v>
      </c>
      <c r="IH29" s="31" t="str">
        <f>IFERROR(VLOOKUP([2]Pointage!IL23,Feuil1!$A:$B,2,FALSE),"")</f>
        <v/>
      </c>
      <c r="II29" s="31" t="str">
        <f>IFERROR(VLOOKUP([2]Pointage!IM23,Feuil1!$A:$B,2,FALSE),"")</f>
        <v/>
      </c>
      <c r="IJ29" s="31" t="str">
        <f>IFERROR(VLOOKUP([2]Pointage!IN23,Feuil1!$A:$B,2,FALSE),"")</f>
        <v>C</v>
      </c>
      <c r="IK29" s="31" t="str">
        <f>IFERROR(VLOOKUP([2]Pointage!IO23,Feuil1!$A:$B,2,FALSE),"")</f>
        <v>C</v>
      </c>
      <c r="IL29" s="31" t="str">
        <f>IFERROR(VLOOKUP([2]Pointage!IP23,Feuil1!$A:$B,2,FALSE),"")</f>
        <v>C</v>
      </c>
      <c r="IM29" s="31" t="str">
        <f>IFERROR(VLOOKUP([2]Pointage!IQ23,Feuil1!$A:$B,2,FALSE),"")</f>
        <v>C</v>
      </c>
      <c r="IN29" s="82" t="str">
        <f>IFERROR(VLOOKUP([2]Pointage!IR23,Feuil1!$A:$B,2,FALSE),"")</f>
        <v>C</v>
      </c>
      <c r="IO29" s="47" t="str">
        <f>IFERROR(VLOOKUP([2]Pointage!IS23,Feuil1!$A:$B,2,FALSE),"")</f>
        <v/>
      </c>
      <c r="IP29" s="31" t="str">
        <f>IFERROR(VLOOKUP([2]Pointage!IT23,Feuil1!$A:$B,2,FALSE),"")</f>
        <v/>
      </c>
      <c r="IQ29" s="31" t="str">
        <f>IFERROR(VLOOKUP([2]Pointage!IU23,Feuil1!$A:$B,2,FALSE),"")</f>
        <v>C</v>
      </c>
      <c r="IR29" s="31" t="str">
        <f>IFERROR(VLOOKUP([2]Pointage!IV23,Feuil1!$A:$B,2,FALSE),"")</f>
        <v>C</v>
      </c>
      <c r="IS29" s="31" t="str">
        <f>IFERROR(VLOOKUP([2]Pointage!IW23,Feuil1!$A:$B,2,FALSE),"")</f>
        <v>C</v>
      </c>
      <c r="IT29" s="31" t="str">
        <f>IFERROR(VLOOKUP([2]Pointage!IX23,Feuil1!$A:$B,2,FALSE),"")</f>
        <v>C</v>
      </c>
      <c r="IU29" s="31" t="str">
        <f>IFERROR(VLOOKUP([2]Pointage!IY23,Feuil1!$A:$B,2,FALSE),"")</f>
        <v>C</v>
      </c>
      <c r="IV29" s="31" t="str">
        <f>IFERROR(VLOOKUP([2]Pointage!IZ23,Feuil1!$A:$B,2,FALSE),"")</f>
        <v/>
      </c>
      <c r="IW29" s="31" t="str">
        <f>IFERROR(VLOOKUP([2]Pointage!JA23,Feuil1!$A:$B,2,FALSE),"")</f>
        <v/>
      </c>
      <c r="IX29" s="31" t="str">
        <f>IFERROR(VLOOKUP([2]Pointage!JB23,Feuil1!$A:$B,2,FALSE),"")</f>
        <v>C</v>
      </c>
      <c r="IY29" s="31" t="str">
        <f>IFERROR(VLOOKUP([2]Pointage!JC23,Feuil1!$A:$B,2,FALSE),"")</f>
        <v>C</v>
      </c>
      <c r="IZ29" s="31" t="str">
        <f>IFERROR(VLOOKUP([2]Pointage!JD23,Feuil1!$A:$B,2,FALSE),"")</f>
        <v>C</v>
      </c>
      <c r="JA29" s="31" t="str">
        <f>IFERROR(VLOOKUP([2]Pointage!JE23,Feuil1!$A:$B,2,FALSE),"")</f>
        <v>C</v>
      </c>
      <c r="JB29" s="31" t="str">
        <f>IFERROR(VLOOKUP([2]Pointage!JF23,Feuil1!$A:$B,2,FALSE),"")</f>
        <v>C</v>
      </c>
      <c r="JC29" s="31" t="str">
        <f>IFERROR(VLOOKUP([2]Pointage!JG23,Feuil1!$A:$B,2,FALSE),"")</f>
        <v/>
      </c>
      <c r="JD29" s="31" t="str">
        <f>IFERROR(VLOOKUP([2]Pointage!JH23,Feuil1!$A:$B,2,FALSE),"")</f>
        <v/>
      </c>
      <c r="JE29" s="31" t="str">
        <f>IFERROR(VLOOKUP([2]Pointage!JI23,Feuil1!$A:$B,2,FALSE),"")</f>
        <v/>
      </c>
      <c r="JF29" s="31" t="str">
        <f>IFERROR(VLOOKUP([2]Pointage!JJ23,Feuil1!$A:$B,2,FALSE),"")</f>
        <v/>
      </c>
      <c r="JG29" s="31" t="str">
        <f>IFERROR(VLOOKUP([2]Pointage!JK23,Feuil1!$A:$B,2,FALSE),"")</f>
        <v/>
      </c>
      <c r="JH29" s="31" t="str">
        <f>IFERROR(VLOOKUP([2]Pointage!JL23,Feuil1!$A:$B,2,FALSE),"")</f>
        <v/>
      </c>
      <c r="JI29" s="31" t="str">
        <f>IFERROR(VLOOKUP([2]Pointage!JM23,Feuil1!$A:$B,2,FALSE),"")</f>
        <v/>
      </c>
      <c r="JJ29" s="31" t="str">
        <f>IFERROR(VLOOKUP([2]Pointage!JN23,Feuil1!$A:$B,2,FALSE),"")</f>
        <v/>
      </c>
      <c r="JK29" s="31" t="str">
        <f>IFERROR(VLOOKUP([2]Pointage!JO23,Feuil1!$A:$B,2,FALSE),"")</f>
        <v/>
      </c>
      <c r="JL29" s="31" t="str">
        <f>IFERROR(VLOOKUP([2]Pointage!JP23,Feuil1!$A:$B,2,FALSE),"")</f>
        <v/>
      </c>
      <c r="JM29" s="31" t="str">
        <f>IFERROR(VLOOKUP([2]Pointage!JQ23,Feuil1!$A:$B,2,FALSE),"")</f>
        <v/>
      </c>
      <c r="JN29" s="31" t="str">
        <f>IFERROR(VLOOKUP([2]Pointage!JR23,Feuil1!$A:$B,2,FALSE),"")</f>
        <v/>
      </c>
      <c r="JO29" s="31" t="str">
        <f>IFERROR(VLOOKUP([2]Pointage!JS23,Feuil1!$A:$B,2,FALSE),"")</f>
        <v/>
      </c>
      <c r="JP29" s="31" t="str">
        <f>IFERROR(VLOOKUP([2]Pointage!JT23,Feuil1!$A:$B,2,FALSE),"")</f>
        <v/>
      </c>
      <c r="JQ29" s="31" t="str">
        <f>IFERROR(VLOOKUP([2]Pointage!JU23,Feuil1!$A:$B,2,FALSE),"")</f>
        <v/>
      </c>
      <c r="JR29" s="82" t="str">
        <f>IFERROR(VLOOKUP([2]Pointage!JV23,Feuil1!$A:$B,2,FALSE),"")</f>
        <v/>
      </c>
      <c r="JS29" s="47" t="str">
        <f>IFERROR(VLOOKUP([2]Pointage!JW23,Feuil1!$A:$B,2,FALSE),"")</f>
        <v/>
      </c>
      <c r="JT29" s="31" t="str">
        <f>IFERROR(VLOOKUP([2]Pointage!JX23,Feuil1!$A:$B,2,FALSE),"")</f>
        <v/>
      </c>
      <c r="JU29" s="31" t="str">
        <f>IFERROR(VLOOKUP([2]Pointage!JY23,Feuil1!$A:$B,2,FALSE),"")</f>
        <v/>
      </c>
      <c r="JV29" s="31" t="str">
        <f>IFERROR(VLOOKUP([2]Pointage!JZ23,Feuil1!$A:$B,2,FALSE),"")</f>
        <v/>
      </c>
      <c r="JW29" s="31" t="str">
        <f>IFERROR(VLOOKUP([2]Pointage!KA23,Feuil1!$A:$B,2,FALSE),"")</f>
        <v/>
      </c>
      <c r="JX29" s="31" t="str">
        <f>IFERROR(VLOOKUP([2]Pointage!KB23,Feuil1!$A:$B,2,FALSE),"")</f>
        <v/>
      </c>
      <c r="JY29" s="31" t="str">
        <f>IFERROR(VLOOKUP([2]Pointage!KC23,Feuil1!$A:$B,2,FALSE),"")</f>
        <v/>
      </c>
      <c r="JZ29" s="31" t="str">
        <f>IFERROR(VLOOKUP([2]Pointage!KD23,Feuil1!$A:$B,2,FALSE),"")</f>
        <v/>
      </c>
      <c r="KA29" s="31" t="str">
        <f>IFERROR(VLOOKUP([2]Pointage!KE23,Feuil1!$A:$B,2,FALSE),"")</f>
        <v/>
      </c>
      <c r="KB29" s="31" t="str">
        <f>IFERROR(VLOOKUP([2]Pointage!KF23,Feuil1!$A:$B,2,FALSE),"")</f>
        <v/>
      </c>
      <c r="KC29" s="31" t="str">
        <f>IFERROR(VLOOKUP([2]Pointage!KG23,Feuil1!$A:$B,2,FALSE),"")</f>
        <v/>
      </c>
      <c r="KD29" s="31" t="str">
        <f>IFERROR(VLOOKUP([2]Pointage!KH23,Feuil1!$A:$B,2,FALSE),"")</f>
        <v/>
      </c>
      <c r="KE29" s="31" t="str">
        <f>IFERROR(VLOOKUP([2]Pointage!KI23,Feuil1!$A:$B,2,FALSE),"")</f>
        <v/>
      </c>
      <c r="KF29" s="31" t="str">
        <f>IFERROR(VLOOKUP([2]Pointage!KJ23,Feuil1!$A:$B,2,FALSE),"")</f>
        <v/>
      </c>
      <c r="KG29" s="31" t="str">
        <f>IFERROR(VLOOKUP([2]Pointage!KK23,Feuil1!$A:$B,2,FALSE),"")</f>
        <v/>
      </c>
      <c r="KH29" s="31" t="str">
        <f>IFERROR(VLOOKUP([2]Pointage!KL23,Feuil1!$A:$B,2,FALSE),"")</f>
        <v/>
      </c>
      <c r="KI29" s="31" t="str">
        <f>IFERROR(VLOOKUP([2]Pointage!KM23,Feuil1!$A:$B,2,FALSE),"")</f>
        <v/>
      </c>
      <c r="KJ29" s="31" t="str">
        <f>IFERROR(VLOOKUP([2]Pointage!KN23,Feuil1!$A:$B,2,FALSE),"")</f>
        <v/>
      </c>
      <c r="KK29" s="31" t="str">
        <f>IFERROR(VLOOKUP([2]Pointage!KO23,Feuil1!$A:$B,2,FALSE),"")</f>
        <v/>
      </c>
      <c r="KL29" s="31" t="str">
        <f>IFERROR(VLOOKUP([2]Pointage!KP23,Feuil1!$A:$B,2,FALSE),"")</f>
        <v/>
      </c>
      <c r="KM29" s="31" t="str">
        <f>IFERROR(VLOOKUP([2]Pointage!KQ23,Feuil1!$A:$B,2,FALSE),"")</f>
        <v/>
      </c>
      <c r="KN29" s="31" t="str">
        <f>IFERROR(VLOOKUP([2]Pointage!KR23,Feuil1!$A:$B,2,FALSE),"")</f>
        <v/>
      </c>
      <c r="KO29" s="31" t="str">
        <f>IFERROR(VLOOKUP([2]Pointage!KS23,Feuil1!$A:$B,2,FALSE),"")</f>
        <v/>
      </c>
      <c r="KP29" s="31" t="str">
        <f>IFERROR(VLOOKUP([2]Pointage!KT23,Feuil1!$A:$B,2,FALSE),"")</f>
        <v/>
      </c>
      <c r="KQ29" s="31" t="str">
        <f>IFERROR(VLOOKUP([2]Pointage!KU23,Feuil1!$A:$B,2,FALSE),"")</f>
        <v/>
      </c>
      <c r="KR29" s="31" t="str">
        <f>IFERROR(VLOOKUP([2]Pointage!KV23,Feuil1!$A:$B,2,FALSE),"")</f>
        <v/>
      </c>
      <c r="KS29" s="31" t="str">
        <f>IFERROR(VLOOKUP([2]Pointage!KW23,Feuil1!$A:$B,2,FALSE),"")</f>
        <v/>
      </c>
      <c r="KT29" s="31" t="str">
        <f>IFERROR(VLOOKUP([2]Pointage!KX23,Feuil1!$A:$B,2,FALSE),"")</f>
        <v/>
      </c>
      <c r="KU29" s="31" t="str">
        <f>IFERROR(VLOOKUP([2]Pointage!KY23,Feuil1!$A:$B,2,FALSE),"")</f>
        <v/>
      </c>
      <c r="KV29" s="31" t="str">
        <f>IFERROR(VLOOKUP([2]Pointage!KZ23,Feuil1!$A:$B,2,FALSE),"")</f>
        <v/>
      </c>
      <c r="KW29" s="82" t="str">
        <f>IFERROR(VLOOKUP([2]Pointage!LA23,Feuil1!$A:$B,2,FALSE),"")</f>
        <v/>
      </c>
      <c r="KX29" s="47" t="str">
        <f>IFERROR(VLOOKUP([2]Pointage!LB23,Feuil1!$A:$B,2,FALSE),"")</f>
        <v/>
      </c>
      <c r="KY29" s="31" t="str">
        <f>IFERROR(VLOOKUP([2]Pointage!LC23,Feuil1!$A:$B,2,FALSE),"")</f>
        <v/>
      </c>
      <c r="KZ29" s="31" t="str">
        <f>IFERROR(VLOOKUP([2]Pointage!LD23,Feuil1!$A:$B,2,FALSE),"")</f>
        <v/>
      </c>
      <c r="LA29" s="31" t="str">
        <f>IFERROR(VLOOKUP([2]Pointage!LE23,Feuil1!$A:$B,2,FALSE),"")</f>
        <v/>
      </c>
      <c r="LB29" s="31" t="str">
        <f>IFERROR(VLOOKUP([2]Pointage!LF23,Feuil1!$A:$B,2,FALSE),"")</f>
        <v/>
      </c>
      <c r="LC29" s="31" t="str">
        <f>IFERROR(VLOOKUP([2]Pointage!LG23,Feuil1!$A:$B,2,FALSE),"")</f>
        <v/>
      </c>
      <c r="LD29" s="31" t="str">
        <f>IFERROR(VLOOKUP([2]Pointage!LH23,Feuil1!$A:$B,2,FALSE),"")</f>
        <v/>
      </c>
      <c r="LE29" s="31" t="str">
        <f>IFERROR(VLOOKUP([2]Pointage!LI23,Feuil1!$A:$B,2,FALSE),"")</f>
        <v/>
      </c>
      <c r="LF29" s="31" t="str">
        <f>IFERROR(VLOOKUP([2]Pointage!LJ23,Feuil1!$A:$B,2,FALSE),"")</f>
        <v/>
      </c>
      <c r="LG29" s="31" t="str">
        <f>IFERROR(VLOOKUP([2]Pointage!LK23,Feuil1!$A:$B,2,FALSE),"")</f>
        <v/>
      </c>
      <c r="LH29" s="31" t="str">
        <f>IFERROR(VLOOKUP([2]Pointage!LL23,Feuil1!$A:$B,2,FALSE),"")</f>
        <v/>
      </c>
      <c r="LI29" s="31" t="str">
        <f>IFERROR(VLOOKUP([2]Pointage!LM23,Feuil1!$A:$B,2,FALSE),"")</f>
        <v/>
      </c>
      <c r="LJ29" s="31" t="str">
        <f>IFERROR(VLOOKUP([2]Pointage!LN23,Feuil1!$A:$B,2,FALSE),"")</f>
        <v/>
      </c>
      <c r="LK29" s="31" t="str">
        <f>IFERROR(VLOOKUP([2]Pointage!LO23,Feuil1!$A:$B,2,FALSE),"")</f>
        <v/>
      </c>
      <c r="LL29" s="31" t="str">
        <f>IFERROR(VLOOKUP([2]Pointage!LP23,Feuil1!$A:$B,2,FALSE),"")</f>
        <v/>
      </c>
      <c r="LM29" s="31" t="str">
        <f>IFERROR(VLOOKUP([2]Pointage!LQ23,Feuil1!$A:$B,2,FALSE),"")</f>
        <v/>
      </c>
      <c r="LN29" s="31" t="str">
        <f>IFERROR(VLOOKUP([2]Pointage!LR23,Feuil1!$A:$B,2,FALSE),"")</f>
        <v/>
      </c>
      <c r="LO29" s="31" t="str">
        <f>IFERROR(VLOOKUP([2]Pointage!LS23,Feuil1!$A:$B,2,FALSE),"")</f>
        <v/>
      </c>
      <c r="LP29" s="31" t="str">
        <f>IFERROR(VLOOKUP([2]Pointage!LT23,Feuil1!$A:$B,2,FALSE),"")</f>
        <v/>
      </c>
      <c r="LQ29" s="31" t="str">
        <f>IFERROR(VLOOKUP([2]Pointage!LU23,Feuil1!$A:$B,2,FALSE),"")</f>
        <v/>
      </c>
      <c r="LR29" s="31" t="str">
        <f>IFERROR(VLOOKUP([2]Pointage!LV23,Feuil1!$A:$B,2,FALSE),"")</f>
        <v/>
      </c>
      <c r="LS29" s="31" t="str">
        <f>IFERROR(VLOOKUP([2]Pointage!LW23,Feuil1!$A:$B,2,FALSE),"")</f>
        <v/>
      </c>
      <c r="LT29" s="31" t="str">
        <f>IFERROR(VLOOKUP([2]Pointage!LX23,Feuil1!$A:$B,2,FALSE),"")</f>
        <v/>
      </c>
      <c r="LU29" s="31" t="str">
        <f>IFERROR(VLOOKUP([2]Pointage!LY23,Feuil1!$A:$B,2,FALSE),"")</f>
        <v/>
      </c>
      <c r="LV29" s="31" t="str">
        <f>IFERROR(VLOOKUP([2]Pointage!LZ23,Feuil1!$A:$B,2,FALSE),"")</f>
        <v/>
      </c>
      <c r="LW29" s="31" t="str">
        <f>IFERROR(VLOOKUP([2]Pointage!MA23,Feuil1!$A:$B,2,FALSE),"")</f>
        <v/>
      </c>
      <c r="LX29" s="31" t="str">
        <f>IFERROR(VLOOKUP([2]Pointage!MB23,Feuil1!$A:$B,2,FALSE),"")</f>
        <v/>
      </c>
      <c r="LY29" s="31" t="str">
        <f>IFERROR(VLOOKUP([2]Pointage!MC23,Feuil1!$A:$B,2,FALSE),"")</f>
        <v/>
      </c>
      <c r="LZ29" s="31" t="str">
        <f>IFERROR(VLOOKUP([2]Pointage!MD23,Feuil1!$A:$B,2,FALSE),"")</f>
        <v/>
      </c>
      <c r="MA29" s="82" t="str">
        <f>IFERROR(VLOOKUP([2]Pointage!ME23,Feuil1!$A:$B,2,FALSE),"")</f>
        <v/>
      </c>
      <c r="MB29" s="47" t="str">
        <f>IFERROR(VLOOKUP([2]Pointage!MF23,Feuil1!$A:$B,2,FALSE),"")</f>
        <v/>
      </c>
      <c r="MC29" s="31" t="str">
        <f>IFERROR(VLOOKUP([2]Pointage!MG23,Feuil1!$A:$B,2,FALSE),"")</f>
        <v/>
      </c>
      <c r="MD29" s="31" t="str">
        <f>IFERROR(VLOOKUP([2]Pointage!MH23,Feuil1!$A:$B,2,FALSE),"")</f>
        <v/>
      </c>
      <c r="ME29" s="31" t="str">
        <f>IFERROR(VLOOKUP([2]Pointage!MI23,Feuil1!$A:$B,2,FALSE),"")</f>
        <v/>
      </c>
      <c r="MF29" s="31" t="str">
        <f>IFERROR(VLOOKUP([2]Pointage!MJ23,Feuil1!$A:$B,2,FALSE),"")</f>
        <v/>
      </c>
      <c r="MG29" s="31" t="str">
        <f>IFERROR(VLOOKUP([2]Pointage!MK23,Feuil1!$A:$B,2,FALSE),"")</f>
        <v/>
      </c>
      <c r="MH29" s="31" t="str">
        <f>IFERROR(VLOOKUP([2]Pointage!ML23,Feuil1!$A:$B,2,FALSE),"")</f>
        <v/>
      </c>
      <c r="MI29" s="31" t="str">
        <f>IFERROR(VLOOKUP([2]Pointage!MM23,Feuil1!$A:$B,2,FALSE),"")</f>
        <v/>
      </c>
      <c r="MJ29" s="31" t="str">
        <f>IFERROR(VLOOKUP([2]Pointage!MN23,Feuil1!$A:$B,2,FALSE),"")</f>
        <v/>
      </c>
      <c r="MK29" s="31" t="str">
        <f>IFERROR(VLOOKUP([2]Pointage!MO23,Feuil1!$A:$B,2,FALSE),"")</f>
        <v/>
      </c>
      <c r="ML29" s="31" t="str">
        <f>IFERROR(VLOOKUP([2]Pointage!MP23,Feuil1!$A:$B,2,FALSE),"")</f>
        <v/>
      </c>
      <c r="MM29" s="31" t="str">
        <f>IFERROR(VLOOKUP([2]Pointage!MQ23,Feuil1!$A:$B,2,FALSE),"")</f>
        <v/>
      </c>
      <c r="MN29" s="31" t="str">
        <f>IFERROR(VLOOKUP([2]Pointage!MR23,Feuil1!$A:$B,2,FALSE),"")</f>
        <v/>
      </c>
      <c r="MO29" s="31" t="str">
        <f>IFERROR(VLOOKUP([2]Pointage!MS23,Feuil1!$A:$B,2,FALSE),"")</f>
        <v/>
      </c>
      <c r="MP29" s="31" t="str">
        <f>IFERROR(VLOOKUP([2]Pointage!MT23,Feuil1!$A:$B,2,FALSE),"")</f>
        <v/>
      </c>
      <c r="MQ29" s="31" t="str">
        <f>IFERROR(VLOOKUP([2]Pointage!MU23,Feuil1!$A:$B,2,FALSE),"")</f>
        <v/>
      </c>
      <c r="MR29" s="31" t="str">
        <f>IFERROR(VLOOKUP([2]Pointage!MV23,Feuil1!$A:$B,2,FALSE),"")</f>
        <v/>
      </c>
      <c r="MS29" s="31" t="str">
        <f>IFERROR(VLOOKUP([2]Pointage!MW23,Feuil1!$A:$B,2,FALSE),"")</f>
        <v/>
      </c>
      <c r="MT29" s="31" t="str">
        <f>IFERROR(VLOOKUP([2]Pointage!MX23,Feuil1!$A:$B,2,FALSE),"")</f>
        <v/>
      </c>
      <c r="MU29" s="31" t="str">
        <f>IFERROR(VLOOKUP([2]Pointage!MY23,Feuil1!$A:$B,2,FALSE),"")</f>
        <v/>
      </c>
      <c r="MV29" s="31" t="str">
        <f>IFERROR(VLOOKUP([2]Pointage!MZ23,Feuil1!$A:$B,2,FALSE),"")</f>
        <v/>
      </c>
      <c r="MW29" s="31" t="str">
        <f>IFERROR(VLOOKUP([2]Pointage!NA23,Feuil1!$A:$B,2,FALSE),"")</f>
        <v/>
      </c>
      <c r="MX29" s="31" t="str">
        <f>IFERROR(VLOOKUP([2]Pointage!NB23,Feuil1!$A:$B,2,FALSE),"")</f>
        <v/>
      </c>
      <c r="MY29" s="31" t="str">
        <f>IFERROR(VLOOKUP([2]Pointage!NC23,Feuil1!$A:$B,2,FALSE),"")</f>
        <v/>
      </c>
      <c r="MZ29" s="31" t="str">
        <f>IFERROR(VLOOKUP([2]Pointage!ND23,Feuil1!$A:$B,2,FALSE),"")</f>
        <v/>
      </c>
      <c r="NA29" s="31" t="str">
        <f>IFERROR(VLOOKUP([2]Pointage!NE23,Feuil1!$A:$B,2,FALSE),"")</f>
        <v/>
      </c>
      <c r="NB29" s="31" t="str">
        <f>IFERROR(VLOOKUP([2]Pointage!NF23,Feuil1!$A:$B,2,FALSE),"")</f>
        <v/>
      </c>
      <c r="NC29" s="31" t="str">
        <f>IFERROR(VLOOKUP([2]Pointage!NG23,Feuil1!$A:$B,2,FALSE),"")</f>
        <v/>
      </c>
      <c r="ND29" s="31" t="str">
        <f>IFERROR(VLOOKUP([2]Pointage!NH23,Feuil1!$A:$B,2,FALSE),"")</f>
        <v/>
      </c>
      <c r="NE29" s="31" t="str">
        <f>IFERROR(VLOOKUP([2]Pointage!NI23,Feuil1!$A:$B,2,FALSE),"")</f>
        <v/>
      </c>
      <c r="NF29" s="48" t="str">
        <f>IFERROR(VLOOKUP([2]Pointage!NJ23,Feuil1!$A:$B,2,FALSE),"")</f>
        <v/>
      </c>
      <c r="NG29" s="52">
        <f>COUNTIF(Global!F29:NF29,"RTT")+(COUNTIF(Global!F29:NF29,"dRTT")/2)</f>
        <v>1</v>
      </c>
      <c r="NH29" s="42">
        <f>COUNTIF(Global!F29:NF29,"C")+(COUNTIF(Global!F29:NF29,"DC")/2)</f>
        <v>33</v>
      </c>
      <c r="NI29" s="42">
        <f>COUNTIF(Global!F29:NF29,"M")</f>
        <v>20</v>
      </c>
      <c r="NJ29" s="42">
        <f>COUNTIF(Global!G29:NG29,"AT")</f>
        <v>0</v>
      </c>
      <c r="NK29" s="42">
        <f>COUNTIF(Global!F29:NF29,"RD")</f>
        <v>0</v>
      </c>
      <c r="NL29" s="42">
        <f>COUNTIF(Global!F29:NF29,"RC")+(COUNTIF(Global!F29:NF29,"dRC")/2)</f>
        <v>0</v>
      </c>
      <c r="NM29" s="68">
        <f t="shared" ca="1" si="0"/>
        <v>3.4794520547945207</v>
      </c>
      <c r="NT29" s="33"/>
      <c r="NU29" s="33"/>
      <c r="NV29" s="28"/>
      <c r="NW29" s="28"/>
      <c r="NX29" s="29">
        <f>COUNTIF(F29:NF29,"C")++(COUNTIF(Global!F29:NF29,"DC")/2)</f>
        <v>33</v>
      </c>
      <c r="NY29" s="29"/>
      <c r="NZ29" s="29"/>
      <c r="OA29" s="29"/>
      <c r="OB29" s="29">
        <f>COUNTIF(Global!F29:NF29,"M")</f>
        <v>20</v>
      </c>
      <c r="OC29" s="30">
        <f t="shared" si="1"/>
        <v>-33</v>
      </c>
      <c r="OD29" s="30"/>
    </row>
    <row r="30" spans="1:394" ht="30" hidden="1" customHeight="1" x14ac:dyDescent="0.2">
      <c r="A30" s="15" t="s">
        <v>86</v>
      </c>
      <c r="B30" s="22" t="s">
        <v>194</v>
      </c>
      <c r="C30" s="22" t="s">
        <v>192</v>
      </c>
      <c r="D30" s="22" t="s">
        <v>195</v>
      </c>
      <c r="E30" s="44" t="s">
        <v>162</v>
      </c>
      <c r="F30" s="47" t="str">
        <f>IFERROR(VLOOKUP([2]Pointage!J24,Feuil1!$A:$B,2,FALSE),"")</f>
        <v/>
      </c>
      <c r="G30" s="31" t="str">
        <f>IFERROR(VLOOKUP([2]Pointage!K24,Feuil1!$A:$B,2,FALSE),"")</f>
        <v/>
      </c>
      <c r="H30" s="31" t="str">
        <f>IFERROR(VLOOKUP([2]Pointage!L24,Feuil1!$A:$B,2,FALSE),"")</f>
        <v/>
      </c>
      <c r="I30" s="31" t="str">
        <f>IFERROR(VLOOKUP([2]Pointage!M24,Feuil1!$A:$B,2,FALSE),"")</f>
        <v/>
      </c>
      <c r="J30" s="31" t="str">
        <f>IFERROR(VLOOKUP([2]Pointage!N24,Feuil1!$A:$B,2,FALSE),"")</f>
        <v/>
      </c>
      <c r="K30" s="31" t="str">
        <f>IFERROR(VLOOKUP([2]Pointage!O24,Feuil1!$A:$B,2,FALSE),"")</f>
        <v/>
      </c>
      <c r="L30" s="31" t="str">
        <f>IFERROR(VLOOKUP([2]Pointage!P24,Feuil1!$A:$B,2,FALSE),"")</f>
        <v/>
      </c>
      <c r="M30" s="31" t="str">
        <f>IFERROR(VLOOKUP([2]Pointage!Q24,Feuil1!$A:$B,2,FALSE),"")</f>
        <v/>
      </c>
      <c r="N30" s="31" t="str">
        <f>IFERROR(VLOOKUP([2]Pointage!R24,Feuil1!$A:$B,2,FALSE),"")</f>
        <v/>
      </c>
      <c r="O30" s="31" t="str">
        <f>IFERROR(VLOOKUP([2]Pointage!S24,Feuil1!$A:$B,2,FALSE),"")</f>
        <v/>
      </c>
      <c r="P30" s="31" t="str">
        <f>IFERROR(VLOOKUP([2]Pointage!T24,Feuil1!$A:$B,2,FALSE),"")</f>
        <v/>
      </c>
      <c r="Q30" s="31" t="str">
        <f>IFERROR(VLOOKUP([2]Pointage!U24,Feuil1!$A:$B,2,FALSE),"")</f>
        <v/>
      </c>
      <c r="R30" s="31" t="str">
        <f>IFERROR(VLOOKUP([2]Pointage!V24,Feuil1!$A:$B,2,FALSE),"")</f>
        <v/>
      </c>
      <c r="S30" s="31" t="str">
        <f>IFERROR(VLOOKUP([2]Pointage!W24,Feuil1!$A:$B,2,FALSE),"")</f>
        <v/>
      </c>
      <c r="T30" s="31" t="str">
        <f>IFERROR(VLOOKUP([2]Pointage!X24,Feuil1!$A:$B,2,FALSE),"")</f>
        <v/>
      </c>
      <c r="U30" s="31" t="str">
        <f>IFERROR(VLOOKUP([2]Pointage!Y24,Feuil1!$A:$B,2,FALSE),"")</f>
        <v/>
      </c>
      <c r="V30" s="31" t="str">
        <f>IFERROR(VLOOKUP([2]Pointage!Z24,Feuil1!$A:$B,2,FALSE),"")</f>
        <v/>
      </c>
      <c r="W30" s="31" t="str">
        <f>IFERROR(VLOOKUP([2]Pointage!AA24,Feuil1!$A:$B,2,FALSE),"")</f>
        <v/>
      </c>
      <c r="X30" s="31" t="str">
        <f>IFERROR(VLOOKUP([2]Pointage!AB24,Feuil1!$A:$B,2,FALSE),"")</f>
        <v/>
      </c>
      <c r="Y30" s="31" t="str">
        <f>IFERROR(VLOOKUP([2]Pointage!AC24,Feuil1!$A:$B,2,FALSE),"")</f>
        <v/>
      </c>
      <c r="Z30" s="31" t="str">
        <f>IFERROR(VLOOKUP([2]Pointage!AD24,Feuil1!$A:$B,2,FALSE),"")</f>
        <v/>
      </c>
      <c r="AA30" s="31" t="str">
        <f>IFERROR(VLOOKUP([2]Pointage!AE24,Feuil1!$A:$B,2,FALSE),"")</f>
        <v/>
      </c>
      <c r="AB30" s="31" t="str">
        <f>IFERROR(VLOOKUP([2]Pointage!AF24,Feuil1!$A:$B,2,FALSE),"")</f>
        <v/>
      </c>
      <c r="AC30" s="31" t="str">
        <f>IFERROR(VLOOKUP([2]Pointage!AG24,Feuil1!$A:$B,2,FALSE),"")</f>
        <v/>
      </c>
      <c r="AD30" s="31" t="str">
        <f>IFERROR(VLOOKUP([2]Pointage!AH24,Feuil1!$A:$B,2,FALSE),"")</f>
        <v/>
      </c>
      <c r="AE30" s="31" t="str">
        <f>IFERROR(VLOOKUP([2]Pointage!AI24,Feuil1!$A:$B,2,FALSE),"")</f>
        <v/>
      </c>
      <c r="AF30" s="31" t="str">
        <f>IFERROR(VLOOKUP([2]Pointage!AJ24,Feuil1!$A:$B,2,FALSE),"")</f>
        <v/>
      </c>
      <c r="AG30" s="31" t="str">
        <f>IFERROR(VLOOKUP([2]Pointage!AK24,Feuil1!$A:$B,2,FALSE),"")</f>
        <v/>
      </c>
      <c r="AH30" s="31" t="str">
        <f>IFERROR(VLOOKUP([2]Pointage!AL24,Feuil1!$A:$B,2,FALSE),"")</f>
        <v/>
      </c>
      <c r="AI30" s="31" t="str">
        <f>IFERROR(VLOOKUP([2]Pointage!AM24,Feuil1!$A:$B,2,FALSE),"")</f>
        <v/>
      </c>
      <c r="AJ30" s="82" t="str">
        <f>IFERROR(VLOOKUP([2]Pointage!AN24,Feuil1!$A:$B,2,FALSE),"")</f>
        <v/>
      </c>
      <c r="AK30" s="47" t="str">
        <f>IFERROR(VLOOKUP([2]Pointage!AO24,Feuil1!$A:$B,2,FALSE),"")</f>
        <v/>
      </c>
      <c r="AL30" s="31" t="str">
        <f>IFERROR(VLOOKUP([2]Pointage!AP24,Feuil1!$A:$B,2,FALSE),"")</f>
        <v/>
      </c>
      <c r="AM30" s="31" t="str">
        <f>IFERROR(VLOOKUP([2]Pointage!AQ24,Feuil1!$A:$B,2,FALSE),"")</f>
        <v/>
      </c>
      <c r="AN30" s="31" t="str">
        <f>IFERROR(VLOOKUP([2]Pointage!AR24,Feuil1!$A:$B,2,FALSE),"")</f>
        <v/>
      </c>
      <c r="AO30" s="31" t="str">
        <f>IFERROR(VLOOKUP([2]Pointage!AS24,Feuil1!$A:$B,2,FALSE),"")</f>
        <v/>
      </c>
      <c r="AP30" s="31" t="str">
        <f>IFERROR(VLOOKUP([2]Pointage!AT24,Feuil1!$A:$B,2,FALSE),"")</f>
        <v/>
      </c>
      <c r="AQ30" s="31" t="str">
        <f>IFERROR(VLOOKUP([2]Pointage!AU24,Feuil1!$A:$B,2,FALSE),"")</f>
        <v/>
      </c>
      <c r="AR30" s="31" t="str">
        <f>IFERROR(VLOOKUP([2]Pointage!AV24,Feuil1!$A:$B,2,FALSE),"")</f>
        <v/>
      </c>
      <c r="AS30" s="31" t="str">
        <f>IFERROR(VLOOKUP([2]Pointage!AW24,Feuil1!$A:$B,2,FALSE),"")</f>
        <v/>
      </c>
      <c r="AT30" s="31" t="str">
        <f>IFERROR(VLOOKUP([2]Pointage!AX24,Feuil1!$A:$B,2,FALSE),"")</f>
        <v/>
      </c>
      <c r="AU30" s="31" t="str">
        <f>IFERROR(VLOOKUP([2]Pointage!AY24,Feuil1!$A:$B,2,FALSE),"")</f>
        <v/>
      </c>
      <c r="AV30" s="31" t="str">
        <f>IFERROR(VLOOKUP([2]Pointage!AZ24,Feuil1!$A:$B,2,FALSE),"")</f>
        <v/>
      </c>
      <c r="AW30" s="31" t="str">
        <f>IFERROR(VLOOKUP([2]Pointage!BA24,Feuil1!$A:$B,2,FALSE),"")</f>
        <v/>
      </c>
      <c r="AX30" s="31" t="str">
        <f>IFERROR(VLOOKUP([2]Pointage!BB24,Feuil1!$A:$B,2,FALSE),"")</f>
        <v/>
      </c>
      <c r="AY30" s="31" t="str">
        <f>IFERROR(VLOOKUP([2]Pointage!BC24,Feuil1!$A:$B,2,FALSE),"")</f>
        <v/>
      </c>
      <c r="AZ30" s="31" t="str">
        <f>IFERROR(VLOOKUP([2]Pointage!BD24,Feuil1!$A:$B,2,FALSE),"")</f>
        <v/>
      </c>
      <c r="BA30" s="31" t="str">
        <f>IFERROR(VLOOKUP([2]Pointage!BE24,Feuil1!$A:$B,2,FALSE),"")</f>
        <v/>
      </c>
      <c r="BB30" s="31" t="str">
        <f>IFERROR(VLOOKUP([2]Pointage!BF24,Feuil1!$A:$B,2,FALSE),"")</f>
        <v/>
      </c>
      <c r="BC30" s="31" t="str">
        <f>IFERROR(VLOOKUP([2]Pointage!BG24,Feuil1!$A:$B,2,FALSE),"")</f>
        <v/>
      </c>
      <c r="BD30" s="31" t="str">
        <f>IFERROR(VLOOKUP([2]Pointage!BH24,Feuil1!$A:$B,2,FALSE),"")</f>
        <v/>
      </c>
      <c r="BE30" s="31" t="str">
        <f>IFERROR(VLOOKUP([2]Pointage!BI24,Feuil1!$A:$B,2,FALSE),"")</f>
        <v/>
      </c>
      <c r="BF30" s="31" t="str">
        <f>IFERROR(VLOOKUP([2]Pointage!BJ24,Feuil1!$A:$B,2,FALSE),"")</f>
        <v/>
      </c>
      <c r="BG30" s="31" t="str">
        <f>IFERROR(VLOOKUP([2]Pointage!BK24,Feuil1!$A:$B,2,FALSE),"")</f>
        <v/>
      </c>
      <c r="BH30" s="31" t="str">
        <f>IFERROR(VLOOKUP([2]Pointage!BL24,Feuil1!$A:$B,2,FALSE),"")</f>
        <v/>
      </c>
      <c r="BI30" s="31" t="str">
        <f>IFERROR(VLOOKUP([2]Pointage!BM24,Feuil1!$A:$B,2,FALSE),"")</f>
        <v/>
      </c>
      <c r="BJ30" s="31" t="str">
        <f>IFERROR(VLOOKUP([2]Pointage!BN24,Feuil1!$A:$B,2,FALSE),"")</f>
        <v/>
      </c>
      <c r="BK30" s="31" t="str">
        <f>IFERROR(VLOOKUP([2]Pointage!BO24,Feuil1!$A:$B,2,FALSE),"")</f>
        <v/>
      </c>
      <c r="BL30" s="82" t="str">
        <f>IFERROR(VLOOKUP([2]Pointage!BP24,Feuil1!$A:$B,2,FALSE),"")</f>
        <v/>
      </c>
      <c r="BM30" s="47" t="str">
        <f>IFERROR(VLOOKUP([2]Pointage!BQ24,Feuil1!$A:$B,2,FALSE),"")</f>
        <v/>
      </c>
      <c r="BN30" s="31" t="str">
        <f>IFERROR(VLOOKUP([2]Pointage!BR24,Feuil1!$A:$B,2,FALSE),"")</f>
        <v/>
      </c>
      <c r="BO30" s="31" t="str">
        <f>IFERROR(VLOOKUP([2]Pointage!BS24,Feuil1!$A:$B,2,FALSE),"")</f>
        <v/>
      </c>
      <c r="BP30" s="31" t="str">
        <f>IFERROR(VLOOKUP([2]Pointage!BT24,Feuil1!$A:$B,2,FALSE),"")</f>
        <v/>
      </c>
      <c r="BQ30" s="31" t="str">
        <f>IFERROR(VLOOKUP([2]Pointage!BU24,Feuil1!$A:$B,2,FALSE),"")</f>
        <v/>
      </c>
      <c r="BR30" s="31" t="str">
        <f>IFERROR(VLOOKUP([2]Pointage!BV24,Feuil1!$A:$B,2,FALSE),"")</f>
        <v/>
      </c>
      <c r="BS30" s="31" t="str">
        <f>IFERROR(VLOOKUP([2]Pointage!BW24,Feuil1!$A:$B,2,FALSE),"")</f>
        <v/>
      </c>
      <c r="BT30" s="31" t="str">
        <f>IFERROR(VLOOKUP([2]Pointage!BX24,Feuil1!$A:$B,2,FALSE),"")</f>
        <v/>
      </c>
      <c r="BU30" s="31" t="str">
        <f>IFERROR(VLOOKUP([2]Pointage!BY24,Feuil1!$A:$B,2,FALSE),"")</f>
        <v/>
      </c>
      <c r="BV30" s="31" t="str">
        <f>IFERROR(VLOOKUP([2]Pointage!BZ24,Feuil1!$A:$B,2,FALSE),"")</f>
        <v/>
      </c>
      <c r="BW30" s="31" t="str">
        <f>IFERROR(VLOOKUP([2]Pointage!CA24,Feuil1!$A:$B,2,FALSE),"")</f>
        <v/>
      </c>
      <c r="BX30" s="31" t="str">
        <f>IFERROR(VLOOKUP([2]Pointage!CB24,Feuil1!$A:$B,2,FALSE),"")</f>
        <v/>
      </c>
      <c r="BY30" s="31" t="str">
        <f>IFERROR(VLOOKUP([2]Pointage!CC24,Feuil1!$A:$B,2,FALSE),"")</f>
        <v/>
      </c>
      <c r="BZ30" s="31" t="str">
        <f>IFERROR(VLOOKUP([2]Pointage!CD24,Feuil1!$A:$B,2,FALSE),"")</f>
        <v/>
      </c>
      <c r="CA30" s="31" t="str">
        <f>IFERROR(VLOOKUP([2]Pointage!CE24,Feuil1!$A:$B,2,FALSE),"")</f>
        <v/>
      </c>
      <c r="CB30" s="31" t="str">
        <f>IFERROR(VLOOKUP([2]Pointage!CF24,Feuil1!$A:$B,2,FALSE),"")</f>
        <v/>
      </c>
      <c r="CC30" s="31" t="str">
        <f>IFERROR(VLOOKUP([2]Pointage!CG24,Feuil1!$A:$B,2,FALSE),"")</f>
        <v/>
      </c>
      <c r="CD30" s="31" t="str">
        <f>IFERROR(VLOOKUP([2]Pointage!CH24,Feuil1!$A:$B,2,FALSE),"")</f>
        <v/>
      </c>
      <c r="CE30" s="31" t="str">
        <f>IFERROR(VLOOKUP([2]Pointage!CI24,Feuil1!$A:$B,2,FALSE),"")</f>
        <v/>
      </c>
      <c r="CF30" s="31" t="str">
        <f>IFERROR(VLOOKUP([2]Pointage!CJ24,Feuil1!$A:$B,2,FALSE),"")</f>
        <v/>
      </c>
      <c r="CG30" s="31" t="str">
        <f>IFERROR(VLOOKUP([2]Pointage!CK24,Feuil1!$A:$B,2,FALSE),"")</f>
        <v/>
      </c>
      <c r="CH30" s="31" t="str">
        <f>IFERROR(VLOOKUP([2]Pointage!CL24,Feuil1!$A:$B,2,FALSE),"")</f>
        <v/>
      </c>
      <c r="CI30" s="31" t="str">
        <f>IFERROR(VLOOKUP([2]Pointage!CM24,Feuil1!$A:$B,2,FALSE),"")</f>
        <v/>
      </c>
      <c r="CJ30" s="31" t="str">
        <f>IFERROR(VLOOKUP([2]Pointage!CN24,Feuil1!$A:$B,2,FALSE),"")</f>
        <v/>
      </c>
      <c r="CK30" s="31" t="str">
        <f>IFERROR(VLOOKUP([2]Pointage!CO24,Feuil1!$A:$B,2,FALSE),"")</f>
        <v/>
      </c>
      <c r="CL30" s="31" t="str">
        <f>IFERROR(VLOOKUP([2]Pointage!CP24,Feuil1!$A:$B,2,FALSE),"")</f>
        <v/>
      </c>
      <c r="CM30" s="31" t="str">
        <f>IFERROR(VLOOKUP([2]Pointage!CQ24,Feuil1!$A:$B,2,FALSE),"")</f>
        <v/>
      </c>
      <c r="CN30" s="31" t="str">
        <f>IFERROR(VLOOKUP([2]Pointage!CR24,Feuil1!$A:$B,2,FALSE),"")</f>
        <v/>
      </c>
      <c r="CO30" s="31" t="str">
        <f>IFERROR(VLOOKUP([2]Pointage!CS24,Feuil1!$A:$B,2,FALSE),"")</f>
        <v/>
      </c>
      <c r="CP30" s="31" t="str">
        <f>IFERROR(VLOOKUP([2]Pointage!CT24,Feuil1!$A:$B,2,FALSE),"")</f>
        <v/>
      </c>
      <c r="CQ30" s="82" t="str">
        <f>IFERROR(VLOOKUP([2]Pointage!CU24,Feuil1!$A:$B,2,FALSE),"")</f>
        <v/>
      </c>
      <c r="CR30" s="47" t="str">
        <f>IFERROR(VLOOKUP([2]Pointage!CV24,Feuil1!$A:$B,2,FALSE),"")</f>
        <v/>
      </c>
      <c r="CS30" s="31" t="str">
        <f>IFERROR(VLOOKUP([2]Pointage!CW24,Feuil1!$A:$B,2,FALSE),"")</f>
        <v/>
      </c>
      <c r="CT30" s="31" t="str">
        <f>IFERROR(VLOOKUP([2]Pointage!CX24,Feuil1!$A:$B,2,FALSE),"")</f>
        <v/>
      </c>
      <c r="CU30" s="31" t="str">
        <f>IFERROR(VLOOKUP([2]Pointage!CY24,Feuil1!$A:$B,2,FALSE),"")</f>
        <v/>
      </c>
      <c r="CV30" s="31" t="str">
        <f>IFERROR(VLOOKUP([2]Pointage!CZ24,Feuil1!$A:$B,2,FALSE),"")</f>
        <v/>
      </c>
      <c r="CW30" s="31" t="str">
        <f>IFERROR(VLOOKUP([2]Pointage!DA24,Feuil1!$A:$B,2,FALSE),"")</f>
        <v/>
      </c>
      <c r="CX30" s="31" t="str">
        <f>IFERROR(VLOOKUP([2]Pointage!DB24,Feuil1!$A:$B,2,FALSE),"")</f>
        <v/>
      </c>
      <c r="CY30" s="31" t="str">
        <f>IFERROR(VLOOKUP([2]Pointage!DC24,Feuil1!$A:$B,2,FALSE),"")</f>
        <v/>
      </c>
      <c r="CZ30" s="31" t="str">
        <f>IFERROR(VLOOKUP([2]Pointage!DD24,Feuil1!$A:$B,2,FALSE),"")</f>
        <v/>
      </c>
      <c r="DA30" s="31" t="str">
        <f>IFERROR(VLOOKUP([2]Pointage!DE24,Feuil1!$A:$B,2,FALSE),"")</f>
        <v/>
      </c>
      <c r="DB30" s="31" t="str">
        <f>IFERROR(VLOOKUP([2]Pointage!DF24,Feuil1!$A:$B,2,FALSE),"")</f>
        <v/>
      </c>
      <c r="DC30" s="31" t="str">
        <f>IFERROR(VLOOKUP([2]Pointage!DG24,Feuil1!$A:$B,2,FALSE),"")</f>
        <v/>
      </c>
      <c r="DD30" s="31" t="str">
        <f>IFERROR(VLOOKUP([2]Pointage!DH24,Feuil1!$A:$B,2,FALSE),"")</f>
        <v/>
      </c>
      <c r="DE30" s="31" t="str">
        <f>IFERROR(VLOOKUP([2]Pointage!DI24,Feuil1!$A:$B,2,FALSE),"")</f>
        <v/>
      </c>
      <c r="DF30" s="31" t="str">
        <f>IFERROR(VLOOKUP([2]Pointage!DJ24,Feuil1!$A:$B,2,FALSE),"")</f>
        <v/>
      </c>
      <c r="DG30" s="31" t="str">
        <f>IFERROR(VLOOKUP([2]Pointage!DK24,Feuil1!$A:$B,2,FALSE),"")</f>
        <v/>
      </c>
      <c r="DH30" s="31" t="str">
        <f>IFERROR(VLOOKUP([2]Pointage!DL24,Feuil1!$A:$B,2,FALSE),"")</f>
        <v/>
      </c>
      <c r="DI30" s="31" t="str">
        <f>IFERROR(VLOOKUP([2]Pointage!DM24,Feuil1!$A:$B,2,FALSE),"")</f>
        <v/>
      </c>
      <c r="DJ30" s="31" t="str">
        <f>IFERROR(VLOOKUP([2]Pointage!DN24,Feuil1!$A:$B,2,FALSE),"")</f>
        <v/>
      </c>
      <c r="DK30" s="31" t="str">
        <f>IFERROR(VLOOKUP([2]Pointage!DO24,Feuil1!$A:$B,2,FALSE),"")</f>
        <v/>
      </c>
      <c r="DL30" s="31" t="str">
        <f>IFERROR(VLOOKUP([2]Pointage!DP24,Feuil1!$A:$B,2,FALSE),"")</f>
        <v/>
      </c>
      <c r="DM30" s="31" t="str">
        <f>IFERROR(VLOOKUP([2]Pointage!DQ24,Feuil1!$A:$B,2,FALSE),"")</f>
        <v/>
      </c>
      <c r="DN30" s="31" t="str">
        <f>IFERROR(VLOOKUP([2]Pointage!DR24,Feuil1!$A:$B,2,FALSE),"")</f>
        <v/>
      </c>
      <c r="DO30" s="31" t="str">
        <f>IFERROR(VLOOKUP([2]Pointage!DS24,Feuil1!$A:$B,2,FALSE),"")</f>
        <v/>
      </c>
      <c r="DP30" s="31" t="str">
        <f>IFERROR(VLOOKUP([2]Pointage!DT24,Feuil1!$A:$B,2,FALSE),"")</f>
        <v/>
      </c>
      <c r="DQ30" s="31" t="str">
        <f>IFERROR(VLOOKUP([2]Pointage!DU24,Feuil1!$A:$B,2,FALSE),"")</f>
        <v/>
      </c>
      <c r="DR30" s="31" t="str">
        <f>IFERROR(VLOOKUP([2]Pointage!DV24,Feuil1!$A:$B,2,FALSE),"")</f>
        <v/>
      </c>
      <c r="DS30" s="31" t="str">
        <f>IFERROR(VLOOKUP([2]Pointage!DW24,Feuil1!$A:$B,2,FALSE),"")</f>
        <v/>
      </c>
      <c r="DT30" s="31" t="str">
        <f>IFERROR(VLOOKUP([2]Pointage!DX24,Feuil1!$A:$B,2,FALSE),"")</f>
        <v/>
      </c>
      <c r="DU30" s="82" t="str">
        <f>IFERROR(VLOOKUP([2]Pointage!DY24,Feuil1!$A:$B,2,FALSE),"")</f>
        <v/>
      </c>
      <c r="DV30" s="47" t="str">
        <f>IFERROR(VLOOKUP([2]Pointage!DZ24,Feuil1!$A:$B,2,FALSE),"")</f>
        <v/>
      </c>
      <c r="DW30" s="31" t="str">
        <f>IFERROR(VLOOKUP([2]Pointage!EA24,Feuil1!$A:$B,2,FALSE),"")</f>
        <v/>
      </c>
      <c r="DX30" s="31" t="str">
        <f>IFERROR(VLOOKUP([2]Pointage!EB24,Feuil1!$A:$B,2,FALSE),"")</f>
        <v/>
      </c>
      <c r="DY30" s="31" t="str">
        <f>IFERROR(VLOOKUP([2]Pointage!EC24,Feuil1!$A:$B,2,FALSE),"")</f>
        <v/>
      </c>
      <c r="DZ30" s="31" t="str">
        <f>IFERROR(VLOOKUP([2]Pointage!ED24,Feuil1!$A:$B,2,FALSE),"")</f>
        <v/>
      </c>
      <c r="EA30" s="31" t="str">
        <f>IFERROR(VLOOKUP([2]Pointage!EE24,Feuil1!$A:$B,2,FALSE),"")</f>
        <v/>
      </c>
      <c r="EB30" s="31" t="str">
        <f>IFERROR(VLOOKUP([2]Pointage!EF24,Feuil1!$A:$B,2,FALSE),"")</f>
        <v/>
      </c>
      <c r="EC30" s="31" t="str">
        <f>IFERROR(VLOOKUP([2]Pointage!EG24,Feuil1!$A:$B,2,FALSE),"")</f>
        <v/>
      </c>
      <c r="ED30" s="31" t="str">
        <f>IFERROR(VLOOKUP([2]Pointage!EH24,Feuil1!$A:$B,2,FALSE),"")</f>
        <v/>
      </c>
      <c r="EE30" s="31" t="str">
        <f>IFERROR(VLOOKUP([2]Pointage!EI24,Feuil1!$A:$B,2,FALSE),"")</f>
        <v/>
      </c>
      <c r="EF30" s="31" t="str">
        <f>IFERROR(VLOOKUP([2]Pointage!EJ24,Feuil1!$A:$B,2,FALSE),"")</f>
        <v/>
      </c>
      <c r="EG30" s="31" t="str">
        <f>IFERROR(VLOOKUP([2]Pointage!EK24,Feuil1!$A:$B,2,FALSE),"")</f>
        <v/>
      </c>
      <c r="EH30" s="31" t="str">
        <f>IFERROR(VLOOKUP([2]Pointage!EL24,Feuil1!$A:$B,2,FALSE),"")</f>
        <v/>
      </c>
      <c r="EI30" s="31" t="str">
        <f>IFERROR(VLOOKUP([2]Pointage!EM24,Feuil1!$A:$B,2,FALSE),"")</f>
        <v/>
      </c>
      <c r="EJ30" s="31" t="str">
        <f>IFERROR(VLOOKUP([2]Pointage!EN24,Feuil1!$A:$B,2,FALSE),"")</f>
        <v/>
      </c>
      <c r="EK30" s="31" t="str">
        <f>IFERROR(VLOOKUP([2]Pointage!EO24,Feuil1!$A:$B,2,FALSE),"")</f>
        <v/>
      </c>
      <c r="EL30" s="31" t="str">
        <f>IFERROR(VLOOKUP([2]Pointage!EP24,Feuil1!$A:$B,2,FALSE),"")</f>
        <v/>
      </c>
      <c r="EM30" s="31" t="str">
        <f>IFERROR(VLOOKUP([2]Pointage!EQ24,Feuil1!$A:$B,2,FALSE),"")</f>
        <v/>
      </c>
      <c r="EN30" s="31" t="str">
        <f>IFERROR(VLOOKUP([2]Pointage!ER24,Feuil1!$A:$B,2,FALSE),"")</f>
        <v/>
      </c>
      <c r="EO30" s="31" t="str">
        <f>IFERROR(VLOOKUP([2]Pointage!ES24,Feuil1!$A:$B,2,FALSE),"")</f>
        <v/>
      </c>
      <c r="EP30" s="31" t="str">
        <f>IFERROR(VLOOKUP([2]Pointage!ET24,Feuil1!$A:$B,2,FALSE),"")</f>
        <v/>
      </c>
      <c r="EQ30" s="31" t="str">
        <f>IFERROR(VLOOKUP([2]Pointage!EU24,Feuil1!$A:$B,2,FALSE),"")</f>
        <v/>
      </c>
      <c r="ER30" s="31" t="str">
        <f>IFERROR(VLOOKUP([2]Pointage!EV24,Feuil1!$A:$B,2,FALSE),"")</f>
        <v/>
      </c>
      <c r="ES30" s="31" t="str">
        <f>IFERROR(VLOOKUP([2]Pointage!EW24,Feuil1!$A:$B,2,FALSE),"")</f>
        <v/>
      </c>
      <c r="ET30" s="31" t="str">
        <f>IFERROR(VLOOKUP([2]Pointage!EX24,Feuil1!$A:$B,2,FALSE),"")</f>
        <v/>
      </c>
      <c r="EU30" s="31" t="str">
        <f>IFERROR(VLOOKUP([2]Pointage!EY24,Feuil1!$A:$B,2,FALSE),"")</f>
        <v/>
      </c>
      <c r="EV30" s="31" t="str">
        <f>IFERROR(VLOOKUP([2]Pointage!EZ24,Feuil1!$A:$B,2,FALSE),"")</f>
        <v/>
      </c>
      <c r="EW30" s="31" t="str">
        <f>IFERROR(VLOOKUP([2]Pointage!FA24,Feuil1!$A:$B,2,FALSE),"")</f>
        <v/>
      </c>
      <c r="EX30" s="31" t="str">
        <f>IFERROR(VLOOKUP([2]Pointage!FB24,Feuil1!$A:$B,2,FALSE),"")</f>
        <v/>
      </c>
      <c r="EY30" s="31" t="str">
        <f>IFERROR(VLOOKUP([2]Pointage!FC24,Feuil1!$A:$B,2,FALSE),"")</f>
        <v/>
      </c>
      <c r="EZ30" s="82" t="str">
        <f>IFERROR(VLOOKUP([2]Pointage!FD24,Feuil1!$A:$B,2,FALSE),"")</f>
        <v/>
      </c>
      <c r="FA30" s="47" t="str">
        <f>IFERROR(VLOOKUP([2]Pointage!FE24,Feuil1!$A:$B,2,FALSE),"")</f>
        <v/>
      </c>
      <c r="FB30" s="31" t="str">
        <f>IFERROR(VLOOKUP([2]Pointage!FF24,Feuil1!$A:$B,2,FALSE),"")</f>
        <v/>
      </c>
      <c r="FC30" s="31" t="str">
        <f>IFERROR(VLOOKUP([2]Pointage!FG24,Feuil1!$A:$B,2,FALSE),"")</f>
        <v/>
      </c>
      <c r="FD30" s="31" t="str">
        <f>IFERROR(VLOOKUP([2]Pointage!FH24,Feuil1!$A:$B,2,FALSE),"")</f>
        <v/>
      </c>
      <c r="FE30" s="31" t="str">
        <f>IFERROR(VLOOKUP([2]Pointage!FI24,Feuil1!$A:$B,2,FALSE),"")</f>
        <v/>
      </c>
      <c r="FF30" s="31" t="str">
        <f>IFERROR(VLOOKUP([2]Pointage!FJ24,Feuil1!$A:$B,2,FALSE),"")</f>
        <v/>
      </c>
      <c r="FG30" s="31" t="str">
        <f>IFERROR(VLOOKUP([2]Pointage!FK24,Feuil1!$A:$B,2,FALSE),"")</f>
        <v/>
      </c>
      <c r="FH30" s="31" t="str">
        <f>IFERROR(VLOOKUP([2]Pointage!FL24,Feuil1!$A:$B,2,FALSE),"")</f>
        <v/>
      </c>
      <c r="FI30" s="31" t="str">
        <f>IFERROR(VLOOKUP([2]Pointage!FM24,Feuil1!$A:$B,2,FALSE),"")</f>
        <v/>
      </c>
      <c r="FJ30" s="31" t="str">
        <f>IFERROR(VLOOKUP([2]Pointage!FN24,Feuil1!$A:$B,2,FALSE),"")</f>
        <v/>
      </c>
      <c r="FK30" s="31" t="str">
        <f>IFERROR(VLOOKUP([2]Pointage!FO24,Feuil1!$A:$B,2,FALSE),"")</f>
        <v/>
      </c>
      <c r="FL30" s="31" t="str">
        <f>IFERROR(VLOOKUP([2]Pointage!FP24,Feuil1!$A:$B,2,FALSE),"")</f>
        <v/>
      </c>
      <c r="FM30" s="31" t="str">
        <f>IFERROR(VLOOKUP([2]Pointage!FQ24,Feuil1!$A:$B,2,FALSE),"")</f>
        <v/>
      </c>
      <c r="FN30" s="31" t="str">
        <f>IFERROR(VLOOKUP([2]Pointage!FR24,Feuil1!$A:$B,2,FALSE),"")</f>
        <v/>
      </c>
      <c r="FO30" s="31" t="str">
        <f>IFERROR(VLOOKUP([2]Pointage!FS24,Feuil1!$A:$B,2,FALSE),"")</f>
        <v/>
      </c>
      <c r="FP30" s="31" t="str">
        <f>IFERROR(VLOOKUP([2]Pointage!FT24,Feuil1!$A:$B,2,FALSE),"")</f>
        <v/>
      </c>
      <c r="FQ30" s="31" t="str">
        <f>IFERROR(VLOOKUP([2]Pointage!FU24,Feuil1!$A:$B,2,FALSE),"")</f>
        <v/>
      </c>
      <c r="FR30" s="31" t="str">
        <f>IFERROR(VLOOKUP([2]Pointage!FV24,Feuil1!$A:$B,2,FALSE),"")</f>
        <v/>
      </c>
      <c r="FS30" s="31" t="str">
        <f>IFERROR(VLOOKUP([2]Pointage!FW24,Feuil1!$A:$B,2,FALSE),"")</f>
        <v/>
      </c>
      <c r="FT30" s="31" t="str">
        <f>IFERROR(VLOOKUP([2]Pointage!FX24,Feuil1!$A:$B,2,FALSE),"")</f>
        <v/>
      </c>
      <c r="FU30" s="31" t="str">
        <f>IFERROR(VLOOKUP([2]Pointage!FY24,Feuil1!$A:$B,2,FALSE),"")</f>
        <v/>
      </c>
      <c r="FV30" s="31" t="str">
        <f>IFERROR(VLOOKUP([2]Pointage!FZ24,Feuil1!$A:$B,2,FALSE),"")</f>
        <v/>
      </c>
      <c r="FW30" s="31" t="str">
        <f>IFERROR(VLOOKUP([2]Pointage!GA24,Feuil1!$A:$B,2,FALSE),"")</f>
        <v/>
      </c>
      <c r="FX30" s="31" t="str">
        <f>IFERROR(VLOOKUP([2]Pointage!GB24,Feuil1!$A:$B,2,FALSE),"")</f>
        <v/>
      </c>
      <c r="FY30" s="31" t="str">
        <f>IFERROR(VLOOKUP([2]Pointage!GC24,Feuil1!$A:$B,2,FALSE),"")</f>
        <v/>
      </c>
      <c r="FZ30" s="31" t="str">
        <f>IFERROR(VLOOKUP([2]Pointage!GD24,Feuil1!$A:$B,2,FALSE),"")</f>
        <v/>
      </c>
      <c r="GA30" s="31" t="str">
        <f>IFERROR(VLOOKUP([2]Pointage!GE24,Feuil1!$A:$B,2,FALSE),"")</f>
        <v/>
      </c>
      <c r="GB30" s="31" t="str">
        <f>IFERROR(VLOOKUP([2]Pointage!GF24,Feuil1!$A:$B,2,FALSE),"")</f>
        <v/>
      </c>
      <c r="GC30" s="31" t="str">
        <f>IFERROR(VLOOKUP([2]Pointage!GG24,Feuil1!$A:$B,2,FALSE),"")</f>
        <v/>
      </c>
      <c r="GD30" s="82" t="str">
        <f>IFERROR(VLOOKUP([2]Pointage!GH24,Feuil1!$A:$B,2,FALSE),"")</f>
        <v/>
      </c>
      <c r="GE30" s="47" t="str">
        <f>IFERROR(VLOOKUP([2]Pointage!GI24,Feuil1!$A:$B,2,FALSE),"")</f>
        <v/>
      </c>
      <c r="GF30" s="31" t="str">
        <f>IFERROR(VLOOKUP([2]Pointage!GJ24,Feuil1!$A:$B,2,FALSE),"")</f>
        <v/>
      </c>
      <c r="GG30" s="31" t="str">
        <f>IFERROR(VLOOKUP([2]Pointage!GK24,Feuil1!$A:$B,2,FALSE),"")</f>
        <v/>
      </c>
      <c r="GH30" s="31" t="str">
        <f>IFERROR(VLOOKUP([2]Pointage!GL24,Feuil1!$A:$B,2,FALSE),"")</f>
        <v/>
      </c>
      <c r="GI30" s="31" t="str">
        <f>IFERROR(VLOOKUP([2]Pointage!GM24,Feuil1!$A:$B,2,FALSE),"")</f>
        <v/>
      </c>
      <c r="GJ30" s="31" t="str">
        <f>IFERROR(VLOOKUP([2]Pointage!GN24,Feuil1!$A:$B,2,FALSE),"")</f>
        <v/>
      </c>
      <c r="GK30" s="31" t="str">
        <f>IFERROR(VLOOKUP([2]Pointage!GO24,Feuil1!$A:$B,2,FALSE),"")</f>
        <v/>
      </c>
      <c r="GL30" s="31" t="str">
        <f>IFERROR(VLOOKUP([2]Pointage!GP24,Feuil1!$A:$B,2,FALSE),"")</f>
        <v/>
      </c>
      <c r="GM30" s="31" t="str">
        <f>IFERROR(VLOOKUP([2]Pointage!GQ24,Feuil1!$A:$B,2,FALSE),"")</f>
        <v/>
      </c>
      <c r="GN30" s="31" t="str">
        <f>IFERROR(VLOOKUP([2]Pointage!GR24,Feuil1!$A:$B,2,FALSE),"")</f>
        <v/>
      </c>
      <c r="GO30" s="31" t="str">
        <f>IFERROR(VLOOKUP([2]Pointage!GS24,Feuil1!$A:$B,2,FALSE),"")</f>
        <v/>
      </c>
      <c r="GP30" s="31" t="str">
        <f>IFERROR(VLOOKUP([2]Pointage!GT24,Feuil1!$A:$B,2,FALSE),"")</f>
        <v/>
      </c>
      <c r="GQ30" s="31" t="str">
        <f>IFERROR(VLOOKUP([2]Pointage!GU24,Feuil1!$A:$B,2,FALSE),"")</f>
        <v/>
      </c>
      <c r="GR30" s="31" t="str">
        <f>IFERROR(VLOOKUP([2]Pointage!GV24,Feuil1!$A:$B,2,FALSE),"")</f>
        <v/>
      </c>
      <c r="GS30" s="31" t="str">
        <f>IFERROR(VLOOKUP([2]Pointage!GW24,Feuil1!$A:$B,2,FALSE),"")</f>
        <v/>
      </c>
      <c r="GT30" s="31" t="str">
        <f>IFERROR(VLOOKUP([2]Pointage!GX24,Feuil1!$A:$B,2,FALSE),"")</f>
        <v/>
      </c>
      <c r="GU30" s="31" t="str">
        <f>IFERROR(VLOOKUP([2]Pointage!GY24,Feuil1!$A:$B,2,FALSE),"")</f>
        <v/>
      </c>
      <c r="GV30" s="31" t="str">
        <f>IFERROR(VLOOKUP([2]Pointage!GZ24,Feuil1!$A:$B,2,FALSE),"")</f>
        <v/>
      </c>
      <c r="GW30" s="31" t="str">
        <f>IFERROR(VLOOKUP([2]Pointage!HA24,Feuil1!$A:$B,2,FALSE),"")</f>
        <v/>
      </c>
      <c r="GX30" s="31" t="str">
        <f>IFERROR(VLOOKUP([2]Pointage!HB24,Feuil1!$A:$B,2,FALSE),"")</f>
        <v/>
      </c>
      <c r="GY30" s="31" t="str">
        <f>IFERROR(VLOOKUP([2]Pointage!HC24,Feuil1!$A:$B,2,FALSE),"")</f>
        <v/>
      </c>
      <c r="GZ30" s="31" t="str">
        <f>IFERROR(VLOOKUP([2]Pointage!HD24,Feuil1!$A:$B,2,FALSE),"")</f>
        <v/>
      </c>
      <c r="HA30" s="31" t="str">
        <f>IFERROR(VLOOKUP([2]Pointage!HE24,Feuil1!$A:$B,2,FALSE),"")</f>
        <v/>
      </c>
      <c r="HB30" s="31" t="str">
        <f>IFERROR(VLOOKUP([2]Pointage!HF24,Feuil1!$A:$B,2,FALSE),"")</f>
        <v/>
      </c>
      <c r="HC30" s="31" t="str">
        <f>IFERROR(VLOOKUP([2]Pointage!HG24,Feuil1!$A:$B,2,FALSE),"")</f>
        <v/>
      </c>
      <c r="HD30" s="31" t="str">
        <f>IFERROR(VLOOKUP([2]Pointage!HH24,Feuil1!$A:$B,2,FALSE),"")</f>
        <v/>
      </c>
      <c r="HE30" s="31" t="str">
        <f>IFERROR(VLOOKUP([2]Pointage!HI24,Feuil1!$A:$B,2,FALSE),"")</f>
        <v/>
      </c>
      <c r="HF30" s="31" t="str">
        <f>IFERROR(VLOOKUP([2]Pointage!HJ24,Feuil1!$A:$B,2,FALSE),"")</f>
        <v/>
      </c>
      <c r="HG30" s="31" t="str">
        <f>IFERROR(VLOOKUP([2]Pointage!HK24,Feuil1!$A:$B,2,FALSE),"")</f>
        <v/>
      </c>
      <c r="HH30" s="31" t="str">
        <f>IFERROR(VLOOKUP([2]Pointage!HL24,Feuil1!$A:$B,2,FALSE),"")</f>
        <v/>
      </c>
      <c r="HI30" s="82" t="str">
        <f>IFERROR(VLOOKUP([2]Pointage!HM24,Feuil1!$A:$B,2,FALSE),"")</f>
        <v/>
      </c>
      <c r="HJ30" s="47" t="str">
        <f>IFERROR(VLOOKUP([2]Pointage!HN24,Feuil1!$A:$B,2,FALSE),"")</f>
        <v/>
      </c>
      <c r="HK30" s="31" t="str">
        <f>IFERROR(VLOOKUP([2]Pointage!HO24,Feuil1!$A:$B,2,FALSE),"")</f>
        <v/>
      </c>
      <c r="HL30" s="31" t="str">
        <f>IFERROR(VLOOKUP([2]Pointage!HP24,Feuil1!$A:$B,2,FALSE),"")</f>
        <v/>
      </c>
      <c r="HM30" s="31" t="str">
        <f>IFERROR(VLOOKUP([2]Pointage!HQ24,Feuil1!$A:$B,2,FALSE),"")</f>
        <v/>
      </c>
      <c r="HN30" s="31" t="str">
        <f>IFERROR(VLOOKUP([2]Pointage!HR24,Feuil1!$A:$B,2,FALSE),"")</f>
        <v/>
      </c>
      <c r="HO30" s="31" t="str">
        <f>IFERROR(VLOOKUP([2]Pointage!HS24,Feuil1!$A:$B,2,FALSE),"")</f>
        <v/>
      </c>
      <c r="HP30" s="31" t="str">
        <f>IFERROR(VLOOKUP([2]Pointage!HT24,Feuil1!$A:$B,2,FALSE),"")</f>
        <v/>
      </c>
      <c r="HQ30" s="31" t="str">
        <f>IFERROR(VLOOKUP([2]Pointage!HU24,Feuil1!$A:$B,2,FALSE),"")</f>
        <v/>
      </c>
      <c r="HR30" s="31" t="str">
        <f>IFERROR(VLOOKUP([2]Pointage!HV24,Feuil1!$A:$B,2,FALSE),"")</f>
        <v/>
      </c>
      <c r="HS30" s="31" t="str">
        <f>IFERROR(VLOOKUP([2]Pointage!HW24,Feuil1!$A:$B,2,FALSE),"")</f>
        <v/>
      </c>
      <c r="HT30" s="31" t="str">
        <f>IFERROR(VLOOKUP([2]Pointage!HX24,Feuil1!$A:$B,2,FALSE),"")</f>
        <v/>
      </c>
      <c r="HU30" s="31" t="str">
        <f>IFERROR(VLOOKUP([2]Pointage!HY24,Feuil1!$A:$B,2,FALSE),"")</f>
        <v/>
      </c>
      <c r="HV30" s="31" t="str">
        <f>IFERROR(VLOOKUP([2]Pointage!HZ24,Feuil1!$A:$B,2,FALSE),"")</f>
        <v/>
      </c>
      <c r="HW30" s="31" t="str">
        <f>IFERROR(VLOOKUP([2]Pointage!IA24,Feuil1!$A:$B,2,FALSE),"")</f>
        <v/>
      </c>
      <c r="HX30" s="31" t="str">
        <f>IFERROR(VLOOKUP([2]Pointage!IB24,Feuil1!$A:$B,2,FALSE),"")</f>
        <v/>
      </c>
      <c r="HY30" s="31" t="str">
        <f>IFERROR(VLOOKUP([2]Pointage!IC24,Feuil1!$A:$B,2,FALSE),"")</f>
        <v/>
      </c>
      <c r="HZ30" s="31" t="str">
        <f>IFERROR(VLOOKUP([2]Pointage!ID24,Feuil1!$A:$B,2,FALSE),"")</f>
        <v/>
      </c>
      <c r="IA30" s="31" t="str">
        <f>IFERROR(VLOOKUP([2]Pointage!IE24,Feuil1!$A:$B,2,FALSE),"")</f>
        <v/>
      </c>
      <c r="IB30" s="31" t="str">
        <f>IFERROR(VLOOKUP([2]Pointage!IF24,Feuil1!$A:$B,2,FALSE),"")</f>
        <v/>
      </c>
      <c r="IC30" s="31" t="str">
        <f>IFERROR(VLOOKUP([2]Pointage!IG24,Feuil1!$A:$B,2,FALSE),"")</f>
        <v/>
      </c>
      <c r="ID30" s="31" t="str">
        <f>IFERROR(VLOOKUP([2]Pointage!IH24,Feuil1!$A:$B,2,FALSE),"")</f>
        <v/>
      </c>
      <c r="IE30" s="31" t="str">
        <f>IFERROR(VLOOKUP([2]Pointage!II24,Feuil1!$A:$B,2,FALSE),"")</f>
        <v/>
      </c>
      <c r="IF30" s="31" t="str">
        <f>IFERROR(VLOOKUP([2]Pointage!IJ24,Feuil1!$A:$B,2,FALSE),"")</f>
        <v/>
      </c>
      <c r="IG30" s="31" t="str">
        <f>IFERROR(VLOOKUP([2]Pointage!IK24,Feuil1!$A:$B,2,FALSE),"")</f>
        <v/>
      </c>
      <c r="IH30" s="31" t="str">
        <f>IFERROR(VLOOKUP([2]Pointage!IL24,Feuil1!$A:$B,2,FALSE),"")</f>
        <v/>
      </c>
      <c r="II30" s="31" t="str">
        <f>IFERROR(VLOOKUP([2]Pointage!IM24,Feuil1!$A:$B,2,FALSE),"")</f>
        <v/>
      </c>
      <c r="IJ30" s="31" t="str">
        <f>IFERROR(VLOOKUP([2]Pointage!IN24,Feuil1!$A:$B,2,FALSE),"")</f>
        <v/>
      </c>
      <c r="IK30" s="31" t="str">
        <f>IFERROR(VLOOKUP([2]Pointage!IO24,Feuil1!$A:$B,2,FALSE),"")</f>
        <v/>
      </c>
      <c r="IL30" s="31" t="str">
        <f>IFERROR(VLOOKUP([2]Pointage!IP24,Feuil1!$A:$B,2,FALSE),"")</f>
        <v/>
      </c>
      <c r="IM30" s="31" t="str">
        <f>IFERROR(VLOOKUP([2]Pointage!IQ24,Feuil1!$A:$B,2,FALSE),"")</f>
        <v/>
      </c>
      <c r="IN30" s="82" t="str">
        <f>IFERROR(VLOOKUP([2]Pointage!IR24,Feuil1!$A:$B,2,FALSE),"")</f>
        <v/>
      </c>
      <c r="IO30" s="47" t="str">
        <f>IFERROR(VLOOKUP([2]Pointage!IS24,Feuil1!$A:$B,2,FALSE),"")</f>
        <v/>
      </c>
      <c r="IP30" s="31" t="str">
        <f>IFERROR(VLOOKUP([2]Pointage!IT24,Feuil1!$A:$B,2,FALSE),"")</f>
        <v/>
      </c>
      <c r="IQ30" s="31" t="str">
        <f>IFERROR(VLOOKUP([2]Pointage!IU24,Feuil1!$A:$B,2,FALSE),"")</f>
        <v/>
      </c>
      <c r="IR30" s="31" t="str">
        <f>IFERROR(VLOOKUP([2]Pointage!IV24,Feuil1!$A:$B,2,FALSE),"")</f>
        <v/>
      </c>
      <c r="IS30" s="31" t="str">
        <f>IFERROR(VLOOKUP([2]Pointage!IW24,Feuil1!$A:$B,2,FALSE),"")</f>
        <v/>
      </c>
      <c r="IT30" s="31" t="str">
        <f>IFERROR(VLOOKUP([2]Pointage!IX24,Feuil1!$A:$B,2,FALSE),"")</f>
        <v/>
      </c>
      <c r="IU30" s="31" t="str">
        <f>IFERROR(VLOOKUP([2]Pointage!IY24,Feuil1!$A:$B,2,FALSE),"")</f>
        <v/>
      </c>
      <c r="IV30" s="31" t="str">
        <f>IFERROR(VLOOKUP([2]Pointage!IZ24,Feuil1!$A:$B,2,FALSE),"")</f>
        <v/>
      </c>
      <c r="IW30" s="31" t="str">
        <f>IFERROR(VLOOKUP([2]Pointage!JA24,Feuil1!$A:$B,2,FALSE),"")</f>
        <v/>
      </c>
      <c r="IX30" s="31" t="str">
        <f>IFERROR(VLOOKUP([2]Pointage!JB24,Feuil1!$A:$B,2,FALSE),"")</f>
        <v/>
      </c>
      <c r="IY30" s="31" t="str">
        <f>IFERROR(VLOOKUP([2]Pointage!JC24,Feuil1!$A:$B,2,FALSE),"")</f>
        <v/>
      </c>
      <c r="IZ30" s="31" t="str">
        <f>IFERROR(VLOOKUP([2]Pointage!JD24,Feuil1!$A:$B,2,FALSE),"")</f>
        <v/>
      </c>
      <c r="JA30" s="31" t="str">
        <f>IFERROR(VLOOKUP([2]Pointage!JE24,Feuil1!$A:$B,2,FALSE),"")</f>
        <v/>
      </c>
      <c r="JB30" s="31" t="str">
        <f>IFERROR(VLOOKUP([2]Pointage!JF24,Feuil1!$A:$B,2,FALSE),"")</f>
        <v/>
      </c>
      <c r="JC30" s="31" t="str">
        <f>IFERROR(VLOOKUP([2]Pointage!JG24,Feuil1!$A:$B,2,FALSE),"")</f>
        <v/>
      </c>
      <c r="JD30" s="31" t="str">
        <f>IFERROR(VLOOKUP([2]Pointage!JH24,Feuil1!$A:$B,2,FALSE),"")</f>
        <v/>
      </c>
      <c r="JE30" s="31" t="str">
        <f>IFERROR(VLOOKUP([2]Pointage!JI24,Feuil1!$A:$B,2,FALSE),"")</f>
        <v/>
      </c>
      <c r="JF30" s="31" t="str">
        <f>IFERROR(VLOOKUP([2]Pointage!JJ24,Feuil1!$A:$B,2,FALSE),"")</f>
        <v/>
      </c>
      <c r="JG30" s="31" t="str">
        <f>IFERROR(VLOOKUP([2]Pointage!JK24,Feuil1!$A:$B,2,FALSE),"")</f>
        <v/>
      </c>
      <c r="JH30" s="31" t="str">
        <f>IFERROR(VLOOKUP([2]Pointage!JL24,Feuil1!$A:$B,2,FALSE),"")</f>
        <v/>
      </c>
      <c r="JI30" s="31" t="str">
        <f>IFERROR(VLOOKUP([2]Pointage!JM24,Feuil1!$A:$B,2,FALSE),"")</f>
        <v/>
      </c>
      <c r="JJ30" s="31" t="str">
        <f>IFERROR(VLOOKUP([2]Pointage!JN24,Feuil1!$A:$B,2,FALSE),"")</f>
        <v/>
      </c>
      <c r="JK30" s="31" t="str">
        <f>IFERROR(VLOOKUP([2]Pointage!JO24,Feuil1!$A:$B,2,FALSE),"")</f>
        <v/>
      </c>
      <c r="JL30" s="31" t="str">
        <f>IFERROR(VLOOKUP([2]Pointage!JP24,Feuil1!$A:$B,2,FALSE),"")</f>
        <v/>
      </c>
      <c r="JM30" s="31" t="str">
        <f>IFERROR(VLOOKUP([2]Pointage!JQ24,Feuil1!$A:$B,2,FALSE),"")</f>
        <v/>
      </c>
      <c r="JN30" s="31" t="str">
        <f>IFERROR(VLOOKUP([2]Pointage!JR24,Feuil1!$A:$B,2,FALSE),"")</f>
        <v/>
      </c>
      <c r="JO30" s="31" t="str">
        <f>IFERROR(VLOOKUP([2]Pointage!JS24,Feuil1!$A:$B,2,FALSE),"")</f>
        <v/>
      </c>
      <c r="JP30" s="31" t="str">
        <f>IFERROR(VLOOKUP([2]Pointage!JT24,Feuil1!$A:$B,2,FALSE),"")</f>
        <v/>
      </c>
      <c r="JQ30" s="31" t="str">
        <f>IFERROR(VLOOKUP([2]Pointage!JU24,Feuil1!$A:$B,2,FALSE),"")</f>
        <v/>
      </c>
      <c r="JR30" s="82" t="str">
        <f>IFERROR(VLOOKUP([2]Pointage!JV24,Feuil1!$A:$B,2,FALSE),"")</f>
        <v/>
      </c>
      <c r="JS30" s="47" t="str">
        <f>IFERROR(VLOOKUP([2]Pointage!JW24,Feuil1!$A:$B,2,FALSE),"")</f>
        <v/>
      </c>
      <c r="JT30" s="31" t="str">
        <f>IFERROR(VLOOKUP([2]Pointage!JX24,Feuil1!$A:$B,2,FALSE),"")</f>
        <v/>
      </c>
      <c r="JU30" s="31" t="str">
        <f>IFERROR(VLOOKUP([2]Pointage!JY24,Feuil1!$A:$B,2,FALSE),"")</f>
        <v/>
      </c>
      <c r="JV30" s="31" t="str">
        <f>IFERROR(VLOOKUP([2]Pointage!JZ24,Feuil1!$A:$B,2,FALSE),"")</f>
        <v/>
      </c>
      <c r="JW30" s="31" t="str">
        <f>IFERROR(VLOOKUP([2]Pointage!KA24,Feuil1!$A:$B,2,FALSE),"")</f>
        <v/>
      </c>
      <c r="JX30" s="31" t="str">
        <f>IFERROR(VLOOKUP([2]Pointage!KB24,Feuil1!$A:$B,2,FALSE),"")</f>
        <v/>
      </c>
      <c r="JY30" s="31" t="str">
        <f>IFERROR(VLOOKUP([2]Pointage!KC24,Feuil1!$A:$B,2,FALSE),"")</f>
        <v/>
      </c>
      <c r="JZ30" s="31" t="str">
        <f>IFERROR(VLOOKUP([2]Pointage!KD24,Feuil1!$A:$B,2,FALSE),"")</f>
        <v/>
      </c>
      <c r="KA30" s="31" t="str">
        <f>IFERROR(VLOOKUP([2]Pointage!KE24,Feuil1!$A:$B,2,FALSE),"")</f>
        <v/>
      </c>
      <c r="KB30" s="31" t="str">
        <f>IFERROR(VLOOKUP([2]Pointage!KF24,Feuil1!$A:$B,2,FALSE),"")</f>
        <v/>
      </c>
      <c r="KC30" s="31" t="str">
        <f>IFERROR(VLOOKUP([2]Pointage!KG24,Feuil1!$A:$B,2,FALSE),"")</f>
        <v/>
      </c>
      <c r="KD30" s="31" t="str">
        <f>IFERROR(VLOOKUP([2]Pointage!KH24,Feuil1!$A:$B,2,FALSE),"")</f>
        <v/>
      </c>
      <c r="KE30" s="31" t="str">
        <f>IFERROR(VLOOKUP([2]Pointage!KI24,Feuil1!$A:$B,2,FALSE),"")</f>
        <v/>
      </c>
      <c r="KF30" s="31" t="str">
        <f>IFERROR(VLOOKUP([2]Pointage!KJ24,Feuil1!$A:$B,2,FALSE),"")</f>
        <v/>
      </c>
      <c r="KG30" s="31" t="str">
        <f>IFERROR(VLOOKUP([2]Pointage!KK24,Feuil1!$A:$B,2,FALSE),"")</f>
        <v/>
      </c>
      <c r="KH30" s="31" t="str">
        <f>IFERROR(VLOOKUP([2]Pointage!KL24,Feuil1!$A:$B,2,FALSE),"")</f>
        <v/>
      </c>
      <c r="KI30" s="31" t="str">
        <f>IFERROR(VLOOKUP([2]Pointage!KM24,Feuil1!$A:$B,2,FALSE),"")</f>
        <v/>
      </c>
      <c r="KJ30" s="31" t="str">
        <f>IFERROR(VLOOKUP([2]Pointage!KN24,Feuil1!$A:$B,2,FALSE),"")</f>
        <v/>
      </c>
      <c r="KK30" s="31" t="str">
        <f>IFERROR(VLOOKUP([2]Pointage!KO24,Feuil1!$A:$B,2,FALSE),"")</f>
        <v/>
      </c>
      <c r="KL30" s="31" t="str">
        <f>IFERROR(VLOOKUP([2]Pointage!KP24,Feuil1!$A:$B,2,FALSE),"")</f>
        <v/>
      </c>
      <c r="KM30" s="31" t="str">
        <f>IFERROR(VLOOKUP([2]Pointage!KQ24,Feuil1!$A:$B,2,FALSE),"")</f>
        <v/>
      </c>
      <c r="KN30" s="31" t="str">
        <f>IFERROR(VLOOKUP([2]Pointage!KR24,Feuil1!$A:$B,2,FALSE),"")</f>
        <v/>
      </c>
      <c r="KO30" s="31" t="str">
        <f>IFERROR(VLOOKUP([2]Pointage!KS24,Feuil1!$A:$B,2,FALSE),"")</f>
        <v/>
      </c>
      <c r="KP30" s="31" t="str">
        <f>IFERROR(VLOOKUP([2]Pointage!KT24,Feuil1!$A:$B,2,FALSE),"")</f>
        <v/>
      </c>
      <c r="KQ30" s="31" t="str">
        <f>IFERROR(VLOOKUP([2]Pointage!KU24,Feuil1!$A:$B,2,FALSE),"")</f>
        <v/>
      </c>
      <c r="KR30" s="31" t="str">
        <f>IFERROR(VLOOKUP([2]Pointage!KV24,Feuil1!$A:$B,2,FALSE),"")</f>
        <v/>
      </c>
      <c r="KS30" s="31" t="str">
        <f>IFERROR(VLOOKUP([2]Pointage!KW24,Feuil1!$A:$B,2,FALSE),"")</f>
        <v/>
      </c>
      <c r="KT30" s="31" t="str">
        <f>IFERROR(VLOOKUP([2]Pointage!KX24,Feuil1!$A:$B,2,FALSE),"")</f>
        <v/>
      </c>
      <c r="KU30" s="31" t="str">
        <f>IFERROR(VLOOKUP([2]Pointage!KY24,Feuil1!$A:$B,2,FALSE),"")</f>
        <v/>
      </c>
      <c r="KV30" s="31" t="str">
        <f>IFERROR(VLOOKUP([2]Pointage!KZ24,Feuil1!$A:$B,2,FALSE),"")</f>
        <v/>
      </c>
      <c r="KW30" s="82" t="str">
        <f>IFERROR(VLOOKUP([2]Pointage!LA24,Feuil1!$A:$B,2,FALSE),"")</f>
        <v/>
      </c>
      <c r="KX30" s="47" t="str">
        <f>IFERROR(VLOOKUP([2]Pointage!LB24,Feuil1!$A:$B,2,FALSE),"")</f>
        <v/>
      </c>
      <c r="KY30" s="31" t="str">
        <f>IFERROR(VLOOKUP([2]Pointage!LC24,Feuil1!$A:$B,2,FALSE),"")</f>
        <v/>
      </c>
      <c r="KZ30" s="31" t="str">
        <f>IFERROR(VLOOKUP([2]Pointage!LD24,Feuil1!$A:$B,2,FALSE),"")</f>
        <v/>
      </c>
      <c r="LA30" s="31" t="str">
        <f>IFERROR(VLOOKUP([2]Pointage!LE24,Feuil1!$A:$B,2,FALSE),"")</f>
        <v/>
      </c>
      <c r="LB30" s="31" t="str">
        <f>IFERROR(VLOOKUP([2]Pointage!LF24,Feuil1!$A:$B,2,FALSE),"")</f>
        <v/>
      </c>
      <c r="LC30" s="31" t="str">
        <f>IFERROR(VLOOKUP([2]Pointage!LG24,Feuil1!$A:$B,2,FALSE),"")</f>
        <v/>
      </c>
      <c r="LD30" s="31" t="str">
        <f>IFERROR(VLOOKUP([2]Pointage!LH24,Feuil1!$A:$B,2,FALSE),"")</f>
        <v/>
      </c>
      <c r="LE30" s="31" t="str">
        <f>IFERROR(VLOOKUP([2]Pointage!LI24,Feuil1!$A:$B,2,FALSE),"")</f>
        <v/>
      </c>
      <c r="LF30" s="31" t="str">
        <f>IFERROR(VLOOKUP([2]Pointage!LJ24,Feuil1!$A:$B,2,FALSE),"")</f>
        <v/>
      </c>
      <c r="LG30" s="31" t="str">
        <f>IFERROR(VLOOKUP([2]Pointage!LK24,Feuil1!$A:$B,2,FALSE),"")</f>
        <v/>
      </c>
      <c r="LH30" s="31" t="str">
        <f>IFERROR(VLOOKUP([2]Pointage!LL24,Feuil1!$A:$B,2,FALSE),"")</f>
        <v/>
      </c>
      <c r="LI30" s="31" t="str">
        <f>IFERROR(VLOOKUP([2]Pointage!LM24,Feuil1!$A:$B,2,FALSE),"")</f>
        <v/>
      </c>
      <c r="LJ30" s="31" t="str">
        <f>IFERROR(VLOOKUP([2]Pointage!LN24,Feuil1!$A:$B,2,FALSE),"")</f>
        <v/>
      </c>
      <c r="LK30" s="31" t="str">
        <f>IFERROR(VLOOKUP([2]Pointage!LO24,Feuil1!$A:$B,2,FALSE),"")</f>
        <v/>
      </c>
      <c r="LL30" s="31" t="str">
        <f>IFERROR(VLOOKUP([2]Pointage!LP24,Feuil1!$A:$B,2,FALSE),"")</f>
        <v/>
      </c>
      <c r="LM30" s="31" t="str">
        <f>IFERROR(VLOOKUP([2]Pointage!LQ24,Feuil1!$A:$B,2,FALSE),"")</f>
        <v/>
      </c>
      <c r="LN30" s="31" t="str">
        <f>IFERROR(VLOOKUP([2]Pointage!LR24,Feuil1!$A:$B,2,FALSE),"")</f>
        <v/>
      </c>
      <c r="LO30" s="31" t="str">
        <f>IFERROR(VLOOKUP([2]Pointage!LS24,Feuil1!$A:$B,2,FALSE),"")</f>
        <v/>
      </c>
      <c r="LP30" s="31" t="str">
        <f>IFERROR(VLOOKUP([2]Pointage!LT24,Feuil1!$A:$B,2,FALSE),"")</f>
        <v/>
      </c>
      <c r="LQ30" s="31" t="str">
        <f>IFERROR(VLOOKUP([2]Pointage!LU24,Feuil1!$A:$B,2,FALSE),"")</f>
        <v/>
      </c>
      <c r="LR30" s="31" t="str">
        <f>IFERROR(VLOOKUP([2]Pointage!LV24,Feuil1!$A:$B,2,FALSE),"")</f>
        <v/>
      </c>
      <c r="LS30" s="31" t="str">
        <f>IFERROR(VLOOKUP([2]Pointage!LW24,Feuil1!$A:$B,2,FALSE),"")</f>
        <v/>
      </c>
      <c r="LT30" s="31" t="str">
        <f>IFERROR(VLOOKUP([2]Pointage!LX24,Feuil1!$A:$B,2,FALSE),"")</f>
        <v/>
      </c>
      <c r="LU30" s="31" t="str">
        <f>IFERROR(VLOOKUP([2]Pointage!LY24,Feuil1!$A:$B,2,FALSE),"")</f>
        <v/>
      </c>
      <c r="LV30" s="31" t="str">
        <f>IFERROR(VLOOKUP([2]Pointage!LZ24,Feuil1!$A:$B,2,FALSE),"")</f>
        <v/>
      </c>
      <c r="LW30" s="31" t="str">
        <f>IFERROR(VLOOKUP([2]Pointage!MA24,Feuil1!$A:$B,2,FALSE),"")</f>
        <v/>
      </c>
      <c r="LX30" s="31" t="str">
        <f>IFERROR(VLOOKUP([2]Pointage!MB24,Feuil1!$A:$B,2,FALSE),"")</f>
        <v/>
      </c>
      <c r="LY30" s="31" t="str">
        <f>IFERROR(VLOOKUP([2]Pointage!MC24,Feuil1!$A:$B,2,FALSE),"")</f>
        <v/>
      </c>
      <c r="LZ30" s="31" t="str">
        <f>IFERROR(VLOOKUP([2]Pointage!MD24,Feuil1!$A:$B,2,FALSE),"")</f>
        <v/>
      </c>
      <c r="MA30" s="82" t="str">
        <f>IFERROR(VLOOKUP([2]Pointage!ME24,Feuil1!$A:$B,2,FALSE),"")</f>
        <v/>
      </c>
      <c r="MB30" s="47" t="str">
        <f>IFERROR(VLOOKUP([2]Pointage!MF24,Feuil1!$A:$B,2,FALSE),"")</f>
        <v/>
      </c>
      <c r="MC30" s="31" t="str">
        <f>IFERROR(VLOOKUP([2]Pointage!MG24,Feuil1!$A:$B,2,FALSE),"")</f>
        <v/>
      </c>
      <c r="MD30" s="31" t="str">
        <f>IFERROR(VLOOKUP([2]Pointage!MH24,Feuil1!$A:$B,2,FALSE),"")</f>
        <v/>
      </c>
      <c r="ME30" s="31" t="str">
        <f>IFERROR(VLOOKUP([2]Pointage!MI24,Feuil1!$A:$B,2,FALSE),"")</f>
        <v/>
      </c>
      <c r="MF30" s="31" t="str">
        <f>IFERROR(VLOOKUP([2]Pointage!MJ24,Feuil1!$A:$B,2,FALSE),"")</f>
        <v/>
      </c>
      <c r="MG30" s="31" t="str">
        <f>IFERROR(VLOOKUP([2]Pointage!MK24,Feuil1!$A:$B,2,FALSE),"")</f>
        <v/>
      </c>
      <c r="MH30" s="31" t="str">
        <f>IFERROR(VLOOKUP([2]Pointage!ML24,Feuil1!$A:$B,2,FALSE),"")</f>
        <v/>
      </c>
      <c r="MI30" s="31" t="str">
        <f>IFERROR(VLOOKUP([2]Pointage!MM24,Feuil1!$A:$B,2,FALSE),"")</f>
        <v/>
      </c>
      <c r="MJ30" s="31" t="str">
        <f>IFERROR(VLOOKUP([2]Pointage!MN24,Feuil1!$A:$B,2,FALSE),"")</f>
        <v/>
      </c>
      <c r="MK30" s="31" t="str">
        <f>IFERROR(VLOOKUP([2]Pointage!MO24,Feuil1!$A:$B,2,FALSE),"")</f>
        <v/>
      </c>
      <c r="ML30" s="31" t="str">
        <f>IFERROR(VLOOKUP([2]Pointage!MP24,Feuil1!$A:$B,2,FALSE),"")</f>
        <v/>
      </c>
      <c r="MM30" s="31" t="str">
        <f>IFERROR(VLOOKUP([2]Pointage!MQ24,Feuil1!$A:$B,2,FALSE),"")</f>
        <v/>
      </c>
      <c r="MN30" s="31" t="str">
        <f>IFERROR(VLOOKUP([2]Pointage!MR24,Feuil1!$A:$B,2,FALSE),"")</f>
        <v/>
      </c>
      <c r="MO30" s="31" t="str">
        <f>IFERROR(VLOOKUP([2]Pointage!MS24,Feuil1!$A:$B,2,FALSE),"")</f>
        <v/>
      </c>
      <c r="MP30" s="31" t="str">
        <f>IFERROR(VLOOKUP([2]Pointage!MT24,Feuil1!$A:$B,2,FALSE),"")</f>
        <v/>
      </c>
      <c r="MQ30" s="31" t="str">
        <f>IFERROR(VLOOKUP([2]Pointage!MU24,Feuil1!$A:$B,2,FALSE),"")</f>
        <v/>
      </c>
      <c r="MR30" s="31" t="str">
        <f>IFERROR(VLOOKUP([2]Pointage!MV24,Feuil1!$A:$B,2,FALSE),"")</f>
        <v/>
      </c>
      <c r="MS30" s="31" t="str">
        <f>IFERROR(VLOOKUP([2]Pointage!MW24,Feuil1!$A:$B,2,FALSE),"")</f>
        <v/>
      </c>
      <c r="MT30" s="31" t="str">
        <f>IFERROR(VLOOKUP([2]Pointage!MX24,Feuil1!$A:$B,2,FALSE),"")</f>
        <v/>
      </c>
      <c r="MU30" s="31" t="str">
        <f>IFERROR(VLOOKUP([2]Pointage!MY24,Feuil1!$A:$B,2,FALSE),"")</f>
        <v/>
      </c>
      <c r="MV30" s="31" t="str">
        <f>IFERROR(VLOOKUP([2]Pointage!MZ24,Feuil1!$A:$B,2,FALSE),"")</f>
        <v/>
      </c>
      <c r="MW30" s="31" t="str">
        <f>IFERROR(VLOOKUP([2]Pointage!NA24,Feuil1!$A:$B,2,FALSE),"")</f>
        <v/>
      </c>
      <c r="MX30" s="31" t="str">
        <f>IFERROR(VLOOKUP([2]Pointage!NB24,Feuil1!$A:$B,2,FALSE),"")</f>
        <v/>
      </c>
      <c r="MY30" s="31" t="str">
        <f>IFERROR(VLOOKUP([2]Pointage!NC24,Feuil1!$A:$B,2,FALSE),"")</f>
        <v/>
      </c>
      <c r="MZ30" s="31" t="str">
        <f>IFERROR(VLOOKUP([2]Pointage!ND24,Feuil1!$A:$B,2,FALSE),"")</f>
        <v/>
      </c>
      <c r="NA30" s="31" t="str">
        <f>IFERROR(VLOOKUP([2]Pointage!NE24,Feuil1!$A:$B,2,FALSE),"")</f>
        <v/>
      </c>
      <c r="NB30" s="31" t="str">
        <f>IFERROR(VLOOKUP([2]Pointage!NF24,Feuil1!$A:$B,2,FALSE),"")</f>
        <v/>
      </c>
      <c r="NC30" s="31" t="str">
        <f>IFERROR(VLOOKUP([2]Pointage!NG24,Feuil1!$A:$B,2,FALSE),"")</f>
        <v/>
      </c>
      <c r="ND30" s="31" t="str">
        <f>IFERROR(VLOOKUP([2]Pointage!NH24,Feuil1!$A:$B,2,FALSE),"")</f>
        <v/>
      </c>
      <c r="NE30" s="31" t="str">
        <f>IFERROR(VLOOKUP([2]Pointage!NI24,Feuil1!$A:$B,2,FALSE),"")</f>
        <v/>
      </c>
      <c r="NF30" s="48" t="str">
        <f>IFERROR(VLOOKUP([2]Pointage!NJ24,Feuil1!$A:$B,2,FALSE),"")</f>
        <v/>
      </c>
      <c r="NG30" s="52">
        <f>COUNTIF(Global!F30:NF30,"RTT")+(COUNTIF(Global!F30:NF30,"dRTT")/2)</f>
        <v>0</v>
      </c>
      <c r="NH30" s="42">
        <f>COUNTIF(Global!F30:NF30,"C")+(COUNTIF(Global!F30:NF30,"DC")/2)</f>
        <v>0</v>
      </c>
      <c r="NI30" s="42">
        <f>COUNTIF(Global!F30:NF30,"M")</f>
        <v>0</v>
      </c>
      <c r="NJ30" s="42">
        <f>COUNTIF(Global!G30:NG30,"AT")</f>
        <v>0</v>
      </c>
      <c r="NK30" s="42">
        <f>COUNTIF(Global!F30:NF30,"RD")</f>
        <v>0</v>
      </c>
      <c r="NL30" s="42">
        <f>COUNTIF(Global!F30:NF30,"RC")+(COUNTIF(Global!F30:NF30,"dRC")/2)</f>
        <v>0</v>
      </c>
      <c r="NM30" s="42">
        <f t="shared" ca="1" si="0"/>
        <v>4.0273972602739727</v>
      </c>
      <c r="NT30" s="33"/>
      <c r="NU30" s="33"/>
      <c r="NV30" s="28"/>
      <c r="NW30" s="28"/>
      <c r="NX30" s="29">
        <f>COUNTIF(F30:NF30,"C")++(COUNTIF(Global!F30:NF30,"DC")/2)</f>
        <v>0</v>
      </c>
      <c r="NY30" s="29"/>
      <c r="NZ30" s="29"/>
      <c r="OA30" s="29"/>
      <c r="OB30" s="29">
        <f>COUNTIF(Global!F30:NF30,"M")</f>
        <v>0</v>
      </c>
      <c r="OC30" s="30">
        <f t="shared" si="1"/>
        <v>0</v>
      </c>
      <c r="OD30" s="30"/>
    </row>
    <row r="31" spans="1:394" ht="30" hidden="1" customHeight="1" x14ac:dyDescent="0.2">
      <c r="A31" s="15" t="s">
        <v>87</v>
      </c>
      <c r="B31" s="22" t="s">
        <v>196</v>
      </c>
      <c r="C31" s="22" t="s">
        <v>197</v>
      </c>
      <c r="D31" s="22" t="s">
        <v>198</v>
      </c>
      <c r="E31" s="44" t="s">
        <v>162</v>
      </c>
      <c r="F31" s="47" t="str">
        <f>IFERROR(VLOOKUP([2]Pointage!J25,Feuil1!$A:$B,2,FALSE),"")</f>
        <v/>
      </c>
      <c r="G31" s="31" t="str">
        <f>IFERROR(VLOOKUP([2]Pointage!K25,Feuil1!$A:$B,2,FALSE),"")</f>
        <v/>
      </c>
      <c r="H31" s="31" t="str">
        <f>IFERROR(VLOOKUP([2]Pointage!L25,Feuil1!$A:$B,2,FALSE),"")</f>
        <v/>
      </c>
      <c r="I31" s="31" t="str">
        <f>IFERROR(VLOOKUP([2]Pointage!M25,Feuil1!$A:$B,2,FALSE),"")</f>
        <v/>
      </c>
      <c r="J31" s="31" t="str">
        <f>IFERROR(VLOOKUP([2]Pointage!N25,Feuil1!$A:$B,2,FALSE),"")</f>
        <v/>
      </c>
      <c r="K31" s="31" t="str">
        <f>IFERROR(VLOOKUP([2]Pointage!O25,Feuil1!$A:$B,2,FALSE),"")</f>
        <v/>
      </c>
      <c r="L31" s="31" t="str">
        <f>IFERROR(VLOOKUP([2]Pointage!P25,Feuil1!$A:$B,2,FALSE),"")</f>
        <v/>
      </c>
      <c r="M31" s="31" t="str">
        <f>IFERROR(VLOOKUP([2]Pointage!Q25,Feuil1!$A:$B,2,FALSE),"")</f>
        <v>C</v>
      </c>
      <c r="N31" s="31" t="str">
        <f>IFERROR(VLOOKUP([2]Pointage!R25,Feuil1!$A:$B,2,FALSE),"")</f>
        <v>C</v>
      </c>
      <c r="O31" s="31" t="str">
        <f>IFERROR(VLOOKUP([2]Pointage!S25,Feuil1!$A:$B,2,FALSE),"")</f>
        <v>C</v>
      </c>
      <c r="P31" s="31" t="str">
        <f>IFERROR(VLOOKUP([2]Pointage!T25,Feuil1!$A:$B,2,FALSE),"")</f>
        <v>C</v>
      </c>
      <c r="Q31" s="31" t="str">
        <f>IFERROR(VLOOKUP([2]Pointage!U25,Feuil1!$A:$B,2,FALSE),"")</f>
        <v>C</v>
      </c>
      <c r="R31" s="31" t="str">
        <f>IFERROR(VLOOKUP([2]Pointage!V25,Feuil1!$A:$B,2,FALSE),"")</f>
        <v/>
      </c>
      <c r="S31" s="31" t="str">
        <f>IFERROR(VLOOKUP([2]Pointage!W25,Feuil1!$A:$B,2,FALSE),"")</f>
        <v/>
      </c>
      <c r="T31" s="31" t="str">
        <f>IFERROR(VLOOKUP([2]Pointage!X25,Feuil1!$A:$B,2,FALSE),"")</f>
        <v>C</v>
      </c>
      <c r="U31" s="31" t="str">
        <f>IFERROR(VLOOKUP([2]Pointage!Y25,Feuil1!$A:$B,2,FALSE),"")</f>
        <v>C</v>
      </c>
      <c r="V31" s="31" t="str">
        <f>IFERROR(VLOOKUP([2]Pointage!Z25,Feuil1!$A:$B,2,FALSE),"")</f>
        <v>C</v>
      </c>
      <c r="W31" s="31" t="str">
        <f>IFERROR(VLOOKUP([2]Pointage!AA25,Feuil1!$A:$B,2,FALSE),"")</f>
        <v>C</v>
      </c>
      <c r="X31" s="31" t="str">
        <f>IFERROR(VLOOKUP([2]Pointage!AB25,Feuil1!$A:$B,2,FALSE),"")</f>
        <v>C</v>
      </c>
      <c r="Y31" s="31" t="str">
        <f>IFERROR(VLOOKUP([2]Pointage!AC25,Feuil1!$A:$B,2,FALSE),"")</f>
        <v/>
      </c>
      <c r="Z31" s="31" t="str">
        <f>IFERROR(VLOOKUP([2]Pointage!AD25,Feuil1!$A:$B,2,FALSE),"")</f>
        <v/>
      </c>
      <c r="AA31" s="31" t="str">
        <f>IFERROR(VLOOKUP([2]Pointage!AE25,Feuil1!$A:$B,2,FALSE),"")</f>
        <v/>
      </c>
      <c r="AB31" s="31" t="str">
        <f>IFERROR(VLOOKUP([2]Pointage!AF25,Feuil1!$A:$B,2,FALSE),"")</f>
        <v/>
      </c>
      <c r="AC31" s="31" t="str">
        <f>IFERROR(VLOOKUP([2]Pointage!AG25,Feuil1!$A:$B,2,FALSE),"")</f>
        <v/>
      </c>
      <c r="AD31" s="31" t="str">
        <f>IFERROR(VLOOKUP([2]Pointage!AH25,Feuil1!$A:$B,2,FALSE),"")</f>
        <v/>
      </c>
      <c r="AE31" s="31" t="str">
        <f>IFERROR(VLOOKUP([2]Pointage!AI25,Feuil1!$A:$B,2,FALSE),"")</f>
        <v/>
      </c>
      <c r="AF31" s="31" t="str">
        <f>IFERROR(VLOOKUP([2]Pointage!AJ25,Feuil1!$A:$B,2,FALSE),"")</f>
        <v/>
      </c>
      <c r="AG31" s="31" t="str">
        <f>IFERROR(VLOOKUP([2]Pointage!AK25,Feuil1!$A:$B,2,FALSE),"")</f>
        <v/>
      </c>
      <c r="AH31" s="31" t="str">
        <f>IFERROR(VLOOKUP([2]Pointage!AL25,Feuil1!$A:$B,2,FALSE),"")</f>
        <v/>
      </c>
      <c r="AI31" s="31" t="str">
        <f>IFERROR(VLOOKUP([2]Pointage!AM25,Feuil1!$A:$B,2,FALSE),"")</f>
        <v/>
      </c>
      <c r="AJ31" s="82" t="str">
        <f>IFERROR(VLOOKUP([2]Pointage!AN25,Feuil1!$A:$B,2,FALSE),"")</f>
        <v/>
      </c>
      <c r="AK31" s="47" t="str">
        <f>IFERROR(VLOOKUP([2]Pointage!AO25,Feuil1!$A:$B,2,FALSE),"")</f>
        <v/>
      </c>
      <c r="AL31" s="31" t="str">
        <f>IFERROR(VLOOKUP([2]Pointage!AP25,Feuil1!$A:$B,2,FALSE),"")</f>
        <v/>
      </c>
      <c r="AM31" s="31" t="str">
        <f>IFERROR(VLOOKUP([2]Pointage!AQ25,Feuil1!$A:$B,2,FALSE),"")</f>
        <v/>
      </c>
      <c r="AN31" s="31" t="str">
        <f>IFERROR(VLOOKUP([2]Pointage!AR25,Feuil1!$A:$B,2,FALSE),"")</f>
        <v/>
      </c>
      <c r="AO31" s="31" t="str">
        <f>IFERROR(VLOOKUP([2]Pointage!AS25,Feuil1!$A:$B,2,FALSE),"")</f>
        <v/>
      </c>
      <c r="AP31" s="31" t="str">
        <f>IFERROR(VLOOKUP([2]Pointage!AT25,Feuil1!$A:$B,2,FALSE),"")</f>
        <v/>
      </c>
      <c r="AQ31" s="31" t="str">
        <f>IFERROR(VLOOKUP([2]Pointage!AU25,Feuil1!$A:$B,2,FALSE),"")</f>
        <v/>
      </c>
      <c r="AR31" s="31" t="str">
        <f>IFERROR(VLOOKUP([2]Pointage!AV25,Feuil1!$A:$B,2,FALSE),"")</f>
        <v/>
      </c>
      <c r="AS31" s="31" t="str">
        <f>IFERROR(VLOOKUP([2]Pointage!AW25,Feuil1!$A:$B,2,FALSE),"")</f>
        <v/>
      </c>
      <c r="AT31" s="31" t="str">
        <f>IFERROR(VLOOKUP([2]Pointage!AX25,Feuil1!$A:$B,2,FALSE),"")</f>
        <v/>
      </c>
      <c r="AU31" s="31" t="str">
        <f>IFERROR(VLOOKUP([2]Pointage!AY25,Feuil1!$A:$B,2,FALSE),"")</f>
        <v/>
      </c>
      <c r="AV31" s="31" t="str">
        <f>IFERROR(VLOOKUP([2]Pointage!AZ25,Feuil1!$A:$B,2,FALSE),"")</f>
        <v/>
      </c>
      <c r="AW31" s="31" t="str">
        <f>IFERROR(VLOOKUP([2]Pointage!BA25,Feuil1!$A:$B,2,FALSE),"")</f>
        <v>C</v>
      </c>
      <c r="AX31" s="31" t="str">
        <f>IFERROR(VLOOKUP([2]Pointage!BB25,Feuil1!$A:$B,2,FALSE),"")</f>
        <v/>
      </c>
      <c r="AY31" s="31" t="str">
        <f>IFERROR(VLOOKUP([2]Pointage!BC25,Feuil1!$A:$B,2,FALSE),"")</f>
        <v/>
      </c>
      <c r="AZ31" s="31" t="str">
        <f>IFERROR(VLOOKUP([2]Pointage!BD25,Feuil1!$A:$B,2,FALSE),"")</f>
        <v/>
      </c>
      <c r="BA31" s="31" t="str">
        <f>IFERROR(VLOOKUP([2]Pointage!BE25,Feuil1!$A:$B,2,FALSE),"")</f>
        <v/>
      </c>
      <c r="BB31" s="31" t="str">
        <f>IFERROR(VLOOKUP([2]Pointage!BF25,Feuil1!$A:$B,2,FALSE),"")</f>
        <v/>
      </c>
      <c r="BC31" s="31" t="str">
        <f>IFERROR(VLOOKUP([2]Pointage!BG25,Feuil1!$A:$B,2,FALSE),"")</f>
        <v>C</v>
      </c>
      <c r="BD31" s="31" t="str">
        <f>IFERROR(VLOOKUP([2]Pointage!BH25,Feuil1!$A:$B,2,FALSE),"")</f>
        <v>C</v>
      </c>
      <c r="BE31" s="31" t="str">
        <f>IFERROR(VLOOKUP([2]Pointage!BI25,Feuil1!$A:$B,2,FALSE),"")</f>
        <v/>
      </c>
      <c r="BF31" s="31" t="str">
        <f>IFERROR(VLOOKUP([2]Pointage!BJ25,Feuil1!$A:$B,2,FALSE),"")</f>
        <v/>
      </c>
      <c r="BG31" s="31" t="str">
        <f>IFERROR(VLOOKUP([2]Pointage!BK25,Feuil1!$A:$B,2,FALSE),"")</f>
        <v>C</v>
      </c>
      <c r="BH31" s="31" t="str">
        <f>IFERROR(VLOOKUP([2]Pointage!BL25,Feuil1!$A:$B,2,FALSE),"")</f>
        <v/>
      </c>
      <c r="BI31" s="31" t="str">
        <f>IFERROR(VLOOKUP([2]Pointage!BM25,Feuil1!$A:$B,2,FALSE),"")</f>
        <v/>
      </c>
      <c r="BJ31" s="31" t="str">
        <f>IFERROR(VLOOKUP([2]Pointage!BN25,Feuil1!$A:$B,2,FALSE),"")</f>
        <v/>
      </c>
      <c r="BK31" s="31" t="str">
        <f>IFERROR(VLOOKUP([2]Pointage!BO25,Feuil1!$A:$B,2,FALSE),"")</f>
        <v>C</v>
      </c>
      <c r="BL31" s="82" t="str">
        <f>IFERROR(VLOOKUP([2]Pointage!BP25,Feuil1!$A:$B,2,FALSE),"")</f>
        <v/>
      </c>
      <c r="BM31" s="47" t="str">
        <f>IFERROR(VLOOKUP([2]Pointage!BQ25,Feuil1!$A:$B,2,FALSE),"")</f>
        <v>C</v>
      </c>
      <c r="BN31" s="31" t="str">
        <f>IFERROR(VLOOKUP([2]Pointage!BR25,Feuil1!$A:$B,2,FALSE),"")</f>
        <v/>
      </c>
      <c r="BO31" s="31" t="str">
        <f>IFERROR(VLOOKUP([2]Pointage!BS25,Feuil1!$A:$B,2,FALSE),"")</f>
        <v/>
      </c>
      <c r="BP31" s="31" t="str">
        <f>IFERROR(VLOOKUP([2]Pointage!BT25,Feuil1!$A:$B,2,FALSE),"")</f>
        <v/>
      </c>
      <c r="BQ31" s="31" t="str">
        <f>IFERROR(VLOOKUP([2]Pointage!BU25,Feuil1!$A:$B,2,FALSE),"")</f>
        <v/>
      </c>
      <c r="BR31" s="31" t="str">
        <f>IFERROR(VLOOKUP([2]Pointage!BV25,Feuil1!$A:$B,2,FALSE),"")</f>
        <v>C</v>
      </c>
      <c r="BS31" s="31" t="str">
        <f>IFERROR(VLOOKUP([2]Pointage!BW25,Feuil1!$A:$B,2,FALSE),"")</f>
        <v/>
      </c>
      <c r="BT31" s="31" t="str">
        <f>IFERROR(VLOOKUP([2]Pointage!BX25,Feuil1!$A:$B,2,FALSE),"")</f>
        <v>C</v>
      </c>
      <c r="BU31" s="31" t="str">
        <f>IFERROR(VLOOKUP([2]Pointage!BY25,Feuil1!$A:$B,2,FALSE),"")</f>
        <v>C</v>
      </c>
      <c r="BV31" s="31" t="str">
        <f>IFERROR(VLOOKUP([2]Pointage!BZ25,Feuil1!$A:$B,2,FALSE),"")</f>
        <v/>
      </c>
      <c r="BW31" s="31" t="str">
        <f>IFERROR(VLOOKUP([2]Pointage!CA25,Feuil1!$A:$B,2,FALSE),"")</f>
        <v/>
      </c>
      <c r="BX31" s="31" t="str">
        <f>IFERROR(VLOOKUP([2]Pointage!CB25,Feuil1!$A:$B,2,FALSE),"")</f>
        <v/>
      </c>
      <c r="BY31" s="31" t="str">
        <f>IFERROR(VLOOKUP([2]Pointage!CC25,Feuil1!$A:$B,2,FALSE),"")</f>
        <v>M</v>
      </c>
      <c r="BZ31" s="31" t="str">
        <f>IFERROR(VLOOKUP([2]Pointage!CD25,Feuil1!$A:$B,2,FALSE),"")</f>
        <v>M</v>
      </c>
      <c r="CA31" s="31" t="str">
        <f>IFERROR(VLOOKUP([2]Pointage!CE25,Feuil1!$A:$B,2,FALSE),"")</f>
        <v>M</v>
      </c>
      <c r="CB31" s="31" t="str">
        <f>IFERROR(VLOOKUP([2]Pointage!CF25,Feuil1!$A:$B,2,FALSE),"")</f>
        <v>M</v>
      </c>
      <c r="CC31" s="31" t="str">
        <f>IFERROR(VLOOKUP([2]Pointage!CG25,Feuil1!$A:$B,2,FALSE),"")</f>
        <v>M</v>
      </c>
      <c r="CD31" s="31" t="str">
        <f>IFERROR(VLOOKUP([2]Pointage!CH25,Feuil1!$A:$B,2,FALSE),"")</f>
        <v>M</v>
      </c>
      <c r="CE31" s="31" t="str">
        <f>IFERROR(VLOOKUP([2]Pointage!CI25,Feuil1!$A:$B,2,FALSE),"")</f>
        <v>M</v>
      </c>
      <c r="CF31" s="31" t="str">
        <f>IFERROR(VLOOKUP([2]Pointage!CJ25,Feuil1!$A:$B,2,FALSE),"")</f>
        <v>M</v>
      </c>
      <c r="CG31" s="31" t="str">
        <f>IFERROR(VLOOKUP([2]Pointage!CK25,Feuil1!$A:$B,2,FALSE),"")</f>
        <v>M</v>
      </c>
      <c r="CH31" s="31" t="str">
        <f>IFERROR(VLOOKUP([2]Pointage!CL25,Feuil1!$A:$B,2,FALSE),"")</f>
        <v/>
      </c>
      <c r="CI31" s="31" t="str">
        <f>IFERROR(VLOOKUP([2]Pointage!CM25,Feuil1!$A:$B,2,FALSE),"")</f>
        <v/>
      </c>
      <c r="CJ31" s="31" t="str">
        <f>IFERROR(VLOOKUP([2]Pointage!CN25,Feuil1!$A:$B,2,FALSE),"")</f>
        <v/>
      </c>
      <c r="CK31" s="31" t="str">
        <f>IFERROR(VLOOKUP([2]Pointage!CO25,Feuil1!$A:$B,2,FALSE),"")</f>
        <v/>
      </c>
      <c r="CL31" s="31" t="str">
        <f>IFERROR(VLOOKUP([2]Pointage!CP25,Feuil1!$A:$B,2,FALSE),"")</f>
        <v>C</v>
      </c>
      <c r="CM31" s="31" t="str">
        <f>IFERROR(VLOOKUP([2]Pointage!CQ25,Feuil1!$A:$B,2,FALSE),"")</f>
        <v>C</v>
      </c>
      <c r="CN31" s="31" t="str">
        <f>IFERROR(VLOOKUP([2]Pointage!CR25,Feuil1!$A:$B,2,FALSE),"")</f>
        <v>C</v>
      </c>
      <c r="CO31" s="31" t="str">
        <f>IFERROR(VLOOKUP([2]Pointage!CS25,Feuil1!$A:$B,2,FALSE),"")</f>
        <v>C</v>
      </c>
      <c r="CP31" s="31" t="str">
        <f>IFERROR(VLOOKUP([2]Pointage!CT25,Feuil1!$A:$B,2,FALSE),"")</f>
        <v>C</v>
      </c>
      <c r="CQ31" s="82" t="str">
        <f>IFERROR(VLOOKUP([2]Pointage!CU25,Feuil1!$A:$B,2,FALSE),"")</f>
        <v/>
      </c>
      <c r="CR31" s="47" t="str">
        <f>IFERROR(VLOOKUP([2]Pointage!CV25,Feuil1!$A:$B,2,FALSE),"")</f>
        <v/>
      </c>
      <c r="CS31" s="31" t="str">
        <f>IFERROR(VLOOKUP([2]Pointage!CW25,Feuil1!$A:$B,2,FALSE),"")</f>
        <v>C</v>
      </c>
      <c r="CT31" s="31" t="str">
        <f>IFERROR(VLOOKUP([2]Pointage!CX25,Feuil1!$A:$B,2,FALSE),"")</f>
        <v>C</v>
      </c>
      <c r="CU31" s="31" t="str">
        <f>IFERROR(VLOOKUP([2]Pointage!CY25,Feuil1!$A:$B,2,FALSE),"")</f>
        <v>C</v>
      </c>
      <c r="CV31" s="31" t="str">
        <f>IFERROR(VLOOKUP([2]Pointage!CZ25,Feuil1!$A:$B,2,FALSE),"")</f>
        <v>C</v>
      </c>
      <c r="CW31" s="31" t="str">
        <f>IFERROR(VLOOKUP([2]Pointage!DA25,Feuil1!$A:$B,2,FALSE),"")</f>
        <v>C</v>
      </c>
      <c r="CX31" s="31" t="str">
        <f>IFERROR(VLOOKUP([2]Pointage!DB25,Feuil1!$A:$B,2,FALSE),"")</f>
        <v/>
      </c>
      <c r="CY31" s="31" t="str">
        <f>IFERROR(VLOOKUP([2]Pointage!DC25,Feuil1!$A:$B,2,FALSE),"")</f>
        <v/>
      </c>
      <c r="CZ31" s="31" t="str">
        <f>IFERROR(VLOOKUP([2]Pointage!DD25,Feuil1!$A:$B,2,FALSE),"")</f>
        <v>C</v>
      </c>
      <c r="DA31" s="31" t="str">
        <f>IFERROR(VLOOKUP([2]Pointage!DE25,Feuil1!$A:$B,2,FALSE),"")</f>
        <v>C</v>
      </c>
      <c r="DB31" s="31" t="str">
        <f>IFERROR(VLOOKUP([2]Pointage!DF25,Feuil1!$A:$B,2,FALSE),"")</f>
        <v>C</v>
      </c>
      <c r="DC31" s="31" t="str">
        <f>IFERROR(VLOOKUP([2]Pointage!DG25,Feuil1!$A:$B,2,FALSE),"")</f>
        <v>C</v>
      </c>
      <c r="DD31" s="31" t="str">
        <f>IFERROR(VLOOKUP([2]Pointage!DH25,Feuil1!$A:$B,2,FALSE),"")</f>
        <v>C</v>
      </c>
      <c r="DE31" s="31" t="str">
        <f>IFERROR(VLOOKUP([2]Pointage!DI25,Feuil1!$A:$B,2,FALSE),"")</f>
        <v/>
      </c>
      <c r="DF31" s="31" t="str">
        <f>IFERROR(VLOOKUP([2]Pointage!DJ25,Feuil1!$A:$B,2,FALSE),"")</f>
        <v/>
      </c>
      <c r="DG31" s="31" t="str">
        <f>IFERROR(VLOOKUP([2]Pointage!DK25,Feuil1!$A:$B,2,FALSE),"")</f>
        <v>C</v>
      </c>
      <c r="DH31" s="31" t="str">
        <f>IFERROR(VLOOKUP([2]Pointage!DL25,Feuil1!$A:$B,2,FALSE),"")</f>
        <v>C</v>
      </c>
      <c r="DI31" s="31" t="str">
        <f>IFERROR(VLOOKUP([2]Pointage!DM25,Feuil1!$A:$B,2,FALSE),"")</f>
        <v>C</v>
      </c>
      <c r="DJ31" s="31" t="str">
        <f>IFERROR(VLOOKUP([2]Pointage!DN25,Feuil1!$A:$B,2,FALSE),"")</f>
        <v>C</v>
      </c>
      <c r="DK31" s="31" t="str">
        <f>IFERROR(VLOOKUP([2]Pointage!DO25,Feuil1!$A:$B,2,FALSE),"")</f>
        <v>C</v>
      </c>
      <c r="DL31" s="31" t="str">
        <f>IFERROR(VLOOKUP([2]Pointage!DP25,Feuil1!$A:$B,2,FALSE),"")</f>
        <v/>
      </c>
      <c r="DM31" s="31" t="str">
        <f>IFERROR(VLOOKUP([2]Pointage!DQ25,Feuil1!$A:$B,2,FALSE),"")</f>
        <v/>
      </c>
      <c r="DN31" s="31" t="str">
        <f>IFERROR(VLOOKUP([2]Pointage!DR25,Feuil1!$A:$B,2,FALSE),"")</f>
        <v/>
      </c>
      <c r="DO31" s="31" t="str">
        <f>IFERROR(VLOOKUP([2]Pointage!DS25,Feuil1!$A:$B,2,FALSE),"")</f>
        <v/>
      </c>
      <c r="DP31" s="31" t="str">
        <f>IFERROR(VLOOKUP([2]Pointage!DT25,Feuil1!$A:$B,2,FALSE),"")</f>
        <v/>
      </c>
      <c r="DQ31" s="31" t="str">
        <f>IFERROR(VLOOKUP([2]Pointage!DU25,Feuil1!$A:$B,2,FALSE),"")</f>
        <v/>
      </c>
      <c r="DR31" s="31" t="str">
        <f>IFERROR(VLOOKUP([2]Pointage!DV25,Feuil1!$A:$B,2,FALSE),"")</f>
        <v/>
      </c>
      <c r="DS31" s="31" t="str">
        <f>IFERROR(VLOOKUP([2]Pointage!DW25,Feuil1!$A:$B,2,FALSE),"")</f>
        <v/>
      </c>
      <c r="DT31" s="31" t="str">
        <f>IFERROR(VLOOKUP([2]Pointage!DX25,Feuil1!$A:$B,2,FALSE),"")</f>
        <v/>
      </c>
      <c r="DU31" s="82" t="str">
        <f>IFERROR(VLOOKUP([2]Pointage!DY25,Feuil1!$A:$B,2,FALSE),"")</f>
        <v/>
      </c>
      <c r="DV31" s="47" t="str">
        <f>IFERROR(VLOOKUP([2]Pointage!DZ25,Feuil1!$A:$B,2,FALSE),"")</f>
        <v/>
      </c>
      <c r="DW31" s="31" t="str">
        <f>IFERROR(VLOOKUP([2]Pointage!EA25,Feuil1!$A:$B,2,FALSE),"")</f>
        <v/>
      </c>
      <c r="DX31" s="31" t="str">
        <f>IFERROR(VLOOKUP([2]Pointage!EB25,Feuil1!$A:$B,2,FALSE),"")</f>
        <v/>
      </c>
      <c r="DY31" s="31" t="str">
        <f>IFERROR(VLOOKUP([2]Pointage!EC25,Feuil1!$A:$B,2,FALSE),"")</f>
        <v/>
      </c>
      <c r="DZ31" s="31" t="str">
        <f>IFERROR(VLOOKUP([2]Pointage!ED25,Feuil1!$A:$B,2,FALSE),"")</f>
        <v/>
      </c>
      <c r="EA31" s="31" t="str">
        <f>IFERROR(VLOOKUP([2]Pointage!EE25,Feuil1!$A:$B,2,FALSE),"")</f>
        <v/>
      </c>
      <c r="EB31" s="31" t="str">
        <f>IFERROR(VLOOKUP([2]Pointage!EF25,Feuil1!$A:$B,2,FALSE),"")</f>
        <v/>
      </c>
      <c r="EC31" s="31" t="str">
        <f>IFERROR(VLOOKUP([2]Pointage!EG25,Feuil1!$A:$B,2,FALSE),"")</f>
        <v/>
      </c>
      <c r="ED31" s="31" t="str">
        <f>IFERROR(VLOOKUP([2]Pointage!EH25,Feuil1!$A:$B,2,FALSE),"")</f>
        <v/>
      </c>
      <c r="EE31" s="31" t="str">
        <f>IFERROR(VLOOKUP([2]Pointage!EI25,Feuil1!$A:$B,2,FALSE),"")</f>
        <v/>
      </c>
      <c r="EF31" s="31" t="str">
        <f>IFERROR(VLOOKUP([2]Pointage!EJ25,Feuil1!$A:$B,2,FALSE),"")</f>
        <v/>
      </c>
      <c r="EG31" s="31" t="str">
        <f>IFERROR(VLOOKUP([2]Pointage!EK25,Feuil1!$A:$B,2,FALSE),"")</f>
        <v/>
      </c>
      <c r="EH31" s="31" t="str">
        <f>IFERROR(VLOOKUP([2]Pointage!EL25,Feuil1!$A:$B,2,FALSE),"")</f>
        <v/>
      </c>
      <c r="EI31" s="31" t="str">
        <f>IFERROR(VLOOKUP([2]Pointage!EM25,Feuil1!$A:$B,2,FALSE),"")</f>
        <v/>
      </c>
      <c r="EJ31" s="31" t="str">
        <f>IFERROR(VLOOKUP([2]Pointage!EN25,Feuil1!$A:$B,2,FALSE),"")</f>
        <v/>
      </c>
      <c r="EK31" s="31" t="str">
        <f>IFERROR(VLOOKUP([2]Pointage!EO25,Feuil1!$A:$B,2,FALSE),"")</f>
        <v/>
      </c>
      <c r="EL31" s="31" t="str">
        <f>IFERROR(VLOOKUP([2]Pointage!EP25,Feuil1!$A:$B,2,FALSE),"")</f>
        <v/>
      </c>
      <c r="EM31" s="31" t="str">
        <f>IFERROR(VLOOKUP([2]Pointage!EQ25,Feuil1!$A:$B,2,FALSE),"")</f>
        <v/>
      </c>
      <c r="EN31" s="31" t="str">
        <f>IFERROR(VLOOKUP([2]Pointage!ER25,Feuil1!$A:$B,2,FALSE),"")</f>
        <v/>
      </c>
      <c r="EO31" s="31" t="str">
        <f>IFERROR(VLOOKUP([2]Pointage!ES25,Feuil1!$A:$B,2,FALSE),"")</f>
        <v/>
      </c>
      <c r="EP31" s="31" t="str">
        <f>IFERROR(VLOOKUP([2]Pointage!ET25,Feuil1!$A:$B,2,FALSE),"")</f>
        <v/>
      </c>
      <c r="EQ31" s="31" t="str">
        <f>IFERROR(VLOOKUP([2]Pointage!EU25,Feuil1!$A:$B,2,FALSE),"")</f>
        <v/>
      </c>
      <c r="ER31" s="31" t="str">
        <f>IFERROR(VLOOKUP([2]Pointage!EV25,Feuil1!$A:$B,2,FALSE),"")</f>
        <v/>
      </c>
      <c r="ES31" s="31" t="str">
        <f>IFERROR(VLOOKUP([2]Pointage!EW25,Feuil1!$A:$B,2,FALSE),"")</f>
        <v/>
      </c>
      <c r="ET31" s="31" t="str">
        <f>IFERROR(VLOOKUP([2]Pointage!EX25,Feuil1!$A:$B,2,FALSE),"")</f>
        <v/>
      </c>
      <c r="EU31" s="31" t="str">
        <f>IFERROR(VLOOKUP([2]Pointage!EY25,Feuil1!$A:$B,2,FALSE),"")</f>
        <v/>
      </c>
      <c r="EV31" s="31" t="str">
        <f>IFERROR(VLOOKUP([2]Pointage!EZ25,Feuil1!$A:$B,2,FALSE),"")</f>
        <v/>
      </c>
      <c r="EW31" s="31" t="str">
        <f>IFERROR(VLOOKUP([2]Pointage!FA25,Feuil1!$A:$B,2,FALSE),"")</f>
        <v/>
      </c>
      <c r="EX31" s="31" t="str">
        <f>IFERROR(VLOOKUP([2]Pointage!FB25,Feuil1!$A:$B,2,FALSE),"")</f>
        <v/>
      </c>
      <c r="EY31" s="31" t="str">
        <f>IFERROR(VLOOKUP([2]Pointage!FC25,Feuil1!$A:$B,2,FALSE),"")</f>
        <v/>
      </c>
      <c r="EZ31" s="82" t="str">
        <f>IFERROR(VLOOKUP([2]Pointage!FD25,Feuil1!$A:$B,2,FALSE),"")</f>
        <v/>
      </c>
      <c r="FA31" s="47" t="str">
        <f>IFERROR(VLOOKUP([2]Pointage!FE25,Feuil1!$A:$B,2,FALSE),"")</f>
        <v/>
      </c>
      <c r="FB31" s="31" t="str">
        <f>IFERROR(VLOOKUP([2]Pointage!FF25,Feuil1!$A:$B,2,FALSE),"")</f>
        <v/>
      </c>
      <c r="FC31" s="31" t="str">
        <f>IFERROR(VLOOKUP([2]Pointage!FG25,Feuil1!$A:$B,2,FALSE),"")</f>
        <v/>
      </c>
      <c r="FD31" s="31" t="str">
        <f>IFERROR(VLOOKUP([2]Pointage!FH25,Feuil1!$A:$B,2,FALSE),"")</f>
        <v/>
      </c>
      <c r="FE31" s="31" t="str">
        <f>IFERROR(VLOOKUP([2]Pointage!FI25,Feuil1!$A:$B,2,FALSE),"")</f>
        <v/>
      </c>
      <c r="FF31" s="31" t="str">
        <f>IFERROR(VLOOKUP([2]Pointage!FJ25,Feuil1!$A:$B,2,FALSE),"")</f>
        <v/>
      </c>
      <c r="FG31" s="31" t="str">
        <f>IFERROR(VLOOKUP([2]Pointage!FK25,Feuil1!$A:$B,2,FALSE),"")</f>
        <v/>
      </c>
      <c r="FH31" s="31" t="str">
        <f>IFERROR(VLOOKUP([2]Pointage!FL25,Feuil1!$A:$B,2,FALSE),"")</f>
        <v/>
      </c>
      <c r="FI31" s="31" t="str">
        <f>IFERROR(VLOOKUP([2]Pointage!FM25,Feuil1!$A:$B,2,FALSE),"")</f>
        <v/>
      </c>
      <c r="FJ31" s="31" t="str">
        <f>IFERROR(VLOOKUP([2]Pointage!FN25,Feuil1!$A:$B,2,FALSE),"")</f>
        <v/>
      </c>
      <c r="FK31" s="31" t="str">
        <f>IFERROR(VLOOKUP([2]Pointage!FO25,Feuil1!$A:$B,2,FALSE),"")</f>
        <v/>
      </c>
      <c r="FL31" s="31" t="str">
        <f>IFERROR(VLOOKUP([2]Pointage!FP25,Feuil1!$A:$B,2,FALSE),"")</f>
        <v/>
      </c>
      <c r="FM31" s="31" t="str">
        <f>IFERROR(VLOOKUP([2]Pointage!FQ25,Feuil1!$A:$B,2,FALSE),"")</f>
        <v/>
      </c>
      <c r="FN31" s="31" t="str">
        <f>IFERROR(VLOOKUP([2]Pointage!FR25,Feuil1!$A:$B,2,FALSE),"")</f>
        <v/>
      </c>
      <c r="FO31" s="31" t="str">
        <f>IFERROR(VLOOKUP([2]Pointage!FS25,Feuil1!$A:$B,2,FALSE),"")</f>
        <v/>
      </c>
      <c r="FP31" s="31" t="str">
        <f>IFERROR(VLOOKUP([2]Pointage!FT25,Feuil1!$A:$B,2,FALSE),"")</f>
        <v/>
      </c>
      <c r="FQ31" s="31" t="str">
        <f>IFERROR(VLOOKUP([2]Pointage!FU25,Feuil1!$A:$B,2,FALSE),"")</f>
        <v/>
      </c>
      <c r="FR31" s="31" t="str">
        <f>IFERROR(VLOOKUP([2]Pointage!FV25,Feuil1!$A:$B,2,FALSE),"")</f>
        <v/>
      </c>
      <c r="FS31" s="31" t="str">
        <f>IFERROR(VLOOKUP([2]Pointage!FW25,Feuil1!$A:$B,2,FALSE),"")</f>
        <v/>
      </c>
      <c r="FT31" s="31" t="str">
        <f>IFERROR(VLOOKUP([2]Pointage!FX25,Feuil1!$A:$B,2,FALSE),"")</f>
        <v/>
      </c>
      <c r="FU31" s="31" t="str">
        <f>IFERROR(VLOOKUP([2]Pointage!FY25,Feuil1!$A:$B,2,FALSE),"")</f>
        <v/>
      </c>
      <c r="FV31" s="31" t="str">
        <f>IFERROR(VLOOKUP([2]Pointage!FZ25,Feuil1!$A:$B,2,FALSE),"")</f>
        <v/>
      </c>
      <c r="FW31" s="31" t="str">
        <f>IFERROR(VLOOKUP([2]Pointage!GA25,Feuil1!$A:$B,2,FALSE),"")</f>
        <v/>
      </c>
      <c r="FX31" s="31" t="str">
        <f>IFERROR(VLOOKUP([2]Pointage!GB25,Feuil1!$A:$B,2,FALSE),"")</f>
        <v/>
      </c>
      <c r="FY31" s="31" t="str">
        <f>IFERROR(VLOOKUP([2]Pointage!GC25,Feuil1!$A:$B,2,FALSE),"")</f>
        <v/>
      </c>
      <c r="FZ31" s="31" t="str">
        <f>IFERROR(VLOOKUP([2]Pointage!GD25,Feuil1!$A:$B,2,FALSE),"")</f>
        <v/>
      </c>
      <c r="GA31" s="31" t="str">
        <f>IFERROR(VLOOKUP([2]Pointage!GE25,Feuil1!$A:$B,2,FALSE),"")</f>
        <v/>
      </c>
      <c r="GB31" s="31" t="str">
        <f>IFERROR(VLOOKUP([2]Pointage!GF25,Feuil1!$A:$B,2,FALSE),"")</f>
        <v/>
      </c>
      <c r="GC31" s="31" t="str">
        <f>IFERROR(VLOOKUP([2]Pointage!GG25,Feuil1!$A:$B,2,FALSE),"")</f>
        <v/>
      </c>
      <c r="GD31" s="82" t="str">
        <f>IFERROR(VLOOKUP([2]Pointage!GH25,Feuil1!$A:$B,2,FALSE),"")</f>
        <v/>
      </c>
      <c r="GE31" s="47" t="str">
        <f>IFERROR(VLOOKUP([2]Pointage!GI25,Feuil1!$A:$B,2,FALSE),"")</f>
        <v/>
      </c>
      <c r="GF31" s="31" t="str">
        <f>IFERROR(VLOOKUP([2]Pointage!GJ25,Feuil1!$A:$B,2,FALSE),"")</f>
        <v/>
      </c>
      <c r="GG31" s="31" t="str">
        <f>IFERROR(VLOOKUP([2]Pointage!GK25,Feuil1!$A:$B,2,FALSE),"")</f>
        <v/>
      </c>
      <c r="GH31" s="31" t="str">
        <f>IFERROR(VLOOKUP([2]Pointage!GL25,Feuil1!$A:$B,2,FALSE),"")</f>
        <v/>
      </c>
      <c r="GI31" s="31" t="str">
        <f>IFERROR(VLOOKUP([2]Pointage!GM25,Feuil1!$A:$B,2,FALSE),"")</f>
        <v/>
      </c>
      <c r="GJ31" s="31" t="str">
        <f>IFERROR(VLOOKUP([2]Pointage!GN25,Feuil1!$A:$B,2,FALSE),"")</f>
        <v/>
      </c>
      <c r="GK31" s="31" t="str">
        <f>IFERROR(VLOOKUP([2]Pointage!GO25,Feuil1!$A:$B,2,FALSE),"")</f>
        <v/>
      </c>
      <c r="GL31" s="31" t="str">
        <f>IFERROR(VLOOKUP([2]Pointage!GP25,Feuil1!$A:$B,2,FALSE),"")</f>
        <v/>
      </c>
      <c r="GM31" s="31" t="str">
        <f>IFERROR(VLOOKUP([2]Pointage!GQ25,Feuil1!$A:$B,2,FALSE),"")</f>
        <v/>
      </c>
      <c r="GN31" s="31" t="str">
        <f>IFERROR(VLOOKUP([2]Pointage!GR25,Feuil1!$A:$B,2,FALSE),"")</f>
        <v/>
      </c>
      <c r="GO31" s="31" t="str">
        <f>IFERROR(VLOOKUP([2]Pointage!GS25,Feuil1!$A:$B,2,FALSE),"")</f>
        <v/>
      </c>
      <c r="GP31" s="31" t="str">
        <f>IFERROR(VLOOKUP([2]Pointage!GT25,Feuil1!$A:$B,2,FALSE),"")</f>
        <v/>
      </c>
      <c r="GQ31" s="31" t="str">
        <f>IFERROR(VLOOKUP([2]Pointage!GU25,Feuil1!$A:$B,2,FALSE),"")</f>
        <v/>
      </c>
      <c r="GR31" s="31" t="str">
        <f>IFERROR(VLOOKUP([2]Pointage!GV25,Feuil1!$A:$B,2,FALSE),"")</f>
        <v/>
      </c>
      <c r="GS31" s="31" t="str">
        <f>IFERROR(VLOOKUP([2]Pointage!GW25,Feuil1!$A:$B,2,FALSE),"")</f>
        <v/>
      </c>
      <c r="GT31" s="31" t="str">
        <f>IFERROR(VLOOKUP([2]Pointage!GX25,Feuil1!$A:$B,2,FALSE),"")</f>
        <v/>
      </c>
      <c r="GU31" s="31" t="str">
        <f>IFERROR(VLOOKUP([2]Pointage!GY25,Feuil1!$A:$B,2,FALSE),"")</f>
        <v/>
      </c>
      <c r="GV31" s="31" t="str">
        <f>IFERROR(VLOOKUP([2]Pointage!GZ25,Feuil1!$A:$B,2,FALSE),"")</f>
        <v/>
      </c>
      <c r="GW31" s="31" t="str">
        <f>IFERROR(VLOOKUP([2]Pointage!HA25,Feuil1!$A:$B,2,FALSE),"")</f>
        <v/>
      </c>
      <c r="GX31" s="31" t="str">
        <f>IFERROR(VLOOKUP([2]Pointage!HB25,Feuil1!$A:$B,2,FALSE),"")</f>
        <v/>
      </c>
      <c r="GY31" s="31" t="str">
        <f>IFERROR(VLOOKUP([2]Pointage!HC25,Feuil1!$A:$B,2,FALSE),"")</f>
        <v/>
      </c>
      <c r="GZ31" s="31" t="str">
        <f>IFERROR(VLOOKUP([2]Pointage!HD25,Feuil1!$A:$B,2,FALSE),"")</f>
        <v/>
      </c>
      <c r="HA31" s="31" t="str">
        <f>IFERROR(VLOOKUP([2]Pointage!HE25,Feuil1!$A:$B,2,FALSE),"")</f>
        <v/>
      </c>
      <c r="HB31" s="31" t="str">
        <f>IFERROR(VLOOKUP([2]Pointage!HF25,Feuil1!$A:$B,2,FALSE),"")</f>
        <v/>
      </c>
      <c r="HC31" s="31" t="str">
        <f>IFERROR(VLOOKUP([2]Pointage!HG25,Feuil1!$A:$B,2,FALSE),"")</f>
        <v/>
      </c>
      <c r="HD31" s="31" t="str">
        <f>IFERROR(VLOOKUP([2]Pointage!HH25,Feuil1!$A:$B,2,FALSE),"")</f>
        <v/>
      </c>
      <c r="HE31" s="31" t="str">
        <f>IFERROR(VLOOKUP([2]Pointage!HI25,Feuil1!$A:$B,2,FALSE),"")</f>
        <v/>
      </c>
      <c r="HF31" s="31" t="str">
        <f>IFERROR(VLOOKUP([2]Pointage!HJ25,Feuil1!$A:$B,2,FALSE),"")</f>
        <v/>
      </c>
      <c r="HG31" s="31" t="str">
        <f>IFERROR(VLOOKUP([2]Pointage!HK25,Feuil1!$A:$B,2,FALSE),"")</f>
        <v/>
      </c>
      <c r="HH31" s="31" t="str">
        <f>IFERROR(VLOOKUP([2]Pointage!HL25,Feuil1!$A:$B,2,FALSE),"")</f>
        <v/>
      </c>
      <c r="HI31" s="82" t="str">
        <f>IFERROR(VLOOKUP([2]Pointage!HM25,Feuil1!$A:$B,2,FALSE),"")</f>
        <v/>
      </c>
      <c r="HJ31" s="47" t="str">
        <f>IFERROR(VLOOKUP([2]Pointage!HN25,Feuil1!$A:$B,2,FALSE),"")</f>
        <v/>
      </c>
      <c r="HK31" s="31" t="str">
        <f>IFERROR(VLOOKUP([2]Pointage!HO25,Feuil1!$A:$B,2,FALSE),"")</f>
        <v/>
      </c>
      <c r="HL31" s="31" t="str">
        <f>IFERROR(VLOOKUP([2]Pointage!HP25,Feuil1!$A:$B,2,FALSE),"")</f>
        <v/>
      </c>
      <c r="HM31" s="31" t="str">
        <f>IFERROR(VLOOKUP([2]Pointage!HQ25,Feuil1!$A:$B,2,FALSE),"")</f>
        <v/>
      </c>
      <c r="HN31" s="31" t="str">
        <f>IFERROR(VLOOKUP([2]Pointage!HR25,Feuil1!$A:$B,2,FALSE),"")</f>
        <v/>
      </c>
      <c r="HO31" s="31" t="str">
        <f>IFERROR(VLOOKUP([2]Pointage!HS25,Feuil1!$A:$B,2,FALSE),"")</f>
        <v/>
      </c>
      <c r="HP31" s="31" t="str">
        <f>IFERROR(VLOOKUP([2]Pointage!HT25,Feuil1!$A:$B,2,FALSE),"")</f>
        <v/>
      </c>
      <c r="HQ31" s="31" t="str">
        <f>IFERROR(VLOOKUP([2]Pointage!HU25,Feuil1!$A:$B,2,FALSE),"")</f>
        <v/>
      </c>
      <c r="HR31" s="31" t="str">
        <f>IFERROR(VLOOKUP([2]Pointage!HV25,Feuil1!$A:$B,2,FALSE),"")</f>
        <v/>
      </c>
      <c r="HS31" s="31" t="str">
        <f>IFERROR(VLOOKUP([2]Pointage!HW25,Feuil1!$A:$B,2,FALSE),"")</f>
        <v/>
      </c>
      <c r="HT31" s="31" t="str">
        <f>IFERROR(VLOOKUP([2]Pointage!HX25,Feuil1!$A:$B,2,FALSE),"")</f>
        <v/>
      </c>
      <c r="HU31" s="31" t="str">
        <f>IFERROR(VLOOKUP([2]Pointage!HY25,Feuil1!$A:$B,2,FALSE),"")</f>
        <v/>
      </c>
      <c r="HV31" s="31" t="str">
        <f>IFERROR(VLOOKUP([2]Pointage!HZ25,Feuil1!$A:$B,2,FALSE),"")</f>
        <v/>
      </c>
      <c r="HW31" s="31" t="str">
        <f>IFERROR(VLOOKUP([2]Pointage!IA25,Feuil1!$A:$B,2,FALSE),"")</f>
        <v/>
      </c>
      <c r="HX31" s="31" t="str">
        <f>IFERROR(VLOOKUP([2]Pointage!IB25,Feuil1!$A:$B,2,FALSE),"")</f>
        <v/>
      </c>
      <c r="HY31" s="31" t="str">
        <f>IFERROR(VLOOKUP([2]Pointage!IC25,Feuil1!$A:$B,2,FALSE),"")</f>
        <v/>
      </c>
      <c r="HZ31" s="31" t="str">
        <f>IFERROR(VLOOKUP([2]Pointage!ID25,Feuil1!$A:$B,2,FALSE),"")</f>
        <v/>
      </c>
      <c r="IA31" s="31" t="str">
        <f>IFERROR(VLOOKUP([2]Pointage!IE25,Feuil1!$A:$B,2,FALSE),"")</f>
        <v/>
      </c>
      <c r="IB31" s="31" t="str">
        <f>IFERROR(VLOOKUP([2]Pointage!IF25,Feuil1!$A:$B,2,FALSE),"")</f>
        <v/>
      </c>
      <c r="IC31" s="31" t="str">
        <f>IFERROR(VLOOKUP([2]Pointage!IG25,Feuil1!$A:$B,2,FALSE),"")</f>
        <v/>
      </c>
      <c r="ID31" s="31" t="str">
        <f>IFERROR(VLOOKUP([2]Pointage!IH25,Feuil1!$A:$B,2,FALSE),"")</f>
        <v/>
      </c>
      <c r="IE31" s="31" t="str">
        <f>IFERROR(VLOOKUP([2]Pointage!II25,Feuil1!$A:$B,2,FALSE),"")</f>
        <v/>
      </c>
      <c r="IF31" s="31" t="str">
        <f>IFERROR(VLOOKUP([2]Pointage!IJ25,Feuil1!$A:$B,2,FALSE),"")</f>
        <v/>
      </c>
      <c r="IG31" s="31" t="str">
        <f>IFERROR(VLOOKUP([2]Pointage!IK25,Feuil1!$A:$B,2,FALSE),"")</f>
        <v/>
      </c>
      <c r="IH31" s="31" t="str">
        <f>IFERROR(VLOOKUP([2]Pointage!IL25,Feuil1!$A:$B,2,FALSE),"")</f>
        <v/>
      </c>
      <c r="II31" s="31" t="str">
        <f>IFERROR(VLOOKUP([2]Pointage!IM25,Feuil1!$A:$B,2,FALSE),"")</f>
        <v/>
      </c>
      <c r="IJ31" s="31" t="str">
        <f>IFERROR(VLOOKUP([2]Pointage!IN25,Feuil1!$A:$B,2,FALSE),"")</f>
        <v/>
      </c>
      <c r="IK31" s="31" t="str">
        <f>IFERROR(VLOOKUP([2]Pointage!IO25,Feuil1!$A:$B,2,FALSE),"")</f>
        <v/>
      </c>
      <c r="IL31" s="31" t="str">
        <f>IFERROR(VLOOKUP([2]Pointage!IP25,Feuil1!$A:$B,2,FALSE),"")</f>
        <v/>
      </c>
      <c r="IM31" s="31" t="str">
        <f>IFERROR(VLOOKUP([2]Pointage!IQ25,Feuil1!$A:$B,2,FALSE),"")</f>
        <v/>
      </c>
      <c r="IN31" s="82" t="str">
        <f>IFERROR(VLOOKUP([2]Pointage!IR25,Feuil1!$A:$B,2,FALSE),"")</f>
        <v/>
      </c>
      <c r="IO31" s="47" t="str">
        <f>IFERROR(VLOOKUP([2]Pointage!IS25,Feuil1!$A:$B,2,FALSE),"")</f>
        <v/>
      </c>
      <c r="IP31" s="31" t="str">
        <f>IFERROR(VLOOKUP([2]Pointage!IT25,Feuil1!$A:$B,2,FALSE),"")</f>
        <v/>
      </c>
      <c r="IQ31" s="31" t="str">
        <f>IFERROR(VLOOKUP([2]Pointage!IU25,Feuil1!$A:$B,2,FALSE),"")</f>
        <v/>
      </c>
      <c r="IR31" s="31" t="str">
        <f>IFERROR(VLOOKUP([2]Pointage!IV25,Feuil1!$A:$B,2,FALSE),"")</f>
        <v/>
      </c>
      <c r="IS31" s="31" t="str">
        <f>IFERROR(VLOOKUP([2]Pointage!IW25,Feuil1!$A:$B,2,FALSE),"")</f>
        <v/>
      </c>
      <c r="IT31" s="31" t="str">
        <f>IFERROR(VLOOKUP([2]Pointage!IX25,Feuil1!$A:$B,2,FALSE),"")</f>
        <v/>
      </c>
      <c r="IU31" s="31" t="str">
        <f>IFERROR(VLOOKUP([2]Pointage!IY25,Feuil1!$A:$B,2,FALSE),"")</f>
        <v/>
      </c>
      <c r="IV31" s="31" t="str">
        <f>IFERROR(VLOOKUP([2]Pointage!IZ25,Feuil1!$A:$B,2,FALSE),"")</f>
        <v/>
      </c>
      <c r="IW31" s="31" t="str">
        <f>IFERROR(VLOOKUP([2]Pointage!JA25,Feuil1!$A:$B,2,FALSE),"")</f>
        <v/>
      </c>
      <c r="IX31" s="31" t="str">
        <f>IFERROR(VLOOKUP([2]Pointage!JB25,Feuil1!$A:$B,2,FALSE),"")</f>
        <v/>
      </c>
      <c r="IY31" s="31" t="str">
        <f>IFERROR(VLOOKUP([2]Pointage!JC25,Feuil1!$A:$B,2,FALSE),"")</f>
        <v/>
      </c>
      <c r="IZ31" s="31" t="str">
        <f>IFERROR(VLOOKUP([2]Pointage!JD25,Feuil1!$A:$B,2,FALSE),"")</f>
        <v/>
      </c>
      <c r="JA31" s="31" t="str">
        <f>IFERROR(VLOOKUP([2]Pointage!JE25,Feuil1!$A:$B,2,FALSE),"")</f>
        <v/>
      </c>
      <c r="JB31" s="31" t="str">
        <f>IFERROR(VLOOKUP([2]Pointage!JF25,Feuil1!$A:$B,2,FALSE),"")</f>
        <v/>
      </c>
      <c r="JC31" s="31" t="str">
        <f>IFERROR(VLOOKUP([2]Pointage!JG25,Feuil1!$A:$B,2,FALSE),"")</f>
        <v/>
      </c>
      <c r="JD31" s="31" t="str">
        <f>IFERROR(VLOOKUP([2]Pointage!JH25,Feuil1!$A:$B,2,FALSE),"")</f>
        <v/>
      </c>
      <c r="JE31" s="31" t="str">
        <f>IFERROR(VLOOKUP([2]Pointage!JI25,Feuil1!$A:$B,2,FALSE),"")</f>
        <v/>
      </c>
      <c r="JF31" s="31" t="str">
        <f>IFERROR(VLOOKUP([2]Pointage!JJ25,Feuil1!$A:$B,2,FALSE),"")</f>
        <v/>
      </c>
      <c r="JG31" s="31" t="str">
        <f>IFERROR(VLOOKUP([2]Pointage!JK25,Feuil1!$A:$B,2,FALSE),"")</f>
        <v/>
      </c>
      <c r="JH31" s="31" t="str">
        <f>IFERROR(VLOOKUP([2]Pointage!JL25,Feuil1!$A:$B,2,FALSE),"")</f>
        <v/>
      </c>
      <c r="JI31" s="31" t="str">
        <f>IFERROR(VLOOKUP([2]Pointage!JM25,Feuil1!$A:$B,2,FALSE),"")</f>
        <v/>
      </c>
      <c r="JJ31" s="31" t="str">
        <f>IFERROR(VLOOKUP([2]Pointage!JN25,Feuil1!$A:$B,2,FALSE),"")</f>
        <v/>
      </c>
      <c r="JK31" s="31" t="str">
        <f>IFERROR(VLOOKUP([2]Pointage!JO25,Feuil1!$A:$B,2,FALSE),"")</f>
        <v/>
      </c>
      <c r="JL31" s="31" t="str">
        <f>IFERROR(VLOOKUP([2]Pointage!JP25,Feuil1!$A:$B,2,FALSE),"")</f>
        <v/>
      </c>
      <c r="JM31" s="31" t="str">
        <f>IFERROR(VLOOKUP([2]Pointage!JQ25,Feuil1!$A:$B,2,FALSE),"")</f>
        <v/>
      </c>
      <c r="JN31" s="31" t="str">
        <f>IFERROR(VLOOKUP([2]Pointage!JR25,Feuil1!$A:$B,2,FALSE),"")</f>
        <v/>
      </c>
      <c r="JO31" s="31" t="str">
        <f>IFERROR(VLOOKUP([2]Pointage!JS25,Feuil1!$A:$B,2,FALSE),"")</f>
        <v/>
      </c>
      <c r="JP31" s="31" t="str">
        <f>IFERROR(VLOOKUP([2]Pointage!JT25,Feuil1!$A:$B,2,FALSE),"")</f>
        <v/>
      </c>
      <c r="JQ31" s="31" t="str">
        <f>IFERROR(VLOOKUP([2]Pointage!JU25,Feuil1!$A:$B,2,FALSE),"")</f>
        <v/>
      </c>
      <c r="JR31" s="82" t="str">
        <f>IFERROR(VLOOKUP([2]Pointage!JV25,Feuil1!$A:$B,2,FALSE),"")</f>
        <v/>
      </c>
      <c r="JS31" s="47" t="str">
        <f>IFERROR(VLOOKUP([2]Pointage!JW25,Feuil1!$A:$B,2,FALSE),"")</f>
        <v/>
      </c>
      <c r="JT31" s="31" t="str">
        <f>IFERROR(VLOOKUP([2]Pointage!JX25,Feuil1!$A:$B,2,FALSE),"")</f>
        <v/>
      </c>
      <c r="JU31" s="31" t="str">
        <f>IFERROR(VLOOKUP([2]Pointage!JY25,Feuil1!$A:$B,2,FALSE),"")</f>
        <v/>
      </c>
      <c r="JV31" s="31" t="str">
        <f>IFERROR(VLOOKUP([2]Pointage!JZ25,Feuil1!$A:$B,2,FALSE),"")</f>
        <v/>
      </c>
      <c r="JW31" s="31" t="str">
        <f>IFERROR(VLOOKUP([2]Pointage!KA25,Feuil1!$A:$B,2,FALSE),"")</f>
        <v/>
      </c>
      <c r="JX31" s="31" t="str">
        <f>IFERROR(VLOOKUP([2]Pointage!KB25,Feuil1!$A:$B,2,FALSE),"")</f>
        <v/>
      </c>
      <c r="JY31" s="31" t="str">
        <f>IFERROR(VLOOKUP([2]Pointage!KC25,Feuil1!$A:$B,2,FALSE),"")</f>
        <v/>
      </c>
      <c r="JZ31" s="31" t="str">
        <f>IFERROR(VLOOKUP([2]Pointage!KD25,Feuil1!$A:$B,2,FALSE),"")</f>
        <v/>
      </c>
      <c r="KA31" s="31" t="str">
        <f>IFERROR(VLOOKUP([2]Pointage!KE25,Feuil1!$A:$B,2,FALSE),"")</f>
        <v/>
      </c>
      <c r="KB31" s="31" t="str">
        <f>IFERROR(VLOOKUP([2]Pointage!KF25,Feuil1!$A:$B,2,FALSE),"")</f>
        <v/>
      </c>
      <c r="KC31" s="31" t="str">
        <f>IFERROR(VLOOKUP([2]Pointage!KG25,Feuil1!$A:$B,2,FALSE),"")</f>
        <v/>
      </c>
      <c r="KD31" s="31" t="str">
        <f>IFERROR(VLOOKUP([2]Pointage!KH25,Feuil1!$A:$B,2,FALSE),"")</f>
        <v/>
      </c>
      <c r="KE31" s="31" t="str">
        <f>IFERROR(VLOOKUP([2]Pointage!KI25,Feuil1!$A:$B,2,FALSE),"")</f>
        <v/>
      </c>
      <c r="KF31" s="31" t="str">
        <f>IFERROR(VLOOKUP([2]Pointage!KJ25,Feuil1!$A:$B,2,FALSE),"")</f>
        <v/>
      </c>
      <c r="KG31" s="31" t="str">
        <f>IFERROR(VLOOKUP([2]Pointage!KK25,Feuil1!$A:$B,2,FALSE),"")</f>
        <v/>
      </c>
      <c r="KH31" s="31" t="str">
        <f>IFERROR(VLOOKUP([2]Pointage!KL25,Feuil1!$A:$B,2,FALSE),"")</f>
        <v/>
      </c>
      <c r="KI31" s="31" t="str">
        <f>IFERROR(VLOOKUP([2]Pointage!KM25,Feuil1!$A:$B,2,FALSE),"")</f>
        <v/>
      </c>
      <c r="KJ31" s="31" t="str">
        <f>IFERROR(VLOOKUP([2]Pointage!KN25,Feuil1!$A:$B,2,FALSE),"")</f>
        <v/>
      </c>
      <c r="KK31" s="31" t="str">
        <f>IFERROR(VLOOKUP([2]Pointage!KO25,Feuil1!$A:$B,2,FALSE),"")</f>
        <v/>
      </c>
      <c r="KL31" s="31" t="str">
        <f>IFERROR(VLOOKUP([2]Pointage!KP25,Feuil1!$A:$B,2,FALSE),"")</f>
        <v/>
      </c>
      <c r="KM31" s="31" t="str">
        <f>IFERROR(VLOOKUP([2]Pointage!KQ25,Feuil1!$A:$B,2,FALSE),"")</f>
        <v/>
      </c>
      <c r="KN31" s="31" t="str">
        <f>IFERROR(VLOOKUP([2]Pointage!KR25,Feuil1!$A:$B,2,FALSE),"")</f>
        <v/>
      </c>
      <c r="KO31" s="31" t="str">
        <f>IFERROR(VLOOKUP([2]Pointage!KS25,Feuil1!$A:$B,2,FALSE),"")</f>
        <v/>
      </c>
      <c r="KP31" s="31" t="str">
        <f>IFERROR(VLOOKUP([2]Pointage!KT25,Feuil1!$A:$B,2,FALSE),"")</f>
        <v/>
      </c>
      <c r="KQ31" s="31" t="str">
        <f>IFERROR(VLOOKUP([2]Pointage!KU25,Feuil1!$A:$B,2,FALSE),"")</f>
        <v/>
      </c>
      <c r="KR31" s="31" t="str">
        <f>IFERROR(VLOOKUP([2]Pointage!KV25,Feuil1!$A:$B,2,FALSE),"")</f>
        <v/>
      </c>
      <c r="KS31" s="31" t="str">
        <f>IFERROR(VLOOKUP([2]Pointage!KW25,Feuil1!$A:$B,2,FALSE),"")</f>
        <v/>
      </c>
      <c r="KT31" s="31" t="str">
        <f>IFERROR(VLOOKUP([2]Pointage!KX25,Feuil1!$A:$B,2,FALSE),"")</f>
        <v/>
      </c>
      <c r="KU31" s="31" t="str">
        <f>IFERROR(VLOOKUP([2]Pointage!KY25,Feuil1!$A:$B,2,FALSE),"")</f>
        <v/>
      </c>
      <c r="KV31" s="31" t="str">
        <f>IFERROR(VLOOKUP([2]Pointage!KZ25,Feuil1!$A:$B,2,FALSE),"")</f>
        <v/>
      </c>
      <c r="KW31" s="82" t="str">
        <f>IFERROR(VLOOKUP([2]Pointage!LA25,Feuil1!$A:$B,2,FALSE),"")</f>
        <v/>
      </c>
      <c r="KX31" s="47" t="str">
        <f>IFERROR(VLOOKUP([2]Pointage!LB25,Feuil1!$A:$B,2,FALSE),"")</f>
        <v/>
      </c>
      <c r="KY31" s="31" t="str">
        <f>IFERROR(VLOOKUP([2]Pointage!LC25,Feuil1!$A:$B,2,FALSE),"")</f>
        <v/>
      </c>
      <c r="KZ31" s="31" t="str">
        <f>IFERROR(VLOOKUP([2]Pointage!LD25,Feuil1!$A:$B,2,FALSE),"")</f>
        <v/>
      </c>
      <c r="LA31" s="31" t="str">
        <f>IFERROR(VLOOKUP([2]Pointage!LE25,Feuil1!$A:$B,2,FALSE),"")</f>
        <v/>
      </c>
      <c r="LB31" s="31" t="str">
        <f>IFERROR(VLOOKUP([2]Pointage!LF25,Feuil1!$A:$B,2,FALSE),"")</f>
        <v/>
      </c>
      <c r="LC31" s="31" t="str">
        <f>IFERROR(VLOOKUP([2]Pointage!LG25,Feuil1!$A:$B,2,FALSE),"")</f>
        <v/>
      </c>
      <c r="LD31" s="31" t="str">
        <f>IFERROR(VLOOKUP([2]Pointage!LH25,Feuil1!$A:$B,2,FALSE),"")</f>
        <v/>
      </c>
      <c r="LE31" s="31" t="str">
        <f>IFERROR(VLOOKUP([2]Pointage!LI25,Feuil1!$A:$B,2,FALSE),"")</f>
        <v/>
      </c>
      <c r="LF31" s="31" t="str">
        <f>IFERROR(VLOOKUP([2]Pointage!LJ25,Feuil1!$A:$B,2,FALSE),"")</f>
        <v/>
      </c>
      <c r="LG31" s="31" t="str">
        <f>IFERROR(VLOOKUP([2]Pointage!LK25,Feuil1!$A:$B,2,FALSE),"")</f>
        <v/>
      </c>
      <c r="LH31" s="31" t="str">
        <f>IFERROR(VLOOKUP([2]Pointage!LL25,Feuil1!$A:$B,2,FALSE),"")</f>
        <v/>
      </c>
      <c r="LI31" s="31" t="str">
        <f>IFERROR(VLOOKUP([2]Pointage!LM25,Feuil1!$A:$B,2,FALSE),"")</f>
        <v/>
      </c>
      <c r="LJ31" s="31" t="str">
        <f>IFERROR(VLOOKUP([2]Pointage!LN25,Feuil1!$A:$B,2,FALSE),"")</f>
        <v/>
      </c>
      <c r="LK31" s="31" t="str">
        <f>IFERROR(VLOOKUP([2]Pointage!LO25,Feuil1!$A:$B,2,FALSE),"")</f>
        <v/>
      </c>
      <c r="LL31" s="31" t="str">
        <f>IFERROR(VLOOKUP([2]Pointage!LP25,Feuil1!$A:$B,2,FALSE),"")</f>
        <v/>
      </c>
      <c r="LM31" s="31" t="str">
        <f>IFERROR(VLOOKUP([2]Pointage!LQ25,Feuil1!$A:$B,2,FALSE),"")</f>
        <v/>
      </c>
      <c r="LN31" s="31" t="str">
        <f>IFERROR(VLOOKUP([2]Pointage!LR25,Feuil1!$A:$B,2,FALSE),"")</f>
        <v/>
      </c>
      <c r="LO31" s="31" t="str">
        <f>IFERROR(VLOOKUP([2]Pointage!LS25,Feuil1!$A:$B,2,FALSE),"")</f>
        <v/>
      </c>
      <c r="LP31" s="31" t="str">
        <f>IFERROR(VLOOKUP([2]Pointage!LT25,Feuil1!$A:$B,2,FALSE),"")</f>
        <v/>
      </c>
      <c r="LQ31" s="31" t="str">
        <f>IFERROR(VLOOKUP([2]Pointage!LU25,Feuil1!$A:$B,2,FALSE),"")</f>
        <v/>
      </c>
      <c r="LR31" s="31" t="str">
        <f>IFERROR(VLOOKUP([2]Pointage!LV25,Feuil1!$A:$B,2,FALSE),"")</f>
        <v/>
      </c>
      <c r="LS31" s="31" t="str">
        <f>IFERROR(VLOOKUP([2]Pointage!LW25,Feuil1!$A:$B,2,FALSE),"")</f>
        <v/>
      </c>
      <c r="LT31" s="31" t="str">
        <f>IFERROR(VLOOKUP([2]Pointage!LX25,Feuil1!$A:$B,2,FALSE),"")</f>
        <v/>
      </c>
      <c r="LU31" s="31" t="str">
        <f>IFERROR(VLOOKUP([2]Pointage!LY25,Feuil1!$A:$B,2,FALSE),"")</f>
        <v/>
      </c>
      <c r="LV31" s="31" t="str">
        <f>IFERROR(VLOOKUP([2]Pointage!LZ25,Feuil1!$A:$B,2,FALSE),"")</f>
        <v/>
      </c>
      <c r="LW31" s="31" t="str">
        <f>IFERROR(VLOOKUP([2]Pointage!MA25,Feuil1!$A:$B,2,FALSE),"")</f>
        <v/>
      </c>
      <c r="LX31" s="31" t="str">
        <f>IFERROR(VLOOKUP([2]Pointage!MB25,Feuil1!$A:$B,2,FALSE),"")</f>
        <v/>
      </c>
      <c r="LY31" s="31" t="str">
        <f>IFERROR(VLOOKUP([2]Pointage!MC25,Feuil1!$A:$B,2,FALSE),"")</f>
        <v/>
      </c>
      <c r="LZ31" s="31" t="str">
        <f>IFERROR(VLOOKUP([2]Pointage!MD25,Feuil1!$A:$B,2,FALSE),"")</f>
        <v/>
      </c>
      <c r="MA31" s="82" t="str">
        <f>IFERROR(VLOOKUP([2]Pointage!ME25,Feuil1!$A:$B,2,FALSE),"")</f>
        <v/>
      </c>
      <c r="MB31" s="47" t="str">
        <f>IFERROR(VLOOKUP([2]Pointage!MF25,Feuil1!$A:$B,2,FALSE),"")</f>
        <v/>
      </c>
      <c r="MC31" s="31" t="str">
        <f>IFERROR(VLOOKUP([2]Pointage!MG25,Feuil1!$A:$B,2,FALSE),"")</f>
        <v/>
      </c>
      <c r="MD31" s="31" t="str">
        <f>IFERROR(VLOOKUP([2]Pointage!MH25,Feuil1!$A:$B,2,FALSE),"")</f>
        <v/>
      </c>
      <c r="ME31" s="31" t="str">
        <f>IFERROR(VLOOKUP([2]Pointage!MI25,Feuil1!$A:$B,2,FALSE),"")</f>
        <v/>
      </c>
      <c r="MF31" s="31" t="str">
        <f>IFERROR(VLOOKUP([2]Pointage!MJ25,Feuil1!$A:$B,2,FALSE),"")</f>
        <v/>
      </c>
      <c r="MG31" s="31" t="str">
        <f>IFERROR(VLOOKUP([2]Pointage!MK25,Feuil1!$A:$B,2,FALSE),"")</f>
        <v/>
      </c>
      <c r="MH31" s="31" t="str">
        <f>IFERROR(VLOOKUP([2]Pointage!ML25,Feuil1!$A:$B,2,FALSE),"")</f>
        <v/>
      </c>
      <c r="MI31" s="31" t="str">
        <f>IFERROR(VLOOKUP([2]Pointage!MM25,Feuil1!$A:$B,2,FALSE),"")</f>
        <v/>
      </c>
      <c r="MJ31" s="31" t="str">
        <f>IFERROR(VLOOKUP([2]Pointage!MN25,Feuil1!$A:$B,2,FALSE),"")</f>
        <v/>
      </c>
      <c r="MK31" s="31" t="str">
        <f>IFERROR(VLOOKUP([2]Pointage!MO25,Feuil1!$A:$B,2,FALSE),"")</f>
        <v/>
      </c>
      <c r="ML31" s="31" t="str">
        <f>IFERROR(VLOOKUP([2]Pointage!MP25,Feuil1!$A:$B,2,FALSE),"")</f>
        <v/>
      </c>
      <c r="MM31" s="31" t="str">
        <f>IFERROR(VLOOKUP([2]Pointage!MQ25,Feuil1!$A:$B,2,FALSE),"")</f>
        <v/>
      </c>
      <c r="MN31" s="31" t="str">
        <f>IFERROR(VLOOKUP([2]Pointage!MR25,Feuil1!$A:$B,2,FALSE),"")</f>
        <v/>
      </c>
      <c r="MO31" s="31" t="str">
        <f>IFERROR(VLOOKUP([2]Pointage!MS25,Feuil1!$A:$B,2,FALSE),"")</f>
        <v/>
      </c>
      <c r="MP31" s="31" t="str">
        <f>IFERROR(VLOOKUP([2]Pointage!MT25,Feuil1!$A:$B,2,FALSE),"")</f>
        <v/>
      </c>
      <c r="MQ31" s="31" t="str">
        <f>IFERROR(VLOOKUP([2]Pointage!MU25,Feuil1!$A:$B,2,FALSE),"")</f>
        <v/>
      </c>
      <c r="MR31" s="31" t="str">
        <f>IFERROR(VLOOKUP([2]Pointage!MV25,Feuil1!$A:$B,2,FALSE),"")</f>
        <v/>
      </c>
      <c r="MS31" s="31" t="str">
        <f>IFERROR(VLOOKUP([2]Pointage!MW25,Feuil1!$A:$B,2,FALSE),"")</f>
        <v/>
      </c>
      <c r="MT31" s="31" t="str">
        <f>IFERROR(VLOOKUP([2]Pointage!MX25,Feuil1!$A:$B,2,FALSE),"")</f>
        <v/>
      </c>
      <c r="MU31" s="31" t="str">
        <f>IFERROR(VLOOKUP([2]Pointage!MY25,Feuil1!$A:$B,2,FALSE),"")</f>
        <v/>
      </c>
      <c r="MV31" s="31" t="str">
        <f>IFERROR(VLOOKUP([2]Pointage!MZ25,Feuil1!$A:$B,2,FALSE),"")</f>
        <v/>
      </c>
      <c r="MW31" s="31" t="str">
        <f>IFERROR(VLOOKUP([2]Pointage!NA25,Feuil1!$A:$B,2,FALSE),"")</f>
        <v/>
      </c>
      <c r="MX31" s="31" t="str">
        <f>IFERROR(VLOOKUP([2]Pointage!NB25,Feuil1!$A:$B,2,FALSE),"")</f>
        <v/>
      </c>
      <c r="MY31" s="31" t="str">
        <f>IFERROR(VLOOKUP([2]Pointage!NC25,Feuil1!$A:$B,2,FALSE),"")</f>
        <v/>
      </c>
      <c r="MZ31" s="31" t="str">
        <f>IFERROR(VLOOKUP([2]Pointage!ND25,Feuil1!$A:$B,2,FALSE),"")</f>
        <v/>
      </c>
      <c r="NA31" s="31" t="str">
        <f>IFERROR(VLOOKUP([2]Pointage!NE25,Feuil1!$A:$B,2,FALSE),"")</f>
        <v/>
      </c>
      <c r="NB31" s="31" t="str">
        <f>IFERROR(VLOOKUP([2]Pointage!NF25,Feuil1!$A:$B,2,FALSE),"")</f>
        <v/>
      </c>
      <c r="NC31" s="31" t="str">
        <f>IFERROR(VLOOKUP([2]Pointage!NG25,Feuil1!$A:$B,2,FALSE),"")</f>
        <v/>
      </c>
      <c r="ND31" s="31" t="str">
        <f>IFERROR(VLOOKUP([2]Pointage!NH25,Feuil1!$A:$B,2,FALSE),"")</f>
        <v/>
      </c>
      <c r="NE31" s="31" t="str">
        <f>IFERROR(VLOOKUP([2]Pointage!NI25,Feuil1!$A:$B,2,FALSE),"")</f>
        <v/>
      </c>
      <c r="NF31" s="48" t="str">
        <f>IFERROR(VLOOKUP([2]Pointage!NJ25,Feuil1!$A:$B,2,FALSE),"")</f>
        <v/>
      </c>
      <c r="NG31" s="52">
        <f>COUNTIF(Global!F31:NF31,"RTT")+(COUNTIF(Global!F31:NF31,"dRTT")/2)</f>
        <v>0</v>
      </c>
      <c r="NH31" s="42">
        <f>COUNTIF(Global!F31:NF31,"C")+(COUNTIF(Global!F31:NF31,"DC")/2)</f>
        <v>39</v>
      </c>
      <c r="NI31" s="42">
        <f>COUNTIF(Global!F31:NF31,"M")</f>
        <v>9</v>
      </c>
      <c r="NJ31" s="42">
        <f>COUNTIF(Global!G31:NG31,"AT")</f>
        <v>0</v>
      </c>
      <c r="NK31" s="42">
        <f>COUNTIF(Global!F31:NF31,"RD")</f>
        <v>0</v>
      </c>
      <c r="NL31" s="42">
        <f>COUNTIF(Global!F31:NF31,"RC")+(COUNTIF(Global!F31:NF31,"dRC")/2)</f>
        <v>0</v>
      </c>
      <c r="NM31" s="42">
        <f t="shared" ca="1" si="0"/>
        <v>3.7808219178082192</v>
      </c>
      <c r="NT31" s="33"/>
      <c r="NU31" s="33"/>
      <c r="NV31" s="28"/>
      <c r="NW31" s="28"/>
      <c r="NX31" s="29">
        <f>COUNTIF(F31:NF31,"C")++(COUNTIF(Global!F31:NF31,"DC")/2)</f>
        <v>39</v>
      </c>
      <c r="NY31" s="29"/>
      <c r="NZ31" s="29"/>
      <c r="OA31" s="29"/>
      <c r="OB31" s="29">
        <f>COUNTIF(Global!F31:NF31,"M")</f>
        <v>9</v>
      </c>
      <c r="OC31" s="30">
        <f t="shared" si="1"/>
        <v>-39</v>
      </c>
      <c r="OD31" s="30"/>
    </row>
    <row r="32" spans="1:394" ht="30" customHeight="1" x14ac:dyDescent="0.2">
      <c r="A32" s="15" t="s">
        <v>88</v>
      </c>
      <c r="B32" s="22" t="s">
        <v>199</v>
      </c>
      <c r="C32" s="22" t="s">
        <v>200</v>
      </c>
      <c r="D32" s="22" t="s">
        <v>201</v>
      </c>
      <c r="E32" s="44">
        <v>0</v>
      </c>
      <c r="F32" s="47" t="str">
        <f>IFERROR(VLOOKUP([2]Pointage!J26,Feuil1!$A:$B,2,FALSE),"")</f>
        <v/>
      </c>
      <c r="G32" s="31" t="str">
        <f>IFERROR(VLOOKUP([2]Pointage!K26,Feuil1!$A:$B,2,FALSE),"")</f>
        <v>C</v>
      </c>
      <c r="H32" s="31" t="str">
        <f>IFERROR(VLOOKUP([2]Pointage!L26,Feuil1!$A:$B,2,FALSE),"")</f>
        <v>C</v>
      </c>
      <c r="I32" s="31" t="str">
        <f>IFERROR(VLOOKUP([2]Pointage!M26,Feuil1!$A:$B,2,FALSE),"")</f>
        <v>C</v>
      </c>
      <c r="J32" s="31" t="str">
        <f>IFERROR(VLOOKUP([2]Pointage!N26,Feuil1!$A:$B,2,FALSE),"")</f>
        <v>C</v>
      </c>
      <c r="K32" s="31" t="str">
        <f>IFERROR(VLOOKUP([2]Pointage!O26,Feuil1!$A:$B,2,FALSE),"")</f>
        <v/>
      </c>
      <c r="L32" s="31" t="str">
        <f>IFERROR(VLOOKUP([2]Pointage!P26,Feuil1!$A:$B,2,FALSE),"")</f>
        <v/>
      </c>
      <c r="M32" s="31" t="str">
        <f>IFERROR(VLOOKUP([2]Pointage!Q26,Feuil1!$A:$B,2,FALSE),"")</f>
        <v>C</v>
      </c>
      <c r="N32" s="31" t="str">
        <f>IFERROR(VLOOKUP([2]Pointage!R26,Feuil1!$A:$B,2,FALSE),"")</f>
        <v>C</v>
      </c>
      <c r="O32" s="31" t="str">
        <f>IFERROR(VLOOKUP([2]Pointage!S26,Feuil1!$A:$B,2,FALSE),"")</f>
        <v>C</v>
      </c>
      <c r="P32" s="31" t="str">
        <f>IFERROR(VLOOKUP([2]Pointage!T26,Feuil1!$A:$B,2,FALSE),"")</f>
        <v>C</v>
      </c>
      <c r="Q32" s="31" t="str">
        <f>IFERROR(VLOOKUP([2]Pointage!U26,Feuil1!$A:$B,2,FALSE),"")</f>
        <v>C</v>
      </c>
      <c r="R32" s="31" t="str">
        <f>IFERROR(VLOOKUP([2]Pointage!V26,Feuil1!$A:$B,2,FALSE),"")</f>
        <v/>
      </c>
      <c r="S32" s="31" t="str">
        <f>IFERROR(VLOOKUP([2]Pointage!W26,Feuil1!$A:$B,2,FALSE),"")</f>
        <v/>
      </c>
      <c r="T32" s="31" t="str">
        <f>IFERROR(VLOOKUP([2]Pointage!X26,Feuil1!$A:$B,2,FALSE),"")</f>
        <v/>
      </c>
      <c r="U32" s="31" t="str">
        <f>IFERROR(VLOOKUP([2]Pointage!Y26,Feuil1!$A:$B,2,FALSE),"")</f>
        <v/>
      </c>
      <c r="V32" s="31" t="str">
        <f>IFERROR(VLOOKUP([2]Pointage!Z26,Feuil1!$A:$B,2,FALSE),"")</f>
        <v/>
      </c>
      <c r="W32" s="31" t="str">
        <f>IFERROR(VLOOKUP([2]Pointage!AA26,Feuil1!$A:$B,2,FALSE),"")</f>
        <v/>
      </c>
      <c r="X32" s="31" t="str">
        <f>IFERROR(VLOOKUP([2]Pointage!AB26,Feuil1!$A:$B,2,FALSE),"")</f>
        <v/>
      </c>
      <c r="Y32" s="31" t="str">
        <f>IFERROR(VLOOKUP([2]Pointage!AC26,Feuil1!$A:$B,2,FALSE),"")</f>
        <v/>
      </c>
      <c r="Z32" s="31" t="str">
        <f>IFERROR(VLOOKUP([2]Pointage!AD26,Feuil1!$A:$B,2,FALSE),"")</f>
        <v/>
      </c>
      <c r="AA32" s="31" t="str">
        <f>IFERROR(VLOOKUP([2]Pointage!AE26,Feuil1!$A:$B,2,FALSE),"")</f>
        <v/>
      </c>
      <c r="AB32" s="31" t="str">
        <f>IFERROR(VLOOKUP([2]Pointage!AF26,Feuil1!$A:$B,2,FALSE),"")</f>
        <v/>
      </c>
      <c r="AC32" s="31" t="str">
        <f>IFERROR(VLOOKUP([2]Pointage!AG26,Feuil1!$A:$B,2,FALSE),"")</f>
        <v/>
      </c>
      <c r="AD32" s="31" t="str">
        <f>IFERROR(VLOOKUP([2]Pointage!AH26,Feuil1!$A:$B,2,FALSE),"")</f>
        <v/>
      </c>
      <c r="AE32" s="31" t="str">
        <f>IFERROR(VLOOKUP([2]Pointage!AI26,Feuil1!$A:$B,2,FALSE),"")</f>
        <v/>
      </c>
      <c r="AF32" s="31" t="str">
        <f>IFERROR(VLOOKUP([2]Pointage!AJ26,Feuil1!$A:$B,2,FALSE),"")</f>
        <v/>
      </c>
      <c r="AG32" s="31" t="str">
        <f>IFERROR(VLOOKUP([2]Pointage!AK26,Feuil1!$A:$B,2,FALSE),"")</f>
        <v/>
      </c>
      <c r="AH32" s="31" t="str">
        <f>IFERROR(VLOOKUP([2]Pointage!AL26,Feuil1!$A:$B,2,FALSE),"")</f>
        <v/>
      </c>
      <c r="AI32" s="31" t="str">
        <f>IFERROR(VLOOKUP([2]Pointage!AM26,Feuil1!$A:$B,2,FALSE),"")</f>
        <v/>
      </c>
      <c r="AJ32" s="82" t="str">
        <f>IFERROR(VLOOKUP([2]Pointage!AN26,Feuil1!$A:$B,2,FALSE),"")</f>
        <v/>
      </c>
      <c r="AK32" s="47" t="str">
        <f>IFERROR(VLOOKUP([2]Pointage!AO26,Feuil1!$A:$B,2,FALSE),"")</f>
        <v/>
      </c>
      <c r="AL32" s="31" t="str">
        <f>IFERROR(VLOOKUP([2]Pointage!AP26,Feuil1!$A:$B,2,FALSE),"")</f>
        <v/>
      </c>
      <c r="AM32" s="31" t="str">
        <f>IFERROR(VLOOKUP([2]Pointage!AQ26,Feuil1!$A:$B,2,FALSE),"")</f>
        <v/>
      </c>
      <c r="AN32" s="31" t="str">
        <f>IFERROR(VLOOKUP([2]Pointage!AR26,Feuil1!$A:$B,2,FALSE),"")</f>
        <v/>
      </c>
      <c r="AO32" s="31" t="str">
        <f>IFERROR(VLOOKUP([2]Pointage!AS26,Feuil1!$A:$B,2,FALSE),"")</f>
        <v/>
      </c>
      <c r="AP32" s="31" t="str">
        <f>IFERROR(VLOOKUP([2]Pointage!AT26,Feuil1!$A:$B,2,FALSE),"")</f>
        <v/>
      </c>
      <c r="AQ32" s="31" t="str">
        <f>IFERROR(VLOOKUP([2]Pointage!AU26,Feuil1!$A:$B,2,FALSE),"")</f>
        <v/>
      </c>
      <c r="AR32" s="31" t="str">
        <f>IFERROR(VLOOKUP([2]Pointage!AV26,Feuil1!$A:$B,2,FALSE),"")</f>
        <v/>
      </c>
      <c r="AS32" s="31" t="str">
        <f>IFERROR(VLOOKUP([2]Pointage!AW26,Feuil1!$A:$B,2,FALSE),"")</f>
        <v>DC</v>
      </c>
      <c r="AT32" s="31" t="str">
        <f>IFERROR(VLOOKUP([2]Pointage!AX26,Feuil1!$A:$B,2,FALSE),"")</f>
        <v/>
      </c>
      <c r="AU32" s="31" t="str">
        <f>IFERROR(VLOOKUP([2]Pointage!AY26,Feuil1!$A:$B,2,FALSE),"")</f>
        <v/>
      </c>
      <c r="AV32" s="31" t="str">
        <f>IFERROR(VLOOKUP([2]Pointage!AZ26,Feuil1!$A:$B,2,FALSE),"")</f>
        <v/>
      </c>
      <c r="AW32" s="31" t="str">
        <f>IFERROR(VLOOKUP([2]Pointage!BA26,Feuil1!$A:$B,2,FALSE),"")</f>
        <v/>
      </c>
      <c r="AX32" s="31" t="str">
        <f>IFERROR(VLOOKUP([2]Pointage!BB26,Feuil1!$A:$B,2,FALSE),"")</f>
        <v/>
      </c>
      <c r="AY32" s="31" t="str">
        <f>IFERROR(VLOOKUP([2]Pointage!BC26,Feuil1!$A:$B,2,FALSE),"")</f>
        <v/>
      </c>
      <c r="AZ32" s="31" t="str">
        <f>IFERROR(VLOOKUP([2]Pointage!BD26,Feuil1!$A:$B,2,FALSE),"")</f>
        <v/>
      </c>
      <c r="BA32" s="31" t="str">
        <f>IFERROR(VLOOKUP([2]Pointage!BE26,Feuil1!$A:$B,2,FALSE),"")</f>
        <v/>
      </c>
      <c r="BB32" s="31" t="str">
        <f>IFERROR(VLOOKUP([2]Pointage!BF26,Feuil1!$A:$B,2,FALSE),"")</f>
        <v/>
      </c>
      <c r="BC32" s="31" t="str">
        <f>IFERROR(VLOOKUP([2]Pointage!BG26,Feuil1!$A:$B,2,FALSE),"")</f>
        <v/>
      </c>
      <c r="BD32" s="31" t="str">
        <f>IFERROR(VLOOKUP([2]Pointage!BH26,Feuil1!$A:$B,2,FALSE),"")</f>
        <v/>
      </c>
      <c r="BE32" s="31" t="str">
        <f>IFERROR(VLOOKUP([2]Pointage!BI26,Feuil1!$A:$B,2,FALSE),"")</f>
        <v/>
      </c>
      <c r="BF32" s="31" t="str">
        <f>IFERROR(VLOOKUP([2]Pointage!BJ26,Feuil1!$A:$B,2,FALSE),"")</f>
        <v/>
      </c>
      <c r="BG32" s="31" t="str">
        <f>IFERROR(VLOOKUP([2]Pointage!BK26,Feuil1!$A:$B,2,FALSE),"")</f>
        <v/>
      </c>
      <c r="BH32" s="31" t="str">
        <f>IFERROR(VLOOKUP([2]Pointage!BL26,Feuil1!$A:$B,2,FALSE),"")</f>
        <v/>
      </c>
      <c r="BI32" s="31" t="str">
        <f>IFERROR(VLOOKUP([2]Pointage!BM26,Feuil1!$A:$B,2,FALSE),"")</f>
        <v/>
      </c>
      <c r="BJ32" s="31" t="str">
        <f>IFERROR(VLOOKUP([2]Pointage!BN26,Feuil1!$A:$B,2,FALSE),"")</f>
        <v/>
      </c>
      <c r="BK32" s="31" t="str">
        <f>IFERROR(VLOOKUP([2]Pointage!BO26,Feuil1!$A:$B,2,FALSE),"")</f>
        <v/>
      </c>
      <c r="BL32" s="82" t="str">
        <f>IFERROR(VLOOKUP([2]Pointage!BP26,Feuil1!$A:$B,2,FALSE),"")</f>
        <v/>
      </c>
      <c r="BM32" s="47" t="str">
        <f>IFERROR(VLOOKUP([2]Pointage!BQ26,Feuil1!$A:$B,2,FALSE),"")</f>
        <v/>
      </c>
      <c r="BN32" s="31" t="str">
        <f>IFERROR(VLOOKUP([2]Pointage!BR26,Feuil1!$A:$B,2,FALSE),"")</f>
        <v/>
      </c>
      <c r="BO32" s="31" t="str">
        <f>IFERROR(VLOOKUP([2]Pointage!BS26,Feuil1!$A:$B,2,FALSE),"")</f>
        <v/>
      </c>
      <c r="BP32" s="31" t="str">
        <f>IFERROR(VLOOKUP([2]Pointage!BT26,Feuil1!$A:$B,2,FALSE),"")</f>
        <v/>
      </c>
      <c r="BQ32" s="31" t="str">
        <f>IFERROR(VLOOKUP([2]Pointage!BU26,Feuil1!$A:$B,2,FALSE),"")</f>
        <v/>
      </c>
      <c r="BR32" s="31" t="str">
        <f>IFERROR(VLOOKUP([2]Pointage!BV26,Feuil1!$A:$B,2,FALSE),"")</f>
        <v/>
      </c>
      <c r="BS32" s="31" t="str">
        <f>IFERROR(VLOOKUP([2]Pointage!BW26,Feuil1!$A:$B,2,FALSE),"")</f>
        <v/>
      </c>
      <c r="BT32" s="31" t="str">
        <f>IFERROR(VLOOKUP([2]Pointage!BX26,Feuil1!$A:$B,2,FALSE),"")</f>
        <v/>
      </c>
      <c r="BU32" s="31" t="str">
        <f>IFERROR(VLOOKUP([2]Pointage!BY26,Feuil1!$A:$B,2,FALSE),"")</f>
        <v/>
      </c>
      <c r="BV32" s="31" t="str">
        <f>IFERROR(VLOOKUP([2]Pointage!BZ26,Feuil1!$A:$B,2,FALSE),"")</f>
        <v/>
      </c>
      <c r="BW32" s="31" t="str">
        <f>IFERROR(VLOOKUP([2]Pointage!CA26,Feuil1!$A:$B,2,FALSE),"")</f>
        <v/>
      </c>
      <c r="BX32" s="31" t="str">
        <f>IFERROR(VLOOKUP([2]Pointage!CB26,Feuil1!$A:$B,2,FALSE),"")</f>
        <v/>
      </c>
      <c r="BY32" s="31" t="str">
        <f>IFERROR(VLOOKUP([2]Pointage!CC26,Feuil1!$A:$B,2,FALSE),"")</f>
        <v/>
      </c>
      <c r="BZ32" s="31" t="str">
        <f>IFERROR(VLOOKUP([2]Pointage!CD26,Feuil1!$A:$B,2,FALSE),"")</f>
        <v/>
      </c>
      <c r="CA32" s="31" t="str">
        <f>IFERROR(VLOOKUP([2]Pointage!CE26,Feuil1!$A:$B,2,FALSE),"")</f>
        <v/>
      </c>
      <c r="CB32" s="31" t="str">
        <f>IFERROR(VLOOKUP([2]Pointage!CF26,Feuil1!$A:$B,2,FALSE),"")</f>
        <v/>
      </c>
      <c r="CC32" s="31" t="str">
        <f>IFERROR(VLOOKUP([2]Pointage!CG26,Feuil1!$A:$B,2,FALSE),"")</f>
        <v/>
      </c>
      <c r="CD32" s="31" t="str">
        <f>IFERROR(VLOOKUP([2]Pointage!CH26,Feuil1!$A:$B,2,FALSE),"")</f>
        <v/>
      </c>
      <c r="CE32" s="31" t="str">
        <f>IFERROR(VLOOKUP([2]Pointage!CI26,Feuil1!$A:$B,2,FALSE),"")</f>
        <v/>
      </c>
      <c r="CF32" s="31" t="str">
        <f>IFERROR(VLOOKUP([2]Pointage!CJ26,Feuil1!$A:$B,2,FALSE),"")</f>
        <v/>
      </c>
      <c r="CG32" s="31" t="str">
        <f>IFERROR(VLOOKUP([2]Pointage!CK26,Feuil1!$A:$B,2,FALSE),"")</f>
        <v/>
      </c>
      <c r="CH32" s="31" t="str">
        <f>IFERROR(VLOOKUP([2]Pointage!CL26,Feuil1!$A:$B,2,FALSE),"")</f>
        <v/>
      </c>
      <c r="CI32" s="31" t="str">
        <f>IFERROR(VLOOKUP([2]Pointage!CM26,Feuil1!$A:$B,2,FALSE),"")</f>
        <v/>
      </c>
      <c r="CJ32" s="31" t="str">
        <f>IFERROR(VLOOKUP([2]Pointage!CN26,Feuil1!$A:$B,2,FALSE),"")</f>
        <v/>
      </c>
      <c r="CK32" s="31" t="str">
        <f>IFERROR(VLOOKUP([2]Pointage!CO26,Feuil1!$A:$B,2,FALSE),"")</f>
        <v/>
      </c>
      <c r="CL32" s="31" t="str">
        <f>IFERROR(VLOOKUP([2]Pointage!CP26,Feuil1!$A:$B,2,FALSE),"")</f>
        <v/>
      </c>
      <c r="CM32" s="31" t="str">
        <f>IFERROR(VLOOKUP([2]Pointage!CQ26,Feuil1!$A:$B,2,FALSE),"")</f>
        <v/>
      </c>
      <c r="CN32" s="31" t="str">
        <f>IFERROR(VLOOKUP([2]Pointage!CR26,Feuil1!$A:$B,2,FALSE),"")</f>
        <v/>
      </c>
      <c r="CO32" s="31" t="str">
        <f>IFERROR(VLOOKUP([2]Pointage!CS26,Feuil1!$A:$B,2,FALSE),"")</f>
        <v/>
      </c>
      <c r="CP32" s="31" t="str">
        <f>IFERROR(VLOOKUP([2]Pointage!CT26,Feuil1!$A:$B,2,FALSE),"")</f>
        <v/>
      </c>
      <c r="CQ32" s="82" t="str">
        <f>IFERROR(VLOOKUP([2]Pointage!CU26,Feuil1!$A:$B,2,FALSE),"")</f>
        <v/>
      </c>
      <c r="CR32" s="47" t="str">
        <f>IFERROR(VLOOKUP([2]Pointage!CV26,Feuil1!$A:$B,2,FALSE),"")</f>
        <v/>
      </c>
      <c r="CS32" s="31" t="str">
        <f>IFERROR(VLOOKUP([2]Pointage!CW26,Feuil1!$A:$B,2,FALSE),"")</f>
        <v/>
      </c>
      <c r="CT32" s="31" t="str">
        <f>IFERROR(VLOOKUP([2]Pointage!CX26,Feuil1!$A:$B,2,FALSE),"")</f>
        <v/>
      </c>
      <c r="CU32" s="31" t="str">
        <f>IFERROR(VLOOKUP([2]Pointage!CY26,Feuil1!$A:$B,2,FALSE),"")</f>
        <v/>
      </c>
      <c r="CV32" s="31" t="str">
        <f>IFERROR(VLOOKUP([2]Pointage!CZ26,Feuil1!$A:$B,2,FALSE),"")</f>
        <v/>
      </c>
      <c r="CW32" s="31" t="str">
        <f>IFERROR(VLOOKUP([2]Pointage!DA26,Feuil1!$A:$B,2,FALSE),"")</f>
        <v/>
      </c>
      <c r="CX32" s="31" t="str">
        <f>IFERROR(VLOOKUP([2]Pointage!DB26,Feuil1!$A:$B,2,FALSE),"")</f>
        <v/>
      </c>
      <c r="CY32" s="31" t="str">
        <f>IFERROR(VLOOKUP([2]Pointage!DC26,Feuil1!$A:$B,2,FALSE),"")</f>
        <v/>
      </c>
      <c r="CZ32" s="31" t="str">
        <f>IFERROR(VLOOKUP([2]Pointage!DD26,Feuil1!$A:$B,2,FALSE),"")</f>
        <v/>
      </c>
      <c r="DA32" s="31" t="str">
        <f>IFERROR(VLOOKUP([2]Pointage!DE26,Feuil1!$A:$B,2,FALSE),"")</f>
        <v>C</v>
      </c>
      <c r="DB32" s="31" t="str">
        <f>IFERROR(VLOOKUP([2]Pointage!DF26,Feuil1!$A:$B,2,FALSE),"")</f>
        <v>C</v>
      </c>
      <c r="DC32" s="31" t="str">
        <f>IFERROR(VLOOKUP([2]Pointage!DG26,Feuil1!$A:$B,2,FALSE),"")</f>
        <v>C</v>
      </c>
      <c r="DD32" s="31" t="str">
        <f>IFERROR(VLOOKUP([2]Pointage!DH26,Feuil1!$A:$B,2,FALSE),"")</f>
        <v>C</v>
      </c>
      <c r="DE32" s="31" t="str">
        <f>IFERROR(VLOOKUP([2]Pointage!DI26,Feuil1!$A:$B,2,FALSE),"")</f>
        <v/>
      </c>
      <c r="DF32" s="31" t="str">
        <f>IFERROR(VLOOKUP([2]Pointage!DJ26,Feuil1!$A:$B,2,FALSE),"")</f>
        <v/>
      </c>
      <c r="DG32" s="31" t="str">
        <f>IFERROR(VLOOKUP([2]Pointage!DK26,Feuil1!$A:$B,2,FALSE),"")</f>
        <v/>
      </c>
      <c r="DH32" s="31" t="str">
        <f>IFERROR(VLOOKUP([2]Pointage!DL26,Feuil1!$A:$B,2,FALSE),"")</f>
        <v/>
      </c>
      <c r="DI32" s="31" t="str">
        <f>IFERROR(VLOOKUP([2]Pointage!DM26,Feuil1!$A:$B,2,FALSE),"")</f>
        <v/>
      </c>
      <c r="DJ32" s="31" t="str">
        <f>IFERROR(VLOOKUP([2]Pointage!DN26,Feuil1!$A:$B,2,FALSE),"")</f>
        <v/>
      </c>
      <c r="DK32" s="31" t="str">
        <f>IFERROR(VLOOKUP([2]Pointage!DO26,Feuil1!$A:$B,2,FALSE),"")</f>
        <v/>
      </c>
      <c r="DL32" s="31" t="str">
        <f>IFERROR(VLOOKUP([2]Pointage!DP26,Feuil1!$A:$B,2,FALSE),"")</f>
        <v/>
      </c>
      <c r="DM32" s="31" t="str">
        <f>IFERROR(VLOOKUP([2]Pointage!DQ26,Feuil1!$A:$B,2,FALSE),"")</f>
        <v/>
      </c>
      <c r="DN32" s="31" t="str">
        <f>IFERROR(VLOOKUP([2]Pointage!DR26,Feuil1!$A:$B,2,FALSE),"")</f>
        <v/>
      </c>
      <c r="DO32" s="31" t="str">
        <f>IFERROR(VLOOKUP([2]Pointage!DS26,Feuil1!$A:$B,2,FALSE),"")</f>
        <v/>
      </c>
      <c r="DP32" s="31" t="str">
        <f>IFERROR(VLOOKUP([2]Pointage!DT26,Feuil1!$A:$B,2,FALSE),"")</f>
        <v/>
      </c>
      <c r="DQ32" s="31" t="str">
        <f>IFERROR(VLOOKUP([2]Pointage!DU26,Feuil1!$A:$B,2,FALSE),"")</f>
        <v/>
      </c>
      <c r="DR32" s="31" t="str">
        <f>IFERROR(VLOOKUP([2]Pointage!DV26,Feuil1!$A:$B,2,FALSE),"")</f>
        <v/>
      </c>
      <c r="DS32" s="31" t="str">
        <f>IFERROR(VLOOKUP([2]Pointage!DW26,Feuil1!$A:$B,2,FALSE),"")</f>
        <v/>
      </c>
      <c r="DT32" s="31" t="str">
        <f>IFERROR(VLOOKUP([2]Pointage!DX26,Feuil1!$A:$B,2,FALSE),"")</f>
        <v/>
      </c>
      <c r="DU32" s="82" t="str">
        <f>IFERROR(VLOOKUP([2]Pointage!DY26,Feuil1!$A:$B,2,FALSE),"")</f>
        <v/>
      </c>
      <c r="DV32" s="47" t="str">
        <f>IFERROR(VLOOKUP([2]Pointage!DZ26,Feuil1!$A:$B,2,FALSE),"")</f>
        <v/>
      </c>
      <c r="DW32" s="31" t="str">
        <f>IFERROR(VLOOKUP([2]Pointage!EA26,Feuil1!$A:$B,2,FALSE),"")</f>
        <v/>
      </c>
      <c r="DX32" s="31" t="str">
        <f>IFERROR(VLOOKUP([2]Pointage!EB26,Feuil1!$A:$B,2,FALSE),"")</f>
        <v/>
      </c>
      <c r="DY32" s="31" t="str">
        <f>IFERROR(VLOOKUP([2]Pointage!EC26,Feuil1!$A:$B,2,FALSE),"")</f>
        <v/>
      </c>
      <c r="DZ32" s="31" t="str">
        <f>IFERROR(VLOOKUP([2]Pointage!ED26,Feuil1!$A:$B,2,FALSE),"")</f>
        <v/>
      </c>
      <c r="EA32" s="31" t="str">
        <f>IFERROR(VLOOKUP([2]Pointage!EE26,Feuil1!$A:$B,2,FALSE),"")</f>
        <v/>
      </c>
      <c r="EB32" s="31" t="str">
        <f>IFERROR(VLOOKUP([2]Pointage!EF26,Feuil1!$A:$B,2,FALSE),"")</f>
        <v/>
      </c>
      <c r="EC32" s="31" t="str">
        <f>IFERROR(VLOOKUP([2]Pointage!EG26,Feuil1!$A:$B,2,FALSE),"")</f>
        <v/>
      </c>
      <c r="ED32" s="31" t="str">
        <f>IFERROR(VLOOKUP([2]Pointage!EH26,Feuil1!$A:$B,2,FALSE),"")</f>
        <v/>
      </c>
      <c r="EE32" s="31" t="str">
        <f>IFERROR(VLOOKUP([2]Pointage!EI26,Feuil1!$A:$B,2,FALSE),"")</f>
        <v/>
      </c>
      <c r="EF32" s="31" t="str">
        <f>IFERROR(VLOOKUP([2]Pointage!EJ26,Feuil1!$A:$B,2,FALSE),"")</f>
        <v/>
      </c>
      <c r="EG32" s="31" t="str">
        <f>IFERROR(VLOOKUP([2]Pointage!EK26,Feuil1!$A:$B,2,FALSE),"")</f>
        <v/>
      </c>
      <c r="EH32" s="31" t="str">
        <f>IFERROR(VLOOKUP([2]Pointage!EL26,Feuil1!$A:$B,2,FALSE),"")</f>
        <v/>
      </c>
      <c r="EI32" s="31" t="str">
        <f>IFERROR(VLOOKUP([2]Pointage!EM26,Feuil1!$A:$B,2,FALSE),"")</f>
        <v/>
      </c>
      <c r="EJ32" s="31" t="str">
        <f>IFERROR(VLOOKUP([2]Pointage!EN26,Feuil1!$A:$B,2,FALSE),"")</f>
        <v/>
      </c>
      <c r="EK32" s="31" t="str">
        <f>IFERROR(VLOOKUP([2]Pointage!EO26,Feuil1!$A:$B,2,FALSE),"")</f>
        <v/>
      </c>
      <c r="EL32" s="31" t="str">
        <f>IFERROR(VLOOKUP([2]Pointage!EP26,Feuil1!$A:$B,2,FALSE),"")</f>
        <v/>
      </c>
      <c r="EM32" s="31" t="str">
        <f>IFERROR(VLOOKUP([2]Pointage!EQ26,Feuil1!$A:$B,2,FALSE),"")</f>
        <v/>
      </c>
      <c r="EN32" s="31" t="str">
        <f>IFERROR(VLOOKUP([2]Pointage!ER26,Feuil1!$A:$B,2,FALSE),"")</f>
        <v/>
      </c>
      <c r="EO32" s="31" t="str">
        <f>IFERROR(VLOOKUP([2]Pointage!ES26,Feuil1!$A:$B,2,FALSE),"")</f>
        <v/>
      </c>
      <c r="EP32" s="31" t="str">
        <f>IFERROR(VLOOKUP([2]Pointage!ET26,Feuil1!$A:$B,2,FALSE),"")</f>
        <v>RTT</v>
      </c>
      <c r="EQ32" s="31" t="str">
        <f>IFERROR(VLOOKUP([2]Pointage!EU26,Feuil1!$A:$B,2,FALSE),"")</f>
        <v/>
      </c>
      <c r="ER32" s="31" t="str">
        <f>IFERROR(VLOOKUP([2]Pointage!EV26,Feuil1!$A:$B,2,FALSE),"")</f>
        <v/>
      </c>
      <c r="ES32" s="31" t="str">
        <f>IFERROR(VLOOKUP([2]Pointage!EW26,Feuil1!$A:$B,2,FALSE),"")</f>
        <v/>
      </c>
      <c r="ET32" s="31" t="str">
        <f>IFERROR(VLOOKUP([2]Pointage!EX26,Feuil1!$A:$B,2,FALSE),"")</f>
        <v/>
      </c>
      <c r="EU32" s="31" t="str">
        <f>IFERROR(VLOOKUP([2]Pointage!EY26,Feuil1!$A:$B,2,FALSE),"")</f>
        <v/>
      </c>
      <c r="EV32" s="31" t="str">
        <f>IFERROR(VLOOKUP([2]Pointage!EZ26,Feuil1!$A:$B,2,FALSE),"")</f>
        <v/>
      </c>
      <c r="EW32" s="31" t="str">
        <f>IFERROR(VLOOKUP([2]Pointage!FA26,Feuil1!$A:$B,2,FALSE),"")</f>
        <v>C</v>
      </c>
      <c r="EX32" s="31" t="str">
        <f>IFERROR(VLOOKUP([2]Pointage!FB26,Feuil1!$A:$B,2,FALSE),"")</f>
        <v>C</v>
      </c>
      <c r="EY32" s="31" t="str">
        <f>IFERROR(VLOOKUP([2]Pointage!FC26,Feuil1!$A:$B,2,FALSE),"")</f>
        <v>C</v>
      </c>
      <c r="EZ32" s="82" t="str">
        <f>IFERROR(VLOOKUP([2]Pointage!FD26,Feuil1!$A:$B,2,FALSE),"")</f>
        <v>C</v>
      </c>
      <c r="FA32" s="47" t="str">
        <f>IFERROR(VLOOKUP([2]Pointage!FE26,Feuil1!$A:$B,2,FALSE),"")</f>
        <v>C</v>
      </c>
      <c r="FB32" s="31" t="str">
        <f>IFERROR(VLOOKUP([2]Pointage!FF26,Feuil1!$A:$B,2,FALSE),"")</f>
        <v/>
      </c>
      <c r="FC32" s="31" t="str">
        <f>IFERROR(VLOOKUP([2]Pointage!FG26,Feuil1!$A:$B,2,FALSE),"")</f>
        <v/>
      </c>
      <c r="FD32" s="31" t="str">
        <f>IFERROR(VLOOKUP([2]Pointage!FH26,Feuil1!$A:$B,2,FALSE),"")</f>
        <v/>
      </c>
      <c r="FE32" s="31" t="str">
        <f>IFERROR(VLOOKUP([2]Pointage!FI26,Feuil1!$A:$B,2,FALSE),"")</f>
        <v/>
      </c>
      <c r="FF32" s="31" t="str">
        <f>IFERROR(VLOOKUP([2]Pointage!FJ26,Feuil1!$A:$B,2,FALSE),"")</f>
        <v/>
      </c>
      <c r="FG32" s="31" t="str">
        <f>IFERROR(VLOOKUP([2]Pointage!FK26,Feuil1!$A:$B,2,FALSE),"")</f>
        <v/>
      </c>
      <c r="FH32" s="31" t="str">
        <f>IFERROR(VLOOKUP([2]Pointage!FL26,Feuil1!$A:$B,2,FALSE),"")</f>
        <v/>
      </c>
      <c r="FI32" s="31" t="str">
        <f>IFERROR(VLOOKUP([2]Pointage!FM26,Feuil1!$A:$B,2,FALSE),"")</f>
        <v/>
      </c>
      <c r="FJ32" s="31" t="str">
        <f>IFERROR(VLOOKUP([2]Pointage!FN26,Feuil1!$A:$B,2,FALSE),"")</f>
        <v/>
      </c>
      <c r="FK32" s="31" t="str">
        <f>IFERROR(VLOOKUP([2]Pointage!FO26,Feuil1!$A:$B,2,FALSE),"")</f>
        <v/>
      </c>
      <c r="FL32" s="31" t="str">
        <f>IFERROR(VLOOKUP([2]Pointage!FP26,Feuil1!$A:$B,2,FALSE),"")</f>
        <v/>
      </c>
      <c r="FM32" s="31" t="str">
        <f>IFERROR(VLOOKUP([2]Pointage!FQ26,Feuil1!$A:$B,2,FALSE),"")</f>
        <v/>
      </c>
      <c r="FN32" s="31" t="str">
        <f>IFERROR(VLOOKUP([2]Pointage!FR26,Feuil1!$A:$B,2,FALSE),"")</f>
        <v/>
      </c>
      <c r="FO32" s="31" t="str">
        <f>IFERROR(VLOOKUP([2]Pointage!FS26,Feuil1!$A:$B,2,FALSE),"")</f>
        <v/>
      </c>
      <c r="FP32" s="31" t="str">
        <f>IFERROR(VLOOKUP([2]Pointage!FT26,Feuil1!$A:$B,2,FALSE),"")</f>
        <v/>
      </c>
      <c r="FQ32" s="31" t="str">
        <f>IFERROR(VLOOKUP([2]Pointage!FU26,Feuil1!$A:$B,2,FALSE),"")</f>
        <v/>
      </c>
      <c r="FR32" s="31" t="str">
        <f>IFERROR(VLOOKUP([2]Pointage!FV26,Feuil1!$A:$B,2,FALSE),"")</f>
        <v/>
      </c>
      <c r="FS32" s="31" t="str">
        <f>IFERROR(VLOOKUP([2]Pointage!FW26,Feuil1!$A:$B,2,FALSE),"")</f>
        <v/>
      </c>
      <c r="FT32" s="31" t="str">
        <f>IFERROR(VLOOKUP([2]Pointage!FX26,Feuil1!$A:$B,2,FALSE),"")</f>
        <v/>
      </c>
      <c r="FU32" s="31" t="str">
        <f>IFERROR(VLOOKUP([2]Pointage!FY26,Feuil1!$A:$B,2,FALSE),"")</f>
        <v/>
      </c>
      <c r="FV32" s="31" t="str">
        <f>IFERROR(VLOOKUP([2]Pointage!FZ26,Feuil1!$A:$B,2,FALSE),"")</f>
        <v/>
      </c>
      <c r="FW32" s="31" t="str">
        <f>IFERROR(VLOOKUP([2]Pointage!GA26,Feuil1!$A:$B,2,FALSE),"")</f>
        <v/>
      </c>
      <c r="FX32" s="31" t="str">
        <f>IFERROR(VLOOKUP([2]Pointage!GB26,Feuil1!$A:$B,2,FALSE),"")</f>
        <v/>
      </c>
      <c r="FY32" s="31" t="str">
        <f>IFERROR(VLOOKUP([2]Pointage!GC26,Feuil1!$A:$B,2,FALSE),"")</f>
        <v/>
      </c>
      <c r="FZ32" s="31" t="str">
        <f>IFERROR(VLOOKUP([2]Pointage!GD26,Feuil1!$A:$B,2,FALSE),"")</f>
        <v/>
      </c>
      <c r="GA32" s="31" t="str">
        <f>IFERROR(VLOOKUP([2]Pointage!GE26,Feuil1!$A:$B,2,FALSE),"")</f>
        <v/>
      </c>
      <c r="GB32" s="31" t="str">
        <f>IFERROR(VLOOKUP([2]Pointage!GF26,Feuil1!$A:$B,2,FALSE),"")</f>
        <v/>
      </c>
      <c r="GC32" s="31" t="str">
        <f>IFERROR(VLOOKUP([2]Pointage!GG26,Feuil1!$A:$B,2,FALSE),"")</f>
        <v/>
      </c>
      <c r="GD32" s="82" t="str">
        <f>IFERROR(VLOOKUP([2]Pointage!GH26,Feuil1!$A:$B,2,FALSE),"")</f>
        <v/>
      </c>
      <c r="GE32" s="47" t="str">
        <f>IFERROR(VLOOKUP([2]Pointage!GI26,Feuil1!$A:$B,2,FALSE),"")</f>
        <v/>
      </c>
      <c r="GF32" s="31" t="str">
        <f>IFERROR(VLOOKUP([2]Pointage!GJ26,Feuil1!$A:$B,2,FALSE),"")</f>
        <v/>
      </c>
      <c r="GG32" s="31" t="str">
        <f>IFERROR(VLOOKUP([2]Pointage!GK26,Feuil1!$A:$B,2,FALSE),"")</f>
        <v/>
      </c>
      <c r="GH32" s="31" t="str">
        <f>IFERROR(VLOOKUP([2]Pointage!GL26,Feuil1!$A:$B,2,FALSE),"")</f>
        <v/>
      </c>
      <c r="GI32" s="31" t="str">
        <f>IFERROR(VLOOKUP([2]Pointage!GM26,Feuil1!$A:$B,2,FALSE),"")</f>
        <v/>
      </c>
      <c r="GJ32" s="31" t="str">
        <f>IFERROR(VLOOKUP([2]Pointage!GN26,Feuil1!$A:$B,2,FALSE),"")</f>
        <v/>
      </c>
      <c r="GK32" s="31" t="str">
        <f>IFERROR(VLOOKUP([2]Pointage!GO26,Feuil1!$A:$B,2,FALSE),"")</f>
        <v/>
      </c>
      <c r="GL32" s="31" t="str">
        <f>IFERROR(VLOOKUP([2]Pointage!GP26,Feuil1!$A:$B,2,FALSE),"")</f>
        <v/>
      </c>
      <c r="GM32" s="31" t="str">
        <f>IFERROR(VLOOKUP([2]Pointage!GQ26,Feuil1!$A:$B,2,FALSE),"")</f>
        <v/>
      </c>
      <c r="GN32" s="31" t="str">
        <f>IFERROR(VLOOKUP([2]Pointage!GR26,Feuil1!$A:$B,2,FALSE),"")</f>
        <v/>
      </c>
      <c r="GO32" s="31" t="str">
        <f>IFERROR(VLOOKUP([2]Pointage!GS26,Feuil1!$A:$B,2,FALSE),"")</f>
        <v/>
      </c>
      <c r="GP32" s="31" t="str">
        <f>IFERROR(VLOOKUP([2]Pointage!GT26,Feuil1!$A:$B,2,FALSE),"")</f>
        <v/>
      </c>
      <c r="GQ32" s="31" t="str">
        <f>IFERROR(VLOOKUP([2]Pointage!GU26,Feuil1!$A:$B,2,FALSE),"")</f>
        <v/>
      </c>
      <c r="GR32" s="31" t="str">
        <f>IFERROR(VLOOKUP([2]Pointage!GV26,Feuil1!$A:$B,2,FALSE),"")</f>
        <v/>
      </c>
      <c r="GS32" s="31" t="str">
        <f>IFERROR(VLOOKUP([2]Pointage!GW26,Feuil1!$A:$B,2,FALSE),"")</f>
        <v/>
      </c>
      <c r="GT32" s="31" t="str">
        <f>IFERROR(VLOOKUP([2]Pointage!GX26,Feuil1!$A:$B,2,FALSE),"")</f>
        <v>C</v>
      </c>
      <c r="GU32" s="31" t="str">
        <f>IFERROR(VLOOKUP([2]Pointage!GY26,Feuil1!$A:$B,2,FALSE),"")</f>
        <v>C</v>
      </c>
      <c r="GV32" s="31" t="str">
        <f>IFERROR(VLOOKUP([2]Pointage!GZ26,Feuil1!$A:$B,2,FALSE),"")</f>
        <v>C</v>
      </c>
      <c r="GW32" s="31" t="str">
        <f>IFERROR(VLOOKUP([2]Pointage!HA26,Feuil1!$A:$B,2,FALSE),"")</f>
        <v>C</v>
      </c>
      <c r="GX32" s="31" t="str">
        <f>IFERROR(VLOOKUP([2]Pointage!HB26,Feuil1!$A:$B,2,FALSE),"")</f>
        <v>C</v>
      </c>
      <c r="GY32" s="31" t="str">
        <f>IFERROR(VLOOKUP([2]Pointage!HC26,Feuil1!$A:$B,2,FALSE),"")</f>
        <v/>
      </c>
      <c r="GZ32" s="31" t="str">
        <f>IFERROR(VLOOKUP([2]Pointage!HD26,Feuil1!$A:$B,2,FALSE),"")</f>
        <v/>
      </c>
      <c r="HA32" s="31" t="str">
        <f>IFERROR(VLOOKUP([2]Pointage!HE26,Feuil1!$A:$B,2,FALSE),"")</f>
        <v>C</v>
      </c>
      <c r="HB32" s="31" t="str">
        <f>IFERROR(VLOOKUP([2]Pointage!HF26,Feuil1!$A:$B,2,FALSE),"")</f>
        <v>C</v>
      </c>
      <c r="HC32" s="31" t="str">
        <f>IFERROR(VLOOKUP([2]Pointage!HG26,Feuil1!$A:$B,2,FALSE),"")</f>
        <v>C</v>
      </c>
      <c r="HD32" s="31" t="str">
        <f>IFERROR(VLOOKUP([2]Pointage!HH26,Feuil1!$A:$B,2,FALSE),"")</f>
        <v>C</v>
      </c>
      <c r="HE32" s="31" t="str">
        <f>IFERROR(VLOOKUP([2]Pointage!HI26,Feuil1!$A:$B,2,FALSE),"")</f>
        <v>C</v>
      </c>
      <c r="HF32" s="31" t="str">
        <f>IFERROR(VLOOKUP([2]Pointage!HJ26,Feuil1!$A:$B,2,FALSE),"")</f>
        <v/>
      </c>
      <c r="HG32" s="31" t="str">
        <f>IFERROR(VLOOKUP([2]Pointage!HK26,Feuil1!$A:$B,2,FALSE),"")</f>
        <v/>
      </c>
      <c r="HH32" s="31" t="str">
        <f>IFERROR(VLOOKUP([2]Pointage!HL26,Feuil1!$A:$B,2,FALSE),"")</f>
        <v>C</v>
      </c>
      <c r="HI32" s="82" t="str">
        <f>IFERROR(VLOOKUP([2]Pointage!HM26,Feuil1!$A:$B,2,FALSE),"")</f>
        <v>C</v>
      </c>
      <c r="HJ32" s="47" t="str">
        <f>IFERROR(VLOOKUP([2]Pointage!HN26,Feuil1!$A:$B,2,FALSE),"")</f>
        <v>C</v>
      </c>
      <c r="HK32" s="31" t="str">
        <f>IFERROR(VLOOKUP([2]Pointage!HO26,Feuil1!$A:$B,2,FALSE),"")</f>
        <v>C</v>
      </c>
      <c r="HL32" s="31" t="str">
        <f>IFERROR(VLOOKUP([2]Pointage!HP26,Feuil1!$A:$B,2,FALSE),"")</f>
        <v>C</v>
      </c>
      <c r="HM32" s="31" t="str">
        <f>IFERROR(VLOOKUP([2]Pointage!HQ26,Feuil1!$A:$B,2,FALSE),"")</f>
        <v/>
      </c>
      <c r="HN32" s="31" t="str">
        <f>IFERROR(VLOOKUP([2]Pointage!HR26,Feuil1!$A:$B,2,FALSE),"")</f>
        <v/>
      </c>
      <c r="HO32" s="31" t="str">
        <f>IFERROR(VLOOKUP([2]Pointage!HS26,Feuil1!$A:$B,2,FALSE),"")</f>
        <v/>
      </c>
      <c r="HP32" s="31" t="str">
        <f>IFERROR(VLOOKUP([2]Pointage!HT26,Feuil1!$A:$B,2,FALSE),"")</f>
        <v/>
      </c>
      <c r="HQ32" s="31" t="str">
        <f>IFERROR(VLOOKUP([2]Pointage!HU26,Feuil1!$A:$B,2,FALSE),"")</f>
        <v/>
      </c>
      <c r="HR32" s="31" t="str">
        <f>IFERROR(VLOOKUP([2]Pointage!HV26,Feuil1!$A:$B,2,FALSE),"")</f>
        <v/>
      </c>
      <c r="HS32" s="31" t="str">
        <f>IFERROR(VLOOKUP([2]Pointage!HW26,Feuil1!$A:$B,2,FALSE),"")</f>
        <v/>
      </c>
      <c r="HT32" s="31" t="str">
        <f>IFERROR(VLOOKUP([2]Pointage!HX26,Feuil1!$A:$B,2,FALSE),"")</f>
        <v/>
      </c>
      <c r="HU32" s="31" t="str">
        <f>IFERROR(VLOOKUP([2]Pointage!HY26,Feuil1!$A:$B,2,FALSE),"")</f>
        <v/>
      </c>
      <c r="HV32" s="31" t="str">
        <f>IFERROR(VLOOKUP([2]Pointage!HZ26,Feuil1!$A:$B,2,FALSE),"")</f>
        <v/>
      </c>
      <c r="HW32" s="31" t="str">
        <f>IFERROR(VLOOKUP([2]Pointage!IA26,Feuil1!$A:$B,2,FALSE),"")</f>
        <v/>
      </c>
      <c r="HX32" s="31" t="str">
        <f>IFERROR(VLOOKUP([2]Pointage!IB26,Feuil1!$A:$B,2,FALSE),"")</f>
        <v/>
      </c>
      <c r="HY32" s="31" t="str">
        <f>IFERROR(VLOOKUP([2]Pointage!IC26,Feuil1!$A:$B,2,FALSE),"")</f>
        <v/>
      </c>
      <c r="HZ32" s="31" t="str">
        <f>IFERROR(VLOOKUP([2]Pointage!ID26,Feuil1!$A:$B,2,FALSE),"")</f>
        <v/>
      </c>
      <c r="IA32" s="31" t="str">
        <f>IFERROR(VLOOKUP([2]Pointage!IE26,Feuil1!$A:$B,2,FALSE),"")</f>
        <v/>
      </c>
      <c r="IB32" s="31" t="str">
        <f>IFERROR(VLOOKUP([2]Pointage!IF26,Feuil1!$A:$B,2,FALSE),"")</f>
        <v/>
      </c>
      <c r="IC32" s="31" t="str">
        <f>IFERROR(VLOOKUP([2]Pointage!IG26,Feuil1!$A:$B,2,FALSE),"")</f>
        <v/>
      </c>
      <c r="ID32" s="31" t="str">
        <f>IFERROR(VLOOKUP([2]Pointage!IH26,Feuil1!$A:$B,2,FALSE),"")</f>
        <v/>
      </c>
      <c r="IE32" s="31" t="str">
        <f>IFERROR(VLOOKUP([2]Pointage!II26,Feuil1!$A:$B,2,FALSE),"")</f>
        <v/>
      </c>
      <c r="IF32" s="31" t="str">
        <f>IFERROR(VLOOKUP([2]Pointage!IJ26,Feuil1!$A:$B,2,FALSE),"")</f>
        <v/>
      </c>
      <c r="IG32" s="31" t="str">
        <f>IFERROR(VLOOKUP([2]Pointage!IK26,Feuil1!$A:$B,2,FALSE),"")</f>
        <v/>
      </c>
      <c r="IH32" s="31" t="str">
        <f>IFERROR(VLOOKUP([2]Pointage!IL26,Feuil1!$A:$B,2,FALSE),"")</f>
        <v/>
      </c>
      <c r="II32" s="31" t="str">
        <f>IFERROR(VLOOKUP([2]Pointage!IM26,Feuil1!$A:$B,2,FALSE),"")</f>
        <v/>
      </c>
      <c r="IJ32" s="31" t="str">
        <f>IFERROR(VLOOKUP([2]Pointage!IN26,Feuil1!$A:$B,2,FALSE),"")</f>
        <v/>
      </c>
      <c r="IK32" s="31" t="str">
        <f>IFERROR(VLOOKUP([2]Pointage!IO26,Feuil1!$A:$B,2,FALSE),"")</f>
        <v/>
      </c>
      <c r="IL32" s="31" t="str">
        <f>IFERROR(VLOOKUP([2]Pointage!IP26,Feuil1!$A:$B,2,FALSE),"")</f>
        <v/>
      </c>
      <c r="IM32" s="31" t="str">
        <f>IFERROR(VLOOKUP([2]Pointage!IQ26,Feuil1!$A:$B,2,FALSE),"")</f>
        <v/>
      </c>
      <c r="IN32" s="82" t="str">
        <f>IFERROR(VLOOKUP([2]Pointage!IR26,Feuil1!$A:$B,2,FALSE),"")</f>
        <v/>
      </c>
      <c r="IO32" s="47" t="str">
        <f>IFERROR(VLOOKUP([2]Pointage!IS26,Feuil1!$A:$B,2,FALSE),"")</f>
        <v/>
      </c>
      <c r="IP32" s="31" t="str">
        <f>IFERROR(VLOOKUP([2]Pointage!IT26,Feuil1!$A:$B,2,FALSE),"")</f>
        <v/>
      </c>
      <c r="IQ32" s="31" t="str">
        <f>IFERROR(VLOOKUP([2]Pointage!IU26,Feuil1!$A:$B,2,FALSE),"")</f>
        <v/>
      </c>
      <c r="IR32" s="31" t="str">
        <f>IFERROR(VLOOKUP([2]Pointage!IV26,Feuil1!$A:$B,2,FALSE),"")</f>
        <v/>
      </c>
      <c r="IS32" s="31" t="str">
        <f>IFERROR(VLOOKUP([2]Pointage!IW26,Feuil1!$A:$B,2,FALSE),"")</f>
        <v/>
      </c>
      <c r="IT32" s="31" t="str">
        <f>IFERROR(VLOOKUP([2]Pointage!IX26,Feuil1!$A:$B,2,FALSE),"")</f>
        <v/>
      </c>
      <c r="IU32" s="31" t="str">
        <f>IFERROR(VLOOKUP([2]Pointage!IY26,Feuil1!$A:$B,2,FALSE),"")</f>
        <v/>
      </c>
      <c r="IV32" s="31" t="str">
        <f>IFERROR(VLOOKUP([2]Pointage!IZ26,Feuil1!$A:$B,2,FALSE),"")</f>
        <v/>
      </c>
      <c r="IW32" s="31" t="str">
        <f>IFERROR(VLOOKUP([2]Pointage!JA26,Feuil1!$A:$B,2,FALSE),"")</f>
        <v/>
      </c>
      <c r="IX32" s="31" t="str">
        <f>IFERROR(VLOOKUP([2]Pointage!JB26,Feuil1!$A:$B,2,FALSE),"")</f>
        <v/>
      </c>
      <c r="IY32" s="31" t="str">
        <f>IFERROR(VLOOKUP([2]Pointage!JC26,Feuil1!$A:$B,2,FALSE),"")</f>
        <v/>
      </c>
      <c r="IZ32" s="31" t="str">
        <f>IFERROR(VLOOKUP([2]Pointage!JD26,Feuil1!$A:$B,2,FALSE),"")</f>
        <v/>
      </c>
      <c r="JA32" s="31" t="str">
        <f>IFERROR(VLOOKUP([2]Pointage!JE26,Feuil1!$A:$B,2,FALSE),"")</f>
        <v/>
      </c>
      <c r="JB32" s="31" t="str">
        <f>IFERROR(VLOOKUP([2]Pointage!JF26,Feuil1!$A:$B,2,FALSE),"")</f>
        <v/>
      </c>
      <c r="JC32" s="31" t="str">
        <f>IFERROR(VLOOKUP([2]Pointage!JG26,Feuil1!$A:$B,2,FALSE),"")</f>
        <v/>
      </c>
      <c r="JD32" s="31" t="str">
        <f>IFERROR(VLOOKUP([2]Pointage!JH26,Feuil1!$A:$B,2,FALSE),"")</f>
        <v/>
      </c>
      <c r="JE32" s="31" t="str">
        <f>IFERROR(VLOOKUP([2]Pointage!JI26,Feuil1!$A:$B,2,FALSE),"")</f>
        <v/>
      </c>
      <c r="JF32" s="31" t="str">
        <f>IFERROR(VLOOKUP([2]Pointage!JJ26,Feuil1!$A:$B,2,FALSE),"")</f>
        <v/>
      </c>
      <c r="JG32" s="31" t="str">
        <f>IFERROR(VLOOKUP([2]Pointage!JK26,Feuil1!$A:$B,2,FALSE),"")</f>
        <v/>
      </c>
      <c r="JH32" s="31" t="str">
        <f>IFERROR(VLOOKUP([2]Pointage!JL26,Feuil1!$A:$B,2,FALSE),"")</f>
        <v/>
      </c>
      <c r="JI32" s="31" t="str">
        <f>IFERROR(VLOOKUP([2]Pointage!JM26,Feuil1!$A:$B,2,FALSE),"")</f>
        <v/>
      </c>
      <c r="JJ32" s="31" t="str">
        <f>IFERROR(VLOOKUP([2]Pointage!JN26,Feuil1!$A:$B,2,FALSE),"")</f>
        <v/>
      </c>
      <c r="JK32" s="31" t="str">
        <f>IFERROR(VLOOKUP([2]Pointage!JO26,Feuil1!$A:$B,2,FALSE),"")</f>
        <v/>
      </c>
      <c r="JL32" s="31" t="str">
        <f>IFERROR(VLOOKUP([2]Pointage!JP26,Feuil1!$A:$B,2,FALSE),"")</f>
        <v/>
      </c>
      <c r="JM32" s="31" t="str">
        <f>IFERROR(VLOOKUP([2]Pointage!JQ26,Feuil1!$A:$B,2,FALSE),"")</f>
        <v/>
      </c>
      <c r="JN32" s="31" t="str">
        <f>IFERROR(VLOOKUP([2]Pointage!JR26,Feuil1!$A:$B,2,FALSE),"")</f>
        <v/>
      </c>
      <c r="JO32" s="31" t="str">
        <f>IFERROR(VLOOKUP([2]Pointage!JS26,Feuil1!$A:$B,2,FALSE),"")</f>
        <v/>
      </c>
      <c r="JP32" s="31" t="str">
        <f>IFERROR(VLOOKUP([2]Pointage!JT26,Feuil1!$A:$B,2,FALSE),"")</f>
        <v/>
      </c>
      <c r="JQ32" s="31" t="str">
        <f>IFERROR(VLOOKUP([2]Pointage!JU26,Feuil1!$A:$B,2,FALSE),"")</f>
        <v/>
      </c>
      <c r="JR32" s="82" t="str">
        <f>IFERROR(VLOOKUP([2]Pointage!JV26,Feuil1!$A:$B,2,FALSE),"")</f>
        <v/>
      </c>
      <c r="JS32" s="47" t="str">
        <f>IFERROR(VLOOKUP([2]Pointage!JW26,Feuil1!$A:$B,2,FALSE),"")</f>
        <v/>
      </c>
      <c r="JT32" s="31" t="str">
        <f>IFERROR(VLOOKUP([2]Pointage!JX26,Feuil1!$A:$B,2,FALSE),"")</f>
        <v/>
      </c>
      <c r="JU32" s="31" t="str">
        <f>IFERROR(VLOOKUP([2]Pointage!JY26,Feuil1!$A:$B,2,FALSE),"")</f>
        <v/>
      </c>
      <c r="JV32" s="31" t="str">
        <f>IFERROR(VLOOKUP([2]Pointage!JZ26,Feuil1!$A:$B,2,FALSE),"")</f>
        <v/>
      </c>
      <c r="JW32" s="31" t="str">
        <f>IFERROR(VLOOKUP([2]Pointage!KA26,Feuil1!$A:$B,2,FALSE),"")</f>
        <v/>
      </c>
      <c r="JX32" s="31" t="str">
        <f>IFERROR(VLOOKUP([2]Pointage!KB26,Feuil1!$A:$B,2,FALSE),"")</f>
        <v/>
      </c>
      <c r="JY32" s="31" t="str">
        <f>IFERROR(VLOOKUP([2]Pointage!KC26,Feuil1!$A:$B,2,FALSE),"")</f>
        <v/>
      </c>
      <c r="JZ32" s="31" t="str">
        <f>IFERROR(VLOOKUP([2]Pointage!KD26,Feuil1!$A:$B,2,FALSE),"")</f>
        <v/>
      </c>
      <c r="KA32" s="31" t="str">
        <f>IFERROR(VLOOKUP([2]Pointage!KE26,Feuil1!$A:$B,2,FALSE),"")</f>
        <v/>
      </c>
      <c r="KB32" s="31" t="str">
        <f>IFERROR(VLOOKUP([2]Pointage!KF26,Feuil1!$A:$B,2,FALSE),"")</f>
        <v/>
      </c>
      <c r="KC32" s="31" t="str">
        <f>IFERROR(VLOOKUP([2]Pointage!KG26,Feuil1!$A:$B,2,FALSE),"")</f>
        <v/>
      </c>
      <c r="KD32" s="31" t="str">
        <f>IFERROR(VLOOKUP([2]Pointage!KH26,Feuil1!$A:$B,2,FALSE),"")</f>
        <v/>
      </c>
      <c r="KE32" s="31" t="str">
        <f>IFERROR(VLOOKUP([2]Pointage!KI26,Feuil1!$A:$B,2,FALSE),"")</f>
        <v/>
      </c>
      <c r="KF32" s="31" t="str">
        <f>IFERROR(VLOOKUP([2]Pointage!KJ26,Feuil1!$A:$B,2,FALSE),"")</f>
        <v/>
      </c>
      <c r="KG32" s="31" t="str">
        <f>IFERROR(VLOOKUP([2]Pointage!KK26,Feuil1!$A:$B,2,FALSE),"")</f>
        <v/>
      </c>
      <c r="KH32" s="31" t="str">
        <f>IFERROR(VLOOKUP([2]Pointage!KL26,Feuil1!$A:$B,2,FALSE),"")</f>
        <v/>
      </c>
      <c r="KI32" s="31" t="str">
        <f>IFERROR(VLOOKUP([2]Pointage!KM26,Feuil1!$A:$B,2,FALSE),"")</f>
        <v/>
      </c>
      <c r="KJ32" s="31" t="str">
        <f>IFERROR(VLOOKUP([2]Pointage!KN26,Feuil1!$A:$B,2,FALSE),"")</f>
        <v/>
      </c>
      <c r="KK32" s="31" t="str">
        <f>IFERROR(VLOOKUP([2]Pointage!KO26,Feuil1!$A:$B,2,FALSE),"")</f>
        <v/>
      </c>
      <c r="KL32" s="31" t="str">
        <f>IFERROR(VLOOKUP([2]Pointage!KP26,Feuil1!$A:$B,2,FALSE),"")</f>
        <v/>
      </c>
      <c r="KM32" s="31" t="str">
        <f>IFERROR(VLOOKUP([2]Pointage!KQ26,Feuil1!$A:$B,2,FALSE),"")</f>
        <v/>
      </c>
      <c r="KN32" s="31" t="str">
        <f>IFERROR(VLOOKUP([2]Pointage!KR26,Feuil1!$A:$B,2,FALSE),"")</f>
        <v/>
      </c>
      <c r="KO32" s="31" t="str">
        <f>IFERROR(VLOOKUP([2]Pointage!KS26,Feuil1!$A:$B,2,FALSE),"")</f>
        <v/>
      </c>
      <c r="KP32" s="31" t="str">
        <f>IFERROR(VLOOKUP([2]Pointage!KT26,Feuil1!$A:$B,2,FALSE),"")</f>
        <v/>
      </c>
      <c r="KQ32" s="31" t="str">
        <f>IFERROR(VLOOKUP([2]Pointage!KU26,Feuil1!$A:$B,2,FALSE),"")</f>
        <v/>
      </c>
      <c r="KR32" s="31" t="str">
        <f>IFERROR(VLOOKUP([2]Pointage!KV26,Feuil1!$A:$B,2,FALSE),"")</f>
        <v/>
      </c>
      <c r="KS32" s="31" t="str">
        <f>IFERROR(VLOOKUP([2]Pointage!KW26,Feuil1!$A:$B,2,FALSE),"")</f>
        <v/>
      </c>
      <c r="KT32" s="31" t="str">
        <f>IFERROR(VLOOKUP([2]Pointage!KX26,Feuil1!$A:$B,2,FALSE),"")</f>
        <v/>
      </c>
      <c r="KU32" s="31" t="str">
        <f>IFERROR(VLOOKUP([2]Pointage!KY26,Feuil1!$A:$B,2,FALSE),"")</f>
        <v/>
      </c>
      <c r="KV32" s="31" t="str">
        <f>IFERROR(VLOOKUP([2]Pointage!KZ26,Feuil1!$A:$B,2,FALSE),"")</f>
        <v/>
      </c>
      <c r="KW32" s="82" t="str">
        <f>IFERROR(VLOOKUP([2]Pointage!LA26,Feuil1!$A:$B,2,FALSE),"")</f>
        <v/>
      </c>
      <c r="KX32" s="47" t="str">
        <f>IFERROR(VLOOKUP([2]Pointage!LB26,Feuil1!$A:$B,2,FALSE),"")</f>
        <v/>
      </c>
      <c r="KY32" s="31" t="str">
        <f>IFERROR(VLOOKUP([2]Pointage!LC26,Feuil1!$A:$B,2,FALSE),"")</f>
        <v/>
      </c>
      <c r="KZ32" s="31" t="str">
        <f>IFERROR(VLOOKUP([2]Pointage!LD26,Feuil1!$A:$B,2,FALSE),"")</f>
        <v/>
      </c>
      <c r="LA32" s="31" t="str">
        <f>IFERROR(VLOOKUP([2]Pointage!LE26,Feuil1!$A:$B,2,FALSE),"")</f>
        <v/>
      </c>
      <c r="LB32" s="31" t="str">
        <f>IFERROR(VLOOKUP([2]Pointage!LF26,Feuil1!$A:$B,2,FALSE),"")</f>
        <v/>
      </c>
      <c r="LC32" s="31" t="str">
        <f>IFERROR(VLOOKUP([2]Pointage!LG26,Feuil1!$A:$B,2,FALSE),"")</f>
        <v/>
      </c>
      <c r="LD32" s="31" t="str">
        <f>IFERROR(VLOOKUP([2]Pointage!LH26,Feuil1!$A:$B,2,FALSE),"")</f>
        <v/>
      </c>
      <c r="LE32" s="31" t="str">
        <f>IFERROR(VLOOKUP([2]Pointage!LI26,Feuil1!$A:$B,2,FALSE),"")</f>
        <v/>
      </c>
      <c r="LF32" s="31" t="str">
        <f>IFERROR(VLOOKUP([2]Pointage!LJ26,Feuil1!$A:$B,2,FALSE),"")</f>
        <v/>
      </c>
      <c r="LG32" s="31" t="str">
        <f>IFERROR(VLOOKUP([2]Pointage!LK26,Feuil1!$A:$B,2,FALSE),"")</f>
        <v/>
      </c>
      <c r="LH32" s="31" t="str">
        <f>IFERROR(VLOOKUP([2]Pointage!LL26,Feuil1!$A:$B,2,FALSE),"")</f>
        <v/>
      </c>
      <c r="LI32" s="31" t="str">
        <f>IFERROR(VLOOKUP([2]Pointage!LM26,Feuil1!$A:$B,2,FALSE),"")</f>
        <v/>
      </c>
      <c r="LJ32" s="31" t="str">
        <f>IFERROR(VLOOKUP([2]Pointage!LN26,Feuil1!$A:$B,2,FALSE),"")</f>
        <v/>
      </c>
      <c r="LK32" s="31" t="str">
        <f>IFERROR(VLOOKUP([2]Pointage!LO26,Feuil1!$A:$B,2,FALSE),"")</f>
        <v/>
      </c>
      <c r="LL32" s="31" t="str">
        <f>IFERROR(VLOOKUP([2]Pointage!LP26,Feuil1!$A:$B,2,FALSE),"")</f>
        <v/>
      </c>
      <c r="LM32" s="31" t="str">
        <f>IFERROR(VLOOKUP([2]Pointage!LQ26,Feuil1!$A:$B,2,FALSE),"")</f>
        <v/>
      </c>
      <c r="LN32" s="31" t="str">
        <f>IFERROR(VLOOKUP([2]Pointage!LR26,Feuil1!$A:$B,2,FALSE),"")</f>
        <v/>
      </c>
      <c r="LO32" s="31" t="str">
        <f>IFERROR(VLOOKUP([2]Pointage!LS26,Feuil1!$A:$B,2,FALSE),"")</f>
        <v/>
      </c>
      <c r="LP32" s="31" t="str">
        <f>IFERROR(VLOOKUP([2]Pointage!LT26,Feuil1!$A:$B,2,FALSE),"")</f>
        <v/>
      </c>
      <c r="LQ32" s="31" t="str">
        <f>IFERROR(VLOOKUP([2]Pointage!LU26,Feuil1!$A:$B,2,FALSE),"")</f>
        <v/>
      </c>
      <c r="LR32" s="31" t="str">
        <f>IFERROR(VLOOKUP([2]Pointage!LV26,Feuil1!$A:$B,2,FALSE),"")</f>
        <v/>
      </c>
      <c r="LS32" s="31" t="str">
        <f>IFERROR(VLOOKUP([2]Pointage!LW26,Feuil1!$A:$B,2,FALSE),"")</f>
        <v/>
      </c>
      <c r="LT32" s="31" t="str">
        <f>IFERROR(VLOOKUP([2]Pointage!LX26,Feuil1!$A:$B,2,FALSE),"")</f>
        <v/>
      </c>
      <c r="LU32" s="31" t="str">
        <f>IFERROR(VLOOKUP([2]Pointage!LY26,Feuil1!$A:$B,2,FALSE),"")</f>
        <v/>
      </c>
      <c r="LV32" s="31" t="str">
        <f>IFERROR(VLOOKUP([2]Pointage!LZ26,Feuil1!$A:$B,2,FALSE),"")</f>
        <v/>
      </c>
      <c r="LW32" s="31" t="str">
        <f>IFERROR(VLOOKUP([2]Pointage!MA26,Feuil1!$A:$B,2,FALSE),"")</f>
        <v/>
      </c>
      <c r="LX32" s="31" t="str">
        <f>IFERROR(VLOOKUP([2]Pointage!MB26,Feuil1!$A:$B,2,FALSE),"")</f>
        <v/>
      </c>
      <c r="LY32" s="31" t="str">
        <f>IFERROR(VLOOKUP([2]Pointage!MC26,Feuil1!$A:$B,2,FALSE),"")</f>
        <v/>
      </c>
      <c r="LZ32" s="31" t="str">
        <f>IFERROR(VLOOKUP([2]Pointage!MD26,Feuil1!$A:$B,2,FALSE),"")</f>
        <v/>
      </c>
      <c r="MA32" s="82" t="str">
        <f>IFERROR(VLOOKUP([2]Pointage!ME26,Feuil1!$A:$B,2,FALSE),"")</f>
        <v/>
      </c>
      <c r="MB32" s="47" t="str">
        <f>IFERROR(VLOOKUP([2]Pointage!MF26,Feuil1!$A:$B,2,FALSE),"")</f>
        <v/>
      </c>
      <c r="MC32" s="31" t="str">
        <f>IFERROR(VLOOKUP([2]Pointage!MG26,Feuil1!$A:$B,2,FALSE),"")</f>
        <v/>
      </c>
      <c r="MD32" s="31" t="str">
        <f>IFERROR(VLOOKUP([2]Pointage!MH26,Feuil1!$A:$B,2,FALSE),"")</f>
        <v/>
      </c>
      <c r="ME32" s="31" t="str">
        <f>IFERROR(VLOOKUP([2]Pointage!MI26,Feuil1!$A:$B,2,FALSE),"")</f>
        <v/>
      </c>
      <c r="MF32" s="31" t="str">
        <f>IFERROR(VLOOKUP([2]Pointage!MJ26,Feuil1!$A:$B,2,FALSE),"")</f>
        <v/>
      </c>
      <c r="MG32" s="31" t="str">
        <f>IFERROR(VLOOKUP([2]Pointage!MK26,Feuil1!$A:$B,2,FALSE),"")</f>
        <v/>
      </c>
      <c r="MH32" s="31" t="str">
        <f>IFERROR(VLOOKUP([2]Pointage!ML26,Feuil1!$A:$B,2,FALSE),"")</f>
        <v/>
      </c>
      <c r="MI32" s="31" t="str">
        <f>IFERROR(VLOOKUP([2]Pointage!MM26,Feuil1!$A:$B,2,FALSE),"")</f>
        <v/>
      </c>
      <c r="MJ32" s="31" t="str">
        <f>IFERROR(VLOOKUP([2]Pointage!MN26,Feuil1!$A:$B,2,FALSE),"")</f>
        <v/>
      </c>
      <c r="MK32" s="31" t="str">
        <f>IFERROR(VLOOKUP([2]Pointage!MO26,Feuil1!$A:$B,2,FALSE),"")</f>
        <v/>
      </c>
      <c r="ML32" s="31" t="str">
        <f>IFERROR(VLOOKUP([2]Pointage!MP26,Feuil1!$A:$B,2,FALSE),"")</f>
        <v/>
      </c>
      <c r="MM32" s="31" t="str">
        <f>IFERROR(VLOOKUP([2]Pointage!MQ26,Feuil1!$A:$B,2,FALSE),"")</f>
        <v/>
      </c>
      <c r="MN32" s="31" t="str">
        <f>IFERROR(VLOOKUP([2]Pointage!MR26,Feuil1!$A:$B,2,FALSE),"")</f>
        <v/>
      </c>
      <c r="MO32" s="31" t="str">
        <f>IFERROR(VLOOKUP([2]Pointage!MS26,Feuil1!$A:$B,2,FALSE),"")</f>
        <v/>
      </c>
      <c r="MP32" s="31" t="str">
        <f>IFERROR(VLOOKUP([2]Pointage!MT26,Feuil1!$A:$B,2,FALSE),"")</f>
        <v/>
      </c>
      <c r="MQ32" s="31" t="str">
        <f>IFERROR(VLOOKUP([2]Pointage!MU26,Feuil1!$A:$B,2,FALSE),"")</f>
        <v/>
      </c>
      <c r="MR32" s="31" t="str">
        <f>IFERROR(VLOOKUP([2]Pointage!MV26,Feuil1!$A:$B,2,FALSE),"")</f>
        <v/>
      </c>
      <c r="MS32" s="31" t="str">
        <f>IFERROR(VLOOKUP([2]Pointage!MW26,Feuil1!$A:$B,2,FALSE),"")</f>
        <v/>
      </c>
      <c r="MT32" s="31" t="str">
        <f>IFERROR(VLOOKUP([2]Pointage!MX26,Feuil1!$A:$B,2,FALSE),"")</f>
        <v/>
      </c>
      <c r="MU32" s="31" t="str">
        <f>IFERROR(VLOOKUP([2]Pointage!MY26,Feuil1!$A:$B,2,FALSE),"")</f>
        <v/>
      </c>
      <c r="MV32" s="31" t="str">
        <f>IFERROR(VLOOKUP([2]Pointage!MZ26,Feuil1!$A:$B,2,FALSE),"")</f>
        <v/>
      </c>
      <c r="MW32" s="31" t="str">
        <f>IFERROR(VLOOKUP([2]Pointage!NA26,Feuil1!$A:$B,2,FALSE),"")</f>
        <v/>
      </c>
      <c r="MX32" s="31" t="str">
        <f>IFERROR(VLOOKUP([2]Pointage!NB26,Feuil1!$A:$B,2,FALSE),"")</f>
        <v/>
      </c>
      <c r="MY32" s="31" t="str">
        <f>IFERROR(VLOOKUP([2]Pointage!NC26,Feuil1!$A:$B,2,FALSE),"")</f>
        <v/>
      </c>
      <c r="MZ32" s="31" t="str">
        <f>IFERROR(VLOOKUP([2]Pointage!ND26,Feuil1!$A:$B,2,FALSE),"")</f>
        <v/>
      </c>
      <c r="NA32" s="31" t="str">
        <f>IFERROR(VLOOKUP([2]Pointage!NE26,Feuil1!$A:$B,2,FALSE),"")</f>
        <v/>
      </c>
      <c r="NB32" s="31" t="str">
        <f>IFERROR(VLOOKUP([2]Pointage!NF26,Feuil1!$A:$B,2,FALSE),"")</f>
        <v/>
      </c>
      <c r="NC32" s="31" t="str">
        <f>IFERROR(VLOOKUP([2]Pointage!NG26,Feuil1!$A:$B,2,FALSE),"")</f>
        <v/>
      </c>
      <c r="ND32" s="31" t="str">
        <f>IFERROR(VLOOKUP([2]Pointage!NH26,Feuil1!$A:$B,2,FALSE),"")</f>
        <v/>
      </c>
      <c r="NE32" s="31" t="str">
        <f>IFERROR(VLOOKUP([2]Pointage!NI26,Feuil1!$A:$B,2,FALSE),"")</f>
        <v/>
      </c>
      <c r="NF32" s="48" t="str">
        <f>IFERROR(VLOOKUP([2]Pointage!NJ26,Feuil1!$A:$B,2,FALSE),"")</f>
        <v/>
      </c>
      <c r="NG32" s="52">
        <f>COUNTIF(Global!F32:NF32,"RTT")+(COUNTIF(Global!F32:NF32,"dRTT")/2)</f>
        <v>1</v>
      </c>
      <c r="NH32" s="42">
        <f>COUNTIF(Global!F32:NF32,"C")+(COUNTIF(Global!F32:NF32,"DC")/2)</f>
        <v>33.5</v>
      </c>
      <c r="NI32" s="42">
        <f>COUNTIF(Global!F32:NF32,"M")</f>
        <v>0</v>
      </c>
      <c r="NJ32" s="42">
        <f>COUNTIF(Global!G32:NG32,"AT")</f>
        <v>0</v>
      </c>
      <c r="NK32" s="42">
        <f>COUNTIF(Global!F32:NF32,"RD")</f>
        <v>0</v>
      </c>
      <c r="NL32" s="42">
        <f>COUNTIF(Global!F32:NF32,"RC")+(COUNTIF(Global!F32:NF32,"dRC")/2)</f>
        <v>0</v>
      </c>
      <c r="NM32" s="68">
        <f t="shared" ca="1" si="0"/>
        <v>4.0273972602739727</v>
      </c>
      <c r="NT32" s="33"/>
      <c r="NU32" s="33"/>
      <c r="NV32" s="28"/>
      <c r="NW32" s="28"/>
      <c r="NX32" s="29">
        <f>COUNTIF(F32:NF32,"C")++(COUNTIF(Global!F32:NF32,"DC")/2)</f>
        <v>33.5</v>
      </c>
      <c r="NY32" s="29"/>
      <c r="NZ32" s="29"/>
      <c r="OA32" s="29"/>
      <c r="OB32" s="29">
        <f>COUNTIF(Global!F32:NF32,"M")</f>
        <v>0</v>
      </c>
      <c r="OC32" s="30">
        <f t="shared" si="1"/>
        <v>-33.5</v>
      </c>
      <c r="OD32" s="30"/>
    </row>
    <row r="33" spans="1:394" ht="30" customHeight="1" x14ac:dyDescent="0.2">
      <c r="A33" s="13" t="s">
        <v>89</v>
      </c>
      <c r="B33" s="22" t="s">
        <v>202</v>
      </c>
      <c r="C33" s="22" t="s">
        <v>172</v>
      </c>
      <c r="D33" s="22" t="s">
        <v>203</v>
      </c>
      <c r="E33" s="44">
        <v>0</v>
      </c>
      <c r="F33" s="47" t="str">
        <f>IFERROR(VLOOKUP([2]Pointage!J27,Feuil1!$A:$B,2,FALSE),"")</f>
        <v/>
      </c>
      <c r="G33" s="31" t="str">
        <f>IFERROR(VLOOKUP([2]Pointage!K27,Feuil1!$A:$B,2,FALSE),"")</f>
        <v/>
      </c>
      <c r="H33" s="31" t="str">
        <f>IFERROR(VLOOKUP([2]Pointage!L27,Feuil1!$A:$B,2,FALSE),"")</f>
        <v/>
      </c>
      <c r="I33" s="31" t="str">
        <f>IFERROR(VLOOKUP([2]Pointage!M27,Feuil1!$A:$B,2,FALSE),"")</f>
        <v>M</v>
      </c>
      <c r="J33" s="31" t="str">
        <f>IFERROR(VLOOKUP([2]Pointage!N27,Feuil1!$A:$B,2,FALSE),"")</f>
        <v>M</v>
      </c>
      <c r="K33" s="31" t="str">
        <f>IFERROR(VLOOKUP([2]Pointage!O27,Feuil1!$A:$B,2,FALSE),"")</f>
        <v>M</v>
      </c>
      <c r="L33" s="31" t="str">
        <f>IFERROR(VLOOKUP([2]Pointage!P27,Feuil1!$A:$B,2,FALSE),"")</f>
        <v>M</v>
      </c>
      <c r="M33" s="31" t="str">
        <f>IFERROR(VLOOKUP([2]Pointage!Q27,Feuil1!$A:$B,2,FALSE),"")</f>
        <v/>
      </c>
      <c r="N33" s="31" t="str">
        <f>IFERROR(VLOOKUP([2]Pointage!R27,Feuil1!$A:$B,2,FALSE),"")</f>
        <v/>
      </c>
      <c r="O33" s="31" t="str">
        <f>IFERROR(VLOOKUP([2]Pointage!S27,Feuil1!$A:$B,2,FALSE),"")</f>
        <v/>
      </c>
      <c r="P33" s="31" t="str">
        <f>IFERROR(VLOOKUP([2]Pointage!T27,Feuil1!$A:$B,2,FALSE),"")</f>
        <v/>
      </c>
      <c r="Q33" s="31" t="str">
        <f>IFERROR(VLOOKUP([2]Pointage!U27,Feuil1!$A:$B,2,FALSE),"")</f>
        <v/>
      </c>
      <c r="R33" s="31" t="str">
        <f>IFERROR(VLOOKUP([2]Pointage!V27,Feuil1!$A:$B,2,FALSE),"")</f>
        <v/>
      </c>
      <c r="S33" s="31" t="str">
        <f>IFERROR(VLOOKUP([2]Pointage!W27,Feuil1!$A:$B,2,FALSE),"")</f>
        <v/>
      </c>
      <c r="T33" s="31" t="str">
        <f>IFERROR(VLOOKUP([2]Pointage!X27,Feuil1!$A:$B,2,FALSE),"")</f>
        <v/>
      </c>
      <c r="U33" s="31" t="str">
        <f>IFERROR(VLOOKUP([2]Pointage!Y27,Feuil1!$A:$B,2,FALSE),"")</f>
        <v/>
      </c>
      <c r="V33" s="31" t="str">
        <f>IFERROR(VLOOKUP([2]Pointage!Z27,Feuil1!$A:$B,2,FALSE),"")</f>
        <v/>
      </c>
      <c r="W33" s="31" t="str">
        <f>IFERROR(VLOOKUP([2]Pointage!AA27,Feuil1!$A:$B,2,FALSE),"")</f>
        <v/>
      </c>
      <c r="X33" s="31" t="str">
        <f>IFERROR(VLOOKUP([2]Pointage!AB27,Feuil1!$A:$B,2,FALSE),"")</f>
        <v/>
      </c>
      <c r="Y33" s="31" t="str">
        <f>IFERROR(VLOOKUP([2]Pointage!AC27,Feuil1!$A:$B,2,FALSE),"")</f>
        <v/>
      </c>
      <c r="Z33" s="31" t="str">
        <f>IFERROR(VLOOKUP([2]Pointage!AD27,Feuil1!$A:$B,2,FALSE),"")</f>
        <v/>
      </c>
      <c r="AA33" s="31" t="str">
        <f>IFERROR(VLOOKUP([2]Pointage!AE27,Feuil1!$A:$B,2,FALSE),"")</f>
        <v/>
      </c>
      <c r="AB33" s="31" t="str">
        <f>IFERROR(VLOOKUP([2]Pointage!AF27,Feuil1!$A:$B,2,FALSE),"")</f>
        <v/>
      </c>
      <c r="AC33" s="31" t="str">
        <f>IFERROR(VLOOKUP([2]Pointage!AG27,Feuil1!$A:$B,2,FALSE),"")</f>
        <v/>
      </c>
      <c r="AD33" s="31" t="str">
        <f>IFERROR(VLOOKUP([2]Pointage!AH27,Feuil1!$A:$B,2,FALSE),"")</f>
        <v/>
      </c>
      <c r="AE33" s="31" t="str">
        <f>IFERROR(VLOOKUP([2]Pointage!AI27,Feuil1!$A:$B,2,FALSE),"")</f>
        <v/>
      </c>
      <c r="AF33" s="31" t="str">
        <f>IFERROR(VLOOKUP([2]Pointage!AJ27,Feuil1!$A:$B,2,FALSE),"")</f>
        <v/>
      </c>
      <c r="AG33" s="31" t="str">
        <f>IFERROR(VLOOKUP([2]Pointage!AK27,Feuil1!$A:$B,2,FALSE),"")</f>
        <v/>
      </c>
      <c r="AH33" s="31" t="str">
        <f>IFERROR(VLOOKUP([2]Pointage!AL27,Feuil1!$A:$B,2,FALSE),"")</f>
        <v/>
      </c>
      <c r="AI33" s="31" t="str">
        <f>IFERROR(VLOOKUP([2]Pointage!AM27,Feuil1!$A:$B,2,FALSE),"")</f>
        <v/>
      </c>
      <c r="AJ33" s="82" t="str">
        <f>IFERROR(VLOOKUP([2]Pointage!AN27,Feuil1!$A:$B,2,FALSE),"")</f>
        <v/>
      </c>
      <c r="AK33" s="47" t="str">
        <f>IFERROR(VLOOKUP([2]Pointage!AO27,Feuil1!$A:$B,2,FALSE),"")</f>
        <v/>
      </c>
      <c r="AL33" s="31" t="str">
        <f>IFERROR(VLOOKUP([2]Pointage!AP27,Feuil1!$A:$B,2,FALSE),"")</f>
        <v/>
      </c>
      <c r="AM33" s="31" t="str">
        <f>IFERROR(VLOOKUP([2]Pointage!AQ27,Feuil1!$A:$B,2,FALSE),"")</f>
        <v/>
      </c>
      <c r="AN33" s="31" t="str">
        <f>IFERROR(VLOOKUP([2]Pointage!AR27,Feuil1!$A:$B,2,FALSE),"")</f>
        <v/>
      </c>
      <c r="AO33" s="31" t="str">
        <f>IFERROR(VLOOKUP([2]Pointage!AS27,Feuil1!$A:$B,2,FALSE),"")</f>
        <v/>
      </c>
      <c r="AP33" s="31" t="str">
        <f>IFERROR(VLOOKUP([2]Pointage!AT27,Feuil1!$A:$B,2,FALSE),"")</f>
        <v/>
      </c>
      <c r="AQ33" s="31" t="str">
        <f>IFERROR(VLOOKUP([2]Pointage!AU27,Feuil1!$A:$B,2,FALSE),"")</f>
        <v/>
      </c>
      <c r="AR33" s="31" t="str">
        <f>IFERROR(VLOOKUP([2]Pointage!AV27,Feuil1!$A:$B,2,FALSE),"")</f>
        <v/>
      </c>
      <c r="AS33" s="31" t="str">
        <f>IFERROR(VLOOKUP([2]Pointage!AW27,Feuil1!$A:$B,2,FALSE),"")</f>
        <v/>
      </c>
      <c r="AT33" s="31" t="str">
        <f>IFERROR(VLOOKUP([2]Pointage!AX27,Feuil1!$A:$B,2,FALSE),"")</f>
        <v/>
      </c>
      <c r="AU33" s="31" t="str">
        <f>IFERROR(VLOOKUP([2]Pointage!AY27,Feuil1!$A:$B,2,FALSE),"")</f>
        <v/>
      </c>
      <c r="AV33" s="31" t="str">
        <f>IFERROR(VLOOKUP([2]Pointage!AZ27,Feuil1!$A:$B,2,FALSE),"")</f>
        <v/>
      </c>
      <c r="AW33" s="31" t="str">
        <f>IFERROR(VLOOKUP([2]Pointage!BA27,Feuil1!$A:$B,2,FALSE),"")</f>
        <v/>
      </c>
      <c r="AX33" s="31" t="str">
        <f>IFERROR(VLOOKUP([2]Pointage!BB27,Feuil1!$A:$B,2,FALSE),"")</f>
        <v/>
      </c>
      <c r="AY33" s="31" t="str">
        <f>IFERROR(VLOOKUP([2]Pointage!BC27,Feuil1!$A:$B,2,FALSE),"")</f>
        <v/>
      </c>
      <c r="AZ33" s="31" t="str">
        <f>IFERROR(VLOOKUP([2]Pointage!BD27,Feuil1!$A:$B,2,FALSE),"")</f>
        <v/>
      </c>
      <c r="BA33" s="31" t="str">
        <f>IFERROR(VLOOKUP([2]Pointage!BE27,Feuil1!$A:$B,2,FALSE),"")</f>
        <v/>
      </c>
      <c r="BB33" s="31" t="str">
        <f>IFERROR(VLOOKUP([2]Pointage!BF27,Feuil1!$A:$B,2,FALSE),"")</f>
        <v/>
      </c>
      <c r="BC33" s="31" t="str">
        <f>IFERROR(VLOOKUP([2]Pointage!BG27,Feuil1!$A:$B,2,FALSE),"")</f>
        <v/>
      </c>
      <c r="BD33" s="31" t="str">
        <f>IFERROR(VLOOKUP([2]Pointage!BH27,Feuil1!$A:$B,2,FALSE),"")</f>
        <v/>
      </c>
      <c r="BE33" s="31" t="str">
        <f>IFERROR(VLOOKUP([2]Pointage!BI27,Feuil1!$A:$B,2,FALSE),"")</f>
        <v/>
      </c>
      <c r="BF33" s="31" t="str">
        <f>IFERROR(VLOOKUP([2]Pointage!BJ27,Feuil1!$A:$B,2,FALSE),"")</f>
        <v/>
      </c>
      <c r="BG33" s="31" t="str">
        <f>IFERROR(VLOOKUP([2]Pointage!BK27,Feuil1!$A:$B,2,FALSE),"")</f>
        <v/>
      </c>
      <c r="BH33" s="31" t="str">
        <f>IFERROR(VLOOKUP([2]Pointage!BL27,Feuil1!$A:$B,2,FALSE),"")</f>
        <v/>
      </c>
      <c r="BI33" s="31" t="str">
        <f>IFERROR(VLOOKUP([2]Pointage!BM27,Feuil1!$A:$B,2,FALSE),"")</f>
        <v/>
      </c>
      <c r="BJ33" s="31" t="str">
        <f>IFERROR(VLOOKUP([2]Pointage!BN27,Feuil1!$A:$B,2,FALSE),"")</f>
        <v/>
      </c>
      <c r="BK33" s="31" t="str">
        <f>IFERROR(VLOOKUP([2]Pointage!BO27,Feuil1!$A:$B,2,FALSE),"")</f>
        <v/>
      </c>
      <c r="BL33" s="82" t="str">
        <f>IFERROR(VLOOKUP([2]Pointage!BP27,Feuil1!$A:$B,2,FALSE),"")</f>
        <v/>
      </c>
      <c r="BM33" s="47" t="str">
        <f>IFERROR(VLOOKUP([2]Pointage!BQ27,Feuil1!$A:$B,2,FALSE),"")</f>
        <v>C</v>
      </c>
      <c r="BN33" s="31" t="str">
        <f>IFERROR(VLOOKUP([2]Pointage!BR27,Feuil1!$A:$B,2,FALSE),"")</f>
        <v/>
      </c>
      <c r="BO33" s="31" t="str">
        <f>IFERROR(VLOOKUP([2]Pointage!BS27,Feuil1!$A:$B,2,FALSE),"")</f>
        <v/>
      </c>
      <c r="BP33" s="31" t="str">
        <f>IFERROR(VLOOKUP([2]Pointage!BT27,Feuil1!$A:$B,2,FALSE),"")</f>
        <v/>
      </c>
      <c r="BQ33" s="31" t="str">
        <f>IFERROR(VLOOKUP([2]Pointage!BU27,Feuil1!$A:$B,2,FALSE),"")</f>
        <v/>
      </c>
      <c r="BR33" s="31" t="str">
        <f>IFERROR(VLOOKUP([2]Pointage!BV27,Feuil1!$A:$B,2,FALSE),"")</f>
        <v/>
      </c>
      <c r="BS33" s="31" t="str">
        <f>IFERROR(VLOOKUP([2]Pointage!BW27,Feuil1!$A:$B,2,FALSE),"")</f>
        <v/>
      </c>
      <c r="BT33" s="31" t="str">
        <f>IFERROR(VLOOKUP([2]Pointage!BX27,Feuil1!$A:$B,2,FALSE),"")</f>
        <v/>
      </c>
      <c r="BU33" s="31" t="str">
        <f>IFERROR(VLOOKUP([2]Pointage!BY27,Feuil1!$A:$B,2,FALSE),"")</f>
        <v/>
      </c>
      <c r="BV33" s="31" t="str">
        <f>IFERROR(VLOOKUP([2]Pointage!BZ27,Feuil1!$A:$B,2,FALSE),"")</f>
        <v/>
      </c>
      <c r="BW33" s="31" t="str">
        <f>IFERROR(VLOOKUP([2]Pointage!CA27,Feuil1!$A:$B,2,FALSE),"")</f>
        <v/>
      </c>
      <c r="BX33" s="31" t="str">
        <f>IFERROR(VLOOKUP([2]Pointage!CB27,Feuil1!$A:$B,2,FALSE),"")</f>
        <v/>
      </c>
      <c r="BY33" s="31" t="str">
        <f>IFERROR(VLOOKUP([2]Pointage!CC27,Feuil1!$A:$B,2,FALSE),"")</f>
        <v>C</v>
      </c>
      <c r="BZ33" s="31" t="str">
        <f>IFERROR(VLOOKUP([2]Pointage!CD27,Feuil1!$A:$B,2,FALSE),"")</f>
        <v>C</v>
      </c>
      <c r="CA33" s="31" t="str">
        <f>IFERROR(VLOOKUP([2]Pointage!CE27,Feuil1!$A:$B,2,FALSE),"")</f>
        <v>C</v>
      </c>
      <c r="CB33" s="31" t="str">
        <f>IFERROR(VLOOKUP([2]Pointage!CF27,Feuil1!$A:$B,2,FALSE),"")</f>
        <v/>
      </c>
      <c r="CC33" s="31" t="str">
        <f>IFERROR(VLOOKUP([2]Pointage!CG27,Feuil1!$A:$B,2,FALSE),"")</f>
        <v/>
      </c>
      <c r="CD33" s="31" t="str">
        <f>IFERROR(VLOOKUP([2]Pointage!CH27,Feuil1!$A:$B,2,FALSE),"")</f>
        <v/>
      </c>
      <c r="CE33" s="31" t="str">
        <f>IFERROR(VLOOKUP([2]Pointage!CI27,Feuil1!$A:$B,2,FALSE),"")</f>
        <v/>
      </c>
      <c r="CF33" s="31" t="str">
        <f>IFERROR(VLOOKUP([2]Pointage!CJ27,Feuil1!$A:$B,2,FALSE),"")</f>
        <v/>
      </c>
      <c r="CG33" s="31" t="str">
        <f>IFERROR(VLOOKUP([2]Pointage!CK27,Feuil1!$A:$B,2,FALSE),"")</f>
        <v/>
      </c>
      <c r="CH33" s="31" t="str">
        <f>IFERROR(VLOOKUP([2]Pointage!CL27,Feuil1!$A:$B,2,FALSE),"")</f>
        <v/>
      </c>
      <c r="CI33" s="31" t="str">
        <f>IFERROR(VLOOKUP([2]Pointage!CM27,Feuil1!$A:$B,2,FALSE),"")</f>
        <v/>
      </c>
      <c r="CJ33" s="31" t="str">
        <f>IFERROR(VLOOKUP([2]Pointage!CN27,Feuil1!$A:$B,2,FALSE),"")</f>
        <v/>
      </c>
      <c r="CK33" s="31" t="str">
        <f>IFERROR(VLOOKUP([2]Pointage!CO27,Feuil1!$A:$B,2,FALSE),"")</f>
        <v/>
      </c>
      <c r="CL33" s="31" t="str">
        <f>IFERROR(VLOOKUP([2]Pointage!CP27,Feuil1!$A:$B,2,FALSE),"")</f>
        <v/>
      </c>
      <c r="CM33" s="31" t="str">
        <f>IFERROR(VLOOKUP([2]Pointage!CQ27,Feuil1!$A:$B,2,FALSE),"")</f>
        <v/>
      </c>
      <c r="CN33" s="31" t="str">
        <f>IFERROR(VLOOKUP([2]Pointage!CR27,Feuil1!$A:$B,2,FALSE),"")</f>
        <v/>
      </c>
      <c r="CO33" s="31" t="str">
        <f>IFERROR(VLOOKUP([2]Pointage!CS27,Feuil1!$A:$B,2,FALSE),"")</f>
        <v/>
      </c>
      <c r="CP33" s="31" t="str">
        <f>IFERROR(VLOOKUP([2]Pointage!CT27,Feuil1!$A:$B,2,FALSE),"")</f>
        <v/>
      </c>
      <c r="CQ33" s="82" t="str">
        <f>IFERROR(VLOOKUP([2]Pointage!CU27,Feuil1!$A:$B,2,FALSE),"")</f>
        <v/>
      </c>
      <c r="CR33" s="47" t="str">
        <f>IFERROR(VLOOKUP([2]Pointage!CV27,Feuil1!$A:$B,2,FALSE),"")</f>
        <v/>
      </c>
      <c r="CS33" s="31" t="str">
        <f>IFERROR(VLOOKUP([2]Pointage!CW27,Feuil1!$A:$B,2,FALSE),"")</f>
        <v/>
      </c>
      <c r="CT33" s="31" t="str">
        <f>IFERROR(VLOOKUP([2]Pointage!CX27,Feuil1!$A:$B,2,FALSE),"")</f>
        <v>M</v>
      </c>
      <c r="CU33" s="31" t="str">
        <f>IFERROR(VLOOKUP([2]Pointage!CY27,Feuil1!$A:$B,2,FALSE),"")</f>
        <v>M</v>
      </c>
      <c r="CV33" s="31" t="str">
        <f>IFERROR(VLOOKUP([2]Pointage!CZ27,Feuil1!$A:$B,2,FALSE),"")</f>
        <v>M</v>
      </c>
      <c r="CW33" s="31" t="str">
        <f>IFERROR(VLOOKUP([2]Pointage!DA27,Feuil1!$A:$B,2,FALSE),"")</f>
        <v>M</v>
      </c>
      <c r="CX33" s="31" t="str">
        <f>IFERROR(VLOOKUP([2]Pointage!DB27,Feuil1!$A:$B,2,FALSE),"")</f>
        <v>M</v>
      </c>
      <c r="CY33" s="31" t="str">
        <f>IFERROR(VLOOKUP([2]Pointage!DC27,Feuil1!$A:$B,2,FALSE),"")</f>
        <v>M</v>
      </c>
      <c r="CZ33" s="31" t="str">
        <f>IFERROR(VLOOKUP([2]Pointage!DD27,Feuil1!$A:$B,2,FALSE),"")</f>
        <v>M</v>
      </c>
      <c r="DA33" s="31" t="str">
        <f>IFERROR(VLOOKUP([2]Pointage!DE27,Feuil1!$A:$B,2,FALSE),"")</f>
        <v/>
      </c>
      <c r="DB33" s="31" t="str">
        <f>IFERROR(VLOOKUP([2]Pointage!DF27,Feuil1!$A:$B,2,FALSE),"")</f>
        <v/>
      </c>
      <c r="DC33" s="31" t="str">
        <f>IFERROR(VLOOKUP([2]Pointage!DG27,Feuil1!$A:$B,2,FALSE),"")</f>
        <v/>
      </c>
      <c r="DD33" s="31" t="str">
        <f>IFERROR(VLOOKUP([2]Pointage!DH27,Feuil1!$A:$B,2,FALSE),"")</f>
        <v/>
      </c>
      <c r="DE33" s="31" t="str">
        <f>IFERROR(VLOOKUP([2]Pointage!DI27,Feuil1!$A:$B,2,FALSE),"")</f>
        <v/>
      </c>
      <c r="DF33" s="31" t="str">
        <f>IFERROR(VLOOKUP([2]Pointage!DJ27,Feuil1!$A:$B,2,FALSE),"")</f>
        <v/>
      </c>
      <c r="DG33" s="31" t="str">
        <f>IFERROR(VLOOKUP([2]Pointage!DK27,Feuil1!$A:$B,2,FALSE),"")</f>
        <v/>
      </c>
      <c r="DH33" s="31" t="str">
        <f>IFERROR(VLOOKUP([2]Pointage!DL27,Feuil1!$A:$B,2,FALSE),"")</f>
        <v/>
      </c>
      <c r="DI33" s="31" t="str">
        <f>IFERROR(VLOOKUP([2]Pointage!DM27,Feuil1!$A:$B,2,FALSE),"")</f>
        <v/>
      </c>
      <c r="DJ33" s="31" t="str">
        <f>IFERROR(VLOOKUP([2]Pointage!DN27,Feuil1!$A:$B,2,FALSE),"")</f>
        <v/>
      </c>
      <c r="DK33" s="31" t="str">
        <f>IFERROR(VLOOKUP([2]Pointage!DO27,Feuil1!$A:$B,2,FALSE),"")</f>
        <v/>
      </c>
      <c r="DL33" s="31" t="str">
        <f>IFERROR(VLOOKUP([2]Pointage!DP27,Feuil1!$A:$B,2,FALSE),"")</f>
        <v/>
      </c>
      <c r="DM33" s="31" t="str">
        <f>IFERROR(VLOOKUP([2]Pointage!DQ27,Feuil1!$A:$B,2,FALSE),"")</f>
        <v/>
      </c>
      <c r="DN33" s="31" t="str">
        <f>IFERROR(VLOOKUP([2]Pointage!DR27,Feuil1!$A:$B,2,FALSE),"")</f>
        <v/>
      </c>
      <c r="DO33" s="31" t="str">
        <f>IFERROR(VLOOKUP([2]Pointage!DS27,Feuil1!$A:$B,2,FALSE),"")</f>
        <v/>
      </c>
      <c r="DP33" s="31" t="str">
        <f>IFERROR(VLOOKUP([2]Pointage!DT27,Feuil1!$A:$B,2,FALSE),"")</f>
        <v>C</v>
      </c>
      <c r="DQ33" s="31" t="str">
        <f>IFERROR(VLOOKUP([2]Pointage!DU27,Feuil1!$A:$B,2,FALSE),"")</f>
        <v>C</v>
      </c>
      <c r="DR33" s="31" t="str">
        <f>IFERROR(VLOOKUP([2]Pointage!DV27,Feuil1!$A:$B,2,FALSE),"")</f>
        <v>C</v>
      </c>
      <c r="DS33" s="31" t="str">
        <f>IFERROR(VLOOKUP([2]Pointage!DW27,Feuil1!$A:$B,2,FALSE),"")</f>
        <v/>
      </c>
      <c r="DT33" s="31" t="str">
        <f>IFERROR(VLOOKUP([2]Pointage!DX27,Feuil1!$A:$B,2,FALSE),"")</f>
        <v/>
      </c>
      <c r="DU33" s="82" t="str">
        <f>IFERROR(VLOOKUP([2]Pointage!DY27,Feuil1!$A:$B,2,FALSE),"")</f>
        <v/>
      </c>
      <c r="DV33" s="47" t="str">
        <f>IFERROR(VLOOKUP([2]Pointage!DZ27,Feuil1!$A:$B,2,FALSE),"")</f>
        <v/>
      </c>
      <c r="DW33" s="31" t="str">
        <f>IFERROR(VLOOKUP([2]Pointage!EA27,Feuil1!$A:$B,2,FALSE),"")</f>
        <v/>
      </c>
      <c r="DX33" s="31" t="str">
        <f>IFERROR(VLOOKUP([2]Pointage!EB27,Feuil1!$A:$B,2,FALSE),"")</f>
        <v/>
      </c>
      <c r="DY33" s="31" t="str">
        <f>IFERROR(VLOOKUP([2]Pointage!EC27,Feuil1!$A:$B,2,FALSE),"")</f>
        <v/>
      </c>
      <c r="DZ33" s="31" t="str">
        <f>IFERROR(VLOOKUP([2]Pointage!ED27,Feuil1!$A:$B,2,FALSE),"")</f>
        <v/>
      </c>
      <c r="EA33" s="31" t="str">
        <f>IFERROR(VLOOKUP([2]Pointage!EE27,Feuil1!$A:$B,2,FALSE),"")</f>
        <v/>
      </c>
      <c r="EB33" s="31" t="str">
        <f>IFERROR(VLOOKUP([2]Pointage!EF27,Feuil1!$A:$B,2,FALSE),"")</f>
        <v>C</v>
      </c>
      <c r="EC33" s="31" t="str">
        <f>IFERROR(VLOOKUP([2]Pointage!EG27,Feuil1!$A:$B,2,FALSE),"")</f>
        <v/>
      </c>
      <c r="ED33" s="31" t="str">
        <f>IFERROR(VLOOKUP([2]Pointage!EH27,Feuil1!$A:$B,2,FALSE),"")</f>
        <v/>
      </c>
      <c r="EE33" s="31" t="str">
        <f>IFERROR(VLOOKUP([2]Pointage!EI27,Feuil1!$A:$B,2,FALSE),"")</f>
        <v/>
      </c>
      <c r="EF33" s="31" t="str">
        <f>IFERROR(VLOOKUP([2]Pointage!EJ27,Feuil1!$A:$B,2,FALSE),"")</f>
        <v/>
      </c>
      <c r="EG33" s="31" t="str">
        <f>IFERROR(VLOOKUP([2]Pointage!EK27,Feuil1!$A:$B,2,FALSE),"")</f>
        <v/>
      </c>
      <c r="EH33" s="31" t="str">
        <f>IFERROR(VLOOKUP([2]Pointage!EL27,Feuil1!$A:$B,2,FALSE),"")</f>
        <v/>
      </c>
      <c r="EI33" s="31" t="str">
        <f>IFERROR(VLOOKUP([2]Pointage!EM27,Feuil1!$A:$B,2,FALSE),"")</f>
        <v/>
      </c>
      <c r="EJ33" s="31" t="str">
        <f>IFERROR(VLOOKUP([2]Pointage!EN27,Feuil1!$A:$B,2,FALSE),"")</f>
        <v/>
      </c>
      <c r="EK33" s="31" t="str">
        <f>IFERROR(VLOOKUP([2]Pointage!EO27,Feuil1!$A:$B,2,FALSE),"")</f>
        <v/>
      </c>
      <c r="EL33" s="31" t="str">
        <f>IFERROR(VLOOKUP([2]Pointage!EP27,Feuil1!$A:$B,2,FALSE),"")</f>
        <v/>
      </c>
      <c r="EM33" s="31" t="str">
        <f>IFERROR(VLOOKUP([2]Pointage!EQ27,Feuil1!$A:$B,2,FALSE),"")</f>
        <v/>
      </c>
      <c r="EN33" s="31" t="str">
        <f>IFERROR(VLOOKUP([2]Pointage!ER27,Feuil1!$A:$B,2,FALSE),"")</f>
        <v/>
      </c>
      <c r="EO33" s="31" t="str">
        <f>IFERROR(VLOOKUP([2]Pointage!ES27,Feuil1!$A:$B,2,FALSE),"")</f>
        <v/>
      </c>
      <c r="EP33" s="31" t="str">
        <f>IFERROR(VLOOKUP([2]Pointage!ET27,Feuil1!$A:$B,2,FALSE),"")</f>
        <v/>
      </c>
      <c r="EQ33" s="31" t="str">
        <f>IFERROR(VLOOKUP([2]Pointage!EU27,Feuil1!$A:$B,2,FALSE),"")</f>
        <v/>
      </c>
      <c r="ER33" s="31" t="str">
        <f>IFERROR(VLOOKUP([2]Pointage!EV27,Feuil1!$A:$B,2,FALSE),"")</f>
        <v/>
      </c>
      <c r="ES33" s="31" t="str">
        <f>IFERROR(VLOOKUP([2]Pointage!EW27,Feuil1!$A:$B,2,FALSE),"")</f>
        <v/>
      </c>
      <c r="ET33" s="31" t="str">
        <f>IFERROR(VLOOKUP([2]Pointage!EX27,Feuil1!$A:$B,2,FALSE),"")</f>
        <v/>
      </c>
      <c r="EU33" s="31" t="str">
        <f>IFERROR(VLOOKUP([2]Pointage!EY27,Feuil1!$A:$B,2,FALSE),"")</f>
        <v/>
      </c>
      <c r="EV33" s="31" t="str">
        <f>IFERROR(VLOOKUP([2]Pointage!EZ27,Feuil1!$A:$B,2,FALSE),"")</f>
        <v/>
      </c>
      <c r="EW33" s="31" t="str">
        <f>IFERROR(VLOOKUP([2]Pointage!FA27,Feuil1!$A:$B,2,FALSE),"")</f>
        <v/>
      </c>
      <c r="EX33" s="31" t="str">
        <f>IFERROR(VLOOKUP([2]Pointage!FB27,Feuil1!$A:$B,2,FALSE),"")</f>
        <v/>
      </c>
      <c r="EY33" s="31" t="str">
        <f>IFERROR(VLOOKUP([2]Pointage!FC27,Feuil1!$A:$B,2,FALSE),"")</f>
        <v/>
      </c>
      <c r="EZ33" s="82" t="str">
        <f>IFERROR(VLOOKUP([2]Pointage!FD27,Feuil1!$A:$B,2,FALSE),"")</f>
        <v/>
      </c>
      <c r="FA33" s="47" t="str">
        <f>IFERROR(VLOOKUP([2]Pointage!FE27,Feuil1!$A:$B,2,FALSE),"")</f>
        <v/>
      </c>
      <c r="FB33" s="31" t="str">
        <f>IFERROR(VLOOKUP([2]Pointage!FF27,Feuil1!$A:$B,2,FALSE),"")</f>
        <v/>
      </c>
      <c r="FC33" s="31" t="str">
        <f>IFERROR(VLOOKUP([2]Pointage!FG27,Feuil1!$A:$B,2,FALSE),"")</f>
        <v/>
      </c>
      <c r="FD33" s="31" t="str">
        <f>IFERROR(VLOOKUP([2]Pointage!FH27,Feuil1!$A:$B,2,FALSE),"")</f>
        <v/>
      </c>
      <c r="FE33" s="31" t="str">
        <f>IFERROR(VLOOKUP([2]Pointage!FI27,Feuil1!$A:$B,2,FALSE),"")</f>
        <v/>
      </c>
      <c r="FF33" s="31" t="str">
        <f>IFERROR(VLOOKUP([2]Pointage!FJ27,Feuil1!$A:$B,2,FALSE),"")</f>
        <v/>
      </c>
      <c r="FG33" s="31" t="str">
        <f>IFERROR(VLOOKUP([2]Pointage!FK27,Feuil1!$A:$B,2,FALSE),"")</f>
        <v/>
      </c>
      <c r="FH33" s="31" t="str">
        <f>IFERROR(VLOOKUP([2]Pointage!FL27,Feuil1!$A:$B,2,FALSE),"")</f>
        <v/>
      </c>
      <c r="FI33" s="31" t="str">
        <f>IFERROR(VLOOKUP([2]Pointage!FM27,Feuil1!$A:$B,2,FALSE),"")</f>
        <v/>
      </c>
      <c r="FJ33" s="31" t="str">
        <f>IFERROR(VLOOKUP([2]Pointage!FN27,Feuil1!$A:$B,2,FALSE),"")</f>
        <v/>
      </c>
      <c r="FK33" s="31" t="str">
        <f>IFERROR(VLOOKUP([2]Pointage!FO27,Feuil1!$A:$B,2,FALSE),"")</f>
        <v/>
      </c>
      <c r="FL33" s="31" t="str">
        <f>IFERROR(VLOOKUP([2]Pointage!FP27,Feuil1!$A:$B,2,FALSE),"")</f>
        <v/>
      </c>
      <c r="FM33" s="31" t="str">
        <f>IFERROR(VLOOKUP([2]Pointage!FQ27,Feuil1!$A:$B,2,FALSE),"")</f>
        <v/>
      </c>
      <c r="FN33" s="31" t="str">
        <f>IFERROR(VLOOKUP([2]Pointage!FR27,Feuil1!$A:$B,2,FALSE),"")</f>
        <v/>
      </c>
      <c r="FO33" s="31" t="str">
        <f>IFERROR(VLOOKUP([2]Pointage!FS27,Feuil1!$A:$B,2,FALSE),"")</f>
        <v/>
      </c>
      <c r="FP33" s="31" t="str">
        <f>IFERROR(VLOOKUP([2]Pointage!FT27,Feuil1!$A:$B,2,FALSE),"")</f>
        <v/>
      </c>
      <c r="FQ33" s="31" t="str">
        <f>IFERROR(VLOOKUP([2]Pointage!FU27,Feuil1!$A:$B,2,FALSE),"")</f>
        <v/>
      </c>
      <c r="FR33" s="31" t="str">
        <f>IFERROR(VLOOKUP([2]Pointage!FV27,Feuil1!$A:$B,2,FALSE),"")</f>
        <v/>
      </c>
      <c r="FS33" s="31" t="str">
        <f>IFERROR(VLOOKUP([2]Pointage!FW27,Feuil1!$A:$B,2,FALSE),"")</f>
        <v/>
      </c>
      <c r="FT33" s="31" t="str">
        <f>IFERROR(VLOOKUP([2]Pointage!FX27,Feuil1!$A:$B,2,FALSE),"")</f>
        <v/>
      </c>
      <c r="FU33" s="31" t="str">
        <f>IFERROR(VLOOKUP([2]Pointage!FY27,Feuil1!$A:$B,2,FALSE),"")</f>
        <v/>
      </c>
      <c r="FV33" s="31" t="str">
        <f>IFERROR(VLOOKUP([2]Pointage!FZ27,Feuil1!$A:$B,2,FALSE),"")</f>
        <v/>
      </c>
      <c r="FW33" s="31" t="str">
        <f>IFERROR(VLOOKUP([2]Pointage!GA27,Feuil1!$A:$B,2,FALSE),"")</f>
        <v/>
      </c>
      <c r="FX33" s="31" t="str">
        <f>IFERROR(VLOOKUP([2]Pointage!GB27,Feuil1!$A:$B,2,FALSE),"")</f>
        <v/>
      </c>
      <c r="FY33" s="31" t="str">
        <f>IFERROR(VLOOKUP([2]Pointage!GC27,Feuil1!$A:$B,2,FALSE),"")</f>
        <v/>
      </c>
      <c r="FZ33" s="31" t="str">
        <f>IFERROR(VLOOKUP([2]Pointage!GD27,Feuil1!$A:$B,2,FALSE),"")</f>
        <v/>
      </c>
      <c r="GA33" s="31" t="str">
        <f>IFERROR(VLOOKUP([2]Pointage!GE27,Feuil1!$A:$B,2,FALSE),"")</f>
        <v/>
      </c>
      <c r="GB33" s="31" t="str">
        <f>IFERROR(VLOOKUP([2]Pointage!GF27,Feuil1!$A:$B,2,FALSE),"")</f>
        <v/>
      </c>
      <c r="GC33" s="31" t="str">
        <f>IFERROR(VLOOKUP([2]Pointage!GG27,Feuil1!$A:$B,2,FALSE),"")</f>
        <v/>
      </c>
      <c r="GD33" s="82" t="str">
        <f>IFERROR(VLOOKUP([2]Pointage!GH27,Feuil1!$A:$B,2,FALSE),"")</f>
        <v/>
      </c>
      <c r="GE33" s="47" t="str">
        <f>IFERROR(VLOOKUP([2]Pointage!GI27,Feuil1!$A:$B,2,FALSE),"")</f>
        <v/>
      </c>
      <c r="GF33" s="31" t="str">
        <f>IFERROR(VLOOKUP([2]Pointage!GJ27,Feuil1!$A:$B,2,FALSE),"")</f>
        <v/>
      </c>
      <c r="GG33" s="31" t="str">
        <f>IFERROR(VLOOKUP([2]Pointage!GK27,Feuil1!$A:$B,2,FALSE),"")</f>
        <v/>
      </c>
      <c r="GH33" s="31" t="str">
        <f>IFERROR(VLOOKUP([2]Pointage!GL27,Feuil1!$A:$B,2,FALSE),"")</f>
        <v/>
      </c>
      <c r="GI33" s="31" t="str">
        <f>IFERROR(VLOOKUP([2]Pointage!GM27,Feuil1!$A:$B,2,FALSE),"")</f>
        <v/>
      </c>
      <c r="GJ33" s="31" t="str">
        <f>IFERROR(VLOOKUP([2]Pointage!GN27,Feuil1!$A:$B,2,FALSE),"")</f>
        <v/>
      </c>
      <c r="GK33" s="31" t="str">
        <f>IFERROR(VLOOKUP([2]Pointage!GO27,Feuil1!$A:$B,2,FALSE),"")</f>
        <v/>
      </c>
      <c r="GL33" s="31" t="str">
        <f>IFERROR(VLOOKUP([2]Pointage!GP27,Feuil1!$A:$B,2,FALSE),"")</f>
        <v/>
      </c>
      <c r="GM33" s="31" t="str">
        <f>IFERROR(VLOOKUP([2]Pointage!GQ27,Feuil1!$A:$B,2,FALSE),"")</f>
        <v/>
      </c>
      <c r="GN33" s="31" t="str">
        <f>IFERROR(VLOOKUP([2]Pointage!GR27,Feuil1!$A:$B,2,FALSE),"")</f>
        <v/>
      </c>
      <c r="GO33" s="31" t="str">
        <f>IFERROR(VLOOKUP([2]Pointage!GS27,Feuil1!$A:$B,2,FALSE),"")</f>
        <v/>
      </c>
      <c r="GP33" s="31" t="str">
        <f>IFERROR(VLOOKUP([2]Pointage!GT27,Feuil1!$A:$B,2,FALSE),"")</f>
        <v/>
      </c>
      <c r="GQ33" s="31" t="str">
        <f>IFERROR(VLOOKUP([2]Pointage!GU27,Feuil1!$A:$B,2,FALSE),"")</f>
        <v/>
      </c>
      <c r="GR33" s="31" t="str">
        <f>IFERROR(VLOOKUP([2]Pointage!GV27,Feuil1!$A:$B,2,FALSE),"")</f>
        <v/>
      </c>
      <c r="GS33" s="31" t="str">
        <f>IFERROR(VLOOKUP([2]Pointage!GW27,Feuil1!$A:$B,2,FALSE),"")</f>
        <v/>
      </c>
      <c r="GT33" s="31" t="str">
        <f>IFERROR(VLOOKUP([2]Pointage!GX27,Feuil1!$A:$B,2,FALSE),"")</f>
        <v/>
      </c>
      <c r="GU33" s="31" t="str">
        <f>IFERROR(VLOOKUP([2]Pointage!GY27,Feuil1!$A:$B,2,FALSE),"")</f>
        <v/>
      </c>
      <c r="GV33" s="31" t="str">
        <f>IFERROR(VLOOKUP([2]Pointage!GZ27,Feuil1!$A:$B,2,FALSE),"")</f>
        <v/>
      </c>
      <c r="GW33" s="31" t="str">
        <f>IFERROR(VLOOKUP([2]Pointage!HA27,Feuil1!$A:$B,2,FALSE),"")</f>
        <v/>
      </c>
      <c r="GX33" s="31" t="str">
        <f>IFERROR(VLOOKUP([2]Pointage!HB27,Feuil1!$A:$B,2,FALSE),"")</f>
        <v/>
      </c>
      <c r="GY33" s="31" t="str">
        <f>IFERROR(VLOOKUP([2]Pointage!HC27,Feuil1!$A:$B,2,FALSE),"")</f>
        <v/>
      </c>
      <c r="GZ33" s="31" t="str">
        <f>IFERROR(VLOOKUP([2]Pointage!HD27,Feuil1!$A:$B,2,FALSE),"")</f>
        <v/>
      </c>
      <c r="HA33" s="31" t="str">
        <f>IFERROR(VLOOKUP([2]Pointage!HE27,Feuil1!$A:$B,2,FALSE),"")</f>
        <v/>
      </c>
      <c r="HB33" s="31" t="str">
        <f>IFERROR(VLOOKUP([2]Pointage!HF27,Feuil1!$A:$B,2,FALSE),"")</f>
        <v/>
      </c>
      <c r="HC33" s="31" t="str">
        <f>IFERROR(VLOOKUP([2]Pointage!HG27,Feuil1!$A:$B,2,FALSE),"")</f>
        <v/>
      </c>
      <c r="HD33" s="31" t="str">
        <f>IFERROR(VLOOKUP([2]Pointage!HH27,Feuil1!$A:$B,2,FALSE),"")</f>
        <v/>
      </c>
      <c r="HE33" s="31" t="str">
        <f>IFERROR(VLOOKUP([2]Pointage!HI27,Feuil1!$A:$B,2,FALSE),"")</f>
        <v/>
      </c>
      <c r="HF33" s="31" t="str">
        <f>IFERROR(VLOOKUP([2]Pointage!HJ27,Feuil1!$A:$B,2,FALSE),"")</f>
        <v/>
      </c>
      <c r="HG33" s="31" t="str">
        <f>IFERROR(VLOOKUP([2]Pointage!HK27,Feuil1!$A:$B,2,FALSE),"")</f>
        <v/>
      </c>
      <c r="HH33" s="31" t="str">
        <f>IFERROR(VLOOKUP([2]Pointage!HL27,Feuil1!$A:$B,2,FALSE),"")</f>
        <v/>
      </c>
      <c r="HI33" s="82" t="str">
        <f>IFERROR(VLOOKUP([2]Pointage!HM27,Feuil1!$A:$B,2,FALSE),"")</f>
        <v/>
      </c>
      <c r="HJ33" s="47" t="str">
        <f>IFERROR(VLOOKUP([2]Pointage!HN27,Feuil1!$A:$B,2,FALSE),"")</f>
        <v/>
      </c>
      <c r="HK33" s="31" t="str">
        <f>IFERROR(VLOOKUP([2]Pointage!HO27,Feuil1!$A:$B,2,FALSE),"")</f>
        <v/>
      </c>
      <c r="HL33" s="31" t="str">
        <f>IFERROR(VLOOKUP([2]Pointage!HP27,Feuil1!$A:$B,2,FALSE),"")</f>
        <v/>
      </c>
      <c r="HM33" s="31" t="str">
        <f>IFERROR(VLOOKUP([2]Pointage!HQ27,Feuil1!$A:$B,2,FALSE),"")</f>
        <v/>
      </c>
      <c r="HN33" s="31" t="str">
        <f>IFERROR(VLOOKUP([2]Pointage!HR27,Feuil1!$A:$B,2,FALSE),"")</f>
        <v/>
      </c>
      <c r="HO33" s="31" t="str">
        <f>IFERROR(VLOOKUP([2]Pointage!HS27,Feuil1!$A:$B,2,FALSE),"")</f>
        <v/>
      </c>
      <c r="HP33" s="31" t="str">
        <f>IFERROR(VLOOKUP([2]Pointage!HT27,Feuil1!$A:$B,2,FALSE),"")</f>
        <v/>
      </c>
      <c r="HQ33" s="31" t="str">
        <f>IFERROR(VLOOKUP([2]Pointage!HU27,Feuil1!$A:$B,2,FALSE),"")</f>
        <v/>
      </c>
      <c r="HR33" s="31" t="str">
        <f>IFERROR(VLOOKUP([2]Pointage!HV27,Feuil1!$A:$B,2,FALSE),"")</f>
        <v/>
      </c>
      <c r="HS33" s="31" t="str">
        <f>IFERROR(VLOOKUP([2]Pointage!HW27,Feuil1!$A:$B,2,FALSE),"")</f>
        <v/>
      </c>
      <c r="HT33" s="31" t="str">
        <f>IFERROR(VLOOKUP([2]Pointage!HX27,Feuil1!$A:$B,2,FALSE),"")</f>
        <v/>
      </c>
      <c r="HU33" s="31" t="str">
        <f>IFERROR(VLOOKUP([2]Pointage!HY27,Feuil1!$A:$B,2,FALSE),"")</f>
        <v/>
      </c>
      <c r="HV33" s="31" t="str">
        <f>IFERROR(VLOOKUP([2]Pointage!HZ27,Feuil1!$A:$B,2,FALSE),"")</f>
        <v>C</v>
      </c>
      <c r="HW33" s="31" t="str">
        <f>IFERROR(VLOOKUP([2]Pointage!IA27,Feuil1!$A:$B,2,FALSE),"")</f>
        <v>C</v>
      </c>
      <c r="HX33" s="31" t="str">
        <f>IFERROR(VLOOKUP([2]Pointage!IB27,Feuil1!$A:$B,2,FALSE),"")</f>
        <v/>
      </c>
      <c r="HY33" s="31" t="str">
        <f>IFERROR(VLOOKUP([2]Pointage!IC27,Feuil1!$A:$B,2,FALSE),"")</f>
        <v>C</v>
      </c>
      <c r="HZ33" s="31" t="str">
        <f>IFERROR(VLOOKUP([2]Pointage!ID27,Feuil1!$A:$B,2,FALSE),"")</f>
        <v>C</v>
      </c>
      <c r="IA33" s="31" t="str">
        <f>IFERROR(VLOOKUP([2]Pointage!IE27,Feuil1!$A:$B,2,FALSE),"")</f>
        <v/>
      </c>
      <c r="IB33" s="31" t="str">
        <f>IFERROR(VLOOKUP([2]Pointage!IF27,Feuil1!$A:$B,2,FALSE),"")</f>
        <v/>
      </c>
      <c r="IC33" s="31" t="str">
        <f>IFERROR(VLOOKUP([2]Pointage!IG27,Feuil1!$A:$B,2,FALSE),"")</f>
        <v>C</v>
      </c>
      <c r="ID33" s="31" t="str">
        <f>IFERROR(VLOOKUP([2]Pointage!IH27,Feuil1!$A:$B,2,FALSE),"")</f>
        <v>C</v>
      </c>
      <c r="IE33" s="31" t="str">
        <f>IFERROR(VLOOKUP([2]Pointage!II27,Feuil1!$A:$B,2,FALSE),"")</f>
        <v>C</v>
      </c>
      <c r="IF33" s="31" t="str">
        <f>IFERROR(VLOOKUP([2]Pointage!IJ27,Feuil1!$A:$B,2,FALSE),"")</f>
        <v>C</v>
      </c>
      <c r="IG33" s="31" t="str">
        <f>IFERROR(VLOOKUP([2]Pointage!IK27,Feuil1!$A:$B,2,FALSE),"")</f>
        <v>C</v>
      </c>
      <c r="IH33" s="31" t="str">
        <f>IFERROR(VLOOKUP([2]Pointage!IL27,Feuil1!$A:$B,2,FALSE),"")</f>
        <v/>
      </c>
      <c r="II33" s="31" t="str">
        <f>IFERROR(VLOOKUP([2]Pointage!IM27,Feuil1!$A:$B,2,FALSE),"")</f>
        <v/>
      </c>
      <c r="IJ33" s="31" t="str">
        <f>IFERROR(VLOOKUP([2]Pointage!IN27,Feuil1!$A:$B,2,FALSE),"")</f>
        <v/>
      </c>
      <c r="IK33" s="31" t="str">
        <f>IFERROR(VLOOKUP([2]Pointage!IO27,Feuil1!$A:$B,2,FALSE),"")</f>
        <v/>
      </c>
      <c r="IL33" s="31" t="str">
        <f>IFERROR(VLOOKUP([2]Pointage!IP27,Feuil1!$A:$B,2,FALSE),"")</f>
        <v/>
      </c>
      <c r="IM33" s="31" t="str">
        <f>IFERROR(VLOOKUP([2]Pointage!IQ27,Feuil1!$A:$B,2,FALSE),"")</f>
        <v/>
      </c>
      <c r="IN33" s="82" t="str">
        <f>IFERROR(VLOOKUP([2]Pointage!IR27,Feuil1!$A:$B,2,FALSE),"")</f>
        <v/>
      </c>
      <c r="IO33" s="47" t="str">
        <f>IFERROR(VLOOKUP([2]Pointage!IS27,Feuil1!$A:$B,2,FALSE),"")</f>
        <v/>
      </c>
      <c r="IP33" s="31" t="str">
        <f>IFERROR(VLOOKUP([2]Pointage!IT27,Feuil1!$A:$B,2,FALSE),"")</f>
        <v/>
      </c>
      <c r="IQ33" s="31" t="str">
        <f>IFERROR(VLOOKUP([2]Pointage!IU27,Feuil1!$A:$B,2,FALSE),"")</f>
        <v/>
      </c>
      <c r="IR33" s="31" t="str">
        <f>IFERROR(VLOOKUP([2]Pointage!IV27,Feuil1!$A:$B,2,FALSE),"")</f>
        <v/>
      </c>
      <c r="IS33" s="31" t="str">
        <f>IFERROR(VLOOKUP([2]Pointage!IW27,Feuil1!$A:$B,2,FALSE),"")</f>
        <v/>
      </c>
      <c r="IT33" s="31" t="str">
        <f>IFERROR(VLOOKUP([2]Pointage!IX27,Feuil1!$A:$B,2,FALSE),"")</f>
        <v/>
      </c>
      <c r="IU33" s="31" t="str">
        <f>IFERROR(VLOOKUP([2]Pointage!IY27,Feuil1!$A:$B,2,FALSE),"")</f>
        <v/>
      </c>
      <c r="IV33" s="31" t="str">
        <f>IFERROR(VLOOKUP([2]Pointage!IZ27,Feuil1!$A:$B,2,FALSE),"")</f>
        <v/>
      </c>
      <c r="IW33" s="31" t="str">
        <f>IFERROR(VLOOKUP([2]Pointage!JA27,Feuil1!$A:$B,2,FALSE),"")</f>
        <v/>
      </c>
      <c r="IX33" s="31" t="str">
        <f>IFERROR(VLOOKUP([2]Pointage!JB27,Feuil1!$A:$B,2,FALSE),"")</f>
        <v/>
      </c>
      <c r="IY33" s="31" t="str">
        <f>IFERROR(VLOOKUP([2]Pointage!JC27,Feuil1!$A:$B,2,FALSE),"")</f>
        <v/>
      </c>
      <c r="IZ33" s="31" t="str">
        <f>IFERROR(VLOOKUP([2]Pointage!JD27,Feuil1!$A:$B,2,FALSE),"")</f>
        <v/>
      </c>
      <c r="JA33" s="31" t="str">
        <f>IFERROR(VLOOKUP([2]Pointage!JE27,Feuil1!$A:$B,2,FALSE),"")</f>
        <v/>
      </c>
      <c r="JB33" s="31" t="str">
        <f>IFERROR(VLOOKUP([2]Pointage!JF27,Feuil1!$A:$B,2,FALSE),"")</f>
        <v/>
      </c>
      <c r="JC33" s="31" t="str">
        <f>IFERROR(VLOOKUP([2]Pointage!JG27,Feuil1!$A:$B,2,FALSE),"")</f>
        <v/>
      </c>
      <c r="JD33" s="31" t="str">
        <f>IFERROR(VLOOKUP([2]Pointage!JH27,Feuil1!$A:$B,2,FALSE),"")</f>
        <v/>
      </c>
      <c r="JE33" s="31" t="str">
        <f>IFERROR(VLOOKUP([2]Pointage!JI27,Feuil1!$A:$B,2,FALSE),"")</f>
        <v/>
      </c>
      <c r="JF33" s="31" t="str">
        <f>IFERROR(VLOOKUP([2]Pointage!JJ27,Feuil1!$A:$B,2,FALSE),"")</f>
        <v/>
      </c>
      <c r="JG33" s="31" t="str">
        <f>IFERROR(VLOOKUP([2]Pointage!JK27,Feuil1!$A:$B,2,FALSE),"")</f>
        <v/>
      </c>
      <c r="JH33" s="31" t="str">
        <f>IFERROR(VLOOKUP([2]Pointage!JL27,Feuil1!$A:$B,2,FALSE),"")</f>
        <v/>
      </c>
      <c r="JI33" s="31" t="str">
        <f>IFERROR(VLOOKUP([2]Pointage!JM27,Feuil1!$A:$B,2,FALSE),"")</f>
        <v/>
      </c>
      <c r="JJ33" s="31" t="str">
        <f>IFERROR(VLOOKUP([2]Pointage!JN27,Feuil1!$A:$B,2,FALSE),"")</f>
        <v/>
      </c>
      <c r="JK33" s="31" t="str">
        <f>IFERROR(VLOOKUP([2]Pointage!JO27,Feuil1!$A:$B,2,FALSE),"")</f>
        <v/>
      </c>
      <c r="JL33" s="31" t="str">
        <f>IFERROR(VLOOKUP([2]Pointage!JP27,Feuil1!$A:$B,2,FALSE),"")</f>
        <v/>
      </c>
      <c r="JM33" s="31" t="str">
        <f>IFERROR(VLOOKUP([2]Pointage!JQ27,Feuil1!$A:$B,2,FALSE),"")</f>
        <v/>
      </c>
      <c r="JN33" s="31" t="str">
        <f>IFERROR(VLOOKUP([2]Pointage!JR27,Feuil1!$A:$B,2,FALSE),"")</f>
        <v/>
      </c>
      <c r="JO33" s="31" t="str">
        <f>IFERROR(VLOOKUP([2]Pointage!JS27,Feuil1!$A:$B,2,FALSE),"")</f>
        <v/>
      </c>
      <c r="JP33" s="31" t="str">
        <f>IFERROR(VLOOKUP([2]Pointage!JT27,Feuil1!$A:$B,2,FALSE),"")</f>
        <v/>
      </c>
      <c r="JQ33" s="31" t="str">
        <f>IFERROR(VLOOKUP([2]Pointage!JU27,Feuil1!$A:$B,2,FALSE),"")</f>
        <v/>
      </c>
      <c r="JR33" s="82" t="str">
        <f>IFERROR(VLOOKUP([2]Pointage!JV27,Feuil1!$A:$B,2,FALSE),"")</f>
        <v/>
      </c>
      <c r="JS33" s="47" t="str">
        <f>IFERROR(VLOOKUP([2]Pointage!JW27,Feuil1!$A:$B,2,FALSE),"")</f>
        <v/>
      </c>
      <c r="JT33" s="31" t="str">
        <f>IFERROR(VLOOKUP([2]Pointage!JX27,Feuil1!$A:$B,2,FALSE),"")</f>
        <v/>
      </c>
      <c r="JU33" s="31" t="str">
        <f>IFERROR(VLOOKUP([2]Pointage!JY27,Feuil1!$A:$B,2,FALSE),"")</f>
        <v/>
      </c>
      <c r="JV33" s="31" t="str">
        <f>IFERROR(VLOOKUP([2]Pointage!JZ27,Feuil1!$A:$B,2,FALSE),"")</f>
        <v/>
      </c>
      <c r="JW33" s="31" t="str">
        <f>IFERROR(VLOOKUP([2]Pointage!KA27,Feuil1!$A:$B,2,FALSE),"")</f>
        <v/>
      </c>
      <c r="JX33" s="31" t="str">
        <f>IFERROR(VLOOKUP([2]Pointage!KB27,Feuil1!$A:$B,2,FALSE),"")</f>
        <v/>
      </c>
      <c r="JY33" s="31" t="str">
        <f>IFERROR(VLOOKUP([2]Pointage!KC27,Feuil1!$A:$B,2,FALSE),"")</f>
        <v/>
      </c>
      <c r="JZ33" s="31" t="str">
        <f>IFERROR(VLOOKUP([2]Pointage!KD27,Feuil1!$A:$B,2,FALSE),"")</f>
        <v/>
      </c>
      <c r="KA33" s="31" t="str">
        <f>IFERROR(VLOOKUP([2]Pointage!KE27,Feuil1!$A:$B,2,FALSE),"")</f>
        <v/>
      </c>
      <c r="KB33" s="31" t="str">
        <f>IFERROR(VLOOKUP([2]Pointage!KF27,Feuil1!$A:$B,2,FALSE),"")</f>
        <v/>
      </c>
      <c r="KC33" s="31" t="str">
        <f>IFERROR(VLOOKUP([2]Pointage!KG27,Feuil1!$A:$B,2,FALSE),"")</f>
        <v/>
      </c>
      <c r="KD33" s="31" t="str">
        <f>IFERROR(VLOOKUP([2]Pointage!KH27,Feuil1!$A:$B,2,FALSE),"")</f>
        <v/>
      </c>
      <c r="KE33" s="31" t="str">
        <f>IFERROR(VLOOKUP([2]Pointage!KI27,Feuil1!$A:$B,2,FALSE),"")</f>
        <v/>
      </c>
      <c r="KF33" s="31" t="str">
        <f>IFERROR(VLOOKUP([2]Pointage!KJ27,Feuil1!$A:$B,2,FALSE),"")</f>
        <v/>
      </c>
      <c r="KG33" s="31" t="str">
        <f>IFERROR(VLOOKUP([2]Pointage!KK27,Feuil1!$A:$B,2,FALSE),"")</f>
        <v/>
      </c>
      <c r="KH33" s="31" t="str">
        <f>IFERROR(VLOOKUP([2]Pointage!KL27,Feuil1!$A:$B,2,FALSE),"")</f>
        <v/>
      </c>
      <c r="KI33" s="31" t="str">
        <f>IFERROR(VLOOKUP([2]Pointage!KM27,Feuil1!$A:$B,2,FALSE),"")</f>
        <v/>
      </c>
      <c r="KJ33" s="31" t="str">
        <f>IFERROR(VLOOKUP([2]Pointage!KN27,Feuil1!$A:$B,2,FALSE),"")</f>
        <v/>
      </c>
      <c r="KK33" s="31" t="str">
        <f>IFERROR(VLOOKUP([2]Pointage!KO27,Feuil1!$A:$B,2,FALSE),"")</f>
        <v/>
      </c>
      <c r="KL33" s="31" t="str">
        <f>IFERROR(VLOOKUP([2]Pointage!KP27,Feuil1!$A:$B,2,FALSE),"")</f>
        <v/>
      </c>
      <c r="KM33" s="31" t="str">
        <f>IFERROR(VLOOKUP([2]Pointage!KQ27,Feuil1!$A:$B,2,FALSE),"")</f>
        <v/>
      </c>
      <c r="KN33" s="31" t="str">
        <f>IFERROR(VLOOKUP([2]Pointage!KR27,Feuil1!$A:$B,2,FALSE),"")</f>
        <v/>
      </c>
      <c r="KO33" s="31" t="str">
        <f>IFERROR(VLOOKUP([2]Pointage!KS27,Feuil1!$A:$B,2,FALSE),"")</f>
        <v/>
      </c>
      <c r="KP33" s="31" t="str">
        <f>IFERROR(VLOOKUP([2]Pointage!KT27,Feuil1!$A:$B,2,FALSE),"")</f>
        <v/>
      </c>
      <c r="KQ33" s="31" t="str">
        <f>IFERROR(VLOOKUP([2]Pointage!KU27,Feuil1!$A:$B,2,FALSE),"")</f>
        <v/>
      </c>
      <c r="KR33" s="31" t="str">
        <f>IFERROR(VLOOKUP([2]Pointage!KV27,Feuil1!$A:$B,2,FALSE),"")</f>
        <v/>
      </c>
      <c r="KS33" s="31" t="str">
        <f>IFERROR(VLOOKUP([2]Pointage!KW27,Feuil1!$A:$B,2,FALSE),"")</f>
        <v/>
      </c>
      <c r="KT33" s="31" t="str">
        <f>IFERROR(VLOOKUP([2]Pointage!KX27,Feuil1!$A:$B,2,FALSE),"")</f>
        <v/>
      </c>
      <c r="KU33" s="31" t="str">
        <f>IFERROR(VLOOKUP([2]Pointage!KY27,Feuil1!$A:$B,2,FALSE),"")</f>
        <v/>
      </c>
      <c r="KV33" s="31" t="str">
        <f>IFERROR(VLOOKUP([2]Pointage!KZ27,Feuil1!$A:$B,2,FALSE),"")</f>
        <v/>
      </c>
      <c r="KW33" s="82" t="str">
        <f>IFERROR(VLOOKUP([2]Pointage!LA27,Feuil1!$A:$B,2,FALSE),"")</f>
        <v/>
      </c>
      <c r="KX33" s="47" t="str">
        <f>IFERROR(VLOOKUP([2]Pointage!LB27,Feuil1!$A:$B,2,FALSE),"")</f>
        <v/>
      </c>
      <c r="KY33" s="31" t="str">
        <f>IFERROR(VLOOKUP([2]Pointage!LC27,Feuil1!$A:$B,2,FALSE),"")</f>
        <v/>
      </c>
      <c r="KZ33" s="31" t="str">
        <f>IFERROR(VLOOKUP([2]Pointage!LD27,Feuil1!$A:$B,2,FALSE),"")</f>
        <v/>
      </c>
      <c r="LA33" s="31" t="str">
        <f>IFERROR(VLOOKUP([2]Pointage!LE27,Feuil1!$A:$B,2,FALSE),"")</f>
        <v/>
      </c>
      <c r="LB33" s="31" t="str">
        <f>IFERROR(VLOOKUP([2]Pointage!LF27,Feuil1!$A:$B,2,FALSE),"")</f>
        <v/>
      </c>
      <c r="LC33" s="31" t="str">
        <f>IFERROR(VLOOKUP([2]Pointage!LG27,Feuil1!$A:$B,2,FALSE),"")</f>
        <v/>
      </c>
      <c r="LD33" s="31" t="str">
        <f>IFERROR(VLOOKUP([2]Pointage!LH27,Feuil1!$A:$B,2,FALSE),"")</f>
        <v/>
      </c>
      <c r="LE33" s="31" t="str">
        <f>IFERROR(VLOOKUP([2]Pointage!LI27,Feuil1!$A:$B,2,FALSE),"")</f>
        <v/>
      </c>
      <c r="LF33" s="31" t="str">
        <f>IFERROR(VLOOKUP([2]Pointage!LJ27,Feuil1!$A:$B,2,FALSE),"")</f>
        <v/>
      </c>
      <c r="LG33" s="31" t="str">
        <f>IFERROR(VLOOKUP([2]Pointage!LK27,Feuil1!$A:$B,2,FALSE),"")</f>
        <v/>
      </c>
      <c r="LH33" s="31" t="str">
        <f>IFERROR(VLOOKUP([2]Pointage!LL27,Feuil1!$A:$B,2,FALSE),"")</f>
        <v/>
      </c>
      <c r="LI33" s="31" t="str">
        <f>IFERROR(VLOOKUP([2]Pointage!LM27,Feuil1!$A:$B,2,FALSE),"")</f>
        <v/>
      </c>
      <c r="LJ33" s="31" t="str">
        <f>IFERROR(VLOOKUP([2]Pointage!LN27,Feuil1!$A:$B,2,FALSE),"")</f>
        <v/>
      </c>
      <c r="LK33" s="31" t="str">
        <f>IFERROR(VLOOKUP([2]Pointage!LO27,Feuil1!$A:$B,2,FALSE),"")</f>
        <v/>
      </c>
      <c r="LL33" s="31" t="str">
        <f>IFERROR(VLOOKUP([2]Pointage!LP27,Feuil1!$A:$B,2,FALSE),"")</f>
        <v/>
      </c>
      <c r="LM33" s="31" t="str">
        <f>IFERROR(VLOOKUP([2]Pointage!LQ27,Feuil1!$A:$B,2,FALSE),"")</f>
        <v/>
      </c>
      <c r="LN33" s="31" t="str">
        <f>IFERROR(VLOOKUP([2]Pointage!LR27,Feuil1!$A:$B,2,FALSE),"")</f>
        <v/>
      </c>
      <c r="LO33" s="31" t="str">
        <f>IFERROR(VLOOKUP([2]Pointage!LS27,Feuil1!$A:$B,2,FALSE),"")</f>
        <v/>
      </c>
      <c r="LP33" s="31" t="str">
        <f>IFERROR(VLOOKUP([2]Pointage!LT27,Feuil1!$A:$B,2,FALSE),"")</f>
        <v/>
      </c>
      <c r="LQ33" s="31" t="str">
        <f>IFERROR(VLOOKUP([2]Pointage!LU27,Feuil1!$A:$B,2,FALSE),"")</f>
        <v/>
      </c>
      <c r="LR33" s="31" t="str">
        <f>IFERROR(VLOOKUP([2]Pointage!LV27,Feuil1!$A:$B,2,FALSE),"")</f>
        <v/>
      </c>
      <c r="LS33" s="31" t="str">
        <f>IFERROR(VLOOKUP([2]Pointage!LW27,Feuil1!$A:$B,2,FALSE),"")</f>
        <v/>
      </c>
      <c r="LT33" s="31" t="str">
        <f>IFERROR(VLOOKUP([2]Pointage!LX27,Feuil1!$A:$B,2,FALSE),"")</f>
        <v/>
      </c>
      <c r="LU33" s="31" t="str">
        <f>IFERROR(VLOOKUP([2]Pointage!LY27,Feuil1!$A:$B,2,FALSE),"")</f>
        <v/>
      </c>
      <c r="LV33" s="31" t="str">
        <f>IFERROR(VLOOKUP([2]Pointage!LZ27,Feuil1!$A:$B,2,FALSE),"")</f>
        <v/>
      </c>
      <c r="LW33" s="31" t="str">
        <f>IFERROR(VLOOKUP([2]Pointage!MA27,Feuil1!$A:$B,2,FALSE),"")</f>
        <v/>
      </c>
      <c r="LX33" s="31" t="str">
        <f>IFERROR(VLOOKUP([2]Pointage!MB27,Feuil1!$A:$B,2,FALSE),"")</f>
        <v/>
      </c>
      <c r="LY33" s="31" t="str">
        <f>IFERROR(VLOOKUP([2]Pointage!MC27,Feuil1!$A:$B,2,FALSE),"")</f>
        <v/>
      </c>
      <c r="LZ33" s="31" t="str">
        <f>IFERROR(VLOOKUP([2]Pointage!MD27,Feuil1!$A:$B,2,FALSE),"")</f>
        <v/>
      </c>
      <c r="MA33" s="82" t="str">
        <f>IFERROR(VLOOKUP([2]Pointage!ME27,Feuil1!$A:$B,2,FALSE),"")</f>
        <v/>
      </c>
      <c r="MB33" s="47" t="str">
        <f>IFERROR(VLOOKUP([2]Pointage!MF27,Feuil1!$A:$B,2,FALSE),"")</f>
        <v/>
      </c>
      <c r="MC33" s="31" t="str">
        <f>IFERROR(VLOOKUP([2]Pointage!MG27,Feuil1!$A:$B,2,FALSE),"")</f>
        <v/>
      </c>
      <c r="MD33" s="31" t="str">
        <f>IFERROR(VLOOKUP([2]Pointage!MH27,Feuil1!$A:$B,2,FALSE),"")</f>
        <v/>
      </c>
      <c r="ME33" s="31" t="str">
        <f>IFERROR(VLOOKUP([2]Pointage!MI27,Feuil1!$A:$B,2,FALSE),"")</f>
        <v/>
      </c>
      <c r="MF33" s="31" t="str">
        <f>IFERROR(VLOOKUP([2]Pointage!MJ27,Feuil1!$A:$B,2,FALSE),"")</f>
        <v/>
      </c>
      <c r="MG33" s="31" t="str">
        <f>IFERROR(VLOOKUP([2]Pointage!MK27,Feuil1!$A:$B,2,FALSE),"")</f>
        <v/>
      </c>
      <c r="MH33" s="31" t="str">
        <f>IFERROR(VLOOKUP([2]Pointage!ML27,Feuil1!$A:$B,2,FALSE),"")</f>
        <v/>
      </c>
      <c r="MI33" s="31" t="str">
        <f>IFERROR(VLOOKUP([2]Pointage!MM27,Feuil1!$A:$B,2,FALSE),"")</f>
        <v/>
      </c>
      <c r="MJ33" s="31" t="str">
        <f>IFERROR(VLOOKUP([2]Pointage!MN27,Feuil1!$A:$B,2,FALSE),"")</f>
        <v/>
      </c>
      <c r="MK33" s="31" t="str">
        <f>IFERROR(VLOOKUP([2]Pointage!MO27,Feuil1!$A:$B,2,FALSE),"")</f>
        <v/>
      </c>
      <c r="ML33" s="31" t="str">
        <f>IFERROR(VLOOKUP([2]Pointage!MP27,Feuil1!$A:$B,2,FALSE),"")</f>
        <v/>
      </c>
      <c r="MM33" s="31" t="str">
        <f>IFERROR(VLOOKUP([2]Pointage!MQ27,Feuil1!$A:$B,2,FALSE),"")</f>
        <v/>
      </c>
      <c r="MN33" s="31" t="str">
        <f>IFERROR(VLOOKUP([2]Pointage!MR27,Feuil1!$A:$B,2,FALSE),"")</f>
        <v/>
      </c>
      <c r="MO33" s="31" t="str">
        <f>IFERROR(VLOOKUP([2]Pointage!MS27,Feuil1!$A:$B,2,FALSE),"")</f>
        <v/>
      </c>
      <c r="MP33" s="31" t="str">
        <f>IFERROR(VLOOKUP([2]Pointage!MT27,Feuil1!$A:$B,2,FALSE),"")</f>
        <v/>
      </c>
      <c r="MQ33" s="31" t="str">
        <f>IFERROR(VLOOKUP([2]Pointage!MU27,Feuil1!$A:$B,2,FALSE),"")</f>
        <v/>
      </c>
      <c r="MR33" s="31" t="str">
        <f>IFERROR(VLOOKUP([2]Pointage!MV27,Feuil1!$A:$B,2,FALSE),"")</f>
        <v/>
      </c>
      <c r="MS33" s="31" t="str">
        <f>IFERROR(VLOOKUP([2]Pointage!MW27,Feuil1!$A:$B,2,FALSE),"")</f>
        <v/>
      </c>
      <c r="MT33" s="31" t="str">
        <f>IFERROR(VLOOKUP([2]Pointage!MX27,Feuil1!$A:$B,2,FALSE),"")</f>
        <v/>
      </c>
      <c r="MU33" s="31" t="str">
        <f>IFERROR(VLOOKUP([2]Pointage!MY27,Feuil1!$A:$B,2,FALSE),"")</f>
        <v/>
      </c>
      <c r="MV33" s="31" t="str">
        <f>IFERROR(VLOOKUP([2]Pointage!MZ27,Feuil1!$A:$B,2,FALSE),"")</f>
        <v/>
      </c>
      <c r="MW33" s="31" t="str">
        <f>IFERROR(VLOOKUP([2]Pointage!NA27,Feuil1!$A:$B,2,FALSE),"")</f>
        <v/>
      </c>
      <c r="MX33" s="31" t="str">
        <f>IFERROR(VLOOKUP([2]Pointage!NB27,Feuil1!$A:$B,2,FALSE),"")</f>
        <v/>
      </c>
      <c r="MY33" s="31" t="str">
        <f>IFERROR(VLOOKUP([2]Pointage!NC27,Feuil1!$A:$B,2,FALSE),"")</f>
        <v/>
      </c>
      <c r="MZ33" s="31" t="str">
        <f>IFERROR(VLOOKUP([2]Pointage!ND27,Feuil1!$A:$B,2,FALSE),"")</f>
        <v/>
      </c>
      <c r="NA33" s="31" t="str">
        <f>IFERROR(VLOOKUP([2]Pointage!NE27,Feuil1!$A:$B,2,FALSE),"")</f>
        <v/>
      </c>
      <c r="NB33" s="31" t="str">
        <f>IFERROR(VLOOKUP([2]Pointage!NF27,Feuil1!$A:$B,2,FALSE),"")</f>
        <v/>
      </c>
      <c r="NC33" s="31" t="str">
        <f>IFERROR(VLOOKUP([2]Pointage!NG27,Feuil1!$A:$B,2,FALSE),"")</f>
        <v/>
      </c>
      <c r="ND33" s="31" t="str">
        <f>IFERROR(VLOOKUP([2]Pointage!NH27,Feuil1!$A:$B,2,FALSE),"")</f>
        <v/>
      </c>
      <c r="NE33" s="31" t="str">
        <f>IFERROR(VLOOKUP([2]Pointage!NI27,Feuil1!$A:$B,2,FALSE),"")</f>
        <v/>
      </c>
      <c r="NF33" s="48" t="str">
        <f>IFERROR(VLOOKUP([2]Pointage!NJ27,Feuil1!$A:$B,2,FALSE),"")</f>
        <v/>
      </c>
      <c r="NG33" s="52">
        <f>COUNTIF(Global!F33:NF33,"RTT")+(COUNTIF(Global!F33:NF33,"dRTT")/2)</f>
        <v>0</v>
      </c>
      <c r="NH33" s="42">
        <f>COUNTIF(Global!F33:NF33,"C")+(COUNTIF(Global!F33:NF33,"DC")/2)</f>
        <v>17</v>
      </c>
      <c r="NI33" s="42">
        <f>COUNTIF(Global!F33:NF33,"M")</f>
        <v>11</v>
      </c>
      <c r="NJ33" s="42">
        <f>COUNTIF(Global!G33:NG33,"AT")</f>
        <v>0</v>
      </c>
      <c r="NK33" s="42">
        <f>COUNTIF(Global!F33:NF33,"RD")</f>
        <v>0</v>
      </c>
      <c r="NL33" s="42">
        <f>COUNTIF(Global!F33:NF33,"RC")+(COUNTIF(Global!F33:NF33,"dRC")/2)</f>
        <v>0</v>
      </c>
      <c r="NM33" s="68">
        <f t="shared" ca="1" si="0"/>
        <v>3.7260273972602742</v>
      </c>
      <c r="NT33" s="33"/>
      <c r="NU33" s="33"/>
      <c r="NV33" s="28"/>
      <c r="NW33" s="28"/>
      <c r="NX33" s="29">
        <f>COUNTIF(F33:NF33,"C")++(COUNTIF(Global!F33:NF33,"DC")/2)</f>
        <v>17</v>
      </c>
      <c r="NY33" s="29"/>
      <c r="NZ33" s="29"/>
      <c r="OA33" s="29"/>
      <c r="OB33" s="29">
        <f>COUNTIF(Global!F33:NF33,"M")</f>
        <v>11</v>
      </c>
      <c r="OC33" s="30">
        <f t="shared" si="1"/>
        <v>-17</v>
      </c>
      <c r="OD33" s="30"/>
    </row>
    <row r="34" spans="1:394" ht="30" hidden="1" customHeight="1" x14ac:dyDescent="0.2">
      <c r="A34" s="13" t="s">
        <v>90</v>
      </c>
      <c r="B34" s="22" t="s">
        <v>204</v>
      </c>
      <c r="C34" s="22" t="s">
        <v>205</v>
      </c>
      <c r="D34" s="22" t="s">
        <v>206</v>
      </c>
      <c r="E34" s="44" t="s">
        <v>162</v>
      </c>
      <c r="F34" s="47" t="str">
        <f>IFERROR(VLOOKUP([2]Pointage!J28,Feuil1!$A:$B,2,FALSE),"")</f>
        <v/>
      </c>
      <c r="G34" s="31" t="str">
        <f>IFERROR(VLOOKUP([2]Pointage!K28,Feuil1!$A:$B,2,FALSE),"")</f>
        <v/>
      </c>
      <c r="H34" s="31" t="str">
        <f>IFERROR(VLOOKUP([2]Pointage!L28,Feuil1!$A:$B,2,FALSE),"")</f>
        <v/>
      </c>
      <c r="I34" s="31" t="str">
        <f>IFERROR(VLOOKUP([2]Pointage!M28,Feuil1!$A:$B,2,FALSE),"")</f>
        <v/>
      </c>
      <c r="J34" s="31" t="str">
        <f>IFERROR(VLOOKUP([2]Pointage!N28,Feuil1!$A:$B,2,FALSE),"")</f>
        <v>M</v>
      </c>
      <c r="K34" s="31" t="str">
        <f>IFERROR(VLOOKUP([2]Pointage!O28,Feuil1!$A:$B,2,FALSE),"")</f>
        <v>M</v>
      </c>
      <c r="L34" s="31" t="str">
        <f>IFERROR(VLOOKUP([2]Pointage!P28,Feuil1!$A:$B,2,FALSE),"")</f>
        <v>M</v>
      </c>
      <c r="M34" s="31" t="str">
        <f>IFERROR(VLOOKUP([2]Pointage!Q28,Feuil1!$A:$B,2,FALSE),"")</f>
        <v/>
      </c>
      <c r="N34" s="31" t="str">
        <f>IFERROR(VLOOKUP([2]Pointage!R28,Feuil1!$A:$B,2,FALSE),"")</f>
        <v/>
      </c>
      <c r="O34" s="31" t="str">
        <f>IFERROR(VLOOKUP([2]Pointage!S28,Feuil1!$A:$B,2,FALSE),"")</f>
        <v/>
      </c>
      <c r="P34" s="31" t="str">
        <f>IFERROR(VLOOKUP([2]Pointage!T28,Feuil1!$A:$B,2,FALSE),"")</f>
        <v/>
      </c>
      <c r="Q34" s="31" t="str">
        <f>IFERROR(VLOOKUP([2]Pointage!U28,Feuil1!$A:$B,2,FALSE),"")</f>
        <v/>
      </c>
      <c r="R34" s="31" t="str">
        <f>IFERROR(VLOOKUP([2]Pointage!V28,Feuil1!$A:$B,2,FALSE),"")</f>
        <v/>
      </c>
      <c r="S34" s="31" t="str">
        <f>IFERROR(VLOOKUP([2]Pointage!W28,Feuil1!$A:$B,2,FALSE),"")</f>
        <v/>
      </c>
      <c r="T34" s="31" t="str">
        <f>IFERROR(VLOOKUP([2]Pointage!X28,Feuil1!$A:$B,2,FALSE),"")</f>
        <v/>
      </c>
      <c r="U34" s="31" t="str">
        <f>IFERROR(VLOOKUP([2]Pointage!Y28,Feuil1!$A:$B,2,FALSE),"")</f>
        <v/>
      </c>
      <c r="V34" s="31" t="str">
        <f>IFERROR(VLOOKUP([2]Pointage!Z28,Feuil1!$A:$B,2,FALSE),"")</f>
        <v/>
      </c>
      <c r="W34" s="31" t="str">
        <f>IFERROR(VLOOKUP([2]Pointage!AA28,Feuil1!$A:$B,2,FALSE),"")</f>
        <v>C</v>
      </c>
      <c r="X34" s="31" t="str">
        <f>IFERROR(VLOOKUP([2]Pointage!AB28,Feuil1!$A:$B,2,FALSE),"")</f>
        <v/>
      </c>
      <c r="Y34" s="31" t="str">
        <f>IFERROR(VLOOKUP([2]Pointage!AC28,Feuil1!$A:$B,2,FALSE),"")</f>
        <v/>
      </c>
      <c r="Z34" s="31" t="str">
        <f>IFERROR(VLOOKUP([2]Pointage!AD28,Feuil1!$A:$B,2,FALSE),"")</f>
        <v/>
      </c>
      <c r="AA34" s="31" t="str">
        <f>IFERROR(VLOOKUP([2]Pointage!AE28,Feuil1!$A:$B,2,FALSE),"")</f>
        <v/>
      </c>
      <c r="AB34" s="31" t="str">
        <f>IFERROR(VLOOKUP([2]Pointage!AF28,Feuil1!$A:$B,2,FALSE),"")</f>
        <v/>
      </c>
      <c r="AC34" s="31" t="str">
        <f>IFERROR(VLOOKUP([2]Pointage!AG28,Feuil1!$A:$B,2,FALSE),"")</f>
        <v/>
      </c>
      <c r="AD34" s="31" t="str">
        <f>IFERROR(VLOOKUP([2]Pointage!AH28,Feuil1!$A:$B,2,FALSE),"")</f>
        <v/>
      </c>
      <c r="AE34" s="31" t="str">
        <f>IFERROR(VLOOKUP([2]Pointage!AI28,Feuil1!$A:$B,2,FALSE),"")</f>
        <v/>
      </c>
      <c r="AF34" s="31" t="str">
        <f>IFERROR(VLOOKUP([2]Pointage!AJ28,Feuil1!$A:$B,2,FALSE),"")</f>
        <v/>
      </c>
      <c r="AG34" s="31" t="str">
        <f>IFERROR(VLOOKUP([2]Pointage!AK28,Feuil1!$A:$B,2,FALSE),"")</f>
        <v/>
      </c>
      <c r="AH34" s="31" t="str">
        <f>IFERROR(VLOOKUP([2]Pointage!AL28,Feuil1!$A:$B,2,FALSE),"")</f>
        <v/>
      </c>
      <c r="AI34" s="31" t="str">
        <f>IFERROR(VLOOKUP([2]Pointage!AM28,Feuil1!$A:$B,2,FALSE),"")</f>
        <v/>
      </c>
      <c r="AJ34" s="82" t="str">
        <f>IFERROR(VLOOKUP([2]Pointage!AN28,Feuil1!$A:$B,2,FALSE),"")</f>
        <v/>
      </c>
      <c r="AK34" s="47" t="str">
        <f>IFERROR(VLOOKUP([2]Pointage!AO28,Feuil1!$A:$B,2,FALSE),"")</f>
        <v/>
      </c>
      <c r="AL34" s="31" t="str">
        <f>IFERROR(VLOOKUP([2]Pointage!AP28,Feuil1!$A:$B,2,FALSE),"")</f>
        <v/>
      </c>
      <c r="AM34" s="31" t="str">
        <f>IFERROR(VLOOKUP([2]Pointage!AQ28,Feuil1!$A:$B,2,FALSE),"")</f>
        <v/>
      </c>
      <c r="AN34" s="31" t="str">
        <f>IFERROR(VLOOKUP([2]Pointage!AR28,Feuil1!$A:$B,2,FALSE),"")</f>
        <v/>
      </c>
      <c r="AO34" s="31" t="str">
        <f>IFERROR(VLOOKUP([2]Pointage!AS28,Feuil1!$A:$B,2,FALSE),"")</f>
        <v/>
      </c>
      <c r="AP34" s="31" t="str">
        <f>IFERROR(VLOOKUP([2]Pointage!AT28,Feuil1!$A:$B,2,FALSE),"")</f>
        <v/>
      </c>
      <c r="AQ34" s="31" t="str">
        <f>IFERROR(VLOOKUP([2]Pointage!AU28,Feuil1!$A:$B,2,FALSE),"")</f>
        <v/>
      </c>
      <c r="AR34" s="31" t="str">
        <f>IFERROR(VLOOKUP([2]Pointage!AV28,Feuil1!$A:$B,2,FALSE),"")</f>
        <v/>
      </c>
      <c r="AS34" s="31" t="str">
        <f>IFERROR(VLOOKUP([2]Pointage!AW28,Feuil1!$A:$B,2,FALSE),"")</f>
        <v/>
      </c>
      <c r="AT34" s="31" t="str">
        <f>IFERROR(VLOOKUP([2]Pointage!AX28,Feuil1!$A:$B,2,FALSE),"")</f>
        <v/>
      </c>
      <c r="AU34" s="31" t="str">
        <f>IFERROR(VLOOKUP([2]Pointage!AY28,Feuil1!$A:$B,2,FALSE),"")</f>
        <v/>
      </c>
      <c r="AV34" s="31" t="str">
        <f>IFERROR(VLOOKUP([2]Pointage!AZ28,Feuil1!$A:$B,2,FALSE),"")</f>
        <v/>
      </c>
      <c r="AW34" s="31" t="str">
        <f>IFERROR(VLOOKUP([2]Pointage!BA28,Feuil1!$A:$B,2,FALSE),"")</f>
        <v/>
      </c>
      <c r="AX34" s="31" t="str">
        <f>IFERROR(VLOOKUP([2]Pointage!BB28,Feuil1!$A:$B,2,FALSE),"")</f>
        <v/>
      </c>
      <c r="AY34" s="31" t="str">
        <f>IFERROR(VLOOKUP([2]Pointage!BC28,Feuil1!$A:$B,2,FALSE),"")</f>
        <v/>
      </c>
      <c r="AZ34" s="31" t="str">
        <f>IFERROR(VLOOKUP([2]Pointage!BD28,Feuil1!$A:$B,2,FALSE),"")</f>
        <v/>
      </c>
      <c r="BA34" s="31" t="str">
        <f>IFERROR(VLOOKUP([2]Pointage!BE28,Feuil1!$A:$B,2,FALSE),"")</f>
        <v/>
      </c>
      <c r="BB34" s="31" t="str">
        <f>IFERROR(VLOOKUP([2]Pointage!BF28,Feuil1!$A:$B,2,FALSE),"")</f>
        <v/>
      </c>
      <c r="BC34" s="31" t="str">
        <f>IFERROR(VLOOKUP([2]Pointage!BG28,Feuil1!$A:$B,2,FALSE),"")</f>
        <v/>
      </c>
      <c r="BD34" s="31" t="str">
        <f>IFERROR(VLOOKUP([2]Pointage!BH28,Feuil1!$A:$B,2,FALSE),"")</f>
        <v/>
      </c>
      <c r="BE34" s="31" t="str">
        <f>IFERROR(VLOOKUP([2]Pointage!BI28,Feuil1!$A:$B,2,FALSE),"")</f>
        <v/>
      </c>
      <c r="BF34" s="31" t="str">
        <f>IFERROR(VLOOKUP([2]Pointage!BJ28,Feuil1!$A:$B,2,FALSE),"")</f>
        <v/>
      </c>
      <c r="BG34" s="31" t="str">
        <f>IFERROR(VLOOKUP([2]Pointage!BK28,Feuil1!$A:$B,2,FALSE),"")</f>
        <v/>
      </c>
      <c r="BH34" s="31" t="str">
        <f>IFERROR(VLOOKUP([2]Pointage!BL28,Feuil1!$A:$B,2,FALSE),"")</f>
        <v/>
      </c>
      <c r="BI34" s="31" t="str">
        <f>IFERROR(VLOOKUP([2]Pointage!BM28,Feuil1!$A:$B,2,FALSE),"")</f>
        <v/>
      </c>
      <c r="BJ34" s="31" t="str">
        <f>IFERROR(VLOOKUP([2]Pointage!BN28,Feuil1!$A:$B,2,FALSE),"")</f>
        <v/>
      </c>
      <c r="BK34" s="31" t="str">
        <f>IFERROR(VLOOKUP([2]Pointage!BO28,Feuil1!$A:$B,2,FALSE),"")</f>
        <v/>
      </c>
      <c r="BL34" s="82" t="str">
        <f>IFERROR(VLOOKUP([2]Pointage!BP28,Feuil1!$A:$B,2,FALSE),"")</f>
        <v/>
      </c>
      <c r="BM34" s="47" t="str">
        <f>IFERROR(VLOOKUP([2]Pointage!BQ28,Feuil1!$A:$B,2,FALSE),"")</f>
        <v/>
      </c>
      <c r="BN34" s="31" t="str">
        <f>IFERROR(VLOOKUP([2]Pointage!BR28,Feuil1!$A:$B,2,FALSE),"")</f>
        <v/>
      </c>
      <c r="BO34" s="31" t="str">
        <f>IFERROR(VLOOKUP([2]Pointage!BS28,Feuil1!$A:$B,2,FALSE),"")</f>
        <v/>
      </c>
      <c r="BP34" s="31" t="str">
        <f>IFERROR(VLOOKUP([2]Pointage!BT28,Feuil1!$A:$B,2,FALSE),"")</f>
        <v/>
      </c>
      <c r="BQ34" s="31" t="str">
        <f>IFERROR(VLOOKUP([2]Pointage!BU28,Feuil1!$A:$B,2,FALSE),"")</f>
        <v/>
      </c>
      <c r="BR34" s="31" t="str">
        <f>IFERROR(VLOOKUP([2]Pointage!BV28,Feuil1!$A:$B,2,FALSE),"")</f>
        <v/>
      </c>
      <c r="BS34" s="31" t="str">
        <f>IFERROR(VLOOKUP([2]Pointage!BW28,Feuil1!$A:$B,2,FALSE),"")</f>
        <v/>
      </c>
      <c r="BT34" s="31" t="str">
        <f>IFERROR(VLOOKUP([2]Pointage!BX28,Feuil1!$A:$B,2,FALSE),"")</f>
        <v/>
      </c>
      <c r="BU34" s="31" t="str">
        <f>IFERROR(VLOOKUP([2]Pointage!BY28,Feuil1!$A:$B,2,FALSE),"")</f>
        <v/>
      </c>
      <c r="BV34" s="31" t="str">
        <f>IFERROR(VLOOKUP([2]Pointage!BZ28,Feuil1!$A:$B,2,FALSE),"")</f>
        <v/>
      </c>
      <c r="BW34" s="31" t="str">
        <f>IFERROR(VLOOKUP([2]Pointage!CA28,Feuil1!$A:$B,2,FALSE),"")</f>
        <v/>
      </c>
      <c r="BX34" s="31" t="str">
        <f>IFERROR(VLOOKUP([2]Pointage!CB28,Feuil1!$A:$B,2,FALSE),"")</f>
        <v/>
      </c>
      <c r="BY34" s="31" t="str">
        <f>IFERROR(VLOOKUP([2]Pointage!CC28,Feuil1!$A:$B,2,FALSE),"")</f>
        <v/>
      </c>
      <c r="BZ34" s="31" t="str">
        <f>IFERROR(VLOOKUP([2]Pointage!CD28,Feuil1!$A:$B,2,FALSE),"")</f>
        <v/>
      </c>
      <c r="CA34" s="31" t="str">
        <f>IFERROR(VLOOKUP([2]Pointage!CE28,Feuil1!$A:$B,2,FALSE),"")</f>
        <v/>
      </c>
      <c r="CB34" s="31" t="str">
        <f>IFERROR(VLOOKUP([2]Pointage!CF28,Feuil1!$A:$B,2,FALSE),"")</f>
        <v/>
      </c>
      <c r="CC34" s="31" t="str">
        <f>IFERROR(VLOOKUP([2]Pointage!CG28,Feuil1!$A:$B,2,FALSE),"")</f>
        <v/>
      </c>
      <c r="CD34" s="31" t="str">
        <f>IFERROR(VLOOKUP([2]Pointage!CH28,Feuil1!$A:$B,2,FALSE),"")</f>
        <v/>
      </c>
      <c r="CE34" s="31" t="str">
        <f>IFERROR(VLOOKUP([2]Pointage!CI28,Feuil1!$A:$B,2,FALSE),"")</f>
        <v/>
      </c>
      <c r="CF34" s="31" t="str">
        <f>IFERROR(VLOOKUP([2]Pointage!CJ28,Feuil1!$A:$B,2,FALSE),"")</f>
        <v/>
      </c>
      <c r="CG34" s="31" t="str">
        <f>IFERROR(VLOOKUP([2]Pointage!CK28,Feuil1!$A:$B,2,FALSE),"")</f>
        <v/>
      </c>
      <c r="CH34" s="31" t="str">
        <f>IFERROR(VLOOKUP([2]Pointage!CL28,Feuil1!$A:$B,2,FALSE),"")</f>
        <v/>
      </c>
      <c r="CI34" s="31" t="str">
        <f>IFERROR(VLOOKUP([2]Pointage!CM28,Feuil1!$A:$B,2,FALSE),"")</f>
        <v/>
      </c>
      <c r="CJ34" s="31" t="str">
        <f>IFERROR(VLOOKUP([2]Pointage!CN28,Feuil1!$A:$B,2,FALSE),"")</f>
        <v/>
      </c>
      <c r="CK34" s="31" t="str">
        <f>IFERROR(VLOOKUP([2]Pointage!CO28,Feuil1!$A:$B,2,FALSE),"")</f>
        <v/>
      </c>
      <c r="CL34" s="31" t="str">
        <f>IFERROR(VLOOKUP([2]Pointage!CP28,Feuil1!$A:$B,2,FALSE),"")</f>
        <v/>
      </c>
      <c r="CM34" s="31" t="str">
        <f>IFERROR(VLOOKUP([2]Pointage!CQ28,Feuil1!$A:$B,2,FALSE),"")</f>
        <v/>
      </c>
      <c r="CN34" s="31" t="str">
        <f>IFERROR(VLOOKUP([2]Pointage!CR28,Feuil1!$A:$B,2,FALSE),"")</f>
        <v/>
      </c>
      <c r="CO34" s="31" t="str">
        <f>IFERROR(VLOOKUP([2]Pointage!CS28,Feuil1!$A:$B,2,FALSE),"")</f>
        <v/>
      </c>
      <c r="CP34" s="31" t="str">
        <f>IFERROR(VLOOKUP([2]Pointage!CT28,Feuil1!$A:$B,2,FALSE),"")</f>
        <v/>
      </c>
      <c r="CQ34" s="82" t="str">
        <f>IFERROR(VLOOKUP([2]Pointage!CU28,Feuil1!$A:$B,2,FALSE),"")</f>
        <v/>
      </c>
      <c r="CR34" s="47" t="str">
        <f>IFERROR(VLOOKUP([2]Pointage!CV28,Feuil1!$A:$B,2,FALSE),"")</f>
        <v/>
      </c>
      <c r="CS34" s="31" t="str">
        <f>IFERROR(VLOOKUP([2]Pointage!CW28,Feuil1!$A:$B,2,FALSE),"")</f>
        <v/>
      </c>
      <c r="CT34" s="31" t="str">
        <f>IFERROR(VLOOKUP([2]Pointage!CX28,Feuil1!$A:$B,2,FALSE),"")</f>
        <v/>
      </c>
      <c r="CU34" s="31" t="str">
        <f>IFERROR(VLOOKUP([2]Pointage!CY28,Feuil1!$A:$B,2,FALSE),"")</f>
        <v/>
      </c>
      <c r="CV34" s="31" t="str">
        <f>IFERROR(VLOOKUP([2]Pointage!CZ28,Feuil1!$A:$B,2,FALSE),"")</f>
        <v/>
      </c>
      <c r="CW34" s="31" t="str">
        <f>IFERROR(VLOOKUP([2]Pointage!DA28,Feuil1!$A:$B,2,FALSE),"")</f>
        <v/>
      </c>
      <c r="CX34" s="31" t="str">
        <f>IFERROR(VLOOKUP([2]Pointage!DB28,Feuil1!$A:$B,2,FALSE),"")</f>
        <v/>
      </c>
      <c r="CY34" s="31" t="str">
        <f>IFERROR(VLOOKUP([2]Pointage!DC28,Feuil1!$A:$B,2,FALSE),"")</f>
        <v/>
      </c>
      <c r="CZ34" s="31" t="str">
        <f>IFERROR(VLOOKUP([2]Pointage!DD28,Feuil1!$A:$B,2,FALSE),"")</f>
        <v/>
      </c>
      <c r="DA34" s="31" t="str">
        <f>IFERROR(VLOOKUP([2]Pointage!DE28,Feuil1!$A:$B,2,FALSE),"")</f>
        <v/>
      </c>
      <c r="DB34" s="31" t="str">
        <f>IFERROR(VLOOKUP([2]Pointage!DF28,Feuil1!$A:$B,2,FALSE),"")</f>
        <v/>
      </c>
      <c r="DC34" s="31" t="str">
        <f>IFERROR(VLOOKUP([2]Pointage!DG28,Feuil1!$A:$B,2,FALSE),"")</f>
        <v/>
      </c>
      <c r="DD34" s="31" t="str">
        <f>IFERROR(VLOOKUP([2]Pointage!DH28,Feuil1!$A:$B,2,FALSE),"")</f>
        <v/>
      </c>
      <c r="DE34" s="31" t="str">
        <f>IFERROR(VLOOKUP([2]Pointage!DI28,Feuil1!$A:$B,2,FALSE),"")</f>
        <v/>
      </c>
      <c r="DF34" s="31" t="str">
        <f>IFERROR(VLOOKUP([2]Pointage!DJ28,Feuil1!$A:$B,2,FALSE),"")</f>
        <v/>
      </c>
      <c r="DG34" s="31" t="str">
        <f>IFERROR(VLOOKUP([2]Pointage!DK28,Feuil1!$A:$B,2,FALSE),"")</f>
        <v/>
      </c>
      <c r="DH34" s="31" t="str">
        <f>IFERROR(VLOOKUP([2]Pointage!DL28,Feuil1!$A:$B,2,FALSE),"")</f>
        <v/>
      </c>
      <c r="DI34" s="31" t="str">
        <f>IFERROR(VLOOKUP([2]Pointage!DM28,Feuil1!$A:$B,2,FALSE),"")</f>
        <v/>
      </c>
      <c r="DJ34" s="31" t="str">
        <f>IFERROR(VLOOKUP([2]Pointage!DN28,Feuil1!$A:$B,2,FALSE),"")</f>
        <v/>
      </c>
      <c r="DK34" s="31" t="str">
        <f>IFERROR(VLOOKUP([2]Pointage!DO28,Feuil1!$A:$B,2,FALSE),"")</f>
        <v/>
      </c>
      <c r="DL34" s="31" t="str">
        <f>IFERROR(VLOOKUP([2]Pointage!DP28,Feuil1!$A:$B,2,FALSE),"")</f>
        <v/>
      </c>
      <c r="DM34" s="31" t="str">
        <f>IFERROR(VLOOKUP([2]Pointage!DQ28,Feuil1!$A:$B,2,FALSE),"")</f>
        <v/>
      </c>
      <c r="DN34" s="31" t="str">
        <f>IFERROR(VLOOKUP([2]Pointage!DR28,Feuil1!$A:$B,2,FALSE),"")</f>
        <v/>
      </c>
      <c r="DO34" s="31" t="str">
        <f>IFERROR(VLOOKUP([2]Pointage!DS28,Feuil1!$A:$B,2,FALSE),"")</f>
        <v/>
      </c>
      <c r="DP34" s="31" t="str">
        <f>IFERROR(VLOOKUP([2]Pointage!DT28,Feuil1!$A:$B,2,FALSE),"")</f>
        <v/>
      </c>
      <c r="DQ34" s="31" t="str">
        <f>IFERROR(VLOOKUP([2]Pointage!DU28,Feuil1!$A:$B,2,FALSE),"")</f>
        <v/>
      </c>
      <c r="DR34" s="31" t="str">
        <f>IFERROR(VLOOKUP([2]Pointage!DV28,Feuil1!$A:$B,2,FALSE),"")</f>
        <v/>
      </c>
      <c r="DS34" s="31" t="str">
        <f>IFERROR(VLOOKUP([2]Pointage!DW28,Feuil1!$A:$B,2,FALSE),"")</f>
        <v/>
      </c>
      <c r="DT34" s="31" t="str">
        <f>IFERROR(VLOOKUP([2]Pointage!DX28,Feuil1!$A:$B,2,FALSE),"")</f>
        <v/>
      </c>
      <c r="DU34" s="82" t="str">
        <f>IFERROR(VLOOKUP([2]Pointage!DY28,Feuil1!$A:$B,2,FALSE),"")</f>
        <v/>
      </c>
      <c r="DV34" s="47" t="str">
        <f>IFERROR(VLOOKUP([2]Pointage!DZ28,Feuil1!$A:$B,2,FALSE),"")</f>
        <v/>
      </c>
      <c r="DW34" s="31" t="str">
        <f>IFERROR(VLOOKUP([2]Pointage!EA28,Feuil1!$A:$B,2,FALSE),"")</f>
        <v/>
      </c>
      <c r="DX34" s="31" t="str">
        <f>IFERROR(VLOOKUP([2]Pointage!EB28,Feuil1!$A:$B,2,FALSE),"")</f>
        <v/>
      </c>
      <c r="DY34" s="31" t="str">
        <f>IFERROR(VLOOKUP([2]Pointage!EC28,Feuil1!$A:$B,2,FALSE),"")</f>
        <v/>
      </c>
      <c r="DZ34" s="31" t="str">
        <f>IFERROR(VLOOKUP([2]Pointage!ED28,Feuil1!$A:$B,2,FALSE),"")</f>
        <v/>
      </c>
      <c r="EA34" s="31" t="str">
        <f>IFERROR(VLOOKUP([2]Pointage!EE28,Feuil1!$A:$B,2,FALSE),"")</f>
        <v/>
      </c>
      <c r="EB34" s="31" t="str">
        <f>IFERROR(VLOOKUP([2]Pointage!EF28,Feuil1!$A:$B,2,FALSE),"")</f>
        <v/>
      </c>
      <c r="EC34" s="31" t="str">
        <f>IFERROR(VLOOKUP([2]Pointage!EG28,Feuil1!$A:$B,2,FALSE),"")</f>
        <v/>
      </c>
      <c r="ED34" s="31" t="str">
        <f>IFERROR(VLOOKUP([2]Pointage!EH28,Feuil1!$A:$B,2,FALSE),"")</f>
        <v/>
      </c>
      <c r="EE34" s="31" t="str">
        <f>IFERROR(VLOOKUP([2]Pointage!EI28,Feuil1!$A:$B,2,FALSE),"")</f>
        <v/>
      </c>
      <c r="EF34" s="31" t="str">
        <f>IFERROR(VLOOKUP([2]Pointage!EJ28,Feuil1!$A:$B,2,FALSE),"")</f>
        <v/>
      </c>
      <c r="EG34" s="31" t="str">
        <f>IFERROR(VLOOKUP([2]Pointage!EK28,Feuil1!$A:$B,2,FALSE),"")</f>
        <v/>
      </c>
      <c r="EH34" s="31" t="str">
        <f>IFERROR(VLOOKUP([2]Pointage!EL28,Feuil1!$A:$B,2,FALSE),"")</f>
        <v/>
      </c>
      <c r="EI34" s="31" t="str">
        <f>IFERROR(VLOOKUP([2]Pointage!EM28,Feuil1!$A:$B,2,FALSE),"")</f>
        <v/>
      </c>
      <c r="EJ34" s="31" t="str">
        <f>IFERROR(VLOOKUP([2]Pointage!EN28,Feuil1!$A:$B,2,FALSE),"")</f>
        <v/>
      </c>
      <c r="EK34" s="31" t="str">
        <f>IFERROR(VLOOKUP([2]Pointage!EO28,Feuil1!$A:$B,2,FALSE),"")</f>
        <v/>
      </c>
      <c r="EL34" s="31" t="str">
        <f>IFERROR(VLOOKUP([2]Pointage!EP28,Feuil1!$A:$B,2,FALSE),"")</f>
        <v/>
      </c>
      <c r="EM34" s="31" t="str">
        <f>IFERROR(VLOOKUP([2]Pointage!EQ28,Feuil1!$A:$B,2,FALSE),"")</f>
        <v/>
      </c>
      <c r="EN34" s="31" t="str">
        <f>IFERROR(VLOOKUP([2]Pointage!ER28,Feuil1!$A:$B,2,FALSE),"")</f>
        <v/>
      </c>
      <c r="EO34" s="31" t="str">
        <f>IFERROR(VLOOKUP([2]Pointage!ES28,Feuil1!$A:$B,2,FALSE),"")</f>
        <v/>
      </c>
      <c r="EP34" s="31" t="str">
        <f>IFERROR(VLOOKUP([2]Pointage!ET28,Feuil1!$A:$B,2,FALSE),"")</f>
        <v/>
      </c>
      <c r="EQ34" s="31" t="str">
        <f>IFERROR(VLOOKUP([2]Pointage!EU28,Feuil1!$A:$B,2,FALSE),"")</f>
        <v/>
      </c>
      <c r="ER34" s="31" t="str">
        <f>IFERROR(VLOOKUP([2]Pointage!EV28,Feuil1!$A:$B,2,FALSE),"")</f>
        <v/>
      </c>
      <c r="ES34" s="31" t="str">
        <f>IFERROR(VLOOKUP([2]Pointage!EW28,Feuil1!$A:$B,2,FALSE),"")</f>
        <v/>
      </c>
      <c r="ET34" s="31" t="str">
        <f>IFERROR(VLOOKUP([2]Pointage!EX28,Feuil1!$A:$B,2,FALSE),"")</f>
        <v/>
      </c>
      <c r="EU34" s="31" t="str">
        <f>IFERROR(VLOOKUP([2]Pointage!EY28,Feuil1!$A:$B,2,FALSE),"")</f>
        <v/>
      </c>
      <c r="EV34" s="31" t="str">
        <f>IFERROR(VLOOKUP([2]Pointage!EZ28,Feuil1!$A:$B,2,FALSE),"")</f>
        <v/>
      </c>
      <c r="EW34" s="31" t="str">
        <f>IFERROR(VLOOKUP([2]Pointage!FA28,Feuil1!$A:$B,2,FALSE),"")</f>
        <v/>
      </c>
      <c r="EX34" s="31" t="str">
        <f>IFERROR(VLOOKUP([2]Pointage!FB28,Feuil1!$A:$B,2,FALSE),"")</f>
        <v/>
      </c>
      <c r="EY34" s="31" t="str">
        <f>IFERROR(VLOOKUP([2]Pointage!FC28,Feuil1!$A:$B,2,FALSE),"")</f>
        <v/>
      </c>
      <c r="EZ34" s="82" t="str">
        <f>IFERROR(VLOOKUP([2]Pointage!FD28,Feuil1!$A:$B,2,FALSE),"")</f>
        <v/>
      </c>
      <c r="FA34" s="47" t="str">
        <f>IFERROR(VLOOKUP([2]Pointage!FE28,Feuil1!$A:$B,2,FALSE),"")</f>
        <v/>
      </c>
      <c r="FB34" s="31" t="str">
        <f>IFERROR(VLOOKUP([2]Pointage!FF28,Feuil1!$A:$B,2,FALSE),"")</f>
        <v/>
      </c>
      <c r="FC34" s="31" t="str">
        <f>IFERROR(VLOOKUP([2]Pointage!FG28,Feuil1!$A:$B,2,FALSE),"")</f>
        <v/>
      </c>
      <c r="FD34" s="31" t="str">
        <f>IFERROR(VLOOKUP([2]Pointage!FH28,Feuil1!$A:$B,2,FALSE),"")</f>
        <v/>
      </c>
      <c r="FE34" s="31" t="str">
        <f>IFERROR(VLOOKUP([2]Pointage!FI28,Feuil1!$A:$B,2,FALSE),"")</f>
        <v/>
      </c>
      <c r="FF34" s="31" t="str">
        <f>IFERROR(VLOOKUP([2]Pointage!FJ28,Feuil1!$A:$B,2,FALSE),"")</f>
        <v/>
      </c>
      <c r="FG34" s="31" t="str">
        <f>IFERROR(VLOOKUP([2]Pointage!FK28,Feuil1!$A:$B,2,FALSE),"")</f>
        <v/>
      </c>
      <c r="FH34" s="31" t="str">
        <f>IFERROR(VLOOKUP([2]Pointage!FL28,Feuil1!$A:$B,2,FALSE),"")</f>
        <v/>
      </c>
      <c r="FI34" s="31" t="str">
        <f>IFERROR(VLOOKUP([2]Pointage!FM28,Feuil1!$A:$B,2,FALSE),"")</f>
        <v/>
      </c>
      <c r="FJ34" s="31" t="str">
        <f>IFERROR(VLOOKUP([2]Pointage!FN28,Feuil1!$A:$B,2,FALSE),"")</f>
        <v/>
      </c>
      <c r="FK34" s="31" t="str">
        <f>IFERROR(VLOOKUP([2]Pointage!FO28,Feuil1!$A:$B,2,FALSE),"")</f>
        <v/>
      </c>
      <c r="FL34" s="31" t="str">
        <f>IFERROR(VLOOKUP([2]Pointage!FP28,Feuil1!$A:$B,2,FALSE),"")</f>
        <v/>
      </c>
      <c r="FM34" s="31" t="str">
        <f>IFERROR(VLOOKUP([2]Pointage!FQ28,Feuil1!$A:$B,2,FALSE),"")</f>
        <v/>
      </c>
      <c r="FN34" s="31" t="str">
        <f>IFERROR(VLOOKUP([2]Pointage!FR28,Feuil1!$A:$B,2,FALSE),"")</f>
        <v/>
      </c>
      <c r="FO34" s="31" t="str">
        <f>IFERROR(VLOOKUP([2]Pointage!FS28,Feuil1!$A:$B,2,FALSE),"")</f>
        <v/>
      </c>
      <c r="FP34" s="31" t="str">
        <f>IFERROR(VLOOKUP([2]Pointage!FT28,Feuil1!$A:$B,2,FALSE),"")</f>
        <v/>
      </c>
      <c r="FQ34" s="31" t="str">
        <f>IFERROR(VLOOKUP([2]Pointage!FU28,Feuil1!$A:$B,2,FALSE),"")</f>
        <v/>
      </c>
      <c r="FR34" s="31" t="str">
        <f>IFERROR(VLOOKUP([2]Pointage!FV28,Feuil1!$A:$B,2,FALSE),"")</f>
        <v/>
      </c>
      <c r="FS34" s="31" t="str">
        <f>IFERROR(VLOOKUP([2]Pointage!FW28,Feuil1!$A:$B,2,FALSE),"")</f>
        <v/>
      </c>
      <c r="FT34" s="31" t="str">
        <f>IFERROR(VLOOKUP([2]Pointage!FX28,Feuil1!$A:$B,2,FALSE),"")</f>
        <v/>
      </c>
      <c r="FU34" s="31" t="str">
        <f>IFERROR(VLOOKUP([2]Pointage!FY28,Feuil1!$A:$B,2,FALSE),"")</f>
        <v/>
      </c>
      <c r="FV34" s="31" t="str">
        <f>IFERROR(VLOOKUP([2]Pointage!FZ28,Feuil1!$A:$B,2,FALSE),"")</f>
        <v/>
      </c>
      <c r="FW34" s="31" t="str">
        <f>IFERROR(VLOOKUP([2]Pointage!GA28,Feuil1!$A:$B,2,FALSE),"")</f>
        <v/>
      </c>
      <c r="FX34" s="31" t="str">
        <f>IFERROR(VLOOKUP([2]Pointage!GB28,Feuil1!$A:$B,2,FALSE),"")</f>
        <v/>
      </c>
      <c r="FY34" s="31" t="str">
        <f>IFERROR(VLOOKUP([2]Pointage!GC28,Feuil1!$A:$B,2,FALSE),"")</f>
        <v/>
      </c>
      <c r="FZ34" s="31" t="str">
        <f>IFERROR(VLOOKUP([2]Pointage!GD28,Feuil1!$A:$B,2,FALSE),"")</f>
        <v/>
      </c>
      <c r="GA34" s="31" t="str">
        <f>IFERROR(VLOOKUP([2]Pointage!GE28,Feuil1!$A:$B,2,FALSE),"")</f>
        <v/>
      </c>
      <c r="GB34" s="31" t="str">
        <f>IFERROR(VLOOKUP([2]Pointage!GF28,Feuil1!$A:$B,2,FALSE),"")</f>
        <v/>
      </c>
      <c r="GC34" s="31" t="str">
        <f>IFERROR(VLOOKUP([2]Pointage!GG28,Feuil1!$A:$B,2,FALSE),"")</f>
        <v/>
      </c>
      <c r="GD34" s="82" t="str">
        <f>IFERROR(VLOOKUP([2]Pointage!GH28,Feuil1!$A:$B,2,FALSE),"")</f>
        <v/>
      </c>
      <c r="GE34" s="47" t="str">
        <f>IFERROR(VLOOKUP([2]Pointage!GI28,Feuil1!$A:$B,2,FALSE),"")</f>
        <v/>
      </c>
      <c r="GF34" s="31" t="str">
        <f>IFERROR(VLOOKUP([2]Pointage!GJ28,Feuil1!$A:$B,2,FALSE),"")</f>
        <v/>
      </c>
      <c r="GG34" s="31" t="str">
        <f>IFERROR(VLOOKUP([2]Pointage!GK28,Feuil1!$A:$B,2,FALSE),"")</f>
        <v/>
      </c>
      <c r="GH34" s="31" t="str">
        <f>IFERROR(VLOOKUP([2]Pointage!GL28,Feuil1!$A:$B,2,FALSE),"")</f>
        <v/>
      </c>
      <c r="GI34" s="31" t="str">
        <f>IFERROR(VLOOKUP([2]Pointage!GM28,Feuil1!$A:$B,2,FALSE),"")</f>
        <v/>
      </c>
      <c r="GJ34" s="31" t="str">
        <f>IFERROR(VLOOKUP([2]Pointage!GN28,Feuil1!$A:$B,2,FALSE),"")</f>
        <v/>
      </c>
      <c r="GK34" s="31" t="str">
        <f>IFERROR(VLOOKUP([2]Pointage!GO28,Feuil1!$A:$B,2,FALSE),"")</f>
        <v/>
      </c>
      <c r="GL34" s="31" t="str">
        <f>IFERROR(VLOOKUP([2]Pointage!GP28,Feuil1!$A:$B,2,FALSE),"")</f>
        <v/>
      </c>
      <c r="GM34" s="31" t="str">
        <f>IFERROR(VLOOKUP([2]Pointage!GQ28,Feuil1!$A:$B,2,FALSE),"")</f>
        <v/>
      </c>
      <c r="GN34" s="31" t="str">
        <f>IFERROR(VLOOKUP([2]Pointage!GR28,Feuil1!$A:$B,2,FALSE),"")</f>
        <v/>
      </c>
      <c r="GO34" s="31" t="str">
        <f>IFERROR(VLOOKUP([2]Pointage!GS28,Feuil1!$A:$B,2,FALSE),"")</f>
        <v/>
      </c>
      <c r="GP34" s="31" t="str">
        <f>IFERROR(VLOOKUP([2]Pointage!GT28,Feuil1!$A:$B,2,FALSE),"")</f>
        <v/>
      </c>
      <c r="GQ34" s="31" t="str">
        <f>IFERROR(VLOOKUP([2]Pointage!GU28,Feuil1!$A:$B,2,FALSE),"")</f>
        <v/>
      </c>
      <c r="GR34" s="31" t="str">
        <f>IFERROR(VLOOKUP([2]Pointage!GV28,Feuil1!$A:$B,2,FALSE),"")</f>
        <v/>
      </c>
      <c r="GS34" s="31" t="str">
        <f>IFERROR(VLOOKUP([2]Pointage!GW28,Feuil1!$A:$B,2,FALSE),"")</f>
        <v/>
      </c>
      <c r="GT34" s="31" t="str">
        <f>IFERROR(VLOOKUP([2]Pointage!GX28,Feuil1!$A:$B,2,FALSE),"")</f>
        <v/>
      </c>
      <c r="GU34" s="31" t="str">
        <f>IFERROR(VLOOKUP([2]Pointage!GY28,Feuil1!$A:$B,2,FALSE),"")</f>
        <v/>
      </c>
      <c r="GV34" s="31" t="str">
        <f>IFERROR(VLOOKUP([2]Pointage!GZ28,Feuil1!$A:$B,2,FALSE),"")</f>
        <v/>
      </c>
      <c r="GW34" s="31" t="str">
        <f>IFERROR(VLOOKUP([2]Pointage!HA28,Feuil1!$A:$B,2,FALSE),"")</f>
        <v/>
      </c>
      <c r="GX34" s="31" t="str">
        <f>IFERROR(VLOOKUP([2]Pointage!HB28,Feuil1!$A:$B,2,FALSE),"")</f>
        <v/>
      </c>
      <c r="GY34" s="31" t="str">
        <f>IFERROR(VLOOKUP([2]Pointage!HC28,Feuil1!$A:$B,2,FALSE),"")</f>
        <v/>
      </c>
      <c r="GZ34" s="31" t="str">
        <f>IFERROR(VLOOKUP([2]Pointage!HD28,Feuil1!$A:$B,2,FALSE),"")</f>
        <v/>
      </c>
      <c r="HA34" s="31" t="str">
        <f>IFERROR(VLOOKUP([2]Pointage!HE28,Feuil1!$A:$B,2,FALSE),"")</f>
        <v/>
      </c>
      <c r="HB34" s="31" t="str">
        <f>IFERROR(VLOOKUP([2]Pointage!HF28,Feuil1!$A:$B,2,FALSE),"")</f>
        <v/>
      </c>
      <c r="HC34" s="31" t="str">
        <f>IFERROR(VLOOKUP([2]Pointage!HG28,Feuil1!$A:$B,2,FALSE),"")</f>
        <v/>
      </c>
      <c r="HD34" s="31" t="str">
        <f>IFERROR(VLOOKUP([2]Pointage!HH28,Feuil1!$A:$B,2,FALSE),"")</f>
        <v/>
      </c>
      <c r="HE34" s="31" t="str">
        <f>IFERROR(VLOOKUP([2]Pointage!HI28,Feuil1!$A:$B,2,FALSE),"")</f>
        <v/>
      </c>
      <c r="HF34" s="31" t="str">
        <f>IFERROR(VLOOKUP([2]Pointage!HJ28,Feuil1!$A:$B,2,FALSE),"")</f>
        <v/>
      </c>
      <c r="HG34" s="31" t="str">
        <f>IFERROR(VLOOKUP([2]Pointage!HK28,Feuil1!$A:$B,2,FALSE),"")</f>
        <v/>
      </c>
      <c r="HH34" s="31" t="str">
        <f>IFERROR(VLOOKUP([2]Pointage!HL28,Feuil1!$A:$B,2,FALSE),"")</f>
        <v/>
      </c>
      <c r="HI34" s="82" t="str">
        <f>IFERROR(VLOOKUP([2]Pointage!HM28,Feuil1!$A:$B,2,FALSE),"")</f>
        <v/>
      </c>
      <c r="HJ34" s="47" t="str">
        <f>IFERROR(VLOOKUP([2]Pointage!HN28,Feuil1!$A:$B,2,FALSE),"")</f>
        <v/>
      </c>
      <c r="HK34" s="31" t="str">
        <f>IFERROR(VLOOKUP([2]Pointage!HO28,Feuil1!$A:$B,2,FALSE),"")</f>
        <v/>
      </c>
      <c r="HL34" s="31" t="str">
        <f>IFERROR(VLOOKUP([2]Pointage!HP28,Feuil1!$A:$B,2,FALSE),"")</f>
        <v/>
      </c>
      <c r="HM34" s="31" t="str">
        <f>IFERROR(VLOOKUP([2]Pointage!HQ28,Feuil1!$A:$B,2,FALSE),"")</f>
        <v/>
      </c>
      <c r="HN34" s="31" t="str">
        <f>IFERROR(VLOOKUP([2]Pointage!HR28,Feuil1!$A:$B,2,FALSE),"")</f>
        <v/>
      </c>
      <c r="HO34" s="31" t="str">
        <f>IFERROR(VLOOKUP([2]Pointage!HS28,Feuil1!$A:$B,2,FALSE),"")</f>
        <v/>
      </c>
      <c r="HP34" s="31" t="str">
        <f>IFERROR(VLOOKUP([2]Pointage!HT28,Feuil1!$A:$B,2,FALSE),"")</f>
        <v/>
      </c>
      <c r="HQ34" s="31" t="str">
        <f>IFERROR(VLOOKUP([2]Pointage!HU28,Feuil1!$A:$B,2,FALSE),"")</f>
        <v/>
      </c>
      <c r="HR34" s="31" t="str">
        <f>IFERROR(VLOOKUP([2]Pointage!HV28,Feuil1!$A:$B,2,FALSE),"")</f>
        <v/>
      </c>
      <c r="HS34" s="31" t="str">
        <f>IFERROR(VLOOKUP([2]Pointage!HW28,Feuil1!$A:$B,2,FALSE),"")</f>
        <v/>
      </c>
      <c r="HT34" s="31" t="str">
        <f>IFERROR(VLOOKUP([2]Pointage!HX28,Feuil1!$A:$B,2,FALSE),"")</f>
        <v/>
      </c>
      <c r="HU34" s="31" t="str">
        <f>IFERROR(VLOOKUP([2]Pointage!HY28,Feuil1!$A:$B,2,FALSE),"")</f>
        <v/>
      </c>
      <c r="HV34" s="31" t="str">
        <f>IFERROR(VLOOKUP([2]Pointage!HZ28,Feuil1!$A:$B,2,FALSE),"")</f>
        <v/>
      </c>
      <c r="HW34" s="31" t="str">
        <f>IFERROR(VLOOKUP([2]Pointage!IA28,Feuil1!$A:$B,2,FALSE),"")</f>
        <v/>
      </c>
      <c r="HX34" s="31" t="str">
        <f>IFERROR(VLOOKUP([2]Pointage!IB28,Feuil1!$A:$B,2,FALSE),"")</f>
        <v/>
      </c>
      <c r="HY34" s="31" t="str">
        <f>IFERROR(VLOOKUP([2]Pointage!IC28,Feuil1!$A:$B,2,FALSE),"")</f>
        <v/>
      </c>
      <c r="HZ34" s="31" t="str">
        <f>IFERROR(VLOOKUP([2]Pointage!ID28,Feuil1!$A:$B,2,FALSE),"")</f>
        <v/>
      </c>
      <c r="IA34" s="31" t="str">
        <f>IFERROR(VLOOKUP([2]Pointage!IE28,Feuil1!$A:$B,2,FALSE),"")</f>
        <v/>
      </c>
      <c r="IB34" s="31" t="str">
        <f>IFERROR(VLOOKUP([2]Pointage!IF28,Feuil1!$A:$B,2,FALSE),"")</f>
        <v/>
      </c>
      <c r="IC34" s="31" t="str">
        <f>IFERROR(VLOOKUP([2]Pointage!IG28,Feuil1!$A:$B,2,FALSE),"")</f>
        <v/>
      </c>
      <c r="ID34" s="31" t="str">
        <f>IFERROR(VLOOKUP([2]Pointage!IH28,Feuil1!$A:$B,2,FALSE),"")</f>
        <v/>
      </c>
      <c r="IE34" s="31" t="str">
        <f>IFERROR(VLOOKUP([2]Pointage!II28,Feuil1!$A:$B,2,FALSE),"")</f>
        <v/>
      </c>
      <c r="IF34" s="31" t="str">
        <f>IFERROR(VLOOKUP([2]Pointage!IJ28,Feuil1!$A:$B,2,FALSE),"")</f>
        <v/>
      </c>
      <c r="IG34" s="31" t="str">
        <f>IFERROR(VLOOKUP([2]Pointage!IK28,Feuil1!$A:$B,2,FALSE),"")</f>
        <v/>
      </c>
      <c r="IH34" s="31" t="str">
        <f>IFERROR(VLOOKUP([2]Pointage!IL28,Feuil1!$A:$B,2,FALSE),"")</f>
        <v/>
      </c>
      <c r="II34" s="31" t="str">
        <f>IFERROR(VLOOKUP([2]Pointage!IM28,Feuil1!$A:$B,2,FALSE),"")</f>
        <v/>
      </c>
      <c r="IJ34" s="31" t="str">
        <f>IFERROR(VLOOKUP([2]Pointage!IN28,Feuil1!$A:$B,2,FALSE),"")</f>
        <v/>
      </c>
      <c r="IK34" s="31" t="str">
        <f>IFERROR(VLOOKUP([2]Pointage!IO28,Feuil1!$A:$B,2,FALSE),"")</f>
        <v/>
      </c>
      <c r="IL34" s="31" t="str">
        <f>IFERROR(VLOOKUP([2]Pointage!IP28,Feuil1!$A:$B,2,FALSE),"")</f>
        <v/>
      </c>
      <c r="IM34" s="31" t="str">
        <f>IFERROR(VLOOKUP([2]Pointage!IQ28,Feuil1!$A:$B,2,FALSE),"")</f>
        <v/>
      </c>
      <c r="IN34" s="82" t="str">
        <f>IFERROR(VLOOKUP([2]Pointage!IR28,Feuil1!$A:$B,2,FALSE),"")</f>
        <v/>
      </c>
      <c r="IO34" s="47" t="str">
        <f>IFERROR(VLOOKUP([2]Pointage!IS28,Feuil1!$A:$B,2,FALSE),"")</f>
        <v/>
      </c>
      <c r="IP34" s="31" t="str">
        <f>IFERROR(VLOOKUP([2]Pointage!IT28,Feuil1!$A:$B,2,FALSE),"")</f>
        <v/>
      </c>
      <c r="IQ34" s="31" t="str">
        <f>IFERROR(VLOOKUP([2]Pointage!IU28,Feuil1!$A:$B,2,FALSE),"")</f>
        <v/>
      </c>
      <c r="IR34" s="31" t="str">
        <f>IFERROR(VLOOKUP([2]Pointage!IV28,Feuil1!$A:$B,2,FALSE),"")</f>
        <v/>
      </c>
      <c r="IS34" s="31" t="str">
        <f>IFERROR(VLOOKUP([2]Pointage!IW28,Feuil1!$A:$B,2,FALSE),"")</f>
        <v/>
      </c>
      <c r="IT34" s="31" t="str">
        <f>IFERROR(VLOOKUP([2]Pointage!IX28,Feuil1!$A:$B,2,FALSE),"")</f>
        <v/>
      </c>
      <c r="IU34" s="31" t="str">
        <f>IFERROR(VLOOKUP([2]Pointage!IY28,Feuil1!$A:$B,2,FALSE),"")</f>
        <v/>
      </c>
      <c r="IV34" s="31" t="str">
        <f>IFERROR(VLOOKUP([2]Pointage!IZ28,Feuil1!$A:$B,2,FALSE),"")</f>
        <v/>
      </c>
      <c r="IW34" s="31" t="str">
        <f>IFERROR(VLOOKUP([2]Pointage!JA28,Feuil1!$A:$B,2,FALSE),"")</f>
        <v/>
      </c>
      <c r="IX34" s="31" t="str">
        <f>IFERROR(VLOOKUP([2]Pointage!JB28,Feuil1!$A:$B,2,FALSE),"")</f>
        <v/>
      </c>
      <c r="IY34" s="31" t="str">
        <f>IFERROR(VLOOKUP([2]Pointage!JC28,Feuil1!$A:$B,2,FALSE),"")</f>
        <v/>
      </c>
      <c r="IZ34" s="31" t="str">
        <f>IFERROR(VLOOKUP([2]Pointage!JD28,Feuil1!$A:$B,2,FALSE),"")</f>
        <v/>
      </c>
      <c r="JA34" s="31" t="str">
        <f>IFERROR(VLOOKUP([2]Pointage!JE28,Feuil1!$A:$B,2,FALSE),"")</f>
        <v/>
      </c>
      <c r="JB34" s="31" t="str">
        <f>IFERROR(VLOOKUP([2]Pointage!JF28,Feuil1!$A:$B,2,FALSE),"")</f>
        <v/>
      </c>
      <c r="JC34" s="31" t="str">
        <f>IFERROR(VLOOKUP([2]Pointage!JG28,Feuil1!$A:$B,2,FALSE),"")</f>
        <v/>
      </c>
      <c r="JD34" s="31" t="str">
        <f>IFERROR(VLOOKUP([2]Pointage!JH28,Feuil1!$A:$B,2,FALSE),"")</f>
        <v/>
      </c>
      <c r="JE34" s="31" t="str">
        <f>IFERROR(VLOOKUP([2]Pointage!JI28,Feuil1!$A:$B,2,FALSE),"")</f>
        <v/>
      </c>
      <c r="JF34" s="31" t="str">
        <f>IFERROR(VLOOKUP([2]Pointage!JJ28,Feuil1!$A:$B,2,FALSE),"")</f>
        <v/>
      </c>
      <c r="JG34" s="31" t="str">
        <f>IFERROR(VLOOKUP([2]Pointage!JK28,Feuil1!$A:$B,2,FALSE),"")</f>
        <v/>
      </c>
      <c r="JH34" s="31" t="str">
        <f>IFERROR(VLOOKUP([2]Pointage!JL28,Feuil1!$A:$B,2,FALSE),"")</f>
        <v/>
      </c>
      <c r="JI34" s="31" t="str">
        <f>IFERROR(VLOOKUP([2]Pointage!JM28,Feuil1!$A:$B,2,FALSE),"")</f>
        <v/>
      </c>
      <c r="JJ34" s="31" t="str">
        <f>IFERROR(VLOOKUP([2]Pointage!JN28,Feuil1!$A:$B,2,FALSE),"")</f>
        <v/>
      </c>
      <c r="JK34" s="31" t="str">
        <f>IFERROR(VLOOKUP([2]Pointage!JO28,Feuil1!$A:$B,2,FALSE),"")</f>
        <v/>
      </c>
      <c r="JL34" s="31" t="str">
        <f>IFERROR(VLOOKUP([2]Pointage!JP28,Feuil1!$A:$B,2,FALSE),"")</f>
        <v/>
      </c>
      <c r="JM34" s="31" t="str">
        <f>IFERROR(VLOOKUP([2]Pointage!JQ28,Feuil1!$A:$B,2,FALSE),"")</f>
        <v/>
      </c>
      <c r="JN34" s="31" t="str">
        <f>IFERROR(VLOOKUP([2]Pointage!JR28,Feuil1!$A:$B,2,FALSE),"")</f>
        <v/>
      </c>
      <c r="JO34" s="31" t="str">
        <f>IFERROR(VLOOKUP([2]Pointage!JS28,Feuil1!$A:$B,2,FALSE),"")</f>
        <v/>
      </c>
      <c r="JP34" s="31" t="str">
        <f>IFERROR(VLOOKUP([2]Pointage!JT28,Feuil1!$A:$B,2,FALSE),"")</f>
        <v/>
      </c>
      <c r="JQ34" s="31" t="str">
        <f>IFERROR(VLOOKUP([2]Pointage!JU28,Feuil1!$A:$B,2,FALSE),"")</f>
        <v/>
      </c>
      <c r="JR34" s="82" t="str">
        <f>IFERROR(VLOOKUP([2]Pointage!JV28,Feuil1!$A:$B,2,FALSE),"")</f>
        <v/>
      </c>
      <c r="JS34" s="47" t="str">
        <f>IFERROR(VLOOKUP([2]Pointage!JW28,Feuil1!$A:$B,2,FALSE),"")</f>
        <v/>
      </c>
      <c r="JT34" s="31" t="str">
        <f>IFERROR(VLOOKUP([2]Pointage!JX28,Feuil1!$A:$B,2,FALSE),"")</f>
        <v/>
      </c>
      <c r="JU34" s="31" t="str">
        <f>IFERROR(VLOOKUP([2]Pointage!JY28,Feuil1!$A:$B,2,FALSE),"")</f>
        <v/>
      </c>
      <c r="JV34" s="31" t="str">
        <f>IFERROR(VLOOKUP([2]Pointage!JZ28,Feuil1!$A:$B,2,FALSE),"")</f>
        <v/>
      </c>
      <c r="JW34" s="31" t="str">
        <f>IFERROR(VLOOKUP([2]Pointage!KA28,Feuil1!$A:$B,2,FALSE),"")</f>
        <v/>
      </c>
      <c r="JX34" s="31" t="str">
        <f>IFERROR(VLOOKUP([2]Pointage!KB28,Feuil1!$A:$B,2,FALSE),"")</f>
        <v/>
      </c>
      <c r="JY34" s="31" t="str">
        <f>IFERROR(VLOOKUP([2]Pointage!KC28,Feuil1!$A:$B,2,FALSE),"")</f>
        <v/>
      </c>
      <c r="JZ34" s="31" t="str">
        <f>IFERROR(VLOOKUP([2]Pointage!KD28,Feuil1!$A:$B,2,FALSE),"")</f>
        <v/>
      </c>
      <c r="KA34" s="31" t="str">
        <f>IFERROR(VLOOKUP([2]Pointage!KE28,Feuil1!$A:$B,2,FALSE),"")</f>
        <v/>
      </c>
      <c r="KB34" s="31" t="str">
        <f>IFERROR(VLOOKUP([2]Pointage!KF28,Feuil1!$A:$B,2,FALSE),"")</f>
        <v/>
      </c>
      <c r="KC34" s="31" t="str">
        <f>IFERROR(VLOOKUP([2]Pointage!KG28,Feuil1!$A:$B,2,FALSE),"")</f>
        <v/>
      </c>
      <c r="KD34" s="31" t="str">
        <f>IFERROR(VLOOKUP([2]Pointage!KH28,Feuil1!$A:$B,2,FALSE),"")</f>
        <v/>
      </c>
      <c r="KE34" s="31" t="str">
        <f>IFERROR(VLOOKUP([2]Pointage!KI28,Feuil1!$A:$B,2,FALSE),"")</f>
        <v/>
      </c>
      <c r="KF34" s="31" t="str">
        <f>IFERROR(VLOOKUP([2]Pointage!KJ28,Feuil1!$A:$B,2,FALSE),"")</f>
        <v/>
      </c>
      <c r="KG34" s="31" t="str">
        <f>IFERROR(VLOOKUP([2]Pointage!KK28,Feuil1!$A:$B,2,FALSE),"")</f>
        <v/>
      </c>
      <c r="KH34" s="31" t="str">
        <f>IFERROR(VLOOKUP([2]Pointage!KL28,Feuil1!$A:$B,2,FALSE),"")</f>
        <v/>
      </c>
      <c r="KI34" s="31" t="str">
        <f>IFERROR(VLOOKUP([2]Pointage!KM28,Feuil1!$A:$B,2,FALSE),"")</f>
        <v/>
      </c>
      <c r="KJ34" s="31" t="str">
        <f>IFERROR(VLOOKUP([2]Pointage!KN28,Feuil1!$A:$B,2,FALSE),"")</f>
        <v/>
      </c>
      <c r="KK34" s="31" t="str">
        <f>IFERROR(VLOOKUP([2]Pointage!KO28,Feuil1!$A:$B,2,FALSE),"")</f>
        <v/>
      </c>
      <c r="KL34" s="31" t="str">
        <f>IFERROR(VLOOKUP([2]Pointage!KP28,Feuil1!$A:$B,2,FALSE),"")</f>
        <v/>
      </c>
      <c r="KM34" s="31" t="str">
        <f>IFERROR(VLOOKUP([2]Pointage!KQ28,Feuil1!$A:$B,2,FALSE),"")</f>
        <v/>
      </c>
      <c r="KN34" s="31" t="str">
        <f>IFERROR(VLOOKUP([2]Pointage!KR28,Feuil1!$A:$B,2,FALSE),"")</f>
        <v/>
      </c>
      <c r="KO34" s="31" t="str">
        <f>IFERROR(VLOOKUP([2]Pointage!KS28,Feuil1!$A:$B,2,FALSE),"")</f>
        <v/>
      </c>
      <c r="KP34" s="31" t="str">
        <f>IFERROR(VLOOKUP([2]Pointage!KT28,Feuil1!$A:$B,2,FALSE),"")</f>
        <v/>
      </c>
      <c r="KQ34" s="31" t="str">
        <f>IFERROR(VLOOKUP([2]Pointage!KU28,Feuil1!$A:$B,2,FALSE),"")</f>
        <v/>
      </c>
      <c r="KR34" s="31" t="str">
        <f>IFERROR(VLOOKUP([2]Pointage!KV28,Feuil1!$A:$B,2,FALSE),"")</f>
        <v/>
      </c>
      <c r="KS34" s="31" t="str">
        <f>IFERROR(VLOOKUP([2]Pointage!KW28,Feuil1!$A:$B,2,FALSE),"")</f>
        <v/>
      </c>
      <c r="KT34" s="31" t="str">
        <f>IFERROR(VLOOKUP([2]Pointage!KX28,Feuil1!$A:$B,2,FALSE),"")</f>
        <v/>
      </c>
      <c r="KU34" s="31" t="str">
        <f>IFERROR(VLOOKUP([2]Pointage!KY28,Feuil1!$A:$B,2,FALSE),"")</f>
        <v/>
      </c>
      <c r="KV34" s="31" t="str">
        <f>IFERROR(VLOOKUP([2]Pointage!KZ28,Feuil1!$A:$B,2,FALSE),"")</f>
        <v/>
      </c>
      <c r="KW34" s="82" t="str">
        <f>IFERROR(VLOOKUP([2]Pointage!LA28,Feuil1!$A:$B,2,FALSE),"")</f>
        <v/>
      </c>
      <c r="KX34" s="47" t="str">
        <f>IFERROR(VLOOKUP([2]Pointage!LB28,Feuil1!$A:$B,2,FALSE),"")</f>
        <v/>
      </c>
      <c r="KY34" s="31" t="str">
        <f>IFERROR(VLOOKUP([2]Pointage!LC28,Feuil1!$A:$B,2,FALSE),"")</f>
        <v/>
      </c>
      <c r="KZ34" s="31" t="str">
        <f>IFERROR(VLOOKUP([2]Pointage!LD28,Feuil1!$A:$B,2,FALSE),"")</f>
        <v/>
      </c>
      <c r="LA34" s="31" t="str">
        <f>IFERROR(VLOOKUP([2]Pointage!LE28,Feuil1!$A:$B,2,FALSE),"")</f>
        <v/>
      </c>
      <c r="LB34" s="31" t="str">
        <f>IFERROR(VLOOKUP([2]Pointage!LF28,Feuil1!$A:$B,2,FALSE),"")</f>
        <v/>
      </c>
      <c r="LC34" s="31" t="str">
        <f>IFERROR(VLOOKUP([2]Pointage!LG28,Feuil1!$A:$B,2,FALSE),"")</f>
        <v/>
      </c>
      <c r="LD34" s="31" t="str">
        <f>IFERROR(VLOOKUP([2]Pointage!LH28,Feuil1!$A:$B,2,FALSE),"")</f>
        <v/>
      </c>
      <c r="LE34" s="31" t="str">
        <f>IFERROR(VLOOKUP([2]Pointage!LI28,Feuil1!$A:$B,2,FALSE),"")</f>
        <v/>
      </c>
      <c r="LF34" s="31" t="str">
        <f>IFERROR(VLOOKUP([2]Pointage!LJ28,Feuil1!$A:$B,2,FALSE),"")</f>
        <v/>
      </c>
      <c r="LG34" s="31" t="str">
        <f>IFERROR(VLOOKUP([2]Pointage!LK28,Feuil1!$A:$B,2,FALSE),"")</f>
        <v/>
      </c>
      <c r="LH34" s="31" t="str">
        <f>IFERROR(VLOOKUP([2]Pointage!LL28,Feuil1!$A:$B,2,FALSE),"")</f>
        <v/>
      </c>
      <c r="LI34" s="31" t="str">
        <f>IFERROR(VLOOKUP([2]Pointage!LM28,Feuil1!$A:$B,2,FALSE),"")</f>
        <v/>
      </c>
      <c r="LJ34" s="31" t="str">
        <f>IFERROR(VLOOKUP([2]Pointage!LN28,Feuil1!$A:$B,2,FALSE),"")</f>
        <v/>
      </c>
      <c r="LK34" s="31" t="str">
        <f>IFERROR(VLOOKUP([2]Pointage!LO28,Feuil1!$A:$B,2,FALSE),"")</f>
        <v/>
      </c>
      <c r="LL34" s="31" t="str">
        <f>IFERROR(VLOOKUP([2]Pointage!LP28,Feuil1!$A:$B,2,FALSE),"")</f>
        <v/>
      </c>
      <c r="LM34" s="31" t="str">
        <f>IFERROR(VLOOKUP([2]Pointage!LQ28,Feuil1!$A:$B,2,FALSE),"")</f>
        <v/>
      </c>
      <c r="LN34" s="31" t="str">
        <f>IFERROR(VLOOKUP([2]Pointage!LR28,Feuil1!$A:$B,2,FALSE),"")</f>
        <v/>
      </c>
      <c r="LO34" s="31" t="str">
        <f>IFERROR(VLOOKUP([2]Pointage!LS28,Feuil1!$A:$B,2,FALSE),"")</f>
        <v/>
      </c>
      <c r="LP34" s="31" t="str">
        <f>IFERROR(VLOOKUP([2]Pointage!LT28,Feuil1!$A:$B,2,FALSE),"")</f>
        <v/>
      </c>
      <c r="LQ34" s="31" t="str">
        <f>IFERROR(VLOOKUP([2]Pointage!LU28,Feuil1!$A:$B,2,FALSE),"")</f>
        <v/>
      </c>
      <c r="LR34" s="31" t="str">
        <f>IFERROR(VLOOKUP([2]Pointage!LV28,Feuil1!$A:$B,2,FALSE),"")</f>
        <v/>
      </c>
      <c r="LS34" s="31" t="str">
        <f>IFERROR(VLOOKUP([2]Pointage!LW28,Feuil1!$A:$B,2,FALSE),"")</f>
        <v/>
      </c>
      <c r="LT34" s="31" t="str">
        <f>IFERROR(VLOOKUP([2]Pointage!LX28,Feuil1!$A:$B,2,FALSE),"")</f>
        <v/>
      </c>
      <c r="LU34" s="31" t="str">
        <f>IFERROR(VLOOKUP([2]Pointage!LY28,Feuil1!$A:$B,2,FALSE),"")</f>
        <v/>
      </c>
      <c r="LV34" s="31" t="str">
        <f>IFERROR(VLOOKUP([2]Pointage!LZ28,Feuil1!$A:$B,2,FALSE),"")</f>
        <v/>
      </c>
      <c r="LW34" s="31" t="str">
        <f>IFERROR(VLOOKUP([2]Pointage!MA28,Feuil1!$A:$B,2,FALSE),"")</f>
        <v/>
      </c>
      <c r="LX34" s="31" t="str">
        <f>IFERROR(VLOOKUP([2]Pointage!MB28,Feuil1!$A:$B,2,FALSE),"")</f>
        <v/>
      </c>
      <c r="LY34" s="31" t="str">
        <f>IFERROR(VLOOKUP([2]Pointage!MC28,Feuil1!$A:$B,2,FALSE),"")</f>
        <v/>
      </c>
      <c r="LZ34" s="31" t="str">
        <f>IFERROR(VLOOKUP([2]Pointage!MD28,Feuil1!$A:$B,2,FALSE),"")</f>
        <v/>
      </c>
      <c r="MA34" s="82" t="str">
        <f>IFERROR(VLOOKUP([2]Pointage!ME28,Feuil1!$A:$B,2,FALSE),"")</f>
        <v/>
      </c>
      <c r="MB34" s="47" t="str">
        <f>IFERROR(VLOOKUP([2]Pointage!MF28,Feuil1!$A:$B,2,FALSE),"")</f>
        <v/>
      </c>
      <c r="MC34" s="31" t="str">
        <f>IFERROR(VLOOKUP([2]Pointage!MG28,Feuil1!$A:$B,2,FALSE),"")</f>
        <v/>
      </c>
      <c r="MD34" s="31" t="str">
        <f>IFERROR(VLOOKUP([2]Pointage!MH28,Feuil1!$A:$B,2,FALSE),"")</f>
        <v/>
      </c>
      <c r="ME34" s="31" t="str">
        <f>IFERROR(VLOOKUP([2]Pointage!MI28,Feuil1!$A:$B,2,FALSE),"")</f>
        <v/>
      </c>
      <c r="MF34" s="31" t="str">
        <f>IFERROR(VLOOKUP([2]Pointage!MJ28,Feuil1!$A:$B,2,FALSE),"")</f>
        <v/>
      </c>
      <c r="MG34" s="31" t="str">
        <f>IFERROR(VLOOKUP([2]Pointage!MK28,Feuil1!$A:$B,2,FALSE),"")</f>
        <v/>
      </c>
      <c r="MH34" s="31" t="str">
        <f>IFERROR(VLOOKUP([2]Pointage!ML28,Feuil1!$A:$B,2,FALSE),"")</f>
        <v/>
      </c>
      <c r="MI34" s="31" t="str">
        <f>IFERROR(VLOOKUP([2]Pointage!MM28,Feuil1!$A:$B,2,FALSE),"")</f>
        <v/>
      </c>
      <c r="MJ34" s="31" t="str">
        <f>IFERROR(VLOOKUP([2]Pointage!MN28,Feuil1!$A:$B,2,FALSE),"")</f>
        <v/>
      </c>
      <c r="MK34" s="31" t="str">
        <f>IFERROR(VLOOKUP([2]Pointage!MO28,Feuil1!$A:$B,2,FALSE),"")</f>
        <v/>
      </c>
      <c r="ML34" s="31" t="str">
        <f>IFERROR(VLOOKUP([2]Pointage!MP28,Feuil1!$A:$B,2,FALSE),"")</f>
        <v/>
      </c>
      <c r="MM34" s="31" t="str">
        <f>IFERROR(VLOOKUP([2]Pointage!MQ28,Feuil1!$A:$B,2,FALSE),"")</f>
        <v/>
      </c>
      <c r="MN34" s="31" t="str">
        <f>IFERROR(VLOOKUP([2]Pointage!MR28,Feuil1!$A:$B,2,FALSE),"")</f>
        <v/>
      </c>
      <c r="MO34" s="31" t="str">
        <f>IFERROR(VLOOKUP([2]Pointage!MS28,Feuil1!$A:$B,2,FALSE),"")</f>
        <v/>
      </c>
      <c r="MP34" s="31" t="str">
        <f>IFERROR(VLOOKUP([2]Pointage!MT28,Feuil1!$A:$B,2,FALSE),"")</f>
        <v/>
      </c>
      <c r="MQ34" s="31" t="str">
        <f>IFERROR(VLOOKUP([2]Pointage!MU28,Feuil1!$A:$B,2,FALSE),"")</f>
        <v/>
      </c>
      <c r="MR34" s="31" t="str">
        <f>IFERROR(VLOOKUP([2]Pointage!MV28,Feuil1!$A:$B,2,FALSE),"")</f>
        <v/>
      </c>
      <c r="MS34" s="31" t="str">
        <f>IFERROR(VLOOKUP([2]Pointage!MW28,Feuil1!$A:$B,2,FALSE),"")</f>
        <v/>
      </c>
      <c r="MT34" s="31" t="str">
        <f>IFERROR(VLOOKUP([2]Pointage!MX28,Feuil1!$A:$B,2,FALSE),"")</f>
        <v/>
      </c>
      <c r="MU34" s="31" t="str">
        <f>IFERROR(VLOOKUP([2]Pointage!MY28,Feuil1!$A:$B,2,FALSE),"")</f>
        <v/>
      </c>
      <c r="MV34" s="31" t="str">
        <f>IFERROR(VLOOKUP([2]Pointage!MZ28,Feuil1!$A:$B,2,FALSE),"")</f>
        <v/>
      </c>
      <c r="MW34" s="31" t="str">
        <f>IFERROR(VLOOKUP([2]Pointage!NA28,Feuil1!$A:$B,2,FALSE),"")</f>
        <v/>
      </c>
      <c r="MX34" s="31" t="str">
        <f>IFERROR(VLOOKUP([2]Pointage!NB28,Feuil1!$A:$B,2,FALSE),"")</f>
        <v/>
      </c>
      <c r="MY34" s="31" t="str">
        <f>IFERROR(VLOOKUP([2]Pointage!NC28,Feuil1!$A:$B,2,FALSE),"")</f>
        <v/>
      </c>
      <c r="MZ34" s="31" t="str">
        <f>IFERROR(VLOOKUP([2]Pointage!ND28,Feuil1!$A:$B,2,FALSE),"")</f>
        <v/>
      </c>
      <c r="NA34" s="31" t="str">
        <f>IFERROR(VLOOKUP([2]Pointage!NE28,Feuil1!$A:$B,2,FALSE),"")</f>
        <v/>
      </c>
      <c r="NB34" s="31" t="str">
        <f>IFERROR(VLOOKUP([2]Pointage!NF28,Feuil1!$A:$B,2,FALSE),"")</f>
        <v/>
      </c>
      <c r="NC34" s="31" t="str">
        <f>IFERROR(VLOOKUP([2]Pointage!NG28,Feuil1!$A:$B,2,FALSE),"")</f>
        <v/>
      </c>
      <c r="ND34" s="31" t="str">
        <f>IFERROR(VLOOKUP([2]Pointage!NH28,Feuil1!$A:$B,2,FALSE),"")</f>
        <v/>
      </c>
      <c r="NE34" s="31" t="str">
        <f>IFERROR(VLOOKUP([2]Pointage!NI28,Feuil1!$A:$B,2,FALSE),"")</f>
        <v/>
      </c>
      <c r="NF34" s="48" t="str">
        <f>IFERROR(VLOOKUP([2]Pointage!NJ28,Feuil1!$A:$B,2,FALSE),"")</f>
        <v/>
      </c>
      <c r="NG34" s="52">
        <f>COUNTIF(Global!F34:NF34,"RTT")+(COUNTIF(Global!F34:NF34,"dRTT")/2)</f>
        <v>0</v>
      </c>
      <c r="NH34" s="42">
        <f>COUNTIF(Global!F34:NF34,"C")+(COUNTIF(Global!F34:NF34,"DC")/2)</f>
        <v>1</v>
      </c>
      <c r="NI34" s="42">
        <f>COUNTIF(Global!F34:NF34,"M")</f>
        <v>3</v>
      </c>
      <c r="NJ34" s="42">
        <f>COUNTIF(Global!G34:NG34,"AT")</f>
        <v>0</v>
      </c>
      <c r="NK34" s="42">
        <f>COUNTIF(Global!F34:NF34,"RD")</f>
        <v>0</v>
      </c>
      <c r="NL34" s="42">
        <f>COUNTIF(Global!F34:NF34,"RC")+(COUNTIF(Global!F34:NF34,"dRC")/2)</f>
        <v>0</v>
      </c>
      <c r="NM34" s="42">
        <f t="shared" ca="1" si="0"/>
        <v>3.945205479452055</v>
      </c>
      <c r="NT34" s="33"/>
      <c r="NU34" s="33"/>
      <c r="NV34" s="28"/>
      <c r="NW34" s="28"/>
      <c r="NX34" s="29">
        <f>COUNTIF(F34:NF34,"C")++(COUNTIF(Global!F34:NF34,"DC")/2)</f>
        <v>1</v>
      </c>
      <c r="NY34" s="29"/>
      <c r="NZ34" s="29"/>
      <c r="OA34" s="29"/>
      <c r="OB34" s="29">
        <f>COUNTIF(Global!F34:NF34,"M")</f>
        <v>3</v>
      </c>
      <c r="OC34" s="30">
        <f t="shared" si="1"/>
        <v>-1</v>
      </c>
      <c r="OD34" s="30"/>
    </row>
    <row r="35" spans="1:394" ht="30" hidden="1" customHeight="1" x14ac:dyDescent="0.2">
      <c r="A35" s="13" t="s">
        <v>91</v>
      </c>
      <c r="B35" s="22" t="s">
        <v>207</v>
      </c>
      <c r="C35" s="22" t="s">
        <v>208</v>
      </c>
      <c r="D35" s="22" t="s">
        <v>209</v>
      </c>
      <c r="E35" s="44" t="s">
        <v>162</v>
      </c>
      <c r="F35" s="47" t="str">
        <f>IFERROR(VLOOKUP([2]Pointage!J29,Feuil1!$A:$B,2,FALSE),"")</f>
        <v/>
      </c>
      <c r="G35" s="31" t="str">
        <f>IFERROR(VLOOKUP([2]Pointage!K29,Feuil1!$A:$B,2,FALSE),"")</f>
        <v>C</v>
      </c>
      <c r="H35" s="31" t="str">
        <f>IFERROR(VLOOKUP([2]Pointage!L29,Feuil1!$A:$B,2,FALSE),"")</f>
        <v>C</v>
      </c>
      <c r="I35" s="31" t="str">
        <f>IFERROR(VLOOKUP([2]Pointage!M29,Feuil1!$A:$B,2,FALSE),"")</f>
        <v>C</v>
      </c>
      <c r="J35" s="31" t="str">
        <f>IFERROR(VLOOKUP([2]Pointage!N29,Feuil1!$A:$B,2,FALSE),"")</f>
        <v>C</v>
      </c>
      <c r="K35" s="31" t="str">
        <f>IFERROR(VLOOKUP([2]Pointage!O29,Feuil1!$A:$B,2,FALSE),"")</f>
        <v/>
      </c>
      <c r="L35" s="31" t="str">
        <f>IFERROR(VLOOKUP([2]Pointage!P29,Feuil1!$A:$B,2,FALSE),"")</f>
        <v/>
      </c>
      <c r="M35" s="31" t="str">
        <f>IFERROR(VLOOKUP([2]Pointage!Q29,Feuil1!$A:$B,2,FALSE),"")</f>
        <v/>
      </c>
      <c r="N35" s="31" t="str">
        <f>IFERROR(VLOOKUP([2]Pointage!R29,Feuil1!$A:$B,2,FALSE),"")</f>
        <v/>
      </c>
      <c r="O35" s="31" t="str">
        <f>IFERROR(VLOOKUP([2]Pointage!S29,Feuil1!$A:$B,2,FALSE),"")</f>
        <v/>
      </c>
      <c r="P35" s="31" t="str">
        <f>IFERROR(VLOOKUP([2]Pointage!T29,Feuil1!$A:$B,2,FALSE),"")</f>
        <v/>
      </c>
      <c r="Q35" s="31" t="str">
        <f>IFERROR(VLOOKUP([2]Pointage!U29,Feuil1!$A:$B,2,FALSE),"")</f>
        <v/>
      </c>
      <c r="R35" s="31" t="str">
        <f>IFERROR(VLOOKUP([2]Pointage!V29,Feuil1!$A:$B,2,FALSE),"")</f>
        <v/>
      </c>
      <c r="S35" s="31" t="str">
        <f>IFERROR(VLOOKUP([2]Pointage!W29,Feuil1!$A:$B,2,FALSE),"")</f>
        <v/>
      </c>
      <c r="T35" s="31" t="str">
        <f>IFERROR(VLOOKUP([2]Pointage!X29,Feuil1!$A:$B,2,FALSE),"")</f>
        <v/>
      </c>
      <c r="U35" s="31" t="str">
        <f>IFERROR(VLOOKUP([2]Pointage!Y29,Feuil1!$A:$B,2,FALSE),"")</f>
        <v/>
      </c>
      <c r="V35" s="31" t="str">
        <f>IFERROR(VLOOKUP([2]Pointage!Z29,Feuil1!$A:$B,2,FALSE),"")</f>
        <v/>
      </c>
      <c r="W35" s="31" t="str">
        <f>IFERROR(VLOOKUP([2]Pointage!AA29,Feuil1!$A:$B,2,FALSE),"")</f>
        <v/>
      </c>
      <c r="X35" s="31" t="str">
        <f>IFERROR(VLOOKUP([2]Pointage!AB29,Feuil1!$A:$B,2,FALSE),"")</f>
        <v/>
      </c>
      <c r="Y35" s="31" t="str">
        <f>IFERROR(VLOOKUP([2]Pointage!AC29,Feuil1!$A:$B,2,FALSE),"")</f>
        <v/>
      </c>
      <c r="Z35" s="31" t="str">
        <f>IFERROR(VLOOKUP([2]Pointage!AD29,Feuil1!$A:$B,2,FALSE),"")</f>
        <v/>
      </c>
      <c r="AA35" s="31" t="str">
        <f>IFERROR(VLOOKUP([2]Pointage!AE29,Feuil1!$A:$B,2,FALSE),"")</f>
        <v/>
      </c>
      <c r="AB35" s="31" t="str">
        <f>IFERROR(VLOOKUP([2]Pointage!AF29,Feuil1!$A:$B,2,FALSE),"")</f>
        <v>C</v>
      </c>
      <c r="AC35" s="31" t="str">
        <f>IFERROR(VLOOKUP([2]Pointage!AG29,Feuil1!$A:$B,2,FALSE),"")</f>
        <v>C</v>
      </c>
      <c r="AD35" s="31" t="str">
        <f>IFERROR(VLOOKUP([2]Pointage!AH29,Feuil1!$A:$B,2,FALSE),"")</f>
        <v>C</v>
      </c>
      <c r="AE35" s="31" t="str">
        <f>IFERROR(VLOOKUP([2]Pointage!AI29,Feuil1!$A:$B,2,FALSE),"")</f>
        <v>C</v>
      </c>
      <c r="AF35" s="31" t="str">
        <f>IFERROR(VLOOKUP([2]Pointage!AJ29,Feuil1!$A:$B,2,FALSE),"")</f>
        <v/>
      </c>
      <c r="AG35" s="31" t="str">
        <f>IFERROR(VLOOKUP([2]Pointage!AK29,Feuil1!$A:$B,2,FALSE),"")</f>
        <v/>
      </c>
      <c r="AH35" s="31" t="str">
        <f>IFERROR(VLOOKUP([2]Pointage!AL29,Feuil1!$A:$B,2,FALSE),"")</f>
        <v/>
      </c>
      <c r="AI35" s="31" t="str">
        <f>IFERROR(VLOOKUP([2]Pointage!AM29,Feuil1!$A:$B,2,FALSE),"")</f>
        <v/>
      </c>
      <c r="AJ35" s="82" t="str">
        <f>IFERROR(VLOOKUP([2]Pointage!AN29,Feuil1!$A:$B,2,FALSE),"")</f>
        <v/>
      </c>
      <c r="AK35" s="47" t="str">
        <f>IFERROR(VLOOKUP([2]Pointage!AO29,Feuil1!$A:$B,2,FALSE),"")</f>
        <v/>
      </c>
      <c r="AL35" s="31" t="str">
        <f>IFERROR(VLOOKUP([2]Pointage!AP29,Feuil1!$A:$B,2,FALSE),"")</f>
        <v/>
      </c>
      <c r="AM35" s="31" t="str">
        <f>IFERROR(VLOOKUP([2]Pointage!AQ29,Feuil1!$A:$B,2,FALSE),"")</f>
        <v/>
      </c>
      <c r="AN35" s="31" t="str">
        <f>IFERROR(VLOOKUP([2]Pointage!AR29,Feuil1!$A:$B,2,FALSE),"")</f>
        <v/>
      </c>
      <c r="AO35" s="31" t="str">
        <f>IFERROR(VLOOKUP([2]Pointage!AS29,Feuil1!$A:$B,2,FALSE),"")</f>
        <v/>
      </c>
      <c r="AP35" s="31" t="str">
        <f>IFERROR(VLOOKUP([2]Pointage!AT29,Feuil1!$A:$B,2,FALSE),"")</f>
        <v/>
      </c>
      <c r="AQ35" s="31" t="str">
        <f>IFERROR(VLOOKUP([2]Pointage!AU29,Feuil1!$A:$B,2,FALSE),"")</f>
        <v/>
      </c>
      <c r="AR35" s="31" t="str">
        <f>IFERROR(VLOOKUP([2]Pointage!AV29,Feuil1!$A:$B,2,FALSE),"")</f>
        <v/>
      </c>
      <c r="AS35" s="31" t="str">
        <f>IFERROR(VLOOKUP([2]Pointage!AW29,Feuil1!$A:$B,2,FALSE),"")</f>
        <v/>
      </c>
      <c r="AT35" s="31" t="str">
        <f>IFERROR(VLOOKUP([2]Pointage!AX29,Feuil1!$A:$B,2,FALSE),"")</f>
        <v/>
      </c>
      <c r="AU35" s="31" t="str">
        <f>IFERROR(VLOOKUP([2]Pointage!AY29,Feuil1!$A:$B,2,FALSE),"")</f>
        <v/>
      </c>
      <c r="AV35" s="31" t="str">
        <f>IFERROR(VLOOKUP([2]Pointage!AZ29,Feuil1!$A:$B,2,FALSE),"")</f>
        <v/>
      </c>
      <c r="AW35" s="31" t="str">
        <f>IFERROR(VLOOKUP([2]Pointage!BA29,Feuil1!$A:$B,2,FALSE),"")</f>
        <v/>
      </c>
      <c r="AX35" s="31" t="str">
        <f>IFERROR(VLOOKUP([2]Pointage!BB29,Feuil1!$A:$B,2,FALSE),"")</f>
        <v/>
      </c>
      <c r="AY35" s="31" t="str">
        <f>IFERROR(VLOOKUP([2]Pointage!BC29,Feuil1!$A:$B,2,FALSE),"")</f>
        <v/>
      </c>
      <c r="AZ35" s="31" t="str">
        <f>IFERROR(VLOOKUP([2]Pointage!BD29,Feuil1!$A:$B,2,FALSE),"")</f>
        <v/>
      </c>
      <c r="BA35" s="31" t="str">
        <f>IFERROR(VLOOKUP([2]Pointage!BE29,Feuil1!$A:$B,2,FALSE),"")</f>
        <v/>
      </c>
      <c r="BB35" s="31" t="str">
        <f>IFERROR(VLOOKUP([2]Pointage!BF29,Feuil1!$A:$B,2,FALSE),"")</f>
        <v/>
      </c>
      <c r="BC35" s="31" t="str">
        <f>IFERROR(VLOOKUP([2]Pointage!BG29,Feuil1!$A:$B,2,FALSE),"")</f>
        <v/>
      </c>
      <c r="BD35" s="31" t="str">
        <f>IFERROR(VLOOKUP([2]Pointage!BH29,Feuil1!$A:$B,2,FALSE),"")</f>
        <v/>
      </c>
      <c r="BE35" s="31" t="str">
        <f>IFERROR(VLOOKUP([2]Pointage!BI29,Feuil1!$A:$B,2,FALSE),"")</f>
        <v/>
      </c>
      <c r="BF35" s="31" t="str">
        <f>IFERROR(VLOOKUP([2]Pointage!BJ29,Feuil1!$A:$B,2,FALSE),"")</f>
        <v/>
      </c>
      <c r="BG35" s="31" t="str">
        <f>IFERROR(VLOOKUP([2]Pointage!BK29,Feuil1!$A:$B,2,FALSE),"")</f>
        <v/>
      </c>
      <c r="BH35" s="31" t="str">
        <f>IFERROR(VLOOKUP([2]Pointage!BL29,Feuil1!$A:$B,2,FALSE),"")</f>
        <v/>
      </c>
      <c r="BI35" s="31" t="str">
        <f>IFERROR(VLOOKUP([2]Pointage!BM29,Feuil1!$A:$B,2,FALSE),"")</f>
        <v/>
      </c>
      <c r="BJ35" s="31" t="str">
        <f>IFERROR(VLOOKUP([2]Pointage!BN29,Feuil1!$A:$B,2,FALSE),"")</f>
        <v/>
      </c>
      <c r="BK35" s="31" t="str">
        <f>IFERROR(VLOOKUP([2]Pointage!BO29,Feuil1!$A:$B,2,FALSE),"")</f>
        <v/>
      </c>
      <c r="BL35" s="82" t="str">
        <f>IFERROR(VLOOKUP([2]Pointage!BP29,Feuil1!$A:$B,2,FALSE),"")</f>
        <v/>
      </c>
      <c r="BM35" s="47" t="str">
        <f>IFERROR(VLOOKUP([2]Pointage!BQ29,Feuil1!$A:$B,2,FALSE),"")</f>
        <v/>
      </c>
      <c r="BN35" s="31" t="str">
        <f>IFERROR(VLOOKUP([2]Pointage!BR29,Feuil1!$A:$B,2,FALSE),"")</f>
        <v/>
      </c>
      <c r="BO35" s="31" t="str">
        <f>IFERROR(VLOOKUP([2]Pointage!BS29,Feuil1!$A:$B,2,FALSE),"")</f>
        <v/>
      </c>
      <c r="BP35" s="31" t="str">
        <f>IFERROR(VLOOKUP([2]Pointage!BT29,Feuil1!$A:$B,2,FALSE),"")</f>
        <v/>
      </c>
      <c r="BQ35" s="31" t="str">
        <f>IFERROR(VLOOKUP([2]Pointage!BU29,Feuil1!$A:$B,2,FALSE),"")</f>
        <v/>
      </c>
      <c r="BR35" s="31" t="str">
        <f>IFERROR(VLOOKUP([2]Pointage!BV29,Feuil1!$A:$B,2,FALSE),"")</f>
        <v/>
      </c>
      <c r="BS35" s="31" t="str">
        <f>IFERROR(VLOOKUP([2]Pointage!BW29,Feuil1!$A:$B,2,FALSE),"")</f>
        <v/>
      </c>
      <c r="BT35" s="31" t="str">
        <f>IFERROR(VLOOKUP([2]Pointage!BX29,Feuil1!$A:$B,2,FALSE),"")</f>
        <v/>
      </c>
      <c r="BU35" s="31" t="str">
        <f>IFERROR(VLOOKUP([2]Pointage!BY29,Feuil1!$A:$B,2,FALSE),"")</f>
        <v/>
      </c>
      <c r="BV35" s="31" t="str">
        <f>IFERROR(VLOOKUP([2]Pointage!BZ29,Feuil1!$A:$B,2,FALSE),"")</f>
        <v/>
      </c>
      <c r="BW35" s="31" t="str">
        <f>IFERROR(VLOOKUP([2]Pointage!CA29,Feuil1!$A:$B,2,FALSE),"")</f>
        <v/>
      </c>
      <c r="BX35" s="31" t="str">
        <f>IFERROR(VLOOKUP([2]Pointage!CB29,Feuil1!$A:$B,2,FALSE),"")</f>
        <v/>
      </c>
      <c r="BY35" s="31" t="str">
        <f>IFERROR(VLOOKUP([2]Pointage!CC29,Feuil1!$A:$B,2,FALSE),"")</f>
        <v/>
      </c>
      <c r="BZ35" s="31" t="str">
        <f>IFERROR(VLOOKUP([2]Pointage!CD29,Feuil1!$A:$B,2,FALSE),"")</f>
        <v/>
      </c>
      <c r="CA35" s="31" t="str">
        <f>IFERROR(VLOOKUP([2]Pointage!CE29,Feuil1!$A:$B,2,FALSE),"")</f>
        <v/>
      </c>
      <c r="CB35" s="31" t="str">
        <f>IFERROR(VLOOKUP([2]Pointage!CF29,Feuil1!$A:$B,2,FALSE),"")</f>
        <v/>
      </c>
      <c r="CC35" s="31" t="str">
        <f>IFERROR(VLOOKUP([2]Pointage!CG29,Feuil1!$A:$B,2,FALSE),"")</f>
        <v/>
      </c>
      <c r="CD35" s="31" t="str">
        <f>IFERROR(VLOOKUP([2]Pointage!CH29,Feuil1!$A:$B,2,FALSE),"")</f>
        <v/>
      </c>
      <c r="CE35" s="31" t="str">
        <f>IFERROR(VLOOKUP([2]Pointage!CI29,Feuil1!$A:$B,2,FALSE),"")</f>
        <v/>
      </c>
      <c r="CF35" s="31" t="str">
        <f>IFERROR(VLOOKUP([2]Pointage!CJ29,Feuil1!$A:$B,2,FALSE),"")</f>
        <v/>
      </c>
      <c r="CG35" s="31" t="str">
        <f>IFERROR(VLOOKUP([2]Pointage!CK29,Feuil1!$A:$B,2,FALSE),"")</f>
        <v/>
      </c>
      <c r="CH35" s="31" t="str">
        <f>IFERROR(VLOOKUP([2]Pointage!CL29,Feuil1!$A:$B,2,FALSE),"")</f>
        <v/>
      </c>
      <c r="CI35" s="31" t="str">
        <f>IFERROR(VLOOKUP([2]Pointage!CM29,Feuil1!$A:$B,2,FALSE),"")</f>
        <v/>
      </c>
      <c r="CJ35" s="31" t="str">
        <f>IFERROR(VLOOKUP([2]Pointage!CN29,Feuil1!$A:$B,2,FALSE),"")</f>
        <v/>
      </c>
      <c r="CK35" s="31" t="str">
        <f>IFERROR(VLOOKUP([2]Pointage!CO29,Feuil1!$A:$B,2,FALSE),"")</f>
        <v/>
      </c>
      <c r="CL35" s="31" t="str">
        <f>IFERROR(VLOOKUP([2]Pointage!CP29,Feuil1!$A:$B,2,FALSE),"")</f>
        <v/>
      </c>
      <c r="CM35" s="31" t="str">
        <f>IFERROR(VLOOKUP([2]Pointage!CQ29,Feuil1!$A:$B,2,FALSE),"")</f>
        <v/>
      </c>
      <c r="CN35" s="31" t="str">
        <f>IFERROR(VLOOKUP([2]Pointage!CR29,Feuil1!$A:$B,2,FALSE),"")</f>
        <v/>
      </c>
      <c r="CO35" s="31" t="str">
        <f>IFERROR(VLOOKUP([2]Pointage!CS29,Feuil1!$A:$B,2,FALSE),"")</f>
        <v/>
      </c>
      <c r="CP35" s="31" t="str">
        <f>IFERROR(VLOOKUP([2]Pointage!CT29,Feuil1!$A:$B,2,FALSE),"")</f>
        <v/>
      </c>
      <c r="CQ35" s="82" t="str">
        <f>IFERROR(VLOOKUP([2]Pointage!CU29,Feuil1!$A:$B,2,FALSE),"")</f>
        <v/>
      </c>
      <c r="CR35" s="47" t="str">
        <f>IFERROR(VLOOKUP([2]Pointage!CV29,Feuil1!$A:$B,2,FALSE),"")</f>
        <v/>
      </c>
      <c r="CS35" s="31" t="str">
        <f>IFERROR(VLOOKUP([2]Pointage!CW29,Feuil1!$A:$B,2,FALSE),"")</f>
        <v/>
      </c>
      <c r="CT35" s="31" t="str">
        <f>IFERROR(VLOOKUP([2]Pointage!CX29,Feuil1!$A:$B,2,FALSE),"")</f>
        <v/>
      </c>
      <c r="CU35" s="31" t="str">
        <f>IFERROR(VLOOKUP([2]Pointage!CY29,Feuil1!$A:$B,2,FALSE),"")</f>
        <v/>
      </c>
      <c r="CV35" s="31" t="str">
        <f>IFERROR(VLOOKUP([2]Pointage!CZ29,Feuil1!$A:$B,2,FALSE),"")</f>
        <v/>
      </c>
      <c r="CW35" s="31" t="str">
        <f>IFERROR(VLOOKUP([2]Pointage!DA29,Feuil1!$A:$B,2,FALSE),"")</f>
        <v/>
      </c>
      <c r="CX35" s="31" t="str">
        <f>IFERROR(VLOOKUP([2]Pointage!DB29,Feuil1!$A:$B,2,FALSE),"")</f>
        <v/>
      </c>
      <c r="CY35" s="31" t="str">
        <f>IFERROR(VLOOKUP([2]Pointage!DC29,Feuil1!$A:$B,2,FALSE),"")</f>
        <v/>
      </c>
      <c r="CZ35" s="31" t="str">
        <f>IFERROR(VLOOKUP([2]Pointage!DD29,Feuil1!$A:$B,2,FALSE),"")</f>
        <v/>
      </c>
      <c r="DA35" s="31" t="str">
        <f>IFERROR(VLOOKUP([2]Pointage!DE29,Feuil1!$A:$B,2,FALSE),"")</f>
        <v/>
      </c>
      <c r="DB35" s="31" t="str">
        <f>IFERROR(VLOOKUP([2]Pointage!DF29,Feuil1!$A:$B,2,FALSE),"")</f>
        <v/>
      </c>
      <c r="DC35" s="31" t="str">
        <f>IFERROR(VLOOKUP([2]Pointage!DG29,Feuil1!$A:$B,2,FALSE),"")</f>
        <v/>
      </c>
      <c r="DD35" s="31" t="str">
        <f>IFERROR(VLOOKUP([2]Pointage!DH29,Feuil1!$A:$B,2,FALSE),"")</f>
        <v/>
      </c>
      <c r="DE35" s="31" t="str">
        <f>IFERROR(VLOOKUP([2]Pointage!DI29,Feuil1!$A:$B,2,FALSE),"")</f>
        <v/>
      </c>
      <c r="DF35" s="31" t="str">
        <f>IFERROR(VLOOKUP([2]Pointage!DJ29,Feuil1!$A:$B,2,FALSE),"")</f>
        <v/>
      </c>
      <c r="DG35" s="31" t="str">
        <f>IFERROR(VLOOKUP([2]Pointage!DK29,Feuil1!$A:$B,2,FALSE),"")</f>
        <v/>
      </c>
      <c r="DH35" s="31" t="str">
        <f>IFERROR(VLOOKUP([2]Pointage!DL29,Feuil1!$A:$B,2,FALSE),"")</f>
        <v/>
      </c>
      <c r="DI35" s="31" t="str">
        <f>IFERROR(VLOOKUP([2]Pointage!DM29,Feuil1!$A:$B,2,FALSE),"")</f>
        <v/>
      </c>
      <c r="DJ35" s="31" t="str">
        <f>IFERROR(VLOOKUP([2]Pointage!DN29,Feuil1!$A:$B,2,FALSE),"")</f>
        <v/>
      </c>
      <c r="DK35" s="31" t="str">
        <f>IFERROR(VLOOKUP([2]Pointage!DO29,Feuil1!$A:$B,2,FALSE),"")</f>
        <v/>
      </c>
      <c r="DL35" s="31" t="str">
        <f>IFERROR(VLOOKUP([2]Pointage!DP29,Feuil1!$A:$B,2,FALSE),"")</f>
        <v/>
      </c>
      <c r="DM35" s="31" t="str">
        <f>IFERROR(VLOOKUP([2]Pointage!DQ29,Feuil1!$A:$B,2,FALSE),"")</f>
        <v/>
      </c>
      <c r="DN35" s="31" t="str">
        <f>IFERROR(VLOOKUP([2]Pointage!DR29,Feuil1!$A:$B,2,FALSE),"")</f>
        <v/>
      </c>
      <c r="DO35" s="31" t="str">
        <f>IFERROR(VLOOKUP([2]Pointage!DS29,Feuil1!$A:$B,2,FALSE),"")</f>
        <v/>
      </c>
      <c r="DP35" s="31" t="str">
        <f>IFERROR(VLOOKUP([2]Pointage!DT29,Feuil1!$A:$B,2,FALSE),"")</f>
        <v/>
      </c>
      <c r="DQ35" s="31" t="str">
        <f>IFERROR(VLOOKUP([2]Pointage!DU29,Feuil1!$A:$B,2,FALSE),"")</f>
        <v/>
      </c>
      <c r="DR35" s="31" t="str">
        <f>IFERROR(VLOOKUP([2]Pointage!DV29,Feuil1!$A:$B,2,FALSE),"")</f>
        <v/>
      </c>
      <c r="DS35" s="31" t="str">
        <f>IFERROR(VLOOKUP([2]Pointage!DW29,Feuil1!$A:$B,2,FALSE),"")</f>
        <v/>
      </c>
      <c r="DT35" s="31" t="str">
        <f>IFERROR(VLOOKUP([2]Pointage!DX29,Feuil1!$A:$B,2,FALSE),"")</f>
        <v/>
      </c>
      <c r="DU35" s="82" t="str">
        <f>IFERROR(VLOOKUP([2]Pointage!DY29,Feuil1!$A:$B,2,FALSE),"")</f>
        <v/>
      </c>
      <c r="DV35" s="47" t="str">
        <f>IFERROR(VLOOKUP([2]Pointage!DZ29,Feuil1!$A:$B,2,FALSE),"")</f>
        <v/>
      </c>
      <c r="DW35" s="31" t="str">
        <f>IFERROR(VLOOKUP([2]Pointage!EA29,Feuil1!$A:$B,2,FALSE),"")</f>
        <v/>
      </c>
      <c r="DX35" s="31" t="str">
        <f>IFERROR(VLOOKUP([2]Pointage!EB29,Feuil1!$A:$B,2,FALSE),"")</f>
        <v/>
      </c>
      <c r="DY35" s="31" t="str">
        <f>IFERROR(VLOOKUP([2]Pointage!EC29,Feuil1!$A:$B,2,FALSE),"")</f>
        <v/>
      </c>
      <c r="DZ35" s="31" t="str">
        <f>IFERROR(VLOOKUP([2]Pointage!ED29,Feuil1!$A:$B,2,FALSE),"")</f>
        <v/>
      </c>
      <c r="EA35" s="31" t="str">
        <f>IFERROR(VLOOKUP([2]Pointage!EE29,Feuil1!$A:$B,2,FALSE),"")</f>
        <v/>
      </c>
      <c r="EB35" s="31" t="str">
        <f>IFERROR(VLOOKUP([2]Pointage!EF29,Feuil1!$A:$B,2,FALSE),"")</f>
        <v/>
      </c>
      <c r="EC35" s="31" t="str">
        <f>IFERROR(VLOOKUP([2]Pointage!EG29,Feuil1!$A:$B,2,FALSE),"")</f>
        <v/>
      </c>
      <c r="ED35" s="31" t="str">
        <f>IFERROR(VLOOKUP([2]Pointage!EH29,Feuil1!$A:$B,2,FALSE),"")</f>
        <v/>
      </c>
      <c r="EE35" s="31" t="str">
        <f>IFERROR(VLOOKUP([2]Pointage!EI29,Feuil1!$A:$B,2,FALSE),"")</f>
        <v/>
      </c>
      <c r="EF35" s="31" t="str">
        <f>IFERROR(VLOOKUP([2]Pointage!EJ29,Feuil1!$A:$B,2,FALSE),"")</f>
        <v/>
      </c>
      <c r="EG35" s="31" t="str">
        <f>IFERROR(VLOOKUP([2]Pointage!EK29,Feuil1!$A:$B,2,FALSE),"")</f>
        <v/>
      </c>
      <c r="EH35" s="31" t="str">
        <f>IFERROR(VLOOKUP([2]Pointage!EL29,Feuil1!$A:$B,2,FALSE),"")</f>
        <v/>
      </c>
      <c r="EI35" s="31" t="str">
        <f>IFERROR(VLOOKUP([2]Pointage!EM29,Feuil1!$A:$B,2,FALSE),"")</f>
        <v/>
      </c>
      <c r="EJ35" s="31" t="str">
        <f>IFERROR(VLOOKUP([2]Pointage!EN29,Feuil1!$A:$B,2,FALSE),"")</f>
        <v/>
      </c>
      <c r="EK35" s="31" t="str">
        <f>IFERROR(VLOOKUP([2]Pointage!EO29,Feuil1!$A:$B,2,FALSE),"")</f>
        <v/>
      </c>
      <c r="EL35" s="31" t="str">
        <f>IFERROR(VLOOKUP([2]Pointage!EP29,Feuil1!$A:$B,2,FALSE),"")</f>
        <v/>
      </c>
      <c r="EM35" s="31" t="str">
        <f>IFERROR(VLOOKUP([2]Pointage!EQ29,Feuil1!$A:$B,2,FALSE),"")</f>
        <v/>
      </c>
      <c r="EN35" s="31" t="str">
        <f>IFERROR(VLOOKUP([2]Pointage!ER29,Feuil1!$A:$B,2,FALSE),"")</f>
        <v/>
      </c>
      <c r="EO35" s="31" t="str">
        <f>IFERROR(VLOOKUP([2]Pointage!ES29,Feuil1!$A:$B,2,FALSE),"")</f>
        <v/>
      </c>
      <c r="EP35" s="31" t="str">
        <f>IFERROR(VLOOKUP([2]Pointage!ET29,Feuil1!$A:$B,2,FALSE),"")</f>
        <v/>
      </c>
      <c r="EQ35" s="31" t="str">
        <f>IFERROR(VLOOKUP([2]Pointage!EU29,Feuil1!$A:$B,2,FALSE),"")</f>
        <v/>
      </c>
      <c r="ER35" s="31" t="str">
        <f>IFERROR(VLOOKUP([2]Pointage!EV29,Feuil1!$A:$B,2,FALSE),"")</f>
        <v/>
      </c>
      <c r="ES35" s="31" t="str">
        <f>IFERROR(VLOOKUP([2]Pointage!EW29,Feuil1!$A:$B,2,FALSE),"")</f>
        <v/>
      </c>
      <c r="ET35" s="31" t="str">
        <f>IFERROR(VLOOKUP([2]Pointage!EX29,Feuil1!$A:$B,2,FALSE),"")</f>
        <v/>
      </c>
      <c r="EU35" s="31" t="str">
        <f>IFERROR(VLOOKUP([2]Pointage!EY29,Feuil1!$A:$B,2,FALSE),"")</f>
        <v/>
      </c>
      <c r="EV35" s="31" t="str">
        <f>IFERROR(VLOOKUP([2]Pointage!EZ29,Feuil1!$A:$B,2,FALSE),"")</f>
        <v/>
      </c>
      <c r="EW35" s="31" t="str">
        <f>IFERROR(VLOOKUP([2]Pointage!FA29,Feuil1!$A:$B,2,FALSE),"")</f>
        <v/>
      </c>
      <c r="EX35" s="31" t="str">
        <f>IFERROR(VLOOKUP([2]Pointage!FB29,Feuil1!$A:$B,2,FALSE),"")</f>
        <v/>
      </c>
      <c r="EY35" s="31" t="str">
        <f>IFERROR(VLOOKUP([2]Pointage!FC29,Feuil1!$A:$B,2,FALSE),"")</f>
        <v/>
      </c>
      <c r="EZ35" s="82" t="str">
        <f>IFERROR(VLOOKUP([2]Pointage!FD29,Feuil1!$A:$B,2,FALSE),"")</f>
        <v/>
      </c>
      <c r="FA35" s="47" t="str">
        <f>IFERROR(VLOOKUP([2]Pointage!FE29,Feuil1!$A:$B,2,FALSE),"")</f>
        <v/>
      </c>
      <c r="FB35" s="31" t="str">
        <f>IFERROR(VLOOKUP([2]Pointage!FF29,Feuil1!$A:$B,2,FALSE),"")</f>
        <v/>
      </c>
      <c r="FC35" s="31" t="str">
        <f>IFERROR(VLOOKUP([2]Pointage!FG29,Feuil1!$A:$B,2,FALSE),"")</f>
        <v/>
      </c>
      <c r="FD35" s="31" t="str">
        <f>IFERROR(VLOOKUP([2]Pointage!FH29,Feuil1!$A:$B,2,FALSE),"")</f>
        <v/>
      </c>
      <c r="FE35" s="31" t="str">
        <f>IFERROR(VLOOKUP([2]Pointage!FI29,Feuil1!$A:$B,2,FALSE),"")</f>
        <v/>
      </c>
      <c r="FF35" s="31" t="str">
        <f>IFERROR(VLOOKUP([2]Pointage!FJ29,Feuil1!$A:$B,2,FALSE),"")</f>
        <v/>
      </c>
      <c r="FG35" s="31" t="str">
        <f>IFERROR(VLOOKUP([2]Pointage!FK29,Feuil1!$A:$B,2,FALSE),"")</f>
        <v/>
      </c>
      <c r="FH35" s="31" t="str">
        <f>IFERROR(VLOOKUP([2]Pointage!FL29,Feuil1!$A:$B,2,FALSE),"")</f>
        <v/>
      </c>
      <c r="FI35" s="31" t="str">
        <f>IFERROR(VLOOKUP([2]Pointage!FM29,Feuil1!$A:$B,2,FALSE),"")</f>
        <v/>
      </c>
      <c r="FJ35" s="31" t="str">
        <f>IFERROR(VLOOKUP([2]Pointage!FN29,Feuil1!$A:$B,2,FALSE),"")</f>
        <v/>
      </c>
      <c r="FK35" s="31" t="str">
        <f>IFERROR(VLOOKUP([2]Pointage!FO29,Feuil1!$A:$B,2,FALSE),"")</f>
        <v/>
      </c>
      <c r="FL35" s="31" t="str">
        <f>IFERROR(VLOOKUP([2]Pointage!FP29,Feuil1!$A:$B,2,FALSE),"")</f>
        <v/>
      </c>
      <c r="FM35" s="31" t="str">
        <f>IFERROR(VLOOKUP([2]Pointage!FQ29,Feuil1!$A:$B,2,FALSE),"")</f>
        <v/>
      </c>
      <c r="FN35" s="31" t="str">
        <f>IFERROR(VLOOKUP([2]Pointage!FR29,Feuil1!$A:$B,2,FALSE),"")</f>
        <v/>
      </c>
      <c r="FO35" s="31" t="str">
        <f>IFERROR(VLOOKUP([2]Pointage!FS29,Feuil1!$A:$B,2,FALSE),"")</f>
        <v/>
      </c>
      <c r="FP35" s="31" t="str">
        <f>IFERROR(VLOOKUP([2]Pointage!FT29,Feuil1!$A:$B,2,FALSE),"")</f>
        <v/>
      </c>
      <c r="FQ35" s="31" t="str">
        <f>IFERROR(VLOOKUP([2]Pointage!FU29,Feuil1!$A:$B,2,FALSE),"")</f>
        <v/>
      </c>
      <c r="FR35" s="31" t="str">
        <f>IFERROR(VLOOKUP([2]Pointage!FV29,Feuil1!$A:$B,2,FALSE),"")</f>
        <v/>
      </c>
      <c r="FS35" s="31" t="str">
        <f>IFERROR(VLOOKUP([2]Pointage!FW29,Feuil1!$A:$B,2,FALSE),"")</f>
        <v/>
      </c>
      <c r="FT35" s="31" t="str">
        <f>IFERROR(VLOOKUP([2]Pointage!FX29,Feuil1!$A:$B,2,FALSE),"")</f>
        <v/>
      </c>
      <c r="FU35" s="31" t="str">
        <f>IFERROR(VLOOKUP([2]Pointage!FY29,Feuil1!$A:$B,2,FALSE),"")</f>
        <v/>
      </c>
      <c r="FV35" s="31" t="str">
        <f>IFERROR(VLOOKUP([2]Pointage!FZ29,Feuil1!$A:$B,2,FALSE),"")</f>
        <v/>
      </c>
      <c r="FW35" s="31" t="str">
        <f>IFERROR(VLOOKUP([2]Pointage!GA29,Feuil1!$A:$B,2,FALSE),"")</f>
        <v/>
      </c>
      <c r="FX35" s="31" t="str">
        <f>IFERROR(VLOOKUP([2]Pointage!GB29,Feuil1!$A:$B,2,FALSE),"")</f>
        <v/>
      </c>
      <c r="FY35" s="31" t="str">
        <f>IFERROR(VLOOKUP([2]Pointage!GC29,Feuil1!$A:$B,2,FALSE),"")</f>
        <v/>
      </c>
      <c r="FZ35" s="31" t="str">
        <f>IFERROR(VLOOKUP([2]Pointage!GD29,Feuil1!$A:$B,2,FALSE),"")</f>
        <v/>
      </c>
      <c r="GA35" s="31" t="str">
        <f>IFERROR(VLOOKUP([2]Pointage!GE29,Feuil1!$A:$B,2,FALSE),"")</f>
        <v/>
      </c>
      <c r="GB35" s="31" t="str">
        <f>IFERROR(VLOOKUP([2]Pointage!GF29,Feuil1!$A:$B,2,FALSE),"")</f>
        <v/>
      </c>
      <c r="GC35" s="31" t="str">
        <f>IFERROR(VLOOKUP([2]Pointage!GG29,Feuil1!$A:$B,2,FALSE),"")</f>
        <v/>
      </c>
      <c r="GD35" s="82" t="str">
        <f>IFERROR(VLOOKUP([2]Pointage!GH29,Feuil1!$A:$B,2,FALSE),"")</f>
        <v/>
      </c>
      <c r="GE35" s="47" t="str">
        <f>IFERROR(VLOOKUP([2]Pointage!GI29,Feuil1!$A:$B,2,FALSE),"")</f>
        <v/>
      </c>
      <c r="GF35" s="31" t="str">
        <f>IFERROR(VLOOKUP([2]Pointage!GJ29,Feuil1!$A:$B,2,FALSE),"")</f>
        <v/>
      </c>
      <c r="GG35" s="31" t="str">
        <f>IFERROR(VLOOKUP([2]Pointage!GK29,Feuil1!$A:$B,2,FALSE),"")</f>
        <v/>
      </c>
      <c r="GH35" s="31" t="str">
        <f>IFERROR(VLOOKUP([2]Pointage!GL29,Feuil1!$A:$B,2,FALSE),"")</f>
        <v/>
      </c>
      <c r="GI35" s="31" t="str">
        <f>IFERROR(VLOOKUP([2]Pointage!GM29,Feuil1!$A:$B,2,FALSE),"")</f>
        <v/>
      </c>
      <c r="GJ35" s="31" t="str">
        <f>IFERROR(VLOOKUP([2]Pointage!GN29,Feuil1!$A:$B,2,FALSE),"")</f>
        <v/>
      </c>
      <c r="GK35" s="31" t="str">
        <f>IFERROR(VLOOKUP([2]Pointage!GO29,Feuil1!$A:$B,2,FALSE),"")</f>
        <v/>
      </c>
      <c r="GL35" s="31" t="str">
        <f>IFERROR(VLOOKUP([2]Pointage!GP29,Feuil1!$A:$B,2,FALSE),"")</f>
        <v/>
      </c>
      <c r="GM35" s="31" t="str">
        <f>IFERROR(VLOOKUP([2]Pointage!GQ29,Feuil1!$A:$B,2,FALSE),"")</f>
        <v/>
      </c>
      <c r="GN35" s="31" t="str">
        <f>IFERROR(VLOOKUP([2]Pointage!GR29,Feuil1!$A:$B,2,FALSE),"")</f>
        <v/>
      </c>
      <c r="GO35" s="31" t="str">
        <f>IFERROR(VLOOKUP([2]Pointage!GS29,Feuil1!$A:$B,2,FALSE),"")</f>
        <v/>
      </c>
      <c r="GP35" s="31" t="str">
        <f>IFERROR(VLOOKUP([2]Pointage!GT29,Feuil1!$A:$B,2,FALSE),"")</f>
        <v/>
      </c>
      <c r="GQ35" s="31" t="str">
        <f>IFERROR(VLOOKUP([2]Pointage!GU29,Feuil1!$A:$B,2,FALSE),"")</f>
        <v/>
      </c>
      <c r="GR35" s="31" t="str">
        <f>IFERROR(VLOOKUP([2]Pointage!GV29,Feuil1!$A:$B,2,FALSE),"")</f>
        <v/>
      </c>
      <c r="GS35" s="31" t="str">
        <f>IFERROR(VLOOKUP([2]Pointage!GW29,Feuil1!$A:$B,2,FALSE),"")</f>
        <v/>
      </c>
      <c r="GT35" s="31" t="str">
        <f>IFERROR(VLOOKUP([2]Pointage!GX29,Feuil1!$A:$B,2,FALSE),"")</f>
        <v/>
      </c>
      <c r="GU35" s="31" t="str">
        <f>IFERROR(VLOOKUP([2]Pointage!GY29,Feuil1!$A:$B,2,FALSE),"")</f>
        <v/>
      </c>
      <c r="GV35" s="31" t="str">
        <f>IFERROR(VLOOKUP([2]Pointage!GZ29,Feuil1!$A:$B,2,FALSE),"")</f>
        <v/>
      </c>
      <c r="GW35" s="31" t="str">
        <f>IFERROR(VLOOKUP([2]Pointage!HA29,Feuil1!$A:$B,2,FALSE),"")</f>
        <v/>
      </c>
      <c r="GX35" s="31" t="str">
        <f>IFERROR(VLOOKUP([2]Pointage!HB29,Feuil1!$A:$B,2,FALSE),"")</f>
        <v/>
      </c>
      <c r="GY35" s="31" t="str">
        <f>IFERROR(VLOOKUP([2]Pointage!HC29,Feuil1!$A:$B,2,FALSE),"")</f>
        <v/>
      </c>
      <c r="GZ35" s="31" t="str">
        <f>IFERROR(VLOOKUP([2]Pointage!HD29,Feuil1!$A:$B,2,FALSE),"")</f>
        <v/>
      </c>
      <c r="HA35" s="31" t="str">
        <f>IFERROR(VLOOKUP([2]Pointage!HE29,Feuil1!$A:$B,2,FALSE),"")</f>
        <v/>
      </c>
      <c r="HB35" s="31" t="str">
        <f>IFERROR(VLOOKUP([2]Pointage!HF29,Feuil1!$A:$B,2,FALSE),"")</f>
        <v/>
      </c>
      <c r="HC35" s="31" t="str">
        <f>IFERROR(VLOOKUP([2]Pointage!HG29,Feuil1!$A:$B,2,FALSE),"")</f>
        <v/>
      </c>
      <c r="HD35" s="31" t="str">
        <f>IFERROR(VLOOKUP([2]Pointage!HH29,Feuil1!$A:$B,2,FALSE),"")</f>
        <v/>
      </c>
      <c r="HE35" s="31" t="str">
        <f>IFERROR(VLOOKUP([2]Pointage!HI29,Feuil1!$A:$B,2,FALSE),"")</f>
        <v/>
      </c>
      <c r="HF35" s="31" t="str">
        <f>IFERROR(VLOOKUP([2]Pointage!HJ29,Feuil1!$A:$B,2,FALSE),"")</f>
        <v/>
      </c>
      <c r="HG35" s="31" t="str">
        <f>IFERROR(VLOOKUP([2]Pointage!HK29,Feuil1!$A:$B,2,FALSE),"")</f>
        <v/>
      </c>
      <c r="HH35" s="31" t="str">
        <f>IFERROR(VLOOKUP([2]Pointage!HL29,Feuil1!$A:$B,2,FALSE),"")</f>
        <v/>
      </c>
      <c r="HI35" s="82" t="str">
        <f>IFERROR(VLOOKUP([2]Pointage!HM29,Feuil1!$A:$B,2,FALSE),"")</f>
        <v/>
      </c>
      <c r="HJ35" s="47" t="str">
        <f>IFERROR(VLOOKUP([2]Pointage!HN29,Feuil1!$A:$B,2,FALSE),"")</f>
        <v/>
      </c>
      <c r="HK35" s="31" t="str">
        <f>IFERROR(VLOOKUP([2]Pointage!HO29,Feuil1!$A:$B,2,FALSE),"")</f>
        <v/>
      </c>
      <c r="HL35" s="31" t="str">
        <f>IFERROR(VLOOKUP([2]Pointage!HP29,Feuil1!$A:$B,2,FALSE),"")</f>
        <v/>
      </c>
      <c r="HM35" s="31" t="str">
        <f>IFERROR(VLOOKUP([2]Pointage!HQ29,Feuil1!$A:$B,2,FALSE),"")</f>
        <v/>
      </c>
      <c r="HN35" s="31" t="str">
        <f>IFERROR(VLOOKUP([2]Pointage!HR29,Feuil1!$A:$B,2,FALSE),"")</f>
        <v/>
      </c>
      <c r="HO35" s="31" t="str">
        <f>IFERROR(VLOOKUP([2]Pointage!HS29,Feuil1!$A:$B,2,FALSE),"")</f>
        <v/>
      </c>
      <c r="HP35" s="31" t="str">
        <f>IFERROR(VLOOKUP([2]Pointage!HT29,Feuil1!$A:$B,2,FALSE),"")</f>
        <v/>
      </c>
      <c r="HQ35" s="31" t="str">
        <f>IFERROR(VLOOKUP([2]Pointage!HU29,Feuil1!$A:$B,2,FALSE),"")</f>
        <v/>
      </c>
      <c r="HR35" s="31" t="str">
        <f>IFERROR(VLOOKUP([2]Pointage!HV29,Feuil1!$A:$B,2,FALSE),"")</f>
        <v/>
      </c>
      <c r="HS35" s="31" t="str">
        <f>IFERROR(VLOOKUP([2]Pointage!HW29,Feuil1!$A:$B,2,FALSE),"")</f>
        <v/>
      </c>
      <c r="HT35" s="31" t="str">
        <f>IFERROR(VLOOKUP([2]Pointage!HX29,Feuil1!$A:$B,2,FALSE),"")</f>
        <v/>
      </c>
      <c r="HU35" s="31" t="str">
        <f>IFERROR(VLOOKUP([2]Pointage!HY29,Feuil1!$A:$B,2,FALSE),"")</f>
        <v/>
      </c>
      <c r="HV35" s="31" t="str">
        <f>IFERROR(VLOOKUP([2]Pointage!HZ29,Feuil1!$A:$B,2,FALSE),"")</f>
        <v/>
      </c>
      <c r="HW35" s="31" t="str">
        <f>IFERROR(VLOOKUP([2]Pointage!IA29,Feuil1!$A:$B,2,FALSE),"")</f>
        <v/>
      </c>
      <c r="HX35" s="31" t="str">
        <f>IFERROR(VLOOKUP([2]Pointage!IB29,Feuil1!$A:$B,2,FALSE),"")</f>
        <v/>
      </c>
      <c r="HY35" s="31" t="str">
        <f>IFERROR(VLOOKUP([2]Pointage!IC29,Feuil1!$A:$B,2,FALSE),"")</f>
        <v/>
      </c>
      <c r="HZ35" s="31" t="str">
        <f>IFERROR(VLOOKUP([2]Pointage!ID29,Feuil1!$A:$B,2,FALSE),"")</f>
        <v/>
      </c>
      <c r="IA35" s="31" t="str">
        <f>IFERROR(VLOOKUP([2]Pointage!IE29,Feuil1!$A:$B,2,FALSE),"")</f>
        <v/>
      </c>
      <c r="IB35" s="31" t="str">
        <f>IFERROR(VLOOKUP([2]Pointage!IF29,Feuil1!$A:$B,2,FALSE),"")</f>
        <v/>
      </c>
      <c r="IC35" s="31" t="str">
        <f>IFERROR(VLOOKUP([2]Pointage!IG29,Feuil1!$A:$B,2,FALSE),"")</f>
        <v/>
      </c>
      <c r="ID35" s="31" t="str">
        <f>IFERROR(VLOOKUP([2]Pointage!IH29,Feuil1!$A:$B,2,FALSE),"")</f>
        <v/>
      </c>
      <c r="IE35" s="31" t="str">
        <f>IFERROR(VLOOKUP([2]Pointage!II29,Feuil1!$A:$B,2,FALSE),"")</f>
        <v/>
      </c>
      <c r="IF35" s="31" t="str">
        <f>IFERROR(VLOOKUP([2]Pointage!IJ29,Feuil1!$A:$B,2,FALSE),"")</f>
        <v/>
      </c>
      <c r="IG35" s="31" t="str">
        <f>IFERROR(VLOOKUP([2]Pointage!IK29,Feuil1!$A:$B,2,FALSE),"")</f>
        <v/>
      </c>
      <c r="IH35" s="31" t="str">
        <f>IFERROR(VLOOKUP([2]Pointage!IL29,Feuil1!$A:$B,2,FALSE),"")</f>
        <v/>
      </c>
      <c r="II35" s="31" t="str">
        <f>IFERROR(VLOOKUP([2]Pointage!IM29,Feuil1!$A:$B,2,FALSE),"")</f>
        <v/>
      </c>
      <c r="IJ35" s="31" t="str">
        <f>IFERROR(VLOOKUP([2]Pointage!IN29,Feuil1!$A:$B,2,FALSE),"")</f>
        <v/>
      </c>
      <c r="IK35" s="31" t="str">
        <f>IFERROR(VLOOKUP([2]Pointage!IO29,Feuil1!$A:$B,2,FALSE),"")</f>
        <v/>
      </c>
      <c r="IL35" s="31" t="str">
        <f>IFERROR(VLOOKUP([2]Pointage!IP29,Feuil1!$A:$B,2,FALSE),"")</f>
        <v/>
      </c>
      <c r="IM35" s="31" t="str">
        <f>IFERROR(VLOOKUP([2]Pointage!IQ29,Feuil1!$A:$B,2,FALSE),"")</f>
        <v/>
      </c>
      <c r="IN35" s="82" t="str">
        <f>IFERROR(VLOOKUP([2]Pointage!IR29,Feuil1!$A:$B,2,FALSE),"")</f>
        <v/>
      </c>
      <c r="IO35" s="47" t="str">
        <f>IFERROR(VLOOKUP([2]Pointage!IS29,Feuil1!$A:$B,2,FALSE),"")</f>
        <v/>
      </c>
      <c r="IP35" s="31" t="str">
        <f>IFERROR(VLOOKUP([2]Pointage!IT29,Feuil1!$A:$B,2,FALSE),"")</f>
        <v/>
      </c>
      <c r="IQ35" s="31" t="str">
        <f>IFERROR(VLOOKUP([2]Pointage!IU29,Feuil1!$A:$B,2,FALSE),"")</f>
        <v/>
      </c>
      <c r="IR35" s="31" t="str">
        <f>IFERROR(VLOOKUP([2]Pointage!IV29,Feuil1!$A:$B,2,FALSE),"")</f>
        <v/>
      </c>
      <c r="IS35" s="31" t="str">
        <f>IFERROR(VLOOKUP([2]Pointage!IW29,Feuil1!$A:$B,2,FALSE),"")</f>
        <v/>
      </c>
      <c r="IT35" s="31" t="str">
        <f>IFERROR(VLOOKUP([2]Pointage!IX29,Feuil1!$A:$B,2,FALSE),"")</f>
        <v/>
      </c>
      <c r="IU35" s="31" t="str">
        <f>IFERROR(VLOOKUP([2]Pointage!IY29,Feuil1!$A:$B,2,FALSE),"")</f>
        <v/>
      </c>
      <c r="IV35" s="31" t="str">
        <f>IFERROR(VLOOKUP([2]Pointage!IZ29,Feuil1!$A:$B,2,FALSE),"")</f>
        <v/>
      </c>
      <c r="IW35" s="31" t="str">
        <f>IFERROR(VLOOKUP([2]Pointage!JA29,Feuil1!$A:$B,2,FALSE),"")</f>
        <v/>
      </c>
      <c r="IX35" s="31" t="str">
        <f>IFERROR(VLOOKUP([2]Pointage!JB29,Feuil1!$A:$B,2,FALSE),"")</f>
        <v/>
      </c>
      <c r="IY35" s="31" t="str">
        <f>IFERROR(VLOOKUP([2]Pointage!JC29,Feuil1!$A:$B,2,FALSE),"")</f>
        <v/>
      </c>
      <c r="IZ35" s="31" t="str">
        <f>IFERROR(VLOOKUP([2]Pointage!JD29,Feuil1!$A:$B,2,FALSE),"")</f>
        <v/>
      </c>
      <c r="JA35" s="31" t="str">
        <f>IFERROR(VLOOKUP([2]Pointage!JE29,Feuil1!$A:$B,2,FALSE),"")</f>
        <v/>
      </c>
      <c r="JB35" s="31" t="str">
        <f>IFERROR(VLOOKUP([2]Pointage!JF29,Feuil1!$A:$B,2,FALSE),"")</f>
        <v/>
      </c>
      <c r="JC35" s="31" t="str">
        <f>IFERROR(VLOOKUP([2]Pointage!JG29,Feuil1!$A:$B,2,FALSE),"")</f>
        <v/>
      </c>
      <c r="JD35" s="31" t="str">
        <f>IFERROR(VLOOKUP([2]Pointage!JH29,Feuil1!$A:$B,2,FALSE),"")</f>
        <v/>
      </c>
      <c r="JE35" s="31" t="str">
        <f>IFERROR(VLOOKUP([2]Pointage!JI29,Feuil1!$A:$B,2,FALSE),"")</f>
        <v/>
      </c>
      <c r="JF35" s="31" t="str">
        <f>IFERROR(VLOOKUP([2]Pointage!JJ29,Feuil1!$A:$B,2,FALSE),"")</f>
        <v/>
      </c>
      <c r="JG35" s="31" t="str">
        <f>IFERROR(VLOOKUP([2]Pointage!JK29,Feuil1!$A:$B,2,FALSE),"")</f>
        <v/>
      </c>
      <c r="JH35" s="31" t="str">
        <f>IFERROR(VLOOKUP([2]Pointage!JL29,Feuil1!$A:$B,2,FALSE),"")</f>
        <v/>
      </c>
      <c r="JI35" s="31" t="str">
        <f>IFERROR(VLOOKUP([2]Pointage!JM29,Feuil1!$A:$B,2,FALSE),"")</f>
        <v/>
      </c>
      <c r="JJ35" s="31" t="str">
        <f>IFERROR(VLOOKUP([2]Pointage!JN29,Feuil1!$A:$B,2,FALSE),"")</f>
        <v/>
      </c>
      <c r="JK35" s="31" t="str">
        <f>IFERROR(VLOOKUP([2]Pointage!JO29,Feuil1!$A:$B,2,FALSE),"")</f>
        <v/>
      </c>
      <c r="JL35" s="31" t="str">
        <f>IFERROR(VLOOKUP([2]Pointage!JP29,Feuil1!$A:$B,2,FALSE),"")</f>
        <v/>
      </c>
      <c r="JM35" s="31" t="str">
        <f>IFERROR(VLOOKUP([2]Pointage!JQ29,Feuil1!$A:$B,2,FALSE),"")</f>
        <v/>
      </c>
      <c r="JN35" s="31" t="str">
        <f>IFERROR(VLOOKUP([2]Pointage!JR29,Feuil1!$A:$B,2,FALSE),"")</f>
        <v/>
      </c>
      <c r="JO35" s="31" t="str">
        <f>IFERROR(VLOOKUP([2]Pointage!JS29,Feuil1!$A:$B,2,FALSE),"")</f>
        <v/>
      </c>
      <c r="JP35" s="31" t="str">
        <f>IFERROR(VLOOKUP([2]Pointage!JT29,Feuil1!$A:$B,2,FALSE),"")</f>
        <v/>
      </c>
      <c r="JQ35" s="31" t="str">
        <f>IFERROR(VLOOKUP([2]Pointage!JU29,Feuil1!$A:$B,2,FALSE),"")</f>
        <v/>
      </c>
      <c r="JR35" s="82" t="str">
        <f>IFERROR(VLOOKUP([2]Pointage!JV29,Feuil1!$A:$B,2,FALSE),"")</f>
        <v/>
      </c>
      <c r="JS35" s="47" t="str">
        <f>IFERROR(VLOOKUP([2]Pointage!JW29,Feuil1!$A:$B,2,FALSE),"")</f>
        <v/>
      </c>
      <c r="JT35" s="31" t="str">
        <f>IFERROR(VLOOKUP([2]Pointage!JX29,Feuil1!$A:$B,2,FALSE),"")</f>
        <v/>
      </c>
      <c r="JU35" s="31" t="str">
        <f>IFERROR(VLOOKUP([2]Pointage!JY29,Feuil1!$A:$B,2,FALSE),"")</f>
        <v/>
      </c>
      <c r="JV35" s="31" t="str">
        <f>IFERROR(VLOOKUP([2]Pointage!JZ29,Feuil1!$A:$B,2,FALSE),"")</f>
        <v/>
      </c>
      <c r="JW35" s="31" t="str">
        <f>IFERROR(VLOOKUP([2]Pointage!KA29,Feuil1!$A:$B,2,FALSE),"")</f>
        <v/>
      </c>
      <c r="JX35" s="31" t="str">
        <f>IFERROR(VLOOKUP([2]Pointage!KB29,Feuil1!$A:$B,2,FALSE),"")</f>
        <v/>
      </c>
      <c r="JY35" s="31" t="str">
        <f>IFERROR(VLOOKUP([2]Pointage!KC29,Feuil1!$A:$B,2,FALSE),"")</f>
        <v/>
      </c>
      <c r="JZ35" s="31" t="str">
        <f>IFERROR(VLOOKUP([2]Pointage!KD29,Feuil1!$A:$B,2,FALSE),"")</f>
        <v/>
      </c>
      <c r="KA35" s="31" t="str">
        <f>IFERROR(VLOOKUP([2]Pointage!KE29,Feuil1!$A:$B,2,FALSE),"")</f>
        <v/>
      </c>
      <c r="KB35" s="31" t="str">
        <f>IFERROR(VLOOKUP([2]Pointage!KF29,Feuil1!$A:$B,2,FALSE),"")</f>
        <v/>
      </c>
      <c r="KC35" s="31" t="str">
        <f>IFERROR(VLOOKUP([2]Pointage!KG29,Feuil1!$A:$B,2,FALSE),"")</f>
        <v/>
      </c>
      <c r="KD35" s="31" t="str">
        <f>IFERROR(VLOOKUP([2]Pointage!KH29,Feuil1!$A:$B,2,FALSE),"")</f>
        <v/>
      </c>
      <c r="KE35" s="31" t="str">
        <f>IFERROR(VLOOKUP([2]Pointage!KI29,Feuil1!$A:$B,2,FALSE),"")</f>
        <v/>
      </c>
      <c r="KF35" s="31" t="str">
        <f>IFERROR(VLOOKUP([2]Pointage!KJ29,Feuil1!$A:$B,2,FALSE),"")</f>
        <v/>
      </c>
      <c r="KG35" s="31" t="str">
        <f>IFERROR(VLOOKUP([2]Pointage!KK29,Feuil1!$A:$B,2,FALSE),"")</f>
        <v/>
      </c>
      <c r="KH35" s="31" t="str">
        <f>IFERROR(VLOOKUP([2]Pointage!KL29,Feuil1!$A:$B,2,FALSE),"")</f>
        <v/>
      </c>
      <c r="KI35" s="31" t="str">
        <f>IFERROR(VLOOKUP([2]Pointage!KM29,Feuil1!$A:$B,2,FALSE),"")</f>
        <v/>
      </c>
      <c r="KJ35" s="31" t="str">
        <f>IFERROR(VLOOKUP([2]Pointage!KN29,Feuil1!$A:$B,2,FALSE),"")</f>
        <v/>
      </c>
      <c r="KK35" s="31" t="str">
        <f>IFERROR(VLOOKUP([2]Pointage!KO29,Feuil1!$A:$B,2,FALSE),"")</f>
        <v/>
      </c>
      <c r="KL35" s="31" t="str">
        <f>IFERROR(VLOOKUP([2]Pointage!KP29,Feuil1!$A:$B,2,FALSE),"")</f>
        <v/>
      </c>
      <c r="KM35" s="31" t="str">
        <f>IFERROR(VLOOKUP([2]Pointage!KQ29,Feuil1!$A:$B,2,FALSE),"")</f>
        <v/>
      </c>
      <c r="KN35" s="31" t="str">
        <f>IFERROR(VLOOKUP([2]Pointage!KR29,Feuil1!$A:$B,2,FALSE),"")</f>
        <v/>
      </c>
      <c r="KO35" s="31" t="str">
        <f>IFERROR(VLOOKUP([2]Pointage!KS29,Feuil1!$A:$B,2,FALSE),"")</f>
        <v/>
      </c>
      <c r="KP35" s="31" t="str">
        <f>IFERROR(VLOOKUP([2]Pointage!KT29,Feuil1!$A:$B,2,FALSE),"")</f>
        <v/>
      </c>
      <c r="KQ35" s="31" t="str">
        <f>IFERROR(VLOOKUP([2]Pointage!KU29,Feuil1!$A:$B,2,FALSE),"")</f>
        <v/>
      </c>
      <c r="KR35" s="31" t="str">
        <f>IFERROR(VLOOKUP([2]Pointage!KV29,Feuil1!$A:$B,2,FALSE),"")</f>
        <v/>
      </c>
      <c r="KS35" s="31" t="str">
        <f>IFERROR(VLOOKUP([2]Pointage!KW29,Feuil1!$A:$B,2,FALSE),"")</f>
        <v/>
      </c>
      <c r="KT35" s="31" t="str">
        <f>IFERROR(VLOOKUP([2]Pointage!KX29,Feuil1!$A:$B,2,FALSE),"")</f>
        <v/>
      </c>
      <c r="KU35" s="31" t="str">
        <f>IFERROR(VLOOKUP([2]Pointage!KY29,Feuil1!$A:$B,2,FALSE),"")</f>
        <v/>
      </c>
      <c r="KV35" s="31" t="str">
        <f>IFERROR(VLOOKUP([2]Pointage!KZ29,Feuil1!$A:$B,2,FALSE),"")</f>
        <v/>
      </c>
      <c r="KW35" s="82" t="str">
        <f>IFERROR(VLOOKUP([2]Pointage!LA29,Feuil1!$A:$B,2,FALSE),"")</f>
        <v/>
      </c>
      <c r="KX35" s="47" t="str">
        <f>IFERROR(VLOOKUP([2]Pointage!LB29,Feuil1!$A:$B,2,FALSE),"")</f>
        <v/>
      </c>
      <c r="KY35" s="31" t="str">
        <f>IFERROR(VLOOKUP([2]Pointage!LC29,Feuil1!$A:$B,2,FALSE),"")</f>
        <v/>
      </c>
      <c r="KZ35" s="31" t="str">
        <f>IFERROR(VLOOKUP([2]Pointage!LD29,Feuil1!$A:$B,2,FALSE),"")</f>
        <v/>
      </c>
      <c r="LA35" s="31" t="str">
        <f>IFERROR(VLOOKUP([2]Pointage!LE29,Feuil1!$A:$B,2,FALSE),"")</f>
        <v/>
      </c>
      <c r="LB35" s="31" t="str">
        <f>IFERROR(VLOOKUP([2]Pointage!LF29,Feuil1!$A:$B,2,FALSE),"")</f>
        <v/>
      </c>
      <c r="LC35" s="31" t="str">
        <f>IFERROR(VLOOKUP([2]Pointage!LG29,Feuil1!$A:$B,2,FALSE),"")</f>
        <v/>
      </c>
      <c r="LD35" s="31" t="str">
        <f>IFERROR(VLOOKUP([2]Pointage!LH29,Feuil1!$A:$B,2,FALSE),"")</f>
        <v/>
      </c>
      <c r="LE35" s="31" t="str">
        <f>IFERROR(VLOOKUP([2]Pointage!LI29,Feuil1!$A:$B,2,FALSE),"")</f>
        <v/>
      </c>
      <c r="LF35" s="31" t="str">
        <f>IFERROR(VLOOKUP([2]Pointage!LJ29,Feuil1!$A:$B,2,FALSE),"")</f>
        <v/>
      </c>
      <c r="LG35" s="31" t="str">
        <f>IFERROR(VLOOKUP([2]Pointage!LK29,Feuil1!$A:$B,2,FALSE),"")</f>
        <v/>
      </c>
      <c r="LH35" s="31" t="str">
        <f>IFERROR(VLOOKUP([2]Pointage!LL29,Feuil1!$A:$B,2,FALSE),"")</f>
        <v/>
      </c>
      <c r="LI35" s="31" t="str">
        <f>IFERROR(VLOOKUP([2]Pointage!LM29,Feuil1!$A:$B,2,FALSE),"")</f>
        <v/>
      </c>
      <c r="LJ35" s="31" t="str">
        <f>IFERROR(VLOOKUP([2]Pointage!LN29,Feuil1!$A:$B,2,FALSE),"")</f>
        <v/>
      </c>
      <c r="LK35" s="31" t="str">
        <f>IFERROR(VLOOKUP([2]Pointage!LO29,Feuil1!$A:$B,2,FALSE),"")</f>
        <v/>
      </c>
      <c r="LL35" s="31" t="str">
        <f>IFERROR(VLOOKUP([2]Pointage!LP29,Feuil1!$A:$B,2,FALSE),"")</f>
        <v/>
      </c>
      <c r="LM35" s="31" t="str">
        <f>IFERROR(VLOOKUP([2]Pointage!LQ29,Feuil1!$A:$B,2,FALSE),"")</f>
        <v/>
      </c>
      <c r="LN35" s="31" t="str">
        <f>IFERROR(VLOOKUP([2]Pointage!LR29,Feuil1!$A:$B,2,FALSE),"")</f>
        <v/>
      </c>
      <c r="LO35" s="31" t="str">
        <f>IFERROR(VLOOKUP([2]Pointage!LS29,Feuil1!$A:$B,2,FALSE),"")</f>
        <v/>
      </c>
      <c r="LP35" s="31" t="str">
        <f>IFERROR(VLOOKUP([2]Pointage!LT29,Feuil1!$A:$B,2,FALSE),"")</f>
        <v/>
      </c>
      <c r="LQ35" s="31" t="str">
        <f>IFERROR(VLOOKUP([2]Pointage!LU29,Feuil1!$A:$B,2,FALSE),"")</f>
        <v/>
      </c>
      <c r="LR35" s="31" t="str">
        <f>IFERROR(VLOOKUP([2]Pointage!LV29,Feuil1!$A:$B,2,FALSE),"")</f>
        <v/>
      </c>
      <c r="LS35" s="31" t="str">
        <f>IFERROR(VLOOKUP([2]Pointage!LW29,Feuil1!$A:$B,2,FALSE),"")</f>
        <v/>
      </c>
      <c r="LT35" s="31" t="str">
        <f>IFERROR(VLOOKUP([2]Pointage!LX29,Feuil1!$A:$B,2,FALSE),"")</f>
        <v/>
      </c>
      <c r="LU35" s="31" t="str">
        <f>IFERROR(VLOOKUP([2]Pointage!LY29,Feuil1!$A:$B,2,FALSE),"")</f>
        <v/>
      </c>
      <c r="LV35" s="31" t="str">
        <f>IFERROR(VLOOKUP([2]Pointage!LZ29,Feuil1!$A:$B,2,FALSE),"")</f>
        <v/>
      </c>
      <c r="LW35" s="31" t="str">
        <f>IFERROR(VLOOKUP([2]Pointage!MA29,Feuil1!$A:$B,2,FALSE),"")</f>
        <v/>
      </c>
      <c r="LX35" s="31" t="str">
        <f>IFERROR(VLOOKUP([2]Pointage!MB29,Feuil1!$A:$B,2,FALSE),"")</f>
        <v/>
      </c>
      <c r="LY35" s="31" t="str">
        <f>IFERROR(VLOOKUP([2]Pointage!MC29,Feuil1!$A:$B,2,FALSE),"")</f>
        <v/>
      </c>
      <c r="LZ35" s="31" t="str">
        <f>IFERROR(VLOOKUP([2]Pointage!MD29,Feuil1!$A:$B,2,FALSE),"")</f>
        <v/>
      </c>
      <c r="MA35" s="82" t="str">
        <f>IFERROR(VLOOKUP([2]Pointage!ME29,Feuil1!$A:$B,2,FALSE),"")</f>
        <v/>
      </c>
      <c r="MB35" s="47" t="str">
        <f>IFERROR(VLOOKUP([2]Pointage!MF29,Feuil1!$A:$B,2,FALSE),"")</f>
        <v/>
      </c>
      <c r="MC35" s="31" t="str">
        <f>IFERROR(VLOOKUP([2]Pointage!MG29,Feuil1!$A:$B,2,FALSE),"")</f>
        <v/>
      </c>
      <c r="MD35" s="31" t="str">
        <f>IFERROR(VLOOKUP([2]Pointage!MH29,Feuil1!$A:$B,2,FALSE),"")</f>
        <v/>
      </c>
      <c r="ME35" s="31" t="str">
        <f>IFERROR(VLOOKUP([2]Pointage!MI29,Feuil1!$A:$B,2,FALSE),"")</f>
        <v/>
      </c>
      <c r="MF35" s="31" t="str">
        <f>IFERROR(VLOOKUP([2]Pointage!MJ29,Feuil1!$A:$B,2,FALSE),"")</f>
        <v/>
      </c>
      <c r="MG35" s="31" t="str">
        <f>IFERROR(VLOOKUP([2]Pointage!MK29,Feuil1!$A:$B,2,FALSE),"")</f>
        <v/>
      </c>
      <c r="MH35" s="31" t="str">
        <f>IFERROR(VLOOKUP([2]Pointage!ML29,Feuil1!$A:$B,2,FALSE),"")</f>
        <v/>
      </c>
      <c r="MI35" s="31" t="str">
        <f>IFERROR(VLOOKUP([2]Pointage!MM29,Feuil1!$A:$B,2,FALSE),"")</f>
        <v/>
      </c>
      <c r="MJ35" s="31" t="str">
        <f>IFERROR(VLOOKUP([2]Pointage!MN29,Feuil1!$A:$B,2,FALSE),"")</f>
        <v/>
      </c>
      <c r="MK35" s="31" t="str">
        <f>IFERROR(VLOOKUP([2]Pointage!MO29,Feuil1!$A:$B,2,FALSE),"")</f>
        <v/>
      </c>
      <c r="ML35" s="31" t="str">
        <f>IFERROR(VLOOKUP([2]Pointage!MP29,Feuil1!$A:$B,2,FALSE),"")</f>
        <v/>
      </c>
      <c r="MM35" s="31" t="str">
        <f>IFERROR(VLOOKUP([2]Pointage!MQ29,Feuil1!$A:$B,2,FALSE),"")</f>
        <v/>
      </c>
      <c r="MN35" s="31" t="str">
        <f>IFERROR(VLOOKUP([2]Pointage!MR29,Feuil1!$A:$B,2,FALSE),"")</f>
        <v/>
      </c>
      <c r="MO35" s="31" t="str">
        <f>IFERROR(VLOOKUP([2]Pointage!MS29,Feuil1!$A:$B,2,FALSE),"")</f>
        <v/>
      </c>
      <c r="MP35" s="31" t="str">
        <f>IFERROR(VLOOKUP([2]Pointage!MT29,Feuil1!$A:$B,2,FALSE),"")</f>
        <v/>
      </c>
      <c r="MQ35" s="31" t="str">
        <f>IFERROR(VLOOKUP([2]Pointage!MU29,Feuil1!$A:$B,2,FALSE),"")</f>
        <v/>
      </c>
      <c r="MR35" s="31" t="str">
        <f>IFERROR(VLOOKUP([2]Pointage!MV29,Feuil1!$A:$B,2,FALSE),"")</f>
        <v/>
      </c>
      <c r="MS35" s="31" t="str">
        <f>IFERROR(VLOOKUP([2]Pointage!MW29,Feuil1!$A:$B,2,FALSE),"")</f>
        <v/>
      </c>
      <c r="MT35" s="31" t="str">
        <f>IFERROR(VLOOKUP([2]Pointage!MX29,Feuil1!$A:$B,2,FALSE),"")</f>
        <v/>
      </c>
      <c r="MU35" s="31" t="str">
        <f>IFERROR(VLOOKUP([2]Pointage!MY29,Feuil1!$A:$B,2,FALSE),"")</f>
        <v/>
      </c>
      <c r="MV35" s="31" t="str">
        <f>IFERROR(VLOOKUP([2]Pointage!MZ29,Feuil1!$A:$B,2,FALSE),"")</f>
        <v/>
      </c>
      <c r="MW35" s="31" t="str">
        <f>IFERROR(VLOOKUP([2]Pointage!NA29,Feuil1!$A:$B,2,FALSE),"")</f>
        <v/>
      </c>
      <c r="MX35" s="31" t="str">
        <f>IFERROR(VLOOKUP([2]Pointage!NB29,Feuil1!$A:$B,2,FALSE),"")</f>
        <v/>
      </c>
      <c r="MY35" s="31" t="str">
        <f>IFERROR(VLOOKUP([2]Pointage!NC29,Feuil1!$A:$B,2,FALSE),"")</f>
        <v/>
      </c>
      <c r="MZ35" s="31" t="str">
        <f>IFERROR(VLOOKUP([2]Pointage!ND29,Feuil1!$A:$B,2,FALSE),"")</f>
        <v/>
      </c>
      <c r="NA35" s="31" t="str">
        <f>IFERROR(VLOOKUP([2]Pointage!NE29,Feuil1!$A:$B,2,FALSE),"")</f>
        <v/>
      </c>
      <c r="NB35" s="31" t="str">
        <f>IFERROR(VLOOKUP([2]Pointage!NF29,Feuil1!$A:$B,2,FALSE),"")</f>
        <v/>
      </c>
      <c r="NC35" s="31" t="str">
        <f>IFERROR(VLOOKUP([2]Pointage!NG29,Feuil1!$A:$B,2,FALSE),"")</f>
        <v/>
      </c>
      <c r="ND35" s="31" t="str">
        <f>IFERROR(VLOOKUP([2]Pointage!NH29,Feuil1!$A:$B,2,FALSE),"")</f>
        <v/>
      </c>
      <c r="NE35" s="31" t="str">
        <f>IFERROR(VLOOKUP([2]Pointage!NI29,Feuil1!$A:$B,2,FALSE),"")</f>
        <v/>
      </c>
      <c r="NF35" s="48" t="str">
        <f>IFERROR(VLOOKUP([2]Pointage!NJ29,Feuil1!$A:$B,2,FALSE),"")</f>
        <v/>
      </c>
      <c r="NG35" s="52">
        <f>COUNTIF(Global!F35:NF35,"RTT")+(COUNTIF(Global!F35:NF35,"dRTT")/2)</f>
        <v>0</v>
      </c>
      <c r="NH35" s="42">
        <f>COUNTIF(Global!F35:NF35,"C")+(COUNTIF(Global!F35:NF35,"DC")/2)</f>
        <v>8</v>
      </c>
      <c r="NI35" s="42">
        <f>COUNTIF(Global!F35:NF35,"M")</f>
        <v>0</v>
      </c>
      <c r="NJ35" s="42">
        <f>COUNTIF(Global!G35:NG35,"AT")</f>
        <v>0</v>
      </c>
      <c r="NK35" s="42">
        <f>COUNTIF(Global!F35:NF35,"RD")</f>
        <v>0</v>
      </c>
      <c r="NL35" s="42">
        <f>COUNTIF(Global!F35:NF35,"RC")+(COUNTIF(Global!F35:NF35,"dRC")/2)</f>
        <v>0</v>
      </c>
      <c r="NM35" s="42">
        <f t="shared" ca="1" si="0"/>
        <v>4.0273972602739727</v>
      </c>
      <c r="NT35" s="33"/>
      <c r="NU35" s="33"/>
      <c r="NV35" s="28"/>
      <c r="NW35" s="28"/>
      <c r="NX35" s="29">
        <f>COUNTIF(F35:NF35,"C")++(COUNTIF(Global!F35:NF35,"DC")/2)</f>
        <v>8</v>
      </c>
      <c r="NY35" s="29"/>
      <c r="NZ35" s="29"/>
      <c r="OA35" s="29"/>
      <c r="OB35" s="29">
        <f>COUNTIF(Global!F35:NF35,"M")</f>
        <v>0</v>
      </c>
      <c r="OC35" s="30">
        <f t="shared" si="1"/>
        <v>-8</v>
      </c>
      <c r="OD35" s="30"/>
    </row>
    <row r="36" spans="1:394" ht="30" customHeight="1" x14ac:dyDescent="0.2">
      <c r="A36" s="13" t="s">
        <v>92</v>
      </c>
      <c r="B36" s="22" t="s">
        <v>210</v>
      </c>
      <c r="C36" s="22" t="s">
        <v>211</v>
      </c>
      <c r="D36" s="22" t="s">
        <v>212</v>
      </c>
      <c r="E36" s="44">
        <v>0</v>
      </c>
      <c r="F36" s="47" t="str">
        <f>IFERROR(VLOOKUP([2]Pointage!J30,Feuil1!$A:$B,2,FALSE),"")</f>
        <v/>
      </c>
      <c r="G36" s="31" t="str">
        <f>IFERROR(VLOOKUP([2]Pointage!K30,Feuil1!$A:$B,2,FALSE),"")</f>
        <v/>
      </c>
      <c r="H36" s="31" t="str">
        <f>IFERROR(VLOOKUP([2]Pointage!L30,Feuil1!$A:$B,2,FALSE),"")</f>
        <v/>
      </c>
      <c r="I36" s="31" t="str">
        <f>IFERROR(VLOOKUP([2]Pointage!M30,Feuil1!$A:$B,2,FALSE),"")</f>
        <v/>
      </c>
      <c r="J36" s="31" t="str">
        <f>IFERROR(VLOOKUP([2]Pointage!N30,Feuil1!$A:$B,2,FALSE),"")</f>
        <v/>
      </c>
      <c r="K36" s="31" t="str">
        <f>IFERROR(VLOOKUP([2]Pointage!O30,Feuil1!$A:$B,2,FALSE),"")</f>
        <v/>
      </c>
      <c r="L36" s="31" t="str">
        <f>IFERROR(VLOOKUP([2]Pointage!P30,Feuil1!$A:$B,2,FALSE),"")</f>
        <v/>
      </c>
      <c r="M36" s="31" t="str">
        <f>IFERROR(VLOOKUP([2]Pointage!Q30,Feuil1!$A:$B,2,FALSE),"")</f>
        <v/>
      </c>
      <c r="N36" s="31" t="str">
        <f>IFERROR(VLOOKUP([2]Pointage!R30,Feuil1!$A:$B,2,FALSE),"")</f>
        <v/>
      </c>
      <c r="O36" s="31" t="str">
        <f>IFERROR(VLOOKUP([2]Pointage!S30,Feuil1!$A:$B,2,FALSE),"")</f>
        <v/>
      </c>
      <c r="P36" s="31" t="str">
        <f>IFERROR(VLOOKUP([2]Pointage!T30,Feuil1!$A:$B,2,FALSE),"")</f>
        <v/>
      </c>
      <c r="Q36" s="31" t="str">
        <f>IFERROR(VLOOKUP([2]Pointage!U30,Feuil1!$A:$B,2,FALSE),"")</f>
        <v/>
      </c>
      <c r="R36" s="31" t="str">
        <f>IFERROR(VLOOKUP([2]Pointage!V30,Feuil1!$A:$B,2,FALSE),"")</f>
        <v/>
      </c>
      <c r="S36" s="31" t="str">
        <f>IFERROR(VLOOKUP([2]Pointage!W30,Feuil1!$A:$B,2,FALSE),"")</f>
        <v/>
      </c>
      <c r="T36" s="31" t="str">
        <f>IFERROR(VLOOKUP([2]Pointage!X30,Feuil1!$A:$B,2,FALSE),"")</f>
        <v/>
      </c>
      <c r="U36" s="31" t="str">
        <f>IFERROR(VLOOKUP([2]Pointage!Y30,Feuil1!$A:$B,2,FALSE),"")</f>
        <v/>
      </c>
      <c r="V36" s="31" t="str">
        <f>IFERROR(VLOOKUP([2]Pointage!Z30,Feuil1!$A:$B,2,FALSE),"")</f>
        <v/>
      </c>
      <c r="W36" s="31" t="str">
        <f>IFERROR(VLOOKUP([2]Pointage!AA30,Feuil1!$A:$B,2,FALSE),"")</f>
        <v>C</v>
      </c>
      <c r="X36" s="31" t="str">
        <f>IFERROR(VLOOKUP([2]Pointage!AB30,Feuil1!$A:$B,2,FALSE),"")</f>
        <v/>
      </c>
      <c r="Y36" s="31" t="str">
        <f>IFERROR(VLOOKUP([2]Pointage!AC30,Feuil1!$A:$B,2,FALSE),"")</f>
        <v/>
      </c>
      <c r="Z36" s="31" t="str">
        <f>IFERROR(VLOOKUP([2]Pointage!AD30,Feuil1!$A:$B,2,FALSE),"")</f>
        <v/>
      </c>
      <c r="AA36" s="31" t="str">
        <f>IFERROR(VLOOKUP([2]Pointage!AE30,Feuil1!$A:$B,2,FALSE),"")</f>
        <v/>
      </c>
      <c r="AB36" s="31" t="str">
        <f>IFERROR(VLOOKUP([2]Pointage!AF30,Feuil1!$A:$B,2,FALSE),"")</f>
        <v/>
      </c>
      <c r="AC36" s="31" t="str">
        <f>IFERROR(VLOOKUP([2]Pointage!AG30,Feuil1!$A:$B,2,FALSE),"")</f>
        <v/>
      </c>
      <c r="AD36" s="31" t="str">
        <f>IFERROR(VLOOKUP([2]Pointage!AH30,Feuil1!$A:$B,2,FALSE),"")</f>
        <v/>
      </c>
      <c r="AE36" s="31" t="str">
        <f>IFERROR(VLOOKUP([2]Pointage!AI30,Feuil1!$A:$B,2,FALSE),"")</f>
        <v/>
      </c>
      <c r="AF36" s="31" t="str">
        <f>IFERROR(VLOOKUP([2]Pointage!AJ30,Feuil1!$A:$B,2,FALSE),"")</f>
        <v/>
      </c>
      <c r="AG36" s="31" t="str">
        <f>IFERROR(VLOOKUP([2]Pointage!AK30,Feuil1!$A:$B,2,FALSE),"")</f>
        <v/>
      </c>
      <c r="AH36" s="31" t="str">
        <f>IFERROR(VLOOKUP([2]Pointage!AL30,Feuil1!$A:$B,2,FALSE),"")</f>
        <v/>
      </c>
      <c r="AI36" s="31" t="str">
        <f>IFERROR(VLOOKUP([2]Pointage!AM30,Feuil1!$A:$B,2,FALSE),"")</f>
        <v/>
      </c>
      <c r="AJ36" s="82" t="str">
        <f>IFERROR(VLOOKUP([2]Pointage!AN30,Feuil1!$A:$B,2,FALSE),"")</f>
        <v/>
      </c>
      <c r="AK36" s="47" t="str">
        <f>IFERROR(VLOOKUP([2]Pointage!AO30,Feuil1!$A:$B,2,FALSE),"")</f>
        <v/>
      </c>
      <c r="AL36" s="31" t="str">
        <f>IFERROR(VLOOKUP([2]Pointage!AP30,Feuil1!$A:$B,2,FALSE),"")</f>
        <v/>
      </c>
      <c r="AM36" s="31" t="str">
        <f>IFERROR(VLOOKUP([2]Pointage!AQ30,Feuil1!$A:$B,2,FALSE),"")</f>
        <v/>
      </c>
      <c r="AN36" s="31" t="str">
        <f>IFERROR(VLOOKUP([2]Pointage!AR30,Feuil1!$A:$B,2,FALSE),"")</f>
        <v/>
      </c>
      <c r="AO36" s="31" t="str">
        <f>IFERROR(VLOOKUP([2]Pointage!AS30,Feuil1!$A:$B,2,FALSE),"")</f>
        <v>C</v>
      </c>
      <c r="AP36" s="31" t="str">
        <f>IFERROR(VLOOKUP([2]Pointage!AT30,Feuil1!$A:$B,2,FALSE),"")</f>
        <v>C</v>
      </c>
      <c r="AQ36" s="31" t="str">
        <f>IFERROR(VLOOKUP([2]Pointage!AU30,Feuil1!$A:$B,2,FALSE),"")</f>
        <v>C</v>
      </c>
      <c r="AR36" s="31" t="str">
        <f>IFERROR(VLOOKUP([2]Pointage!AV30,Feuil1!$A:$B,2,FALSE),"")</f>
        <v>C</v>
      </c>
      <c r="AS36" s="31" t="str">
        <f>IFERROR(VLOOKUP([2]Pointage!AW30,Feuil1!$A:$B,2,FALSE),"")</f>
        <v>C</v>
      </c>
      <c r="AT36" s="31" t="str">
        <f>IFERROR(VLOOKUP([2]Pointage!AX30,Feuil1!$A:$B,2,FALSE),"")</f>
        <v/>
      </c>
      <c r="AU36" s="31" t="str">
        <f>IFERROR(VLOOKUP([2]Pointage!AY30,Feuil1!$A:$B,2,FALSE),"")</f>
        <v/>
      </c>
      <c r="AV36" s="31" t="str">
        <f>IFERROR(VLOOKUP([2]Pointage!AZ30,Feuil1!$A:$B,2,FALSE),"")</f>
        <v>C</v>
      </c>
      <c r="AW36" s="31" t="str">
        <f>IFERROR(VLOOKUP([2]Pointage!BA30,Feuil1!$A:$B,2,FALSE),"")</f>
        <v>C</v>
      </c>
      <c r="AX36" s="31" t="str">
        <f>IFERROR(VLOOKUP([2]Pointage!BB30,Feuil1!$A:$B,2,FALSE),"")</f>
        <v>C</v>
      </c>
      <c r="AY36" s="31" t="str">
        <f>IFERROR(VLOOKUP([2]Pointage!BC30,Feuil1!$A:$B,2,FALSE),"")</f>
        <v>C</v>
      </c>
      <c r="AZ36" s="31" t="str">
        <f>IFERROR(VLOOKUP([2]Pointage!BD30,Feuil1!$A:$B,2,FALSE),"")</f>
        <v>C</v>
      </c>
      <c r="BA36" s="31" t="str">
        <f>IFERROR(VLOOKUP([2]Pointage!BE30,Feuil1!$A:$B,2,FALSE),"")</f>
        <v/>
      </c>
      <c r="BB36" s="31" t="str">
        <f>IFERROR(VLOOKUP([2]Pointage!BF30,Feuil1!$A:$B,2,FALSE),"")</f>
        <v/>
      </c>
      <c r="BC36" s="31" t="str">
        <f>IFERROR(VLOOKUP([2]Pointage!BG30,Feuil1!$A:$B,2,FALSE),"")</f>
        <v>C</v>
      </c>
      <c r="BD36" s="31" t="str">
        <f>IFERROR(VLOOKUP([2]Pointage!BH30,Feuil1!$A:$B,2,FALSE),"")</f>
        <v>C</v>
      </c>
      <c r="BE36" s="31" t="str">
        <f>IFERROR(VLOOKUP([2]Pointage!BI30,Feuil1!$A:$B,2,FALSE),"")</f>
        <v>C</v>
      </c>
      <c r="BF36" s="31" t="str">
        <f>IFERROR(VLOOKUP([2]Pointage!BJ30,Feuil1!$A:$B,2,FALSE),"")</f>
        <v>C</v>
      </c>
      <c r="BG36" s="31" t="str">
        <f>IFERROR(VLOOKUP([2]Pointage!BK30,Feuil1!$A:$B,2,FALSE),"")</f>
        <v>C</v>
      </c>
      <c r="BH36" s="31" t="str">
        <f>IFERROR(VLOOKUP([2]Pointage!BL30,Feuil1!$A:$B,2,FALSE),"")</f>
        <v/>
      </c>
      <c r="BI36" s="31" t="str">
        <f>IFERROR(VLOOKUP([2]Pointage!BM30,Feuil1!$A:$B,2,FALSE),"")</f>
        <v/>
      </c>
      <c r="BJ36" s="31" t="str">
        <f>IFERROR(VLOOKUP([2]Pointage!BN30,Feuil1!$A:$B,2,FALSE),"")</f>
        <v/>
      </c>
      <c r="BK36" s="31" t="str">
        <f>IFERROR(VLOOKUP([2]Pointage!BO30,Feuil1!$A:$B,2,FALSE),"")</f>
        <v/>
      </c>
      <c r="BL36" s="82" t="str">
        <f>IFERROR(VLOOKUP([2]Pointage!BP30,Feuil1!$A:$B,2,FALSE),"")</f>
        <v/>
      </c>
      <c r="BM36" s="47" t="str">
        <f>IFERROR(VLOOKUP([2]Pointage!BQ30,Feuil1!$A:$B,2,FALSE),"")</f>
        <v/>
      </c>
      <c r="BN36" s="31" t="str">
        <f>IFERROR(VLOOKUP([2]Pointage!BR30,Feuil1!$A:$B,2,FALSE),"")</f>
        <v/>
      </c>
      <c r="BO36" s="31" t="str">
        <f>IFERROR(VLOOKUP([2]Pointage!BS30,Feuil1!$A:$B,2,FALSE),"")</f>
        <v/>
      </c>
      <c r="BP36" s="31" t="str">
        <f>IFERROR(VLOOKUP([2]Pointage!BT30,Feuil1!$A:$B,2,FALSE),"")</f>
        <v/>
      </c>
      <c r="BQ36" s="31" t="str">
        <f>IFERROR(VLOOKUP([2]Pointage!BU30,Feuil1!$A:$B,2,FALSE),"")</f>
        <v/>
      </c>
      <c r="BR36" s="31" t="str">
        <f>IFERROR(VLOOKUP([2]Pointage!BV30,Feuil1!$A:$B,2,FALSE),"")</f>
        <v/>
      </c>
      <c r="BS36" s="31" t="str">
        <f>IFERROR(VLOOKUP([2]Pointage!BW30,Feuil1!$A:$B,2,FALSE),"")</f>
        <v/>
      </c>
      <c r="BT36" s="31" t="str">
        <f>IFERROR(VLOOKUP([2]Pointage!BX30,Feuil1!$A:$B,2,FALSE),"")</f>
        <v/>
      </c>
      <c r="BU36" s="31" t="str">
        <f>IFERROR(VLOOKUP([2]Pointage!BY30,Feuil1!$A:$B,2,FALSE),"")</f>
        <v/>
      </c>
      <c r="BV36" s="31" t="str">
        <f>IFERROR(VLOOKUP([2]Pointage!BZ30,Feuil1!$A:$B,2,FALSE),"")</f>
        <v/>
      </c>
      <c r="BW36" s="31" t="str">
        <f>IFERROR(VLOOKUP([2]Pointage!CA30,Feuil1!$A:$B,2,FALSE),"")</f>
        <v/>
      </c>
      <c r="BX36" s="31" t="str">
        <f>IFERROR(VLOOKUP([2]Pointage!CB30,Feuil1!$A:$B,2,FALSE),"")</f>
        <v/>
      </c>
      <c r="BY36" s="31" t="str">
        <f>IFERROR(VLOOKUP([2]Pointage!CC30,Feuil1!$A:$B,2,FALSE),"")</f>
        <v/>
      </c>
      <c r="BZ36" s="31" t="str">
        <f>IFERROR(VLOOKUP([2]Pointage!CD30,Feuil1!$A:$B,2,FALSE),"")</f>
        <v/>
      </c>
      <c r="CA36" s="31" t="str">
        <f>IFERROR(VLOOKUP([2]Pointage!CE30,Feuil1!$A:$B,2,FALSE),"")</f>
        <v/>
      </c>
      <c r="CB36" s="31" t="str">
        <f>IFERROR(VLOOKUP([2]Pointage!CF30,Feuil1!$A:$B,2,FALSE),"")</f>
        <v/>
      </c>
      <c r="CC36" s="31" t="str">
        <f>IFERROR(VLOOKUP([2]Pointage!CG30,Feuil1!$A:$B,2,FALSE),"")</f>
        <v/>
      </c>
      <c r="CD36" s="31" t="str">
        <f>IFERROR(VLOOKUP([2]Pointage!CH30,Feuil1!$A:$B,2,FALSE),"")</f>
        <v/>
      </c>
      <c r="CE36" s="31" t="str">
        <f>IFERROR(VLOOKUP([2]Pointage!CI30,Feuil1!$A:$B,2,FALSE),"")</f>
        <v/>
      </c>
      <c r="CF36" s="31" t="str">
        <f>IFERROR(VLOOKUP([2]Pointage!CJ30,Feuil1!$A:$B,2,FALSE),"")</f>
        <v/>
      </c>
      <c r="CG36" s="31" t="str">
        <f>IFERROR(VLOOKUP([2]Pointage!CK30,Feuil1!$A:$B,2,FALSE),"")</f>
        <v/>
      </c>
      <c r="CH36" s="31" t="str">
        <f>IFERROR(VLOOKUP([2]Pointage!CL30,Feuil1!$A:$B,2,FALSE),"")</f>
        <v/>
      </c>
      <c r="CI36" s="31" t="str">
        <f>IFERROR(VLOOKUP([2]Pointage!CM30,Feuil1!$A:$B,2,FALSE),"")</f>
        <v/>
      </c>
      <c r="CJ36" s="31" t="str">
        <f>IFERROR(VLOOKUP([2]Pointage!CN30,Feuil1!$A:$B,2,FALSE),"")</f>
        <v/>
      </c>
      <c r="CK36" s="31" t="str">
        <f>IFERROR(VLOOKUP([2]Pointage!CO30,Feuil1!$A:$B,2,FALSE),"")</f>
        <v/>
      </c>
      <c r="CL36" s="31" t="str">
        <f>IFERROR(VLOOKUP([2]Pointage!CP30,Feuil1!$A:$B,2,FALSE),"")</f>
        <v>C</v>
      </c>
      <c r="CM36" s="31" t="str">
        <f>IFERROR(VLOOKUP([2]Pointage!CQ30,Feuil1!$A:$B,2,FALSE),"")</f>
        <v>C</v>
      </c>
      <c r="CN36" s="31" t="str">
        <f>IFERROR(VLOOKUP([2]Pointage!CR30,Feuil1!$A:$B,2,FALSE),"")</f>
        <v>C</v>
      </c>
      <c r="CO36" s="31" t="str">
        <f>IFERROR(VLOOKUP([2]Pointage!CS30,Feuil1!$A:$B,2,FALSE),"")</f>
        <v/>
      </c>
      <c r="CP36" s="31" t="str">
        <f>IFERROR(VLOOKUP([2]Pointage!CT30,Feuil1!$A:$B,2,FALSE),"")</f>
        <v/>
      </c>
      <c r="CQ36" s="82" t="str">
        <f>IFERROR(VLOOKUP([2]Pointage!CU30,Feuil1!$A:$B,2,FALSE),"")</f>
        <v/>
      </c>
      <c r="CR36" s="47" t="str">
        <f>IFERROR(VLOOKUP([2]Pointage!CV30,Feuil1!$A:$B,2,FALSE),"")</f>
        <v/>
      </c>
      <c r="CS36" s="31" t="str">
        <f>IFERROR(VLOOKUP([2]Pointage!CW30,Feuil1!$A:$B,2,FALSE),"")</f>
        <v/>
      </c>
      <c r="CT36" s="31" t="str">
        <f>IFERROR(VLOOKUP([2]Pointage!CX30,Feuil1!$A:$B,2,FALSE),"")</f>
        <v/>
      </c>
      <c r="CU36" s="31" t="str">
        <f>IFERROR(VLOOKUP([2]Pointage!CY30,Feuil1!$A:$B,2,FALSE),"")</f>
        <v/>
      </c>
      <c r="CV36" s="31" t="str">
        <f>IFERROR(VLOOKUP([2]Pointage!CZ30,Feuil1!$A:$B,2,FALSE),"")</f>
        <v/>
      </c>
      <c r="CW36" s="31" t="str">
        <f>IFERROR(VLOOKUP([2]Pointage!DA30,Feuil1!$A:$B,2,FALSE),"")</f>
        <v/>
      </c>
      <c r="CX36" s="31" t="str">
        <f>IFERROR(VLOOKUP([2]Pointage!DB30,Feuil1!$A:$B,2,FALSE),"")</f>
        <v/>
      </c>
      <c r="CY36" s="31" t="str">
        <f>IFERROR(VLOOKUP([2]Pointage!DC30,Feuil1!$A:$B,2,FALSE),"")</f>
        <v/>
      </c>
      <c r="CZ36" s="31" t="str">
        <f>IFERROR(VLOOKUP([2]Pointage!DD30,Feuil1!$A:$B,2,FALSE),"")</f>
        <v/>
      </c>
      <c r="DA36" s="31" t="str">
        <f>IFERROR(VLOOKUP([2]Pointage!DE30,Feuil1!$A:$B,2,FALSE),"")</f>
        <v/>
      </c>
      <c r="DB36" s="31" t="str">
        <f>IFERROR(VLOOKUP([2]Pointage!DF30,Feuil1!$A:$B,2,FALSE),"")</f>
        <v/>
      </c>
      <c r="DC36" s="31" t="str">
        <f>IFERROR(VLOOKUP([2]Pointage!DG30,Feuil1!$A:$B,2,FALSE),"")</f>
        <v/>
      </c>
      <c r="DD36" s="31" t="str">
        <f>IFERROR(VLOOKUP([2]Pointage!DH30,Feuil1!$A:$B,2,FALSE),"")</f>
        <v/>
      </c>
      <c r="DE36" s="31" t="str">
        <f>IFERROR(VLOOKUP([2]Pointage!DI30,Feuil1!$A:$B,2,FALSE),"")</f>
        <v/>
      </c>
      <c r="DF36" s="31" t="str">
        <f>IFERROR(VLOOKUP([2]Pointage!DJ30,Feuil1!$A:$B,2,FALSE),"")</f>
        <v/>
      </c>
      <c r="DG36" s="31" t="str">
        <f>IFERROR(VLOOKUP([2]Pointage!DK30,Feuil1!$A:$B,2,FALSE),"")</f>
        <v/>
      </c>
      <c r="DH36" s="31" t="str">
        <f>IFERROR(VLOOKUP([2]Pointage!DL30,Feuil1!$A:$B,2,FALSE),"")</f>
        <v/>
      </c>
      <c r="DI36" s="31" t="str">
        <f>IFERROR(VLOOKUP([2]Pointage!DM30,Feuil1!$A:$B,2,FALSE),"")</f>
        <v/>
      </c>
      <c r="DJ36" s="31" t="str">
        <f>IFERROR(VLOOKUP([2]Pointage!DN30,Feuil1!$A:$B,2,FALSE),"")</f>
        <v/>
      </c>
      <c r="DK36" s="31" t="str">
        <f>IFERROR(VLOOKUP([2]Pointage!DO30,Feuil1!$A:$B,2,FALSE),"")</f>
        <v/>
      </c>
      <c r="DL36" s="31" t="str">
        <f>IFERROR(VLOOKUP([2]Pointage!DP30,Feuil1!$A:$B,2,FALSE),"")</f>
        <v/>
      </c>
      <c r="DM36" s="31" t="str">
        <f>IFERROR(VLOOKUP([2]Pointage!DQ30,Feuil1!$A:$B,2,FALSE),"")</f>
        <v/>
      </c>
      <c r="DN36" s="31" t="str">
        <f>IFERROR(VLOOKUP([2]Pointage!DR30,Feuil1!$A:$B,2,FALSE),"")</f>
        <v/>
      </c>
      <c r="DO36" s="31" t="str">
        <f>IFERROR(VLOOKUP([2]Pointage!DS30,Feuil1!$A:$B,2,FALSE),"")</f>
        <v/>
      </c>
      <c r="DP36" s="31" t="str">
        <f>IFERROR(VLOOKUP([2]Pointage!DT30,Feuil1!$A:$B,2,FALSE),"")</f>
        <v/>
      </c>
      <c r="DQ36" s="31" t="str">
        <f>IFERROR(VLOOKUP([2]Pointage!DU30,Feuil1!$A:$B,2,FALSE),"")</f>
        <v/>
      </c>
      <c r="DR36" s="31" t="str">
        <f>IFERROR(VLOOKUP([2]Pointage!DV30,Feuil1!$A:$B,2,FALSE),"")</f>
        <v/>
      </c>
      <c r="DS36" s="31" t="str">
        <f>IFERROR(VLOOKUP([2]Pointage!DW30,Feuil1!$A:$B,2,FALSE),"")</f>
        <v/>
      </c>
      <c r="DT36" s="31" t="str">
        <f>IFERROR(VLOOKUP([2]Pointage!DX30,Feuil1!$A:$B,2,FALSE),"")</f>
        <v/>
      </c>
      <c r="DU36" s="82" t="str">
        <f>IFERROR(VLOOKUP([2]Pointage!DY30,Feuil1!$A:$B,2,FALSE),"")</f>
        <v/>
      </c>
      <c r="DV36" s="47" t="str">
        <f>IFERROR(VLOOKUP([2]Pointage!DZ30,Feuil1!$A:$B,2,FALSE),"")</f>
        <v/>
      </c>
      <c r="DW36" s="31" t="str">
        <f>IFERROR(VLOOKUP([2]Pointage!EA30,Feuil1!$A:$B,2,FALSE),"")</f>
        <v/>
      </c>
      <c r="DX36" s="31" t="str">
        <f>IFERROR(VLOOKUP([2]Pointage!EB30,Feuil1!$A:$B,2,FALSE),"")</f>
        <v/>
      </c>
      <c r="DY36" s="31" t="str">
        <f>IFERROR(VLOOKUP([2]Pointage!EC30,Feuil1!$A:$B,2,FALSE),"")</f>
        <v/>
      </c>
      <c r="DZ36" s="31" t="str">
        <f>IFERROR(VLOOKUP([2]Pointage!ED30,Feuil1!$A:$B,2,FALSE),"")</f>
        <v/>
      </c>
      <c r="EA36" s="31" t="str">
        <f>IFERROR(VLOOKUP([2]Pointage!EE30,Feuil1!$A:$B,2,FALSE),"")</f>
        <v/>
      </c>
      <c r="EB36" s="31" t="str">
        <f>IFERROR(VLOOKUP([2]Pointage!EF30,Feuil1!$A:$B,2,FALSE),"")</f>
        <v/>
      </c>
      <c r="EC36" s="31" t="str">
        <f>IFERROR(VLOOKUP([2]Pointage!EG30,Feuil1!$A:$B,2,FALSE),"")</f>
        <v/>
      </c>
      <c r="ED36" s="31" t="str">
        <f>IFERROR(VLOOKUP([2]Pointage!EH30,Feuil1!$A:$B,2,FALSE),"")</f>
        <v/>
      </c>
      <c r="EE36" s="31" t="str">
        <f>IFERROR(VLOOKUP([2]Pointage!EI30,Feuil1!$A:$B,2,FALSE),"")</f>
        <v/>
      </c>
      <c r="EF36" s="31" t="str">
        <f>IFERROR(VLOOKUP([2]Pointage!EJ30,Feuil1!$A:$B,2,FALSE),"")</f>
        <v/>
      </c>
      <c r="EG36" s="31" t="str">
        <f>IFERROR(VLOOKUP([2]Pointage!EK30,Feuil1!$A:$B,2,FALSE),"")</f>
        <v/>
      </c>
      <c r="EH36" s="31" t="str">
        <f>IFERROR(VLOOKUP([2]Pointage!EL30,Feuil1!$A:$B,2,FALSE),"")</f>
        <v/>
      </c>
      <c r="EI36" s="31" t="str">
        <f>IFERROR(VLOOKUP([2]Pointage!EM30,Feuil1!$A:$B,2,FALSE),"")</f>
        <v/>
      </c>
      <c r="EJ36" s="31" t="str">
        <f>IFERROR(VLOOKUP([2]Pointage!EN30,Feuil1!$A:$B,2,FALSE),"")</f>
        <v/>
      </c>
      <c r="EK36" s="31" t="str">
        <f>IFERROR(VLOOKUP([2]Pointage!EO30,Feuil1!$A:$B,2,FALSE),"")</f>
        <v/>
      </c>
      <c r="EL36" s="31" t="str">
        <f>IFERROR(VLOOKUP([2]Pointage!EP30,Feuil1!$A:$B,2,FALSE),"")</f>
        <v/>
      </c>
      <c r="EM36" s="31" t="str">
        <f>IFERROR(VLOOKUP([2]Pointage!EQ30,Feuil1!$A:$B,2,FALSE),"")</f>
        <v/>
      </c>
      <c r="EN36" s="31" t="str">
        <f>IFERROR(VLOOKUP([2]Pointage!ER30,Feuil1!$A:$B,2,FALSE),"")</f>
        <v/>
      </c>
      <c r="EO36" s="31" t="str">
        <f>IFERROR(VLOOKUP([2]Pointage!ES30,Feuil1!$A:$B,2,FALSE),"")</f>
        <v/>
      </c>
      <c r="EP36" s="31" t="str">
        <f>IFERROR(VLOOKUP([2]Pointage!ET30,Feuil1!$A:$B,2,FALSE),"")</f>
        <v>C</v>
      </c>
      <c r="EQ36" s="31" t="str">
        <f>IFERROR(VLOOKUP([2]Pointage!EU30,Feuil1!$A:$B,2,FALSE),"")</f>
        <v>C</v>
      </c>
      <c r="ER36" s="31" t="str">
        <f>IFERROR(VLOOKUP([2]Pointage!EV30,Feuil1!$A:$B,2,FALSE),"")</f>
        <v>C</v>
      </c>
      <c r="ES36" s="31" t="str">
        <f>IFERROR(VLOOKUP([2]Pointage!EW30,Feuil1!$A:$B,2,FALSE),"")</f>
        <v>C</v>
      </c>
      <c r="ET36" s="31" t="str">
        <f>IFERROR(VLOOKUP([2]Pointage!EX30,Feuil1!$A:$B,2,FALSE),"")</f>
        <v>C</v>
      </c>
      <c r="EU36" s="31" t="str">
        <f>IFERROR(VLOOKUP([2]Pointage!EY30,Feuil1!$A:$B,2,FALSE),"")</f>
        <v/>
      </c>
      <c r="EV36" s="31" t="str">
        <f>IFERROR(VLOOKUP([2]Pointage!EZ30,Feuil1!$A:$B,2,FALSE),"")</f>
        <v/>
      </c>
      <c r="EW36" s="31" t="str">
        <f>IFERROR(VLOOKUP([2]Pointage!FA30,Feuil1!$A:$B,2,FALSE),"")</f>
        <v>C</v>
      </c>
      <c r="EX36" s="31" t="str">
        <f>IFERROR(VLOOKUP([2]Pointage!FB30,Feuil1!$A:$B,2,FALSE),"")</f>
        <v>C</v>
      </c>
      <c r="EY36" s="31" t="str">
        <f>IFERROR(VLOOKUP([2]Pointage!FC30,Feuil1!$A:$B,2,FALSE),"")</f>
        <v>C</v>
      </c>
      <c r="EZ36" s="82" t="str">
        <f>IFERROR(VLOOKUP([2]Pointage!FD30,Feuil1!$A:$B,2,FALSE),"")</f>
        <v>RTT</v>
      </c>
      <c r="FA36" s="47" t="str">
        <f>IFERROR(VLOOKUP([2]Pointage!FE30,Feuil1!$A:$B,2,FALSE),"")</f>
        <v>RTT</v>
      </c>
      <c r="FB36" s="31" t="str">
        <f>IFERROR(VLOOKUP([2]Pointage!FF30,Feuil1!$A:$B,2,FALSE),"")</f>
        <v/>
      </c>
      <c r="FC36" s="31" t="str">
        <f>IFERROR(VLOOKUP([2]Pointage!FG30,Feuil1!$A:$B,2,FALSE),"")</f>
        <v/>
      </c>
      <c r="FD36" s="31" t="str">
        <f>IFERROR(VLOOKUP([2]Pointage!FH30,Feuil1!$A:$B,2,FALSE),"")</f>
        <v/>
      </c>
      <c r="FE36" s="31" t="str">
        <f>IFERROR(VLOOKUP([2]Pointage!FI30,Feuil1!$A:$B,2,FALSE),"")</f>
        <v/>
      </c>
      <c r="FF36" s="31" t="str">
        <f>IFERROR(VLOOKUP([2]Pointage!FJ30,Feuil1!$A:$B,2,FALSE),"")</f>
        <v/>
      </c>
      <c r="FG36" s="31" t="str">
        <f>IFERROR(VLOOKUP([2]Pointage!FK30,Feuil1!$A:$B,2,FALSE),"")</f>
        <v/>
      </c>
      <c r="FH36" s="31" t="str">
        <f>IFERROR(VLOOKUP([2]Pointage!FL30,Feuil1!$A:$B,2,FALSE),"")</f>
        <v/>
      </c>
      <c r="FI36" s="31" t="str">
        <f>IFERROR(VLOOKUP([2]Pointage!FM30,Feuil1!$A:$B,2,FALSE),"")</f>
        <v/>
      </c>
      <c r="FJ36" s="31" t="str">
        <f>IFERROR(VLOOKUP([2]Pointage!FN30,Feuil1!$A:$B,2,FALSE),"")</f>
        <v/>
      </c>
      <c r="FK36" s="31" t="str">
        <f>IFERROR(VLOOKUP([2]Pointage!FO30,Feuil1!$A:$B,2,FALSE),"")</f>
        <v/>
      </c>
      <c r="FL36" s="31" t="str">
        <f>IFERROR(VLOOKUP([2]Pointage!FP30,Feuil1!$A:$B,2,FALSE),"")</f>
        <v/>
      </c>
      <c r="FM36" s="31" t="str">
        <f>IFERROR(VLOOKUP([2]Pointage!FQ30,Feuil1!$A:$B,2,FALSE),"")</f>
        <v/>
      </c>
      <c r="FN36" s="31" t="str">
        <f>IFERROR(VLOOKUP([2]Pointage!FR30,Feuil1!$A:$B,2,FALSE),"")</f>
        <v/>
      </c>
      <c r="FO36" s="31" t="str">
        <f>IFERROR(VLOOKUP([2]Pointage!FS30,Feuil1!$A:$B,2,FALSE),"")</f>
        <v/>
      </c>
      <c r="FP36" s="31" t="str">
        <f>IFERROR(VLOOKUP([2]Pointage!FT30,Feuil1!$A:$B,2,FALSE),"")</f>
        <v/>
      </c>
      <c r="FQ36" s="31" t="str">
        <f>IFERROR(VLOOKUP([2]Pointage!FU30,Feuil1!$A:$B,2,FALSE),"")</f>
        <v/>
      </c>
      <c r="FR36" s="31" t="str">
        <f>IFERROR(VLOOKUP([2]Pointage!FV30,Feuil1!$A:$B,2,FALSE),"")</f>
        <v/>
      </c>
      <c r="FS36" s="31" t="str">
        <f>IFERROR(VLOOKUP([2]Pointage!FW30,Feuil1!$A:$B,2,FALSE),"")</f>
        <v/>
      </c>
      <c r="FT36" s="31" t="str">
        <f>IFERROR(VLOOKUP([2]Pointage!FX30,Feuil1!$A:$B,2,FALSE),"")</f>
        <v/>
      </c>
      <c r="FU36" s="31" t="str">
        <f>IFERROR(VLOOKUP([2]Pointage!FY30,Feuil1!$A:$B,2,FALSE),"")</f>
        <v/>
      </c>
      <c r="FV36" s="31" t="str">
        <f>IFERROR(VLOOKUP([2]Pointage!FZ30,Feuil1!$A:$B,2,FALSE),"")</f>
        <v/>
      </c>
      <c r="FW36" s="31" t="str">
        <f>IFERROR(VLOOKUP([2]Pointage!GA30,Feuil1!$A:$B,2,FALSE),"")</f>
        <v/>
      </c>
      <c r="FX36" s="31" t="str">
        <f>IFERROR(VLOOKUP([2]Pointage!GB30,Feuil1!$A:$B,2,FALSE),"")</f>
        <v/>
      </c>
      <c r="FY36" s="31" t="str">
        <f>IFERROR(VLOOKUP([2]Pointage!GC30,Feuil1!$A:$B,2,FALSE),"")</f>
        <v/>
      </c>
      <c r="FZ36" s="31" t="str">
        <f>IFERROR(VLOOKUP([2]Pointage!GD30,Feuil1!$A:$B,2,FALSE),"")</f>
        <v/>
      </c>
      <c r="GA36" s="31" t="str">
        <f>IFERROR(VLOOKUP([2]Pointage!GE30,Feuil1!$A:$B,2,FALSE),"")</f>
        <v/>
      </c>
      <c r="GB36" s="31" t="str">
        <f>IFERROR(VLOOKUP([2]Pointage!GF30,Feuil1!$A:$B,2,FALSE),"")</f>
        <v/>
      </c>
      <c r="GC36" s="31" t="str">
        <f>IFERROR(VLOOKUP([2]Pointage!GG30,Feuil1!$A:$B,2,FALSE),"")</f>
        <v/>
      </c>
      <c r="GD36" s="82" t="str">
        <f>IFERROR(VLOOKUP([2]Pointage!GH30,Feuil1!$A:$B,2,FALSE),"")</f>
        <v/>
      </c>
      <c r="GE36" s="47" t="str">
        <f>IFERROR(VLOOKUP([2]Pointage!GI30,Feuil1!$A:$B,2,FALSE),"")</f>
        <v/>
      </c>
      <c r="GF36" s="31" t="str">
        <f>IFERROR(VLOOKUP([2]Pointage!GJ30,Feuil1!$A:$B,2,FALSE),"")</f>
        <v/>
      </c>
      <c r="GG36" s="31" t="str">
        <f>IFERROR(VLOOKUP([2]Pointage!GK30,Feuil1!$A:$B,2,FALSE),"")</f>
        <v/>
      </c>
      <c r="GH36" s="31" t="str">
        <f>IFERROR(VLOOKUP([2]Pointage!GL30,Feuil1!$A:$B,2,FALSE),"")</f>
        <v/>
      </c>
      <c r="GI36" s="31" t="str">
        <f>IFERROR(VLOOKUP([2]Pointage!GM30,Feuil1!$A:$B,2,FALSE),"")</f>
        <v/>
      </c>
      <c r="GJ36" s="31" t="str">
        <f>IFERROR(VLOOKUP([2]Pointage!GN30,Feuil1!$A:$B,2,FALSE),"")</f>
        <v/>
      </c>
      <c r="GK36" s="31" t="str">
        <f>IFERROR(VLOOKUP([2]Pointage!GO30,Feuil1!$A:$B,2,FALSE),"")</f>
        <v/>
      </c>
      <c r="GL36" s="31" t="str">
        <f>IFERROR(VLOOKUP([2]Pointage!GP30,Feuil1!$A:$B,2,FALSE),"")</f>
        <v/>
      </c>
      <c r="GM36" s="31" t="str">
        <f>IFERROR(VLOOKUP([2]Pointage!GQ30,Feuil1!$A:$B,2,FALSE),"")</f>
        <v/>
      </c>
      <c r="GN36" s="31" t="str">
        <f>IFERROR(VLOOKUP([2]Pointage!GR30,Feuil1!$A:$B,2,FALSE),"")</f>
        <v/>
      </c>
      <c r="GO36" s="31" t="str">
        <f>IFERROR(VLOOKUP([2]Pointage!GS30,Feuil1!$A:$B,2,FALSE),"")</f>
        <v/>
      </c>
      <c r="GP36" s="31" t="str">
        <f>IFERROR(VLOOKUP([2]Pointage!GT30,Feuil1!$A:$B,2,FALSE),"")</f>
        <v/>
      </c>
      <c r="GQ36" s="31" t="str">
        <f>IFERROR(VLOOKUP([2]Pointage!GU30,Feuil1!$A:$B,2,FALSE),"")</f>
        <v/>
      </c>
      <c r="GR36" s="31" t="str">
        <f>IFERROR(VLOOKUP([2]Pointage!GV30,Feuil1!$A:$B,2,FALSE),"")</f>
        <v/>
      </c>
      <c r="GS36" s="31" t="str">
        <f>IFERROR(VLOOKUP([2]Pointage!GW30,Feuil1!$A:$B,2,FALSE),"")</f>
        <v/>
      </c>
      <c r="GT36" s="31" t="str">
        <f>IFERROR(VLOOKUP([2]Pointage!GX30,Feuil1!$A:$B,2,FALSE),"")</f>
        <v>C</v>
      </c>
      <c r="GU36" s="31" t="str">
        <f>IFERROR(VLOOKUP([2]Pointage!GY30,Feuil1!$A:$B,2,FALSE),"")</f>
        <v>C</v>
      </c>
      <c r="GV36" s="31" t="str">
        <f>IFERROR(VLOOKUP([2]Pointage!GZ30,Feuil1!$A:$B,2,FALSE),"")</f>
        <v>C</v>
      </c>
      <c r="GW36" s="31" t="str">
        <f>IFERROR(VLOOKUP([2]Pointage!HA30,Feuil1!$A:$B,2,FALSE),"")</f>
        <v>C</v>
      </c>
      <c r="GX36" s="31" t="str">
        <f>IFERROR(VLOOKUP([2]Pointage!HB30,Feuil1!$A:$B,2,FALSE),"")</f>
        <v>C</v>
      </c>
      <c r="GY36" s="31" t="str">
        <f>IFERROR(VLOOKUP([2]Pointage!HC30,Feuil1!$A:$B,2,FALSE),"")</f>
        <v/>
      </c>
      <c r="GZ36" s="31" t="str">
        <f>IFERROR(VLOOKUP([2]Pointage!HD30,Feuil1!$A:$B,2,FALSE),"")</f>
        <v/>
      </c>
      <c r="HA36" s="31" t="str">
        <f>IFERROR(VLOOKUP([2]Pointage!HE30,Feuil1!$A:$B,2,FALSE),"")</f>
        <v>C</v>
      </c>
      <c r="HB36" s="31" t="str">
        <f>IFERROR(VLOOKUP([2]Pointage!HF30,Feuil1!$A:$B,2,FALSE),"")</f>
        <v>C</v>
      </c>
      <c r="HC36" s="31" t="str">
        <f>IFERROR(VLOOKUP([2]Pointage!HG30,Feuil1!$A:$B,2,FALSE),"")</f>
        <v>C</v>
      </c>
      <c r="HD36" s="31" t="str">
        <f>IFERROR(VLOOKUP([2]Pointage!HH30,Feuil1!$A:$B,2,FALSE),"")</f>
        <v>C</v>
      </c>
      <c r="HE36" s="31" t="str">
        <f>IFERROR(VLOOKUP([2]Pointage!HI30,Feuil1!$A:$B,2,FALSE),"")</f>
        <v>C</v>
      </c>
      <c r="HF36" s="31" t="str">
        <f>IFERROR(VLOOKUP([2]Pointage!HJ30,Feuil1!$A:$B,2,FALSE),"")</f>
        <v/>
      </c>
      <c r="HG36" s="31" t="str">
        <f>IFERROR(VLOOKUP([2]Pointage!HK30,Feuil1!$A:$B,2,FALSE),"")</f>
        <v/>
      </c>
      <c r="HH36" s="31" t="str">
        <f>IFERROR(VLOOKUP([2]Pointage!HL30,Feuil1!$A:$B,2,FALSE),"")</f>
        <v/>
      </c>
      <c r="HI36" s="82" t="str">
        <f>IFERROR(VLOOKUP([2]Pointage!HM30,Feuil1!$A:$B,2,FALSE),"")</f>
        <v/>
      </c>
      <c r="HJ36" s="47" t="str">
        <f>IFERROR(VLOOKUP([2]Pointage!HN30,Feuil1!$A:$B,2,FALSE),"")</f>
        <v/>
      </c>
      <c r="HK36" s="31" t="str">
        <f>IFERROR(VLOOKUP([2]Pointage!HO30,Feuil1!$A:$B,2,FALSE),"")</f>
        <v/>
      </c>
      <c r="HL36" s="31" t="str">
        <f>IFERROR(VLOOKUP([2]Pointage!HP30,Feuil1!$A:$B,2,FALSE),"")</f>
        <v/>
      </c>
      <c r="HM36" s="31" t="str">
        <f>IFERROR(VLOOKUP([2]Pointage!HQ30,Feuil1!$A:$B,2,FALSE),"")</f>
        <v/>
      </c>
      <c r="HN36" s="31" t="str">
        <f>IFERROR(VLOOKUP([2]Pointage!HR30,Feuil1!$A:$B,2,FALSE),"")</f>
        <v/>
      </c>
      <c r="HO36" s="31" t="str">
        <f>IFERROR(VLOOKUP([2]Pointage!HS30,Feuil1!$A:$B,2,FALSE),"")</f>
        <v/>
      </c>
      <c r="HP36" s="31" t="str">
        <f>IFERROR(VLOOKUP([2]Pointage!HT30,Feuil1!$A:$B,2,FALSE),"")</f>
        <v/>
      </c>
      <c r="HQ36" s="31" t="str">
        <f>IFERROR(VLOOKUP([2]Pointage!HU30,Feuil1!$A:$B,2,FALSE),"")</f>
        <v/>
      </c>
      <c r="HR36" s="31" t="str">
        <f>IFERROR(VLOOKUP([2]Pointage!HV30,Feuil1!$A:$B,2,FALSE),"")</f>
        <v/>
      </c>
      <c r="HS36" s="31" t="str">
        <f>IFERROR(VLOOKUP([2]Pointage!HW30,Feuil1!$A:$B,2,FALSE),"")</f>
        <v/>
      </c>
      <c r="HT36" s="31" t="str">
        <f>IFERROR(VLOOKUP([2]Pointage!HX30,Feuil1!$A:$B,2,FALSE),"")</f>
        <v/>
      </c>
      <c r="HU36" s="31" t="str">
        <f>IFERROR(VLOOKUP([2]Pointage!HY30,Feuil1!$A:$B,2,FALSE),"")</f>
        <v/>
      </c>
      <c r="HV36" s="31" t="str">
        <f>IFERROR(VLOOKUP([2]Pointage!HZ30,Feuil1!$A:$B,2,FALSE),"")</f>
        <v/>
      </c>
      <c r="HW36" s="31" t="str">
        <f>IFERROR(VLOOKUP([2]Pointage!IA30,Feuil1!$A:$B,2,FALSE),"")</f>
        <v/>
      </c>
      <c r="HX36" s="31" t="str">
        <f>IFERROR(VLOOKUP([2]Pointage!IB30,Feuil1!$A:$B,2,FALSE),"")</f>
        <v/>
      </c>
      <c r="HY36" s="31" t="str">
        <f>IFERROR(VLOOKUP([2]Pointage!IC30,Feuil1!$A:$B,2,FALSE),"")</f>
        <v/>
      </c>
      <c r="HZ36" s="31" t="str">
        <f>IFERROR(VLOOKUP([2]Pointage!ID30,Feuil1!$A:$B,2,FALSE),"")</f>
        <v/>
      </c>
      <c r="IA36" s="31" t="str">
        <f>IFERROR(VLOOKUP([2]Pointage!IE30,Feuil1!$A:$B,2,FALSE),"")</f>
        <v/>
      </c>
      <c r="IB36" s="31" t="str">
        <f>IFERROR(VLOOKUP([2]Pointage!IF30,Feuil1!$A:$B,2,FALSE),"")</f>
        <v/>
      </c>
      <c r="IC36" s="31" t="str">
        <f>IFERROR(VLOOKUP([2]Pointage!IG30,Feuil1!$A:$B,2,FALSE),"")</f>
        <v/>
      </c>
      <c r="ID36" s="31" t="str">
        <f>IFERROR(VLOOKUP([2]Pointage!IH30,Feuil1!$A:$B,2,FALSE),"")</f>
        <v/>
      </c>
      <c r="IE36" s="31" t="str">
        <f>IFERROR(VLOOKUP([2]Pointage!II30,Feuil1!$A:$B,2,FALSE),"")</f>
        <v/>
      </c>
      <c r="IF36" s="31" t="str">
        <f>IFERROR(VLOOKUP([2]Pointage!IJ30,Feuil1!$A:$B,2,FALSE),"")</f>
        <v/>
      </c>
      <c r="IG36" s="31" t="str">
        <f>IFERROR(VLOOKUP([2]Pointage!IK30,Feuil1!$A:$B,2,FALSE),"")</f>
        <v/>
      </c>
      <c r="IH36" s="31" t="str">
        <f>IFERROR(VLOOKUP([2]Pointage!IL30,Feuil1!$A:$B,2,FALSE),"")</f>
        <v/>
      </c>
      <c r="II36" s="31" t="str">
        <f>IFERROR(VLOOKUP([2]Pointage!IM30,Feuil1!$A:$B,2,FALSE),"")</f>
        <v/>
      </c>
      <c r="IJ36" s="31" t="str">
        <f>IFERROR(VLOOKUP([2]Pointage!IN30,Feuil1!$A:$B,2,FALSE),"")</f>
        <v/>
      </c>
      <c r="IK36" s="31" t="str">
        <f>IFERROR(VLOOKUP([2]Pointage!IO30,Feuil1!$A:$B,2,FALSE),"")</f>
        <v/>
      </c>
      <c r="IL36" s="31" t="str">
        <f>IFERROR(VLOOKUP([2]Pointage!IP30,Feuil1!$A:$B,2,FALSE),"")</f>
        <v/>
      </c>
      <c r="IM36" s="31" t="str">
        <f>IFERROR(VLOOKUP([2]Pointage!IQ30,Feuil1!$A:$B,2,FALSE),"")</f>
        <v/>
      </c>
      <c r="IN36" s="82" t="str">
        <f>IFERROR(VLOOKUP([2]Pointage!IR30,Feuil1!$A:$B,2,FALSE),"")</f>
        <v/>
      </c>
      <c r="IO36" s="47" t="str">
        <f>IFERROR(VLOOKUP([2]Pointage!IS30,Feuil1!$A:$B,2,FALSE),"")</f>
        <v/>
      </c>
      <c r="IP36" s="31" t="str">
        <f>IFERROR(VLOOKUP([2]Pointage!IT30,Feuil1!$A:$B,2,FALSE),"")</f>
        <v/>
      </c>
      <c r="IQ36" s="31" t="str">
        <f>IFERROR(VLOOKUP([2]Pointage!IU30,Feuil1!$A:$B,2,FALSE),"")</f>
        <v/>
      </c>
      <c r="IR36" s="31" t="str">
        <f>IFERROR(VLOOKUP([2]Pointage!IV30,Feuil1!$A:$B,2,FALSE),"")</f>
        <v/>
      </c>
      <c r="IS36" s="31" t="str">
        <f>IFERROR(VLOOKUP([2]Pointage!IW30,Feuil1!$A:$B,2,FALSE),"")</f>
        <v/>
      </c>
      <c r="IT36" s="31" t="str">
        <f>IFERROR(VLOOKUP([2]Pointage!IX30,Feuil1!$A:$B,2,FALSE),"")</f>
        <v/>
      </c>
      <c r="IU36" s="31" t="str">
        <f>IFERROR(VLOOKUP([2]Pointage!IY30,Feuil1!$A:$B,2,FALSE),"")</f>
        <v/>
      </c>
      <c r="IV36" s="31" t="str">
        <f>IFERROR(VLOOKUP([2]Pointage!IZ30,Feuil1!$A:$B,2,FALSE),"")</f>
        <v/>
      </c>
      <c r="IW36" s="31" t="str">
        <f>IFERROR(VLOOKUP([2]Pointage!JA30,Feuil1!$A:$B,2,FALSE),"")</f>
        <v/>
      </c>
      <c r="IX36" s="31" t="str">
        <f>IFERROR(VLOOKUP([2]Pointage!JB30,Feuil1!$A:$B,2,FALSE),"")</f>
        <v/>
      </c>
      <c r="IY36" s="31" t="str">
        <f>IFERROR(VLOOKUP([2]Pointage!JC30,Feuil1!$A:$B,2,FALSE),"")</f>
        <v/>
      </c>
      <c r="IZ36" s="31" t="str">
        <f>IFERROR(VLOOKUP([2]Pointage!JD30,Feuil1!$A:$B,2,FALSE),"")</f>
        <v/>
      </c>
      <c r="JA36" s="31" t="str">
        <f>IFERROR(VLOOKUP([2]Pointage!JE30,Feuil1!$A:$B,2,FALSE),"")</f>
        <v/>
      </c>
      <c r="JB36" s="31" t="str">
        <f>IFERROR(VLOOKUP([2]Pointage!JF30,Feuil1!$A:$B,2,FALSE),"")</f>
        <v/>
      </c>
      <c r="JC36" s="31" t="str">
        <f>IFERROR(VLOOKUP([2]Pointage!JG30,Feuil1!$A:$B,2,FALSE),"")</f>
        <v/>
      </c>
      <c r="JD36" s="31" t="str">
        <f>IFERROR(VLOOKUP([2]Pointage!JH30,Feuil1!$A:$B,2,FALSE),"")</f>
        <v/>
      </c>
      <c r="JE36" s="31" t="str">
        <f>IFERROR(VLOOKUP([2]Pointage!JI30,Feuil1!$A:$B,2,FALSE),"")</f>
        <v/>
      </c>
      <c r="JF36" s="31" t="str">
        <f>IFERROR(VLOOKUP([2]Pointage!JJ30,Feuil1!$A:$B,2,FALSE),"")</f>
        <v/>
      </c>
      <c r="JG36" s="31" t="str">
        <f>IFERROR(VLOOKUP([2]Pointage!JK30,Feuil1!$A:$B,2,FALSE),"")</f>
        <v/>
      </c>
      <c r="JH36" s="31" t="str">
        <f>IFERROR(VLOOKUP([2]Pointage!JL30,Feuil1!$A:$B,2,FALSE),"")</f>
        <v/>
      </c>
      <c r="JI36" s="31" t="str">
        <f>IFERROR(VLOOKUP([2]Pointage!JM30,Feuil1!$A:$B,2,FALSE),"")</f>
        <v/>
      </c>
      <c r="JJ36" s="31" t="str">
        <f>IFERROR(VLOOKUP([2]Pointage!JN30,Feuil1!$A:$B,2,FALSE),"")</f>
        <v/>
      </c>
      <c r="JK36" s="31" t="str">
        <f>IFERROR(VLOOKUP([2]Pointage!JO30,Feuil1!$A:$B,2,FALSE),"")</f>
        <v/>
      </c>
      <c r="JL36" s="31" t="str">
        <f>IFERROR(VLOOKUP([2]Pointage!JP30,Feuil1!$A:$B,2,FALSE),"")</f>
        <v/>
      </c>
      <c r="JM36" s="31" t="str">
        <f>IFERROR(VLOOKUP([2]Pointage!JQ30,Feuil1!$A:$B,2,FALSE),"")</f>
        <v/>
      </c>
      <c r="JN36" s="31" t="str">
        <f>IFERROR(VLOOKUP([2]Pointage!JR30,Feuil1!$A:$B,2,FALSE),"")</f>
        <v/>
      </c>
      <c r="JO36" s="31" t="str">
        <f>IFERROR(VLOOKUP([2]Pointage!JS30,Feuil1!$A:$B,2,FALSE),"")</f>
        <v/>
      </c>
      <c r="JP36" s="31" t="str">
        <f>IFERROR(VLOOKUP([2]Pointage!JT30,Feuil1!$A:$B,2,FALSE),"")</f>
        <v/>
      </c>
      <c r="JQ36" s="31" t="str">
        <f>IFERROR(VLOOKUP([2]Pointage!JU30,Feuil1!$A:$B,2,FALSE),"")</f>
        <v/>
      </c>
      <c r="JR36" s="82" t="str">
        <f>IFERROR(VLOOKUP([2]Pointage!JV30,Feuil1!$A:$B,2,FALSE),"")</f>
        <v/>
      </c>
      <c r="JS36" s="47" t="str">
        <f>IFERROR(VLOOKUP([2]Pointage!JW30,Feuil1!$A:$B,2,FALSE),"")</f>
        <v/>
      </c>
      <c r="JT36" s="31" t="str">
        <f>IFERROR(VLOOKUP([2]Pointage!JX30,Feuil1!$A:$B,2,FALSE),"")</f>
        <v/>
      </c>
      <c r="JU36" s="31" t="str">
        <f>IFERROR(VLOOKUP([2]Pointage!JY30,Feuil1!$A:$B,2,FALSE),"")</f>
        <v/>
      </c>
      <c r="JV36" s="31" t="str">
        <f>IFERROR(VLOOKUP([2]Pointage!JZ30,Feuil1!$A:$B,2,FALSE),"")</f>
        <v/>
      </c>
      <c r="JW36" s="31" t="str">
        <f>IFERROR(VLOOKUP([2]Pointage!KA30,Feuil1!$A:$B,2,FALSE),"")</f>
        <v/>
      </c>
      <c r="JX36" s="31" t="str">
        <f>IFERROR(VLOOKUP([2]Pointage!KB30,Feuil1!$A:$B,2,FALSE),"")</f>
        <v/>
      </c>
      <c r="JY36" s="31" t="str">
        <f>IFERROR(VLOOKUP([2]Pointage!KC30,Feuil1!$A:$B,2,FALSE),"")</f>
        <v/>
      </c>
      <c r="JZ36" s="31" t="str">
        <f>IFERROR(VLOOKUP([2]Pointage!KD30,Feuil1!$A:$B,2,FALSE),"")</f>
        <v/>
      </c>
      <c r="KA36" s="31" t="str">
        <f>IFERROR(VLOOKUP([2]Pointage!KE30,Feuil1!$A:$B,2,FALSE),"")</f>
        <v/>
      </c>
      <c r="KB36" s="31" t="str">
        <f>IFERROR(VLOOKUP([2]Pointage!KF30,Feuil1!$A:$B,2,FALSE),"")</f>
        <v/>
      </c>
      <c r="KC36" s="31" t="str">
        <f>IFERROR(VLOOKUP([2]Pointage!KG30,Feuil1!$A:$B,2,FALSE),"")</f>
        <v/>
      </c>
      <c r="KD36" s="31" t="str">
        <f>IFERROR(VLOOKUP([2]Pointage!KH30,Feuil1!$A:$B,2,FALSE),"")</f>
        <v/>
      </c>
      <c r="KE36" s="31" t="str">
        <f>IFERROR(VLOOKUP([2]Pointage!KI30,Feuil1!$A:$B,2,FALSE),"")</f>
        <v/>
      </c>
      <c r="KF36" s="31" t="str">
        <f>IFERROR(VLOOKUP([2]Pointage!KJ30,Feuil1!$A:$B,2,FALSE),"")</f>
        <v/>
      </c>
      <c r="KG36" s="31" t="str">
        <f>IFERROR(VLOOKUP([2]Pointage!KK30,Feuil1!$A:$B,2,FALSE),"")</f>
        <v/>
      </c>
      <c r="KH36" s="31" t="str">
        <f>IFERROR(VLOOKUP([2]Pointage!KL30,Feuil1!$A:$B,2,FALSE),"")</f>
        <v/>
      </c>
      <c r="KI36" s="31" t="str">
        <f>IFERROR(VLOOKUP([2]Pointage!KM30,Feuil1!$A:$B,2,FALSE),"")</f>
        <v/>
      </c>
      <c r="KJ36" s="31" t="str">
        <f>IFERROR(VLOOKUP([2]Pointage!KN30,Feuil1!$A:$B,2,FALSE),"")</f>
        <v/>
      </c>
      <c r="KK36" s="31" t="str">
        <f>IFERROR(VLOOKUP([2]Pointage!KO30,Feuil1!$A:$B,2,FALSE),"")</f>
        <v/>
      </c>
      <c r="KL36" s="31" t="str">
        <f>IFERROR(VLOOKUP([2]Pointage!KP30,Feuil1!$A:$B,2,FALSE),"")</f>
        <v/>
      </c>
      <c r="KM36" s="31" t="str">
        <f>IFERROR(VLOOKUP([2]Pointage!KQ30,Feuil1!$A:$B,2,FALSE),"")</f>
        <v/>
      </c>
      <c r="KN36" s="31" t="str">
        <f>IFERROR(VLOOKUP([2]Pointage!KR30,Feuil1!$A:$B,2,FALSE),"")</f>
        <v/>
      </c>
      <c r="KO36" s="31" t="str">
        <f>IFERROR(VLOOKUP([2]Pointage!KS30,Feuil1!$A:$B,2,FALSE),"")</f>
        <v/>
      </c>
      <c r="KP36" s="31" t="str">
        <f>IFERROR(VLOOKUP([2]Pointage!KT30,Feuil1!$A:$B,2,FALSE),"")</f>
        <v/>
      </c>
      <c r="KQ36" s="31" t="str">
        <f>IFERROR(VLOOKUP([2]Pointage!KU30,Feuil1!$A:$B,2,FALSE),"")</f>
        <v/>
      </c>
      <c r="KR36" s="31" t="str">
        <f>IFERROR(VLOOKUP([2]Pointage!KV30,Feuil1!$A:$B,2,FALSE),"")</f>
        <v/>
      </c>
      <c r="KS36" s="31" t="str">
        <f>IFERROR(VLOOKUP([2]Pointage!KW30,Feuil1!$A:$B,2,FALSE),"")</f>
        <v/>
      </c>
      <c r="KT36" s="31" t="str">
        <f>IFERROR(VLOOKUP([2]Pointage!KX30,Feuil1!$A:$B,2,FALSE),"")</f>
        <v/>
      </c>
      <c r="KU36" s="31" t="str">
        <f>IFERROR(VLOOKUP([2]Pointage!KY30,Feuil1!$A:$B,2,FALSE),"")</f>
        <v/>
      </c>
      <c r="KV36" s="31" t="str">
        <f>IFERROR(VLOOKUP([2]Pointage!KZ30,Feuil1!$A:$B,2,FALSE),"")</f>
        <v/>
      </c>
      <c r="KW36" s="82" t="str">
        <f>IFERROR(VLOOKUP([2]Pointage!LA30,Feuil1!$A:$B,2,FALSE),"")</f>
        <v/>
      </c>
      <c r="KX36" s="47" t="str">
        <f>IFERROR(VLOOKUP([2]Pointage!LB30,Feuil1!$A:$B,2,FALSE),"")</f>
        <v/>
      </c>
      <c r="KY36" s="31" t="str">
        <f>IFERROR(VLOOKUP([2]Pointage!LC30,Feuil1!$A:$B,2,FALSE),"")</f>
        <v/>
      </c>
      <c r="KZ36" s="31" t="str">
        <f>IFERROR(VLOOKUP([2]Pointage!LD30,Feuil1!$A:$B,2,FALSE),"")</f>
        <v/>
      </c>
      <c r="LA36" s="31" t="str">
        <f>IFERROR(VLOOKUP([2]Pointage!LE30,Feuil1!$A:$B,2,FALSE),"")</f>
        <v/>
      </c>
      <c r="LB36" s="31" t="str">
        <f>IFERROR(VLOOKUP([2]Pointage!LF30,Feuil1!$A:$B,2,FALSE),"")</f>
        <v/>
      </c>
      <c r="LC36" s="31" t="str">
        <f>IFERROR(VLOOKUP([2]Pointage!LG30,Feuil1!$A:$B,2,FALSE),"")</f>
        <v/>
      </c>
      <c r="LD36" s="31" t="str">
        <f>IFERROR(VLOOKUP([2]Pointage!LH30,Feuil1!$A:$B,2,FALSE),"")</f>
        <v/>
      </c>
      <c r="LE36" s="31" t="str">
        <f>IFERROR(VLOOKUP([2]Pointage!LI30,Feuil1!$A:$B,2,FALSE),"")</f>
        <v/>
      </c>
      <c r="LF36" s="31" t="str">
        <f>IFERROR(VLOOKUP([2]Pointage!LJ30,Feuil1!$A:$B,2,FALSE),"")</f>
        <v/>
      </c>
      <c r="LG36" s="31" t="str">
        <f>IFERROR(VLOOKUP([2]Pointage!LK30,Feuil1!$A:$B,2,FALSE),"")</f>
        <v/>
      </c>
      <c r="LH36" s="31" t="str">
        <f>IFERROR(VLOOKUP([2]Pointage!LL30,Feuil1!$A:$B,2,FALSE),"")</f>
        <v/>
      </c>
      <c r="LI36" s="31" t="str">
        <f>IFERROR(VLOOKUP([2]Pointage!LM30,Feuil1!$A:$B,2,FALSE),"")</f>
        <v/>
      </c>
      <c r="LJ36" s="31" t="str">
        <f>IFERROR(VLOOKUP([2]Pointage!LN30,Feuil1!$A:$B,2,FALSE),"")</f>
        <v/>
      </c>
      <c r="LK36" s="31" t="str">
        <f>IFERROR(VLOOKUP([2]Pointage!LO30,Feuil1!$A:$B,2,FALSE),"")</f>
        <v/>
      </c>
      <c r="LL36" s="31" t="str">
        <f>IFERROR(VLOOKUP([2]Pointage!LP30,Feuil1!$A:$B,2,FALSE),"")</f>
        <v/>
      </c>
      <c r="LM36" s="31" t="str">
        <f>IFERROR(VLOOKUP([2]Pointage!LQ30,Feuil1!$A:$B,2,FALSE),"")</f>
        <v/>
      </c>
      <c r="LN36" s="31" t="str">
        <f>IFERROR(VLOOKUP([2]Pointage!LR30,Feuil1!$A:$B,2,FALSE),"")</f>
        <v/>
      </c>
      <c r="LO36" s="31" t="str">
        <f>IFERROR(VLOOKUP([2]Pointage!LS30,Feuil1!$A:$B,2,FALSE),"")</f>
        <v/>
      </c>
      <c r="LP36" s="31" t="str">
        <f>IFERROR(VLOOKUP([2]Pointage!LT30,Feuil1!$A:$B,2,FALSE),"")</f>
        <v/>
      </c>
      <c r="LQ36" s="31" t="str">
        <f>IFERROR(VLOOKUP([2]Pointage!LU30,Feuil1!$A:$B,2,FALSE),"")</f>
        <v/>
      </c>
      <c r="LR36" s="31" t="str">
        <f>IFERROR(VLOOKUP([2]Pointage!LV30,Feuil1!$A:$B,2,FALSE),"")</f>
        <v/>
      </c>
      <c r="LS36" s="31" t="str">
        <f>IFERROR(VLOOKUP([2]Pointage!LW30,Feuil1!$A:$B,2,FALSE),"")</f>
        <v/>
      </c>
      <c r="LT36" s="31" t="str">
        <f>IFERROR(VLOOKUP([2]Pointage!LX30,Feuil1!$A:$B,2,FALSE),"")</f>
        <v/>
      </c>
      <c r="LU36" s="31" t="str">
        <f>IFERROR(VLOOKUP([2]Pointage!LY30,Feuil1!$A:$B,2,FALSE),"")</f>
        <v/>
      </c>
      <c r="LV36" s="31" t="str">
        <f>IFERROR(VLOOKUP([2]Pointage!LZ30,Feuil1!$A:$B,2,FALSE),"")</f>
        <v/>
      </c>
      <c r="LW36" s="31" t="str">
        <f>IFERROR(VLOOKUP([2]Pointage!MA30,Feuil1!$A:$B,2,FALSE),"")</f>
        <v/>
      </c>
      <c r="LX36" s="31" t="str">
        <f>IFERROR(VLOOKUP([2]Pointage!MB30,Feuil1!$A:$B,2,FALSE),"")</f>
        <v/>
      </c>
      <c r="LY36" s="31" t="str">
        <f>IFERROR(VLOOKUP([2]Pointage!MC30,Feuil1!$A:$B,2,FALSE),"")</f>
        <v/>
      </c>
      <c r="LZ36" s="31" t="str">
        <f>IFERROR(VLOOKUP([2]Pointage!MD30,Feuil1!$A:$B,2,FALSE),"")</f>
        <v/>
      </c>
      <c r="MA36" s="82" t="str">
        <f>IFERROR(VLOOKUP([2]Pointage!ME30,Feuil1!$A:$B,2,FALSE),"")</f>
        <v/>
      </c>
      <c r="MB36" s="47" t="str">
        <f>IFERROR(VLOOKUP([2]Pointage!MF30,Feuil1!$A:$B,2,FALSE),"")</f>
        <v/>
      </c>
      <c r="MC36" s="31" t="str">
        <f>IFERROR(VLOOKUP([2]Pointage!MG30,Feuil1!$A:$B,2,FALSE),"")</f>
        <v/>
      </c>
      <c r="MD36" s="31" t="str">
        <f>IFERROR(VLOOKUP([2]Pointage!MH30,Feuil1!$A:$B,2,FALSE),"")</f>
        <v/>
      </c>
      <c r="ME36" s="31" t="str">
        <f>IFERROR(VLOOKUP([2]Pointage!MI30,Feuil1!$A:$B,2,FALSE),"")</f>
        <v/>
      </c>
      <c r="MF36" s="31" t="str">
        <f>IFERROR(VLOOKUP([2]Pointage!MJ30,Feuil1!$A:$B,2,FALSE),"")</f>
        <v/>
      </c>
      <c r="MG36" s="31" t="str">
        <f>IFERROR(VLOOKUP([2]Pointage!MK30,Feuil1!$A:$B,2,FALSE),"")</f>
        <v/>
      </c>
      <c r="MH36" s="31" t="str">
        <f>IFERROR(VLOOKUP([2]Pointage!ML30,Feuil1!$A:$B,2,FALSE),"")</f>
        <v/>
      </c>
      <c r="MI36" s="31" t="str">
        <f>IFERROR(VLOOKUP([2]Pointage!MM30,Feuil1!$A:$B,2,FALSE),"")</f>
        <v/>
      </c>
      <c r="MJ36" s="31" t="str">
        <f>IFERROR(VLOOKUP([2]Pointage!MN30,Feuil1!$A:$B,2,FALSE),"")</f>
        <v/>
      </c>
      <c r="MK36" s="31" t="str">
        <f>IFERROR(VLOOKUP([2]Pointage!MO30,Feuil1!$A:$B,2,FALSE),"")</f>
        <v/>
      </c>
      <c r="ML36" s="31" t="str">
        <f>IFERROR(VLOOKUP([2]Pointage!MP30,Feuil1!$A:$B,2,FALSE),"")</f>
        <v/>
      </c>
      <c r="MM36" s="31" t="str">
        <f>IFERROR(VLOOKUP([2]Pointage!MQ30,Feuil1!$A:$B,2,FALSE),"")</f>
        <v/>
      </c>
      <c r="MN36" s="31" t="str">
        <f>IFERROR(VLOOKUP([2]Pointage!MR30,Feuil1!$A:$B,2,FALSE),"")</f>
        <v/>
      </c>
      <c r="MO36" s="31" t="str">
        <f>IFERROR(VLOOKUP([2]Pointage!MS30,Feuil1!$A:$B,2,FALSE),"")</f>
        <v/>
      </c>
      <c r="MP36" s="31" t="str">
        <f>IFERROR(VLOOKUP([2]Pointage!MT30,Feuil1!$A:$B,2,FALSE),"")</f>
        <v/>
      </c>
      <c r="MQ36" s="31" t="str">
        <f>IFERROR(VLOOKUP([2]Pointage!MU30,Feuil1!$A:$B,2,FALSE),"")</f>
        <v/>
      </c>
      <c r="MR36" s="31" t="str">
        <f>IFERROR(VLOOKUP([2]Pointage!MV30,Feuil1!$A:$B,2,FALSE),"")</f>
        <v/>
      </c>
      <c r="MS36" s="31" t="str">
        <f>IFERROR(VLOOKUP([2]Pointage!MW30,Feuil1!$A:$B,2,FALSE),"")</f>
        <v/>
      </c>
      <c r="MT36" s="31" t="str">
        <f>IFERROR(VLOOKUP([2]Pointage!MX30,Feuil1!$A:$B,2,FALSE),"")</f>
        <v/>
      </c>
      <c r="MU36" s="31" t="str">
        <f>IFERROR(VLOOKUP([2]Pointage!MY30,Feuil1!$A:$B,2,FALSE),"")</f>
        <v/>
      </c>
      <c r="MV36" s="31" t="str">
        <f>IFERROR(VLOOKUP([2]Pointage!MZ30,Feuil1!$A:$B,2,FALSE),"")</f>
        <v/>
      </c>
      <c r="MW36" s="31" t="str">
        <f>IFERROR(VLOOKUP([2]Pointage!NA30,Feuil1!$A:$B,2,FALSE),"")</f>
        <v/>
      </c>
      <c r="MX36" s="31" t="str">
        <f>IFERROR(VLOOKUP([2]Pointage!NB30,Feuil1!$A:$B,2,FALSE),"")</f>
        <v/>
      </c>
      <c r="MY36" s="31" t="str">
        <f>IFERROR(VLOOKUP([2]Pointage!NC30,Feuil1!$A:$B,2,FALSE),"")</f>
        <v/>
      </c>
      <c r="MZ36" s="31" t="str">
        <f>IFERROR(VLOOKUP([2]Pointage!ND30,Feuil1!$A:$B,2,FALSE),"")</f>
        <v/>
      </c>
      <c r="NA36" s="31" t="str">
        <f>IFERROR(VLOOKUP([2]Pointage!NE30,Feuil1!$A:$B,2,FALSE),"")</f>
        <v/>
      </c>
      <c r="NB36" s="31" t="str">
        <f>IFERROR(VLOOKUP([2]Pointage!NF30,Feuil1!$A:$B,2,FALSE),"")</f>
        <v/>
      </c>
      <c r="NC36" s="31" t="str">
        <f>IFERROR(VLOOKUP([2]Pointage!NG30,Feuil1!$A:$B,2,FALSE),"")</f>
        <v/>
      </c>
      <c r="ND36" s="31" t="str">
        <f>IFERROR(VLOOKUP([2]Pointage!NH30,Feuil1!$A:$B,2,FALSE),"")</f>
        <v/>
      </c>
      <c r="NE36" s="31" t="str">
        <f>IFERROR(VLOOKUP([2]Pointage!NI30,Feuil1!$A:$B,2,FALSE),"")</f>
        <v/>
      </c>
      <c r="NF36" s="48" t="str">
        <f>IFERROR(VLOOKUP([2]Pointage!NJ30,Feuil1!$A:$B,2,FALSE),"")</f>
        <v/>
      </c>
      <c r="NG36" s="52">
        <f>COUNTIF(Global!F36:NF36,"RTT")+(COUNTIF(Global!F36:NF36,"dRTT")/2)</f>
        <v>2</v>
      </c>
      <c r="NH36" s="42">
        <f>COUNTIF(Global!F36:NF36,"C")+(COUNTIF(Global!F36:NF36,"DC")/2)</f>
        <v>37</v>
      </c>
      <c r="NI36" s="42">
        <f>COUNTIF(Global!F36:NF36,"M")</f>
        <v>0</v>
      </c>
      <c r="NJ36" s="42">
        <f>COUNTIF(Global!G36:NG36,"AT")</f>
        <v>0</v>
      </c>
      <c r="NK36" s="42">
        <f>COUNTIF(Global!F36:NF36,"RD")</f>
        <v>0</v>
      </c>
      <c r="NL36" s="42">
        <f>COUNTIF(Global!F36:NF36,"RC")+(COUNTIF(Global!F36:NF36,"dRC")/2)</f>
        <v>0</v>
      </c>
      <c r="NM36" s="68">
        <f t="shared" ca="1" si="0"/>
        <v>4.0273972602739727</v>
      </c>
      <c r="NT36" s="33"/>
      <c r="NU36" s="33"/>
      <c r="NV36" s="28"/>
      <c r="NW36" s="28"/>
      <c r="NX36" s="29">
        <f>COUNTIF(F36:NF36,"C")++(COUNTIF(Global!F36:NF36,"DC")/2)</f>
        <v>37</v>
      </c>
      <c r="NY36" s="29"/>
      <c r="NZ36" s="29"/>
      <c r="OA36" s="29"/>
      <c r="OB36" s="29">
        <f>COUNTIF(Global!F36:NF36,"M")</f>
        <v>0</v>
      </c>
      <c r="OC36" s="30">
        <f t="shared" si="1"/>
        <v>-37</v>
      </c>
      <c r="OD36" s="30"/>
    </row>
    <row r="37" spans="1:394" ht="30" customHeight="1" x14ac:dyDescent="0.2">
      <c r="A37" s="13" t="s">
        <v>93</v>
      </c>
      <c r="B37" s="22" t="s">
        <v>213</v>
      </c>
      <c r="C37" s="22" t="s">
        <v>148</v>
      </c>
      <c r="D37" s="22" t="s">
        <v>214</v>
      </c>
      <c r="E37" s="44">
        <v>0</v>
      </c>
      <c r="F37" s="47" t="str">
        <f>IFERROR(VLOOKUP([2]Pointage!J31,Feuil1!$A:$B,2,FALSE),"")</f>
        <v/>
      </c>
      <c r="G37" s="31" t="str">
        <f>IFERROR(VLOOKUP([2]Pointage!K31,Feuil1!$A:$B,2,FALSE),"")</f>
        <v/>
      </c>
      <c r="H37" s="31" t="str">
        <f>IFERROR(VLOOKUP([2]Pointage!L31,Feuil1!$A:$B,2,FALSE),"")</f>
        <v/>
      </c>
      <c r="I37" s="31" t="str">
        <f>IFERROR(VLOOKUP([2]Pointage!M31,Feuil1!$A:$B,2,FALSE),"")</f>
        <v/>
      </c>
      <c r="J37" s="31" t="str">
        <f>IFERROR(VLOOKUP([2]Pointage!N31,Feuil1!$A:$B,2,FALSE),"")</f>
        <v/>
      </c>
      <c r="K37" s="31" t="str">
        <f>IFERROR(VLOOKUP([2]Pointage!O31,Feuil1!$A:$B,2,FALSE),"")</f>
        <v/>
      </c>
      <c r="L37" s="31" t="str">
        <f>IFERROR(VLOOKUP([2]Pointage!P31,Feuil1!$A:$B,2,FALSE),"")</f>
        <v/>
      </c>
      <c r="M37" s="31" t="str">
        <f>IFERROR(VLOOKUP([2]Pointage!Q31,Feuil1!$A:$B,2,FALSE),"")</f>
        <v/>
      </c>
      <c r="N37" s="31" t="str">
        <f>IFERROR(VLOOKUP([2]Pointage!R31,Feuil1!$A:$B,2,FALSE),"")</f>
        <v/>
      </c>
      <c r="O37" s="31" t="str">
        <f>IFERROR(VLOOKUP([2]Pointage!S31,Feuil1!$A:$B,2,FALSE),"")</f>
        <v/>
      </c>
      <c r="P37" s="31" t="str">
        <f>IFERROR(VLOOKUP([2]Pointage!T31,Feuil1!$A:$B,2,FALSE),"")</f>
        <v/>
      </c>
      <c r="Q37" s="31" t="str">
        <f>IFERROR(VLOOKUP([2]Pointage!U31,Feuil1!$A:$B,2,FALSE),"")</f>
        <v/>
      </c>
      <c r="R37" s="31" t="str">
        <f>IFERROR(VLOOKUP([2]Pointage!V31,Feuil1!$A:$B,2,FALSE),"")</f>
        <v/>
      </c>
      <c r="S37" s="31" t="str">
        <f>IFERROR(VLOOKUP([2]Pointage!W31,Feuil1!$A:$B,2,FALSE),"")</f>
        <v/>
      </c>
      <c r="T37" s="31" t="str">
        <f>IFERROR(VLOOKUP([2]Pointage!X31,Feuil1!$A:$B,2,FALSE),"")</f>
        <v/>
      </c>
      <c r="U37" s="31" t="str">
        <f>IFERROR(VLOOKUP([2]Pointage!Y31,Feuil1!$A:$B,2,FALSE),"")</f>
        <v/>
      </c>
      <c r="V37" s="31" t="str">
        <f>IFERROR(VLOOKUP([2]Pointage!Z31,Feuil1!$A:$B,2,FALSE),"")</f>
        <v/>
      </c>
      <c r="W37" s="31" t="str">
        <f>IFERROR(VLOOKUP([2]Pointage!AA31,Feuil1!$A:$B,2,FALSE),"")</f>
        <v/>
      </c>
      <c r="X37" s="31" t="str">
        <f>IFERROR(VLOOKUP([2]Pointage!AB31,Feuil1!$A:$B,2,FALSE),"")</f>
        <v>C</v>
      </c>
      <c r="Y37" s="31" t="str">
        <f>IFERROR(VLOOKUP([2]Pointage!AC31,Feuil1!$A:$B,2,FALSE),"")</f>
        <v/>
      </c>
      <c r="Z37" s="31" t="str">
        <f>IFERROR(VLOOKUP([2]Pointage!AD31,Feuil1!$A:$B,2,FALSE),"")</f>
        <v/>
      </c>
      <c r="AA37" s="31" t="str">
        <f>IFERROR(VLOOKUP([2]Pointage!AE31,Feuil1!$A:$B,2,FALSE),"")</f>
        <v>C</v>
      </c>
      <c r="AB37" s="31" t="str">
        <f>IFERROR(VLOOKUP([2]Pointage!AF31,Feuil1!$A:$B,2,FALSE),"")</f>
        <v>C</v>
      </c>
      <c r="AC37" s="31" t="str">
        <f>IFERROR(VLOOKUP([2]Pointage!AG31,Feuil1!$A:$B,2,FALSE),"")</f>
        <v>C</v>
      </c>
      <c r="AD37" s="31" t="str">
        <f>IFERROR(VLOOKUP([2]Pointage!AH31,Feuil1!$A:$B,2,FALSE),"")</f>
        <v>C</v>
      </c>
      <c r="AE37" s="31" t="str">
        <f>IFERROR(VLOOKUP([2]Pointage!AI31,Feuil1!$A:$B,2,FALSE),"")</f>
        <v>C</v>
      </c>
      <c r="AF37" s="31" t="str">
        <f>IFERROR(VLOOKUP([2]Pointage!AJ31,Feuil1!$A:$B,2,FALSE),"")</f>
        <v/>
      </c>
      <c r="AG37" s="31" t="str">
        <f>IFERROR(VLOOKUP([2]Pointage!AK31,Feuil1!$A:$B,2,FALSE),"")</f>
        <v/>
      </c>
      <c r="AH37" s="31" t="str">
        <f>IFERROR(VLOOKUP([2]Pointage!AL31,Feuil1!$A:$B,2,FALSE),"")</f>
        <v/>
      </c>
      <c r="AI37" s="31" t="str">
        <f>IFERROR(VLOOKUP([2]Pointage!AM31,Feuil1!$A:$B,2,FALSE),"")</f>
        <v/>
      </c>
      <c r="AJ37" s="82" t="str">
        <f>IFERROR(VLOOKUP([2]Pointage!AN31,Feuil1!$A:$B,2,FALSE),"")</f>
        <v/>
      </c>
      <c r="AK37" s="47" t="str">
        <f>IFERROR(VLOOKUP([2]Pointage!AO31,Feuil1!$A:$B,2,FALSE),"")</f>
        <v/>
      </c>
      <c r="AL37" s="31" t="str">
        <f>IFERROR(VLOOKUP([2]Pointage!AP31,Feuil1!$A:$B,2,FALSE),"")</f>
        <v/>
      </c>
      <c r="AM37" s="31" t="str">
        <f>IFERROR(VLOOKUP([2]Pointage!AQ31,Feuil1!$A:$B,2,FALSE),"")</f>
        <v/>
      </c>
      <c r="AN37" s="31" t="str">
        <f>IFERROR(VLOOKUP([2]Pointage!AR31,Feuil1!$A:$B,2,FALSE),"")</f>
        <v/>
      </c>
      <c r="AO37" s="31" t="str">
        <f>IFERROR(VLOOKUP([2]Pointage!AS31,Feuil1!$A:$B,2,FALSE),"")</f>
        <v/>
      </c>
      <c r="AP37" s="31" t="str">
        <f>IFERROR(VLOOKUP([2]Pointage!AT31,Feuil1!$A:$B,2,FALSE),"")</f>
        <v/>
      </c>
      <c r="AQ37" s="31" t="str">
        <f>IFERROR(VLOOKUP([2]Pointage!AU31,Feuil1!$A:$B,2,FALSE),"")</f>
        <v/>
      </c>
      <c r="AR37" s="31" t="str">
        <f>IFERROR(VLOOKUP([2]Pointage!AV31,Feuil1!$A:$B,2,FALSE),"")</f>
        <v/>
      </c>
      <c r="AS37" s="31" t="str">
        <f>IFERROR(VLOOKUP([2]Pointage!AW31,Feuil1!$A:$B,2,FALSE),"")</f>
        <v/>
      </c>
      <c r="AT37" s="31" t="str">
        <f>IFERROR(VLOOKUP([2]Pointage!AX31,Feuil1!$A:$B,2,FALSE),"")</f>
        <v/>
      </c>
      <c r="AU37" s="31" t="str">
        <f>IFERROR(VLOOKUP([2]Pointage!AY31,Feuil1!$A:$B,2,FALSE),"")</f>
        <v/>
      </c>
      <c r="AV37" s="31" t="str">
        <f>IFERROR(VLOOKUP([2]Pointage!AZ31,Feuil1!$A:$B,2,FALSE),"")</f>
        <v/>
      </c>
      <c r="AW37" s="31" t="str">
        <f>IFERROR(VLOOKUP([2]Pointage!BA31,Feuil1!$A:$B,2,FALSE),"")</f>
        <v/>
      </c>
      <c r="AX37" s="31" t="str">
        <f>IFERROR(VLOOKUP([2]Pointage!BB31,Feuil1!$A:$B,2,FALSE),"")</f>
        <v/>
      </c>
      <c r="AY37" s="31" t="str">
        <f>IFERROR(VLOOKUP([2]Pointage!BC31,Feuil1!$A:$B,2,FALSE),"")</f>
        <v/>
      </c>
      <c r="AZ37" s="31" t="str">
        <f>IFERROR(VLOOKUP([2]Pointage!BD31,Feuil1!$A:$B,2,FALSE),"")</f>
        <v/>
      </c>
      <c r="BA37" s="31" t="str">
        <f>IFERROR(VLOOKUP([2]Pointage!BE31,Feuil1!$A:$B,2,FALSE),"")</f>
        <v/>
      </c>
      <c r="BB37" s="31" t="str">
        <f>IFERROR(VLOOKUP([2]Pointage!BF31,Feuil1!$A:$B,2,FALSE),"")</f>
        <v/>
      </c>
      <c r="BC37" s="31" t="str">
        <f>IFERROR(VLOOKUP([2]Pointage!BG31,Feuil1!$A:$B,2,FALSE),"")</f>
        <v/>
      </c>
      <c r="BD37" s="31" t="str">
        <f>IFERROR(VLOOKUP([2]Pointage!BH31,Feuil1!$A:$B,2,FALSE),"")</f>
        <v/>
      </c>
      <c r="BE37" s="31" t="str">
        <f>IFERROR(VLOOKUP([2]Pointage!BI31,Feuil1!$A:$B,2,FALSE),"")</f>
        <v/>
      </c>
      <c r="BF37" s="31" t="str">
        <f>IFERROR(VLOOKUP([2]Pointage!BJ31,Feuil1!$A:$B,2,FALSE),"")</f>
        <v/>
      </c>
      <c r="BG37" s="31" t="str">
        <f>IFERROR(VLOOKUP([2]Pointage!BK31,Feuil1!$A:$B,2,FALSE),"")</f>
        <v/>
      </c>
      <c r="BH37" s="31" t="str">
        <f>IFERROR(VLOOKUP([2]Pointage!BL31,Feuil1!$A:$B,2,FALSE),"")</f>
        <v/>
      </c>
      <c r="BI37" s="31" t="str">
        <f>IFERROR(VLOOKUP([2]Pointage!BM31,Feuil1!$A:$B,2,FALSE),"")</f>
        <v/>
      </c>
      <c r="BJ37" s="31" t="str">
        <f>IFERROR(VLOOKUP([2]Pointage!BN31,Feuil1!$A:$B,2,FALSE),"")</f>
        <v/>
      </c>
      <c r="BK37" s="31" t="str">
        <f>IFERROR(VLOOKUP([2]Pointage!BO31,Feuil1!$A:$B,2,FALSE),"")</f>
        <v/>
      </c>
      <c r="BL37" s="82" t="str">
        <f>IFERROR(VLOOKUP([2]Pointage!BP31,Feuil1!$A:$B,2,FALSE),"")</f>
        <v/>
      </c>
      <c r="BM37" s="47" t="str">
        <f>IFERROR(VLOOKUP([2]Pointage!BQ31,Feuil1!$A:$B,2,FALSE),"")</f>
        <v/>
      </c>
      <c r="BN37" s="31" t="str">
        <f>IFERROR(VLOOKUP([2]Pointage!BR31,Feuil1!$A:$B,2,FALSE),"")</f>
        <v/>
      </c>
      <c r="BO37" s="31" t="str">
        <f>IFERROR(VLOOKUP([2]Pointage!BS31,Feuil1!$A:$B,2,FALSE),"")</f>
        <v/>
      </c>
      <c r="BP37" s="31" t="str">
        <f>IFERROR(VLOOKUP([2]Pointage!BT31,Feuil1!$A:$B,2,FALSE),"")</f>
        <v/>
      </c>
      <c r="BQ37" s="31" t="str">
        <f>IFERROR(VLOOKUP([2]Pointage!BU31,Feuil1!$A:$B,2,FALSE),"")</f>
        <v/>
      </c>
      <c r="BR37" s="31" t="str">
        <f>IFERROR(VLOOKUP([2]Pointage!BV31,Feuil1!$A:$B,2,FALSE),"")</f>
        <v/>
      </c>
      <c r="BS37" s="31" t="str">
        <f>IFERROR(VLOOKUP([2]Pointage!BW31,Feuil1!$A:$B,2,FALSE),"")</f>
        <v/>
      </c>
      <c r="BT37" s="31" t="str">
        <f>IFERROR(VLOOKUP([2]Pointage!BX31,Feuil1!$A:$B,2,FALSE),"")</f>
        <v/>
      </c>
      <c r="BU37" s="31" t="str">
        <f>IFERROR(VLOOKUP([2]Pointage!BY31,Feuil1!$A:$B,2,FALSE),"")</f>
        <v/>
      </c>
      <c r="BV37" s="31" t="str">
        <f>IFERROR(VLOOKUP([2]Pointage!BZ31,Feuil1!$A:$B,2,FALSE),"")</f>
        <v/>
      </c>
      <c r="BW37" s="31" t="str">
        <f>IFERROR(VLOOKUP([2]Pointage!CA31,Feuil1!$A:$B,2,FALSE),"")</f>
        <v/>
      </c>
      <c r="BX37" s="31" t="str">
        <f>IFERROR(VLOOKUP([2]Pointage!CB31,Feuil1!$A:$B,2,FALSE),"")</f>
        <v/>
      </c>
      <c r="BY37" s="31" t="str">
        <f>IFERROR(VLOOKUP([2]Pointage!CC31,Feuil1!$A:$B,2,FALSE),"")</f>
        <v/>
      </c>
      <c r="BZ37" s="31" t="str">
        <f>IFERROR(VLOOKUP([2]Pointage!CD31,Feuil1!$A:$B,2,FALSE),"")</f>
        <v>C</v>
      </c>
      <c r="CA37" s="31" t="str">
        <f>IFERROR(VLOOKUP([2]Pointage!CE31,Feuil1!$A:$B,2,FALSE),"")</f>
        <v/>
      </c>
      <c r="CB37" s="31" t="str">
        <f>IFERROR(VLOOKUP([2]Pointage!CF31,Feuil1!$A:$B,2,FALSE),"")</f>
        <v/>
      </c>
      <c r="CC37" s="31" t="str">
        <f>IFERROR(VLOOKUP([2]Pointage!CG31,Feuil1!$A:$B,2,FALSE),"")</f>
        <v/>
      </c>
      <c r="CD37" s="31" t="str">
        <f>IFERROR(VLOOKUP([2]Pointage!CH31,Feuil1!$A:$B,2,FALSE),"")</f>
        <v/>
      </c>
      <c r="CE37" s="31" t="str">
        <f>IFERROR(VLOOKUP([2]Pointage!CI31,Feuil1!$A:$B,2,FALSE),"")</f>
        <v/>
      </c>
      <c r="CF37" s="31" t="str">
        <f>IFERROR(VLOOKUP([2]Pointage!CJ31,Feuil1!$A:$B,2,FALSE),"")</f>
        <v/>
      </c>
      <c r="CG37" s="31" t="str">
        <f>IFERROR(VLOOKUP([2]Pointage!CK31,Feuil1!$A:$B,2,FALSE),"")</f>
        <v/>
      </c>
      <c r="CH37" s="31" t="str">
        <f>IFERROR(VLOOKUP([2]Pointage!CL31,Feuil1!$A:$B,2,FALSE),"")</f>
        <v/>
      </c>
      <c r="CI37" s="31" t="str">
        <f>IFERROR(VLOOKUP([2]Pointage!CM31,Feuil1!$A:$B,2,FALSE),"")</f>
        <v/>
      </c>
      <c r="CJ37" s="31" t="str">
        <f>IFERROR(VLOOKUP([2]Pointage!CN31,Feuil1!$A:$B,2,FALSE),"")</f>
        <v/>
      </c>
      <c r="CK37" s="31" t="str">
        <f>IFERROR(VLOOKUP([2]Pointage!CO31,Feuil1!$A:$B,2,FALSE),"")</f>
        <v/>
      </c>
      <c r="CL37" s="31" t="str">
        <f>IFERROR(VLOOKUP([2]Pointage!CP31,Feuil1!$A:$B,2,FALSE),"")</f>
        <v/>
      </c>
      <c r="CM37" s="31" t="str">
        <f>IFERROR(VLOOKUP([2]Pointage!CQ31,Feuil1!$A:$B,2,FALSE),"")</f>
        <v/>
      </c>
      <c r="CN37" s="31" t="str">
        <f>IFERROR(VLOOKUP([2]Pointage!CR31,Feuil1!$A:$B,2,FALSE),"")</f>
        <v/>
      </c>
      <c r="CO37" s="31" t="str">
        <f>IFERROR(VLOOKUP([2]Pointage!CS31,Feuil1!$A:$B,2,FALSE),"")</f>
        <v/>
      </c>
      <c r="CP37" s="31" t="str">
        <f>IFERROR(VLOOKUP([2]Pointage!CT31,Feuil1!$A:$B,2,FALSE),"")</f>
        <v/>
      </c>
      <c r="CQ37" s="82" t="str">
        <f>IFERROR(VLOOKUP([2]Pointage!CU31,Feuil1!$A:$B,2,FALSE),"")</f>
        <v/>
      </c>
      <c r="CR37" s="47" t="str">
        <f>IFERROR(VLOOKUP([2]Pointage!CV31,Feuil1!$A:$B,2,FALSE),"")</f>
        <v/>
      </c>
      <c r="CS37" s="31" t="str">
        <f>IFERROR(VLOOKUP([2]Pointage!CW31,Feuil1!$A:$B,2,FALSE),"")</f>
        <v/>
      </c>
      <c r="CT37" s="31" t="str">
        <f>IFERROR(VLOOKUP([2]Pointage!CX31,Feuil1!$A:$B,2,FALSE),"")</f>
        <v/>
      </c>
      <c r="CU37" s="31" t="str">
        <f>IFERROR(VLOOKUP([2]Pointage!CY31,Feuil1!$A:$B,2,FALSE),"")</f>
        <v>C</v>
      </c>
      <c r="CV37" s="31" t="str">
        <f>IFERROR(VLOOKUP([2]Pointage!CZ31,Feuil1!$A:$B,2,FALSE),"")</f>
        <v/>
      </c>
      <c r="CW37" s="31" t="str">
        <f>IFERROR(VLOOKUP([2]Pointage!DA31,Feuil1!$A:$B,2,FALSE),"")</f>
        <v/>
      </c>
      <c r="CX37" s="31" t="str">
        <f>IFERROR(VLOOKUP([2]Pointage!DB31,Feuil1!$A:$B,2,FALSE),"")</f>
        <v/>
      </c>
      <c r="CY37" s="31" t="str">
        <f>IFERROR(VLOOKUP([2]Pointage!DC31,Feuil1!$A:$B,2,FALSE),"")</f>
        <v/>
      </c>
      <c r="CZ37" s="31" t="str">
        <f>IFERROR(VLOOKUP([2]Pointage!DD31,Feuil1!$A:$B,2,FALSE),"")</f>
        <v/>
      </c>
      <c r="DA37" s="31" t="str">
        <f>IFERROR(VLOOKUP([2]Pointage!DE31,Feuil1!$A:$B,2,FALSE),"")</f>
        <v/>
      </c>
      <c r="DB37" s="31" t="str">
        <f>IFERROR(VLOOKUP([2]Pointage!DF31,Feuil1!$A:$B,2,FALSE),"")</f>
        <v/>
      </c>
      <c r="DC37" s="31" t="str">
        <f>IFERROR(VLOOKUP([2]Pointage!DG31,Feuil1!$A:$B,2,FALSE),"")</f>
        <v/>
      </c>
      <c r="DD37" s="31" t="str">
        <f>IFERROR(VLOOKUP([2]Pointage!DH31,Feuil1!$A:$B,2,FALSE),"")</f>
        <v/>
      </c>
      <c r="DE37" s="31" t="str">
        <f>IFERROR(VLOOKUP([2]Pointage!DI31,Feuil1!$A:$B,2,FALSE),"")</f>
        <v/>
      </c>
      <c r="DF37" s="31" t="str">
        <f>IFERROR(VLOOKUP([2]Pointage!DJ31,Feuil1!$A:$B,2,FALSE),"")</f>
        <v/>
      </c>
      <c r="DG37" s="31" t="str">
        <f>IFERROR(VLOOKUP([2]Pointage!DK31,Feuil1!$A:$B,2,FALSE),"")</f>
        <v/>
      </c>
      <c r="DH37" s="31" t="str">
        <f>IFERROR(VLOOKUP([2]Pointage!DL31,Feuil1!$A:$B,2,FALSE),"")</f>
        <v/>
      </c>
      <c r="DI37" s="31" t="str">
        <f>IFERROR(VLOOKUP([2]Pointage!DM31,Feuil1!$A:$B,2,FALSE),"")</f>
        <v/>
      </c>
      <c r="DJ37" s="31" t="str">
        <f>IFERROR(VLOOKUP([2]Pointage!DN31,Feuil1!$A:$B,2,FALSE),"")</f>
        <v/>
      </c>
      <c r="DK37" s="31" t="str">
        <f>IFERROR(VLOOKUP([2]Pointage!DO31,Feuil1!$A:$B,2,FALSE),"")</f>
        <v/>
      </c>
      <c r="DL37" s="31" t="str">
        <f>IFERROR(VLOOKUP([2]Pointage!DP31,Feuil1!$A:$B,2,FALSE),"")</f>
        <v/>
      </c>
      <c r="DM37" s="31" t="str">
        <f>IFERROR(VLOOKUP([2]Pointage!DQ31,Feuil1!$A:$B,2,FALSE),"")</f>
        <v/>
      </c>
      <c r="DN37" s="31" t="str">
        <f>IFERROR(VLOOKUP([2]Pointage!DR31,Feuil1!$A:$B,2,FALSE),"")</f>
        <v/>
      </c>
      <c r="DO37" s="31" t="str">
        <f>IFERROR(VLOOKUP([2]Pointage!DS31,Feuil1!$A:$B,2,FALSE),"")</f>
        <v/>
      </c>
      <c r="DP37" s="31" t="str">
        <f>IFERROR(VLOOKUP([2]Pointage!DT31,Feuil1!$A:$B,2,FALSE),"")</f>
        <v/>
      </c>
      <c r="DQ37" s="31" t="str">
        <f>IFERROR(VLOOKUP([2]Pointage!DU31,Feuil1!$A:$B,2,FALSE),"")</f>
        <v/>
      </c>
      <c r="DR37" s="31" t="str">
        <f>IFERROR(VLOOKUP([2]Pointage!DV31,Feuil1!$A:$B,2,FALSE),"")</f>
        <v/>
      </c>
      <c r="DS37" s="31" t="str">
        <f>IFERROR(VLOOKUP([2]Pointage!DW31,Feuil1!$A:$B,2,FALSE),"")</f>
        <v/>
      </c>
      <c r="DT37" s="31" t="str">
        <f>IFERROR(VLOOKUP([2]Pointage!DX31,Feuil1!$A:$B,2,FALSE),"")</f>
        <v/>
      </c>
      <c r="DU37" s="82" t="str">
        <f>IFERROR(VLOOKUP([2]Pointage!DY31,Feuil1!$A:$B,2,FALSE),"")</f>
        <v/>
      </c>
      <c r="DV37" s="47" t="str">
        <f>IFERROR(VLOOKUP([2]Pointage!DZ31,Feuil1!$A:$B,2,FALSE),"")</f>
        <v/>
      </c>
      <c r="DW37" s="31" t="str">
        <f>IFERROR(VLOOKUP([2]Pointage!EA31,Feuil1!$A:$B,2,FALSE),"")</f>
        <v/>
      </c>
      <c r="DX37" s="31" t="str">
        <f>IFERROR(VLOOKUP([2]Pointage!EB31,Feuil1!$A:$B,2,FALSE),"")</f>
        <v/>
      </c>
      <c r="DY37" s="31" t="str">
        <f>IFERROR(VLOOKUP([2]Pointage!EC31,Feuil1!$A:$B,2,FALSE),"")</f>
        <v/>
      </c>
      <c r="DZ37" s="31" t="str">
        <f>IFERROR(VLOOKUP([2]Pointage!ED31,Feuil1!$A:$B,2,FALSE),"")</f>
        <v/>
      </c>
      <c r="EA37" s="31" t="str">
        <f>IFERROR(VLOOKUP([2]Pointage!EE31,Feuil1!$A:$B,2,FALSE),"")</f>
        <v/>
      </c>
      <c r="EB37" s="31" t="str">
        <f>IFERROR(VLOOKUP([2]Pointage!EF31,Feuil1!$A:$B,2,FALSE),"")</f>
        <v/>
      </c>
      <c r="EC37" s="31" t="str">
        <f>IFERROR(VLOOKUP([2]Pointage!EG31,Feuil1!$A:$B,2,FALSE),"")</f>
        <v/>
      </c>
      <c r="ED37" s="31" t="str">
        <f>IFERROR(VLOOKUP([2]Pointage!EH31,Feuil1!$A:$B,2,FALSE),"")</f>
        <v/>
      </c>
      <c r="EE37" s="31" t="str">
        <f>IFERROR(VLOOKUP([2]Pointage!EI31,Feuil1!$A:$B,2,FALSE),"")</f>
        <v/>
      </c>
      <c r="EF37" s="31" t="str">
        <f>IFERROR(VLOOKUP([2]Pointage!EJ31,Feuil1!$A:$B,2,FALSE),"")</f>
        <v/>
      </c>
      <c r="EG37" s="31" t="str">
        <f>IFERROR(VLOOKUP([2]Pointage!EK31,Feuil1!$A:$B,2,FALSE),"")</f>
        <v/>
      </c>
      <c r="EH37" s="31" t="str">
        <f>IFERROR(VLOOKUP([2]Pointage!EL31,Feuil1!$A:$B,2,FALSE),"")</f>
        <v/>
      </c>
      <c r="EI37" s="31" t="str">
        <f>IFERROR(VLOOKUP([2]Pointage!EM31,Feuil1!$A:$B,2,FALSE),"")</f>
        <v/>
      </c>
      <c r="EJ37" s="31" t="str">
        <f>IFERROR(VLOOKUP([2]Pointage!EN31,Feuil1!$A:$B,2,FALSE),"")</f>
        <v>C</v>
      </c>
      <c r="EK37" s="31" t="str">
        <f>IFERROR(VLOOKUP([2]Pointage!EO31,Feuil1!$A:$B,2,FALSE),"")</f>
        <v/>
      </c>
      <c r="EL37" s="31" t="str">
        <f>IFERROR(VLOOKUP([2]Pointage!EP31,Feuil1!$A:$B,2,FALSE),"")</f>
        <v/>
      </c>
      <c r="EM37" s="31" t="str">
        <f>IFERROR(VLOOKUP([2]Pointage!EQ31,Feuil1!$A:$B,2,FALSE),"")</f>
        <v/>
      </c>
      <c r="EN37" s="31" t="str">
        <f>IFERROR(VLOOKUP([2]Pointage!ER31,Feuil1!$A:$B,2,FALSE),"")</f>
        <v/>
      </c>
      <c r="EO37" s="31" t="str">
        <f>IFERROR(VLOOKUP([2]Pointage!ES31,Feuil1!$A:$B,2,FALSE),"")</f>
        <v/>
      </c>
      <c r="EP37" s="31" t="str">
        <f>IFERROR(VLOOKUP([2]Pointage!ET31,Feuil1!$A:$B,2,FALSE),"")</f>
        <v/>
      </c>
      <c r="EQ37" s="31" t="str">
        <f>IFERROR(VLOOKUP([2]Pointage!EU31,Feuil1!$A:$B,2,FALSE),"")</f>
        <v/>
      </c>
      <c r="ER37" s="31" t="str">
        <f>IFERROR(VLOOKUP([2]Pointage!EV31,Feuil1!$A:$B,2,FALSE),"")</f>
        <v/>
      </c>
      <c r="ES37" s="31" t="str">
        <f>IFERROR(VLOOKUP([2]Pointage!EW31,Feuil1!$A:$B,2,FALSE),"")</f>
        <v/>
      </c>
      <c r="ET37" s="31" t="str">
        <f>IFERROR(VLOOKUP([2]Pointage!EX31,Feuil1!$A:$B,2,FALSE),"")</f>
        <v/>
      </c>
      <c r="EU37" s="31" t="str">
        <f>IFERROR(VLOOKUP([2]Pointage!EY31,Feuil1!$A:$B,2,FALSE),"")</f>
        <v/>
      </c>
      <c r="EV37" s="31" t="str">
        <f>IFERROR(VLOOKUP([2]Pointage!EZ31,Feuil1!$A:$B,2,FALSE),"")</f>
        <v/>
      </c>
      <c r="EW37" s="31" t="str">
        <f>IFERROR(VLOOKUP([2]Pointage!FA31,Feuil1!$A:$B,2,FALSE),"")</f>
        <v/>
      </c>
      <c r="EX37" s="31" t="str">
        <f>IFERROR(VLOOKUP([2]Pointage!FB31,Feuil1!$A:$B,2,FALSE),"")</f>
        <v/>
      </c>
      <c r="EY37" s="31" t="str">
        <f>IFERROR(VLOOKUP([2]Pointage!FC31,Feuil1!$A:$B,2,FALSE),"")</f>
        <v/>
      </c>
      <c r="EZ37" s="82" t="str">
        <f>IFERROR(VLOOKUP([2]Pointage!FD31,Feuil1!$A:$B,2,FALSE),"")</f>
        <v/>
      </c>
      <c r="FA37" s="47" t="str">
        <f>IFERROR(VLOOKUP([2]Pointage!FE31,Feuil1!$A:$B,2,FALSE),"")</f>
        <v/>
      </c>
      <c r="FB37" s="31" t="str">
        <f>IFERROR(VLOOKUP([2]Pointage!FF31,Feuil1!$A:$B,2,FALSE),"")</f>
        <v/>
      </c>
      <c r="FC37" s="31" t="str">
        <f>IFERROR(VLOOKUP([2]Pointage!FG31,Feuil1!$A:$B,2,FALSE),"")</f>
        <v/>
      </c>
      <c r="FD37" s="31" t="str">
        <f>IFERROR(VLOOKUP([2]Pointage!FH31,Feuil1!$A:$B,2,FALSE),"")</f>
        <v/>
      </c>
      <c r="FE37" s="31" t="str">
        <f>IFERROR(VLOOKUP([2]Pointage!FI31,Feuil1!$A:$B,2,FALSE),"")</f>
        <v/>
      </c>
      <c r="FF37" s="31" t="str">
        <f>IFERROR(VLOOKUP([2]Pointage!FJ31,Feuil1!$A:$B,2,FALSE),"")</f>
        <v/>
      </c>
      <c r="FG37" s="31" t="str">
        <f>IFERROR(VLOOKUP([2]Pointage!FK31,Feuil1!$A:$B,2,FALSE),"")</f>
        <v/>
      </c>
      <c r="FH37" s="31" t="str">
        <f>IFERROR(VLOOKUP([2]Pointage!FL31,Feuil1!$A:$B,2,FALSE),"")</f>
        <v/>
      </c>
      <c r="FI37" s="31" t="str">
        <f>IFERROR(VLOOKUP([2]Pointage!FM31,Feuil1!$A:$B,2,FALSE),"")</f>
        <v/>
      </c>
      <c r="FJ37" s="31" t="str">
        <f>IFERROR(VLOOKUP([2]Pointage!FN31,Feuil1!$A:$B,2,FALSE),"")</f>
        <v/>
      </c>
      <c r="FK37" s="31" t="str">
        <f>IFERROR(VLOOKUP([2]Pointage!FO31,Feuil1!$A:$B,2,FALSE),"")</f>
        <v/>
      </c>
      <c r="FL37" s="31" t="str">
        <f>IFERROR(VLOOKUP([2]Pointage!FP31,Feuil1!$A:$B,2,FALSE),"")</f>
        <v/>
      </c>
      <c r="FM37" s="31" t="str">
        <f>IFERROR(VLOOKUP([2]Pointage!FQ31,Feuil1!$A:$B,2,FALSE),"")</f>
        <v/>
      </c>
      <c r="FN37" s="31" t="str">
        <f>IFERROR(VLOOKUP([2]Pointage!FR31,Feuil1!$A:$B,2,FALSE),"")</f>
        <v/>
      </c>
      <c r="FO37" s="31" t="str">
        <f>IFERROR(VLOOKUP([2]Pointage!FS31,Feuil1!$A:$B,2,FALSE),"")</f>
        <v/>
      </c>
      <c r="FP37" s="31" t="str">
        <f>IFERROR(VLOOKUP([2]Pointage!FT31,Feuil1!$A:$B,2,FALSE),"")</f>
        <v/>
      </c>
      <c r="FQ37" s="31" t="str">
        <f>IFERROR(VLOOKUP([2]Pointage!FU31,Feuil1!$A:$B,2,FALSE),"")</f>
        <v/>
      </c>
      <c r="FR37" s="31" t="str">
        <f>IFERROR(VLOOKUP([2]Pointage!FV31,Feuil1!$A:$B,2,FALSE),"")</f>
        <v/>
      </c>
      <c r="FS37" s="31" t="str">
        <f>IFERROR(VLOOKUP([2]Pointage!FW31,Feuil1!$A:$B,2,FALSE),"")</f>
        <v/>
      </c>
      <c r="FT37" s="31" t="str">
        <f>IFERROR(VLOOKUP([2]Pointage!FX31,Feuil1!$A:$B,2,FALSE),"")</f>
        <v/>
      </c>
      <c r="FU37" s="31" t="str">
        <f>IFERROR(VLOOKUP([2]Pointage!FY31,Feuil1!$A:$B,2,FALSE),"")</f>
        <v/>
      </c>
      <c r="FV37" s="31" t="str">
        <f>IFERROR(VLOOKUP([2]Pointage!FZ31,Feuil1!$A:$B,2,FALSE),"")</f>
        <v/>
      </c>
      <c r="FW37" s="31" t="str">
        <f>IFERROR(VLOOKUP([2]Pointage!GA31,Feuil1!$A:$B,2,FALSE),"")</f>
        <v/>
      </c>
      <c r="FX37" s="31" t="str">
        <f>IFERROR(VLOOKUP([2]Pointage!GB31,Feuil1!$A:$B,2,FALSE),"")</f>
        <v/>
      </c>
      <c r="FY37" s="31" t="str">
        <f>IFERROR(VLOOKUP([2]Pointage!GC31,Feuil1!$A:$B,2,FALSE),"")</f>
        <v/>
      </c>
      <c r="FZ37" s="31" t="str">
        <f>IFERROR(VLOOKUP([2]Pointage!GD31,Feuil1!$A:$B,2,FALSE),"")</f>
        <v/>
      </c>
      <c r="GA37" s="31" t="str">
        <f>IFERROR(VLOOKUP([2]Pointage!GE31,Feuil1!$A:$B,2,FALSE),"")</f>
        <v/>
      </c>
      <c r="GB37" s="31" t="str">
        <f>IFERROR(VLOOKUP([2]Pointage!GF31,Feuil1!$A:$B,2,FALSE),"")</f>
        <v/>
      </c>
      <c r="GC37" s="31" t="str">
        <f>IFERROR(VLOOKUP([2]Pointage!GG31,Feuil1!$A:$B,2,FALSE),"")</f>
        <v/>
      </c>
      <c r="GD37" s="82" t="str">
        <f>IFERROR(VLOOKUP([2]Pointage!GH31,Feuil1!$A:$B,2,FALSE),"")</f>
        <v/>
      </c>
      <c r="GE37" s="47" t="str">
        <f>IFERROR(VLOOKUP([2]Pointage!GI31,Feuil1!$A:$B,2,FALSE),"")</f>
        <v/>
      </c>
      <c r="GF37" s="31" t="str">
        <f>IFERROR(VLOOKUP([2]Pointage!GJ31,Feuil1!$A:$B,2,FALSE),"")</f>
        <v/>
      </c>
      <c r="GG37" s="31" t="str">
        <f>IFERROR(VLOOKUP([2]Pointage!GK31,Feuil1!$A:$B,2,FALSE),"")</f>
        <v/>
      </c>
      <c r="GH37" s="31" t="str">
        <f>IFERROR(VLOOKUP([2]Pointage!GL31,Feuil1!$A:$B,2,FALSE),"")</f>
        <v/>
      </c>
      <c r="GI37" s="31" t="str">
        <f>IFERROR(VLOOKUP([2]Pointage!GM31,Feuil1!$A:$B,2,FALSE),"")</f>
        <v/>
      </c>
      <c r="GJ37" s="31" t="str">
        <f>IFERROR(VLOOKUP([2]Pointage!GN31,Feuil1!$A:$B,2,FALSE),"")</f>
        <v/>
      </c>
      <c r="GK37" s="31" t="str">
        <f>IFERROR(VLOOKUP([2]Pointage!GO31,Feuil1!$A:$B,2,FALSE),"")</f>
        <v/>
      </c>
      <c r="GL37" s="31" t="str">
        <f>IFERROR(VLOOKUP([2]Pointage!GP31,Feuil1!$A:$B,2,FALSE),"")</f>
        <v/>
      </c>
      <c r="GM37" s="31" t="str">
        <f>IFERROR(VLOOKUP([2]Pointage!GQ31,Feuil1!$A:$B,2,FALSE),"")</f>
        <v/>
      </c>
      <c r="GN37" s="31" t="str">
        <f>IFERROR(VLOOKUP([2]Pointage!GR31,Feuil1!$A:$B,2,FALSE),"")</f>
        <v/>
      </c>
      <c r="GO37" s="31" t="str">
        <f>IFERROR(VLOOKUP([2]Pointage!GS31,Feuil1!$A:$B,2,FALSE),"")</f>
        <v/>
      </c>
      <c r="GP37" s="31" t="str">
        <f>IFERROR(VLOOKUP([2]Pointage!GT31,Feuil1!$A:$B,2,FALSE),"")</f>
        <v/>
      </c>
      <c r="GQ37" s="31" t="str">
        <f>IFERROR(VLOOKUP([2]Pointage!GU31,Feuil1!$A:$B,2,FALSE),"")</f>
        <v/>
      </c>
      <c r="GR37" s="31" t="str">
        <f>IFERROR(VLOOKUP([2]Pointage!GV31,Feuil1!$A:$B,2,FALSE),"")</f>
        <v/>
      </c>
      <c r="GS37" s="31" t="str">
        <f>IFERROR(VLOOKUP([2]Pointage!GW31,Feuil1!$A:$B,2,FALSE),"")</f>
        <v/>
      </c>
      <c r="GT37" s="31" t="str">
        <f>IFERROR(VLOOKUP([2]Pointage!GX31,Feuil1!$A:$B,2,FALSE),"")</f>
        <v/>
      </c>
      <c r="GU37" s="31" t="str">
        <f>IFERROR(VLOOKUP([2]Pointage!GY31,Feuil1!$A:$B,2,FALSE),"")</f>
        <v/>
      </c>
      <c r="GV37" s="31" t="str">
        <f>IFERROR(VLOOKUP([2]Pointage!GZ31,Feuil1!$A:$B,2,FALSE),"")</f>
        <v/>
      </c>
      <c r="GW37" s="31" t="str">
        <f>IFERROR(VLOOKUP([2]Pointage!HA31,Feuil1!$A:$B,2,FALSE),"")</f>
        <v/>
      </c>
      <c r="GX37" s="31" t="str">
        <f>IFERROR(VLOOKUP([2]Pointage!HB31,Feuil1!$A:$B,2,FALSE),"")</f>
        <v/>
      </c>
      <c r="GY37" s="31" t="str">
        <f>IFERROR(VLOOKUP([2]Pointage!HC31,Feuil1!$A:$B,2,FALSE),"")</f>
        <v/>
      </c>
      <c r="GZ37" s="31" t="str">
        <f>IFERROR(VLOOKUP([2]Pointage!HD31,Feuil1!$A:$B,2,FALSE),"")</f>
        <v/>
      </c>
      <c r="HA37" s="31" t="str">
        <f>IFERROR(VLOOKUP([2]Pointage!HE31,Feuil1!$A:$B,2,FALSE),"")</f>
        <v/>
      </c>
      <c r="HB37" s="31" t="str">
        <f>IFERROR(VLOOKUP([2]Pointage!HF31,Feuil1!$A:$B,2,FALSE),"")</f>
        <v/>
      </c>
      <c r="HC37" s="31" t="str">
        <f>IFERROR(VLOOKUP([2]Pointage!HG31,Feuil1!$A:$B,2,FALSE),"")</f>
        <v/>
      </c>
      <c r="HD37" s="31" t="str">
        <f>IFERROR(VLOOKUP([2]Pointage!HH31,Feuil1!$A:$B,2,FALSE),"")</f>
        <v/>
      </c>
      <c r="HE37" s="31" t="str">
        <f>IFERROR(VLOOKUP([2]Pointage!HI31,Feuil1!$A:$B,2,FALSE),"")</f>
        <v/>
      </c>
      <c r="HF37" s="31" t="str">
        <f>IFERROR(VLOOKUP([2]Pointage!HJ31,Feuil1!$A:$B,2,FALSE),"")</f>
        <v/>
      </c>
      <c r="HG37" s="31" t="str">
        <f>IFERROR(VLOOKUP([2]Pointage!HK31,Feuil1!$A:$B,2,FALSE),"")</f>
        <v/>
      </c>
      <c r="HH37" s="31" t="str">
        <f>IFERROR(VLOOKUP([2]Pointage!HL31,Feuil1!$A:$B,2,FALSE),"")</f>
        <v>C</v>
      </c>
      <c r="HI37" s="82" t="str">
        <f>IFERROR(VLOOKUP([2]Pointage!HM31,Feuil1!$A:$B,2,FALSE),"")</f>
        <v>C</v>
      </c>
      <c r="HJ37" s="47" t="str">
        <f>IFERROR(VLOOKUP([2]Pointage!HN31,Feuil1!$A:$B,2,FALSE),"")</f>
        <v>C</v>
      </c>
      <c r="HK37" s="31" t="str">
        <f>IFERROR(VLOOKUP([2]Pointage!HO31,Feuil1!$A:$B,2,FALSE),"")</f>
        <v>C</v>
      </c>
      <c r="HL37" s="31" t="str">
        <f>IFERROR(VLOOKUP([2]Pointage!HP31,Feuil1!$A:$B,2,FALSE),"")</f>
        <v>C</v>
      </c>
      <c r="HM37" s="31" t="str">
        <f>IFERROR(VLOOKUP([2]Pointage!HQ31,Feuil1!$A:$B,2,FALSE),"")</f>
        <v/>
      </c>
      <c r="HN37" s="31" t="str">
        <f>IFERROR(VLOOKUP([2]Pointage!HR31,Feuil1!$A:$B,2,FALSE),"")</f>
        <v/>
      </c>
      <c r="HO37" s="31" t="str">
        <f>IFERROR(VLOOKUP([2]Pointage!HS31,Feuil1!$A:$B,2,FALSE),"")</f>
        <v>C</v>
      </c>
      <c r="HP37" s="31" t="str">
        <f>IFERROR(VLOOKUP([2]Pointage!HT31,Feuil1!$A:$B,2,FALSE),"")</f>
        <v>C</v>
      </c>
      <c r="HQ37" s="31" t="str">
        <f>IFERROR(VLOOKUP([2]Pointage!HU31,Feuil1!$A:$B,2,FALSE),"")</f>
        <v>C</v>
      </c>
      <c r="HR37" s="31" t="str">
        <f>IFERROR(VLOOKUP([2]Pointage!HV31,Feuil1!$A:$B,2,FALSE),"")</f>
        <v>C</v>
      </c>
      <c r="HS37" s="31" t="str">
        <f>IFERROR(VLOOKUP([2]Pointage!HW31,Feuil1!$A:$B,2,FALSE),"")</f>
        <v>C</v>
      </c>
      <c r="HT37" s="31" t="str">
        <f>IFERROR(VLOOKUP([2]Pointage!HX31,Feuil1!$A:$B,2,FALSE),"")</f>
        <v/>
      </c>
      <c r="HU37" s="31" t="str">
        <f>IFERROR(VLOOKUP([2]Pointage!HY31,Feuil1!$A:$B,2,FALSE),"")</f>
        <v/>
      </c>
      <c r="HV37" s="31" t="str">
        <f>IFERROR(VLOOKUP([2]Pointage!HZ31,Feuil1!$A:$B,2,FALSE),"")</f>
        <v/>
      </c>
      <c r="HW37" s="31" t="str">
        <f>IFERROR(VLOOKUP([2]Pointage!IA31,Feuil1!$A:$B,2,FALSE),"")</f>
        <v/>
      </c>
      <c r="HX37" s="31" t="str">
        <f>IFERROR(VLOOKUP([2]Pointage!IB31,Feuil1!$A:$B,2,FALSE),"")</f>
        <v/>
      </c>
      <c r="HY37" s="31" t="str">
        <f>IFERROR(VLOOKUP([2]Pointage!IC31,Feuil1!$A:$B,2,FALSE),"")</f>
        <v/>
      </c>
      <c r="HZ37" s="31" t="str">
        <f>IFERROR(VLOOKUP([2]Pointage!ID31,Feuil1!$A:$B,2,FALSE),"")</f>
        <v/>
      </c>
      <c r="IA37" s="31" t="str">
        <f>IFERROR(VLOOKUP([2]Pointage!IE31,Feuil1!$A:$B,2,FALSE),"")</f>
        <v/>
      </c>
      <c r="IB37" s="31" t="str">
        <f>IFERROR(VLOOKUP([2]Pointage!IF31,Feuil1!$A:$B,2,FALSE),"")</f>
        <v/>
      </c>
      <c r="IC37" s="31" t="str">
        <f>IFERROR(VLOOKUP([2]Pointage!IG31,Feuil1!$A:$B,2,FALSE),"")</f>
        <v/>
      </c>
      <c r="ID37" s="31" t="str">
        <f>IFERROR(VLOOKUP([2]Pointage!IH31,Feuil1!$A:$B,2,FALSE),"")</f>
        <v/>
      </c>
      <c r="IE37" s="31" t="str">
        <f>IFERROR(VLOOKUP([2]Pointage!II31,Feuil1!$A:$B,2,FALSE),"")</f>
        <v/>
      </c>
      <c r="IF37" s="31" t="str">
        <f>IFERROR(VLOOKUP([2]Pointage!IJ31,Feuil1!$A:$B,2,FALSE),"")</f>
        <v/>
      </c>
      <c r="IG37" s="31" t="str">
        <f>IFERROR(VLOOKUP([2]Pointage!IK31,Feuil1!$A:$B,2,FALSE),"")</f>
        <v/>
      </c>
      <c r="IH37" s="31" t="str">
        <f>IFERROR(VLOOKUP([2]Pointage!IL31,Feuil1!$A:$B,2,FALSE),"")</f>
        <v/>
      </c>
      <c r="II37" s="31" t="str">
        <f>IFERROR(VLOOKUP([2]Pointage!IM31,Feuil1!$A:$B,2,FALSE),"")</f>
        <v/>
      </c>
      <c r="IJ37" s="31" t="str">
        <f>IFERROR(VLOOKUP([2]Pointage!IN31,Feuil1!$A:$B,2,FALSE),"")</f>
        <v/>
      </c>
      <c r="IK37" s="31" t="str">
        <f>IFERROR(VLOOKUP([2]Pointage!IO31,Feuil1!$A:$B,2,FALSE),"")</f>
        <v/>
      </c>
      <c r="IL37" s="31" t="str">
        <f>IFERROR(VLOOKUP([2]Pointage!IP31,Feuil1!$A:$B,2,FALSE),"")</f>
        <v/>
      </c>
      <c r="IM37" s="31" t="str">
        <f>IFERROR(VLOOKUP([2]Pointage!IQ31,Feuil1!$A:$B,2,FALSE),"")</f>
        <v/>
      </c>
      <c r="IN37" s="82" t="str">
        <f>IFERROR(VLOOKUP([2]Pointage!IR31,Feuil1!$A:$B,2,FALSE),"")</f>
        <v/>
      </c>
      <c r="IO37" s="47" t="str">
        <f>IFERROR(VLOOKUP([2]Pointage!IS31,Feuil1!$A:$B,2,FALSE),"")</f>
        <v/>
      </c>
      <c r="IP37" s="31" t="str">
        <f>IFERROR(VLOOKUP([2]Pointage!IT31,Feuil1!$A:$B,2,FALSE),"")</f>
        <v/>
      </c>
      <c r="IQ37" s="31" t="str">
        <f>IFERROR(VLOOKUP([2]Pointage!IU31,Feuil1!$A:$B,2,FALSE),"")</f>
        <v/>
      </c>
      <c r="IR37" s="31" t="str">
        <f>IFERROR(VLOOKUP([2]Pointage!IV31,Feuil1!$A:$B,2,FALSE),"")</f>
        <v/>
      </c>
      <c r="IS37" s="31" t="str">
        <f>IFERROR(VLOOKUP([2]Pointage!IW31,Feuil1!$A:$B,2,FALSE),"")</f>
        <v/>
      </c>
      <c r="IT37" s="31" t="str">
        <f>IFERROR(VLOOKUP([2]Pointage!IX31,Feuil1!$A:$B,2,FALSE),"")</f>
        <v/>
      </c>
      <c r="IU37" s="31" t="str">
        <f>IFERROR(VLOOKUP([2]Pointage!IY31,Feuil1!$A:$B,2,FALSE),"")</f>
        <v/>
      </c>
      <c r="IV37" s="31" t="str">
        <f>IFERROR(VLOOKUP([2]Pointage!IZ31,Feuil1!$A:$B,2,FALSE),"")</f>
        <v/>
      </c>
      <c r="IW37" s="31" t="str">
        <f>IFERROR(VLOOKUP([2]Pointage!JA31,Feuil1!$A:$B,2,FALSE),"")</f>
        <v/>
      </c>
      <c r="IX37" s="31" t="str">
        <f>IFERROR(VLOOKUP([2]Pointage!JB31,Feuil1!$A:$B,2,FALSE),"")</f>
        <v/>
      </c>
      <c r="IY37" s="31" t="str">
        <f>IFERROR(VLOOKUP([2]Pointage!JC31,Feuil1!$A:$B,2,FALSE),"")</f>
        <v/>
      </c>
      <c r="IZ37" s="31" t="str">
        <f>IFERROR(VLOOKUP([2]Pointage!JD31,Feuil1!$A:$B,2,FALSE),"")</f>
        <v/>
      </c>
      <c r="JA37" s="31" t="str">
        <f>IFERROR(VLOOKUP([2]Pointage!JE31,Feuil1!$A:$B,2,FALSE),"")</f>
        <v/>
      </c>
      <c r="JB37" s="31" t="str">
        <f>IFERROR(VLOOKUP([2]Pointage!JF31,Feuil1!$A:$B,2,FALSE),"")</f>
        <v/>
      </c>
      <c r="JC37" s="31" t="str">
        <f>IFERROR(VLOOKUP([2]Pointage!JG31,Feuil1!$A:$B,2,FALSE),"")</f>
        <v/>
      </c>
      <c r="JD37" s="31" t="str">
        <f>IFERROR(VLOOKUP([2]Pointage!JH31,Feuil1!$A:$B,2,FALSE),"")</f>
        <v/>
      </c>
      <c r="JE37" s="31" t="str">
        <f>IFERROR(VLOOKUP([2]Pointage!JI31,Feuil1!$A:$B,2,FALSE),"")</f>
        <v/>
      </c>
      <c r="JF37" s="31" t="str">
        <f>IFERROR(VLOOKUP([2]Pointage!JJ31,Feuil1!$A:$B,2,FALSE),"")</f>
        <v/>
      </c>
      <c r="JG37" s="31" t="str">
        <f>IFERROR(VLOOKUP([2]Pointage!JK31,Feuil1!$A:$B,2,FALSE),"")</f>
        <v/>
      </c>
      <c r="JH37" s="31" t="str">
        <f>IFERROR(VLOOKUP([2]Pointage!JL31,Feuil1!$A:$B,2,FALSE),"")</f>
        <v/>
      </c>
      <c r="JI37" s="31" t="str">
        <f>IFERROR(VLOOKUP([2]Pointage!JM31,Feuil1!$A:$B,2,FALSE),"")</f>
        <v/>
      </c>
      <c r="JJ37" s="31" t="str">
        <f>IFERROR(VLOOKUP([2]Pointage!JN31,Feuil1!$A:$B,2,FALSE),"")</f>
        <v/>
      </c>
      <c r="JK37" s="31" t="str">
        <f>IFERROR(VLOOKUP([2]Pointage!JO31,Feuil1!$A:$B,2,FALSE),"")</f>
        <v/>
      </c>
      <c r="JL37" s="31" t="str">
        <f>IFERROR(VLOOKUP([2]Pointage!JP31,Feuil1!$A:$B,2,FALSE),"")</f>
        <v/>
      </c>
      <c r="JM37" s="31" t="str">
        <f>IFERROR(VLOOKUP([2]Pointage!JQ31,Feuil1!$A:$B,2,FALSE),"")</f>
        <v/>
      </c>
      <c r="JN37" s="31" t="str">
        <f>IFERROR(VLOOKUP([2]Pointage!JR31,Feuil1!$A:$B,2,FALSE),"")</f>
        <v/>
      </c>
      <c r="JO37" s="31" t="str">
        <f>IFERROR(VLOOKUP([2]Pointage!JS31,Feuil1!$A:$B,2,FALSE),"")</f>
        <v/>
      </c>
      <c r="JP37" s="31" t="str">
        <f>IFERROR(VLOOKUP([2]Pointage!JT31,Feuil1!$A:$B,2,FALSE),"")</f>
        <v/>
      </c>
      <c r="JQ37" s="31" t="str">
        <f>IFERROR(VLOOKUP([2]Pointage!JU31,Feuil1!$A:$B,2,FALSE),"")</f>
        <v/>
      </c>
      <c r="JR37" s="82" t="str">
        <f>IFERROR(VLOOKUP([2]Pointage!JV31,Feuil1!$A:$B,2,FALSE),"")</f>
        <v/>
      </c>
      <c r="JS37" s="47" t="str">
        <f>IFERROR(VLOOKUP([2]Pointage!JW31,Feuil1!$A:$B,2,FALSE),"")</f>
        <v/>
      </c>
      <c r="JT37" s="31" t="str">
        <f>IFERROR(VLOOKUP([2]Pointage!JX31,Feuil1!$A:$B,2,FALSE),"")</f>
        <v/>
      </c>
      <c r="JU37" s="31" t="str">
        <f>IFERROR(VLOOKUP([2]Pointage!JY31,Feuil1!$A:$B,2,FALSE),"")</f>
        <v/>
      </c>
      <c r="JV37" s="31" t="str">
        <f>IFERROR(VLOOKUP([2]Pointage!JZ31,Feuil1!$A:$B,2,FALSE),"")</f>
        <v/>
      </c>
      <c r="JW37" s="31" t="str">
        <f>IFERROR(VLOOKUP([2]Pointage!KA31,Feuil1!$A:$B,2,FALSE),"")</f>
        <v/>
      </c>
      <c r="JX37" s="31" t="str">
        <f>IFERROR(VLOOKUP([2]Pointage!KB31,Feuil1!$A:$B,2,FALSE),"")</f>
        <v/>
      </c>
      <c r="JY37" s="31" t="str">
        <f>IFERROR(VLOOKUP([2]Pointage!KC31,Feuil1!$A:$B,2,FALSE),"")</f>
        <v/>
      </c>
      <c r="JZ37" s="31" t="str">
        <f>IFERROR(VLOOKUP([2]Pointage!KD31,Feuil1!$A:$B,2,FALSE),"")</f>
        <v/>
      </c>
      <c r="KA37" s="31" t="str">
        <f>IFERROR(VLOOKUP([2]Pointage!KE31,Feuil1!$A:$B,2,FALSE),"")</f>
        <v/>
      </c>
      <c r="KB37" s="31" t="str">
        <f>IFERROR(VLOOKUP([2]Pointage!KF31,Feuil1!$A:$B,2,FALSE),"")</f>
        <v/>
      </c>
      <c r="KC37" s="31" t="str">
        <f>IFERROR(VLOOKUP([2]Pointage!KG31,Feuil1!$A:$B,2,FALSE),"")</f>
        <v/>
      </c>
      <c r="KD37" s="31" t="str">
        <f>IFERROR(VLOOKUP([2]Pointage!KH31,Feuil1!$A:$B,2,FALSE),"")</f>
        <v/>
      </c>
      <c r="KE37" s="31" t="str">
        <f>IFERROR(VLOOKUP([2]Pointage!KI31,Feuil1!$A:$B,2,FALSE),"")</f>
        <v/>
      </c>
      <c r="KF37" s="31" t="str">
        <f>IFERROR(VLOOKUP([2]Pointage!KJ31,Feuil1!$A:$B,2,FALSE),"")</f>
        <v/>
      </c>
      <c r="KG37" s="31" t="str">
        <f>IFERROR(VLOOKUP([2]Pointage!KK31,Feuil1!$A:$B,2,FALSE),"")</f>
        <v/>
      </c>
      <c r="KH37" s="31" t="str">
        <f>IFERROR(VLOOKUP([2]Pointage!KL31,Feuil1!$A:$B,2,FALSE),"")</f>
        <v/>
      </c>
      <c r="KI37" s="31" t="str">
        <f>IFERROR(VLOOKUP([2]Pointage!KM31,Feuil1!$A:$B,2,FALSE),"")</f>
        <v/>
      </c>
      <c r="KJ37" s="31" t="str">
        <f>IFERROR(VLOOKUP([2]Pointage!KN31,Feuil1!$A:$B,2,FALSE),"")</f>
        <v/>
      </c>
      <c r="KK37" s="31" t="str">
        <f>IFERROR(VLOOKUP([2]Pointage!KO31,Feuil1!$A:$B,2,FALSE),"")</f>
        <v/>
      </c>
      <c r="KL37" s="31" t="str">
        <f>IFERROR(VLOOKUP([2]Pointage!KP31,Feuil1!$A:$B,2,FALSE),"")</f>
        <v/>
      </c>
      <c r="KM37" s="31" t="str">
        <f>IFERROR(VLOOKUP([2]Pointage!KQ31,Feuil1!$A:$B,2,FALSE),"")</f>
        <v/>
      </c>
      <c r="KN37" s="31" t="str">
        <f>IFERROR(VLOOKUP([2]Pointage!KR31,Feuil1!$A:$B,2,FALSE),"")</f>
        <v/>
      </c>
      <c r="KO37" s="31" t="str">
        <f>IFERROR(VLOOKUP([2]Pointage!KS31,Feuil1!$A:$B,2,FALSE),"")</f>
        <v/>
      </c>
      <c r="KP37" s="31" t="str">
        <f>IFERROR(VLOOKUP([2]Pointage!KT31,Feuil1!$A:$B,2,FALSE),"")</f>
        <v/>
      </c>
      <c r="KQ37" s="31" t="str">
        <f>IFERROR(VLOOKUP([2]Pointage!KU31,Feuil1!$A:$B,2,FALSE),"")</f>
        <v/>
      </c>
      <c r="KR37" s="31" t="str">
        <f>IFERROR(VLOOKUP([2]Pointage!KV31,Feuil1!$A:$B,2,FALSE),"")</f>
        <v/>
      </c>
      <c r="KS37" s="31" t="str">
        <f>IFERROR(VLOOKUP([2]Pointage!KW31,Feuil1!$A:$B,2,FALSE),"")</f>
        <v/>
      </c>
      <c r="KT37" s="31" t="str">
        <f>IFERROR(VLOOKUP([2]Pointage!KX31,Feuil1!$A:$B,2,FALSE),"")</f>
        <v/>
      </c>
      <c r="KU37" s="31" t="str">
        <f>IFERROR(VLOOKUP([2]Pointage!KY31,Feuil1!$A:$B,2,FALSE),"")</f>
        <v/>
      </c>
      <c r="KV37" s="31" t="str">
        <f>IFERROR(VLOOKUP([2]Pointage!KZ31,Feuil1!$A:$B,2,FALSE),"")</f>
        <v/>
      </c>
      <c r="KW37" s="82" t="str">
        <f>IFERROR(VLOOKUP([2]Pointage!LA31,Feuil1!$A:$B,2,FALSE),"")</f>
        <v/>
      </c>
      <c r="KX37" s="47" t="str">
        <f>IFERROR(VLOOKUP([2]Pointage!LB31,Feuil1!$A:$B,2,FALSE),"")</f>
        <v/>
      </c>
      <c r="KY37" s="31" t="str">
        <f>IFERROR(VLOOKUP([2]Pointage!LC31,Feuil1!$A:$B,2,FALSE),"")</f>
        <v/>
      </c>
      <c r="KZ37" s="31" t="str">
        <f>IFERROR(VLOOKUP([2]Pointage!LD31,Feuil1!$A:$B,2,FALSE),"")</f>
        <v/>
      </c>
      <c r="LA37" s="31" t="str">
        <f>IFERROR(VLOOKUP([2]Pointage!LE31,Feuil1!$A:$B,2,FALSE),"")</f>
        <v/>
      </c>
      <c r="LB37" s="31" t="str">
        <f>IFERROR(VLOOKUP([2]Pointage!LF31,Feuil1!$A:$B,2,FALSE),"")</f>
        <v/>
      </c>
      <c r="LC37" s="31" t="str">
        <f>IFERROR(VLOOKUP([2]Pointage!LG31,Feuil1!$A:$B,2,FALSE),"")</f>
        <v/>
      </c>
      <c r="LD37" s="31" t="str">
        <f>IFERROR(VLOOKUP([2]Pointage!LH31,Feuil1!$A:$B,2,FALSE),"")</f>
        <v/>
      </c>
      <c r="LE37" s="31" t="str">
        <f>IFERROR(VLOOKUP([2]Pointage!LI31,Feuil1!$A:$B,2,FALSE),"")</f>
        <v/>
      </c>
      <c r="LF37" s="31" t="str">
        <f>IFERROR(VLOOKUP([2]Pointage!LJ31,Feuil1!$A:$B,2,FALSE),"")</f>
        <v/>
      </c>
      <c r="LG37" s="31" t="str">
        <f>IFERROR(VLOOKUP([2]Pointage!LK31,Feuil1!$A:$B,2,FALSE),"")</f>
        <v/>
      </c>
      <c r="LH37" s="31" t="str">
        <f>IFERROR(VLOOKUP([2]Pointage!LL31,Feuil1!$A:$B,2,FALSE),"")</f>
        <v/>
      </c>
      <c r="LI37" s="31" t="str">
        <f>IFERROR(VLOOKUP([2]Pointage!LM31,Feuil1!$A:$B,2,FALSE),"")</f>
        <v/>
      </c>
      <c r="LJ37" s="31" t="str">
        <f>IFERROR(VLOOKUP([2]Pointage!LN31,Feuil1!$A:$B,2,FALSE),"")</f>
        <v/>
      </c>
      <c r="LK37" s="31" t="str">
        <f>IFERROR(VLOOKUP([2]Pointage!LO31,Feuil1!$A:$B,2,FALSE),"")</f>
        <v/>
      </c>
      <c r="LL37" s="31" t="str">
        <f>IFERROR(VLOOKUP([2]Pointage!LP31,Feuil1!$A:$B,2,FALSE),"")</f>
        <v/>
      </c>
      <c r="LM37" s="31" t="str">
        <f>IFERROR(VLOOKUP([2]Pointage!LQ31,Feuil1!$A:$B,2,FALSE),"")</f>
        <v/>
      </c>
      <c r="LN37" s="31" t="str">
        <f>IFERROR(VLOOKUP([2]Pointage!LR31,Feuil1!$A:$B,2,FALSE),"")</f>
        <v/>
      </c>
      <c r="LO37" s="31" t="str">
        <f>IFERROR(VLOOKUP([2]Pointage!LS31,Feuil1!$A:$B,2,FALSE),"")</f>
        <v/>
      </c>
      <c r="LP37" s="31" t="str">
        <f>IFERROR(VLOOKUP([2]Pointage!LT31,Feuil1!$A:$B,2,FALSE),"")</f>
        <v/>
      </c>
      <c r="LQ37" s="31" t="str">
        <f>IFERROR(VLOOKUP([2]Pointage!LU31,Feuil1!$A:$B,2,FALSE),"")</f>
        <v/>
      </c>
      <c r="LR37" s="31" t="str">
        <f>IFERROR(VLOOKUP([2]Pointage!LV31,Feuil1!$A:$B,2,FALSE),"")</f>
        <v/>
      </c>
      <c r="LS37" s="31" t="str">
        <f>IFERROR(VLOOKUP([2]Pointage!LW31,Feuil1!$A:$B,2,FALSE),"")</f>
        <v/>
      </c>
      <c r="LT37" s="31" t="str">
        <f>IFERROR(VLOOKUP([2]Pointage!LX31,Feuil1!$A:$B,2,FALSE),"")</f>
        <v/>
      </c>
      <c r="LU37" s="31" t="str">
        <f>IFERROR(VLOOKUP([2]Pointage!LY31,Feuil1!$A:$B,2,FALSE),"")</f>
        <v/>
      </c>
      <c r="LV37" s="31" t="str">
        <f>IFERROR(VLOOKUP([2]Pointage!LZ31,Feuil1!$A:$B,2,FALSE),"")</f>
        <v/>
      </c>
      <c r="LW37" s="31" t="str">
        <f>IFERROR(VLOOKUP([2]Pointage!MA31,Feuil1!$A:$B,2,FALSE),"")</f>
        <v/>
      </c>
      <c r="LX37" s="31" t="str">
        <f>IFERROR(VLOOKUP([2]Pointage!MB31,Feuil1!$A:$B,2,FALSE),"")</f>
        <v/>
      </c>
      <c r="LY37" s="31" t="str">
        <f>IFERROR(VLOOKUP([2]Pointage!MC31,Feuil1!$A:$B,2,FALSE),"")</f>
        <v/>
      </c>
      <c r="LZ37" s="31" t="str">
        <f>IFERROR(VLOOKUP([2]Pointage!MD31,Feuil1!$A:$B,2,FALSE),"")</f>
        <v/>
      </c>
      <c r="MA37" s="82" t="str">
        <f>IFERROR(VLOOKUP([2]Pointage!ME31,Feuil1!$A:$B,2,FALSE),"")</f>
        <v/>
      </c>
      <c r="MB37" s="47" t="str">
        <f>IFERROR(VLOOKUP([2]Pointage!MF31,Feuil1!$A:$B,2,FALSE),"")</f>
        <v/>
      </c>
      <c r="MC37" s="31" t="str">
        <f>IFERROR(VLOOKUP([2]Pointage!MG31,Feuil1!$A:$B,2,FALSE),"")</f>
        <v/>
      </c>
      <c r="MD37" s="31" t="str">
        <f>IFERROR(VLOOKUP([2]Pointage!MH31,Feuil1!$A:$B,2,FALSE),"")</f>
        <v/>
      </c>
      <c r="ME37" s="31" t="str">
        <f>IFERROR(VLOOKUP([2]Pointage!MI31,Feuil1!$A:$B,2,FALSE),"")</f>
        <v/>
      </c>
      <c r="MF37" s="31" t="str">
        <f>IFERROR(VLOOKUP([2]Pointage!MJ31,Feuil1!$A:$B,2,FALSE),"")</f>
        <v/>
      </c>
      <c r="MG37" s="31" t="str">
        <f>IFERROR(VLOOKUP([2]Pointage!MK31,Feuil1!$A:$B,2,FALSE),"")</f>
        <v/>
      </c>
      <c r="MH37" s="31" t="str">
        <f>IFERROR(VLOOKUP([2]Pointage!ML31,Feuil1!$A:$B,2,FALSE),"")</f>
        <v/>
      </c>
      <c r="MI37" s="31" t="str">
        <f>IFERROR(VLOOKUP([2]Pointage!MM31,Feuil1!$A:$B,2,FALSE),"")</f>
        <v/>
      </c>
      <c r="MJ37" s="31" t="str">
        <f>IFERROR(VLOOKUP([2]Pointage!MN31,Feuil1!$A:$B,2,FALSE),"")</f>
        <v/>
      </c>
      <c r="MK37" s="31" t="str">
        <f>IFERROR(VLOOKUP([2]Pointage!MO31,Feuil1!$A:$B,2,FALSE),"")</f>
        <v/>
      </c>
      <c r="ML37" s="31" t="str">
        <f>IFERROR(VLOOKUP([2]Pointage!MP31,Feuil1!$A:$B,2,FALSE),"")</f>
        <v/>
      </c>
      <c r="MM37" s="31" t="str">
        <f>IFERROR(VLOOKUP([2]Pointage!MQ31,Feuil1!$A:$B,2,FALSE),"")</f>
        <v/>
      </c>
      <c r="MN37" s="31" t="str">
        <f>IFERROR(VLOOKUP([2]Pointage!MR31,Feuil1!$A:$B,2,FALSE),"")</f>
        <v/>
      </c>
      <c r="MO37" s="31" t="str">
        <f>IFERROR(VLOOKUP([2]Pointage!MS31,Feuil1!$A:$B,2,FALSE),"")</f>
        <v/>
      </c>
      <c r="MP37" s="31" t="str">
        <f>IFERROR(VLOOKUP([2]Pointage!MT31,Feuil1!$A:$B,2,FALSE),"")</f>
        <v/>
      </c>
      <c r="MQ37" s="31" t="str">
        <f>IFERROR(VLOOKUP([2]Pointage!MU31,Feuil1!$A:$B,2,FALSE),"")</f>
        <v/>
      </c>
      <c r="MR37" s="31" t="str">
        <f>IFERROR(VLOOKUP([2]Pointage!MV31,Feuil1!$A:$B,2,FALSE),"")</f>
        <v/>
      </c>
      <c r="MS37" s="31" t="str">
        <f>IFERROR(VLOOKUP([2]Pointage!MW31,Feuil1!$A:$B,2,FALSE),"")</f>
        <v/>
      </c>
      <c r="MT37" s="31" t="str">
        <f>IFERROR(VLOOKUP([2]Pointage!MX31,Feuil1!$A:$B,2,FALSE),"")</f>
        <v/>
      </c>
      <c r="MU37" s="31" t="str">
        <f>IFERROR(VLOOKUP([2]Pointage!MY31,Feuil1!$A:$B,2,FALSE),"")</f>
        <v/>
      </c>
      <c r="MV37" s="31" t="str">
        <f>IFERROR(VLOOKUP([2]Pointage!MZ31,Feuil1!$A:$B,2,FALSE),"")</f>
        <v/>
      </c>
      <c r="MW37" s="31" t="str">
        <f>IFERROR(VLOOKUP([2]Pointage!NA31,Feuil1!$A:$B,2,FALSE),"")</f>
        <v/>
      </c>
      <c r="MX37" s="31" t="str">
        <f>IFERROR(VLOOKUP([2]Pointage!NB31,Feuil1!$A:$B,2,FALSE),"")</f>
        <v/>
      </c>
      <c r="MY37" s="31" t="str">
        <f>IFERROR(VLOOKUP([2]Pointage!NC31,Feuil1!$A:$B,2,FALSE),"")</f>
        <v/>
      </c>
      <c r="MZ37" s="31" t="str">
        <f>IFERROR(VLOOKUP([2]Pointage!ND31,Feuil1!$A:$B,2,FALSE),"")</f>
        <v/>
      </c>
      <c r="NA37" s="31" t="str">
        <f>IFERROR(VLOOKUP([2]Pointage!NE31,Feuil1!$A:$B,2,FALSE),"")</f>
        <v/>
      </c>
      <c r="NB37" s="31" t="str">
        <f>IFERROR(VLOOKUP([2]Pointage!NF31,Feuil1!$A:$B,2,FALSE),"")</f>
        <v/>
      </c>
      <c r="NC37" s="31" t="str">
        <f>IFERROR(VLOOKUP([2]Pointage!NG31,Feuil1!$A:$B,2,FALSE),"")</f>
        <v/>
      </c>
      <c r="ND37" s="31" t="str">
        <f>IFERROR(VLOOKUP([2]Pointage!NH31,Feuil1!$A:$B,2,FALSE),"")</f>
        <v/>
      </c>
      <c r="NE37" s="31" t="str">
        <f>IFERROR(VLOOKUP([2]Pointage!NI31,Feuil1!$A:$B,2,FALSE),"")</f>
        <v/>
      </c>
      <c r="NF37" s="48" t="str">
        <f>IFERROR(VLOOKUP([2]Pointage!NJ31,Feuil1!$A:$B,2,FALSE),"")</f>
        <v/>
      </c>
      <c r="NG37" s="52">
        <f>COUNTIF(Global!F37:NF37,"RTT")+(COUNTIF(Global!F37:NF37,"dRTT")/2)</f>
        <v>0</v>
      </c>
      <c r="NH37" s="42">
        <f>COUNTIF(Global!F37:NF37,"C")+(COUNTIF(Global!F37:NF37,"DC")/2)</f>
        <v>19</v>
      </c>
      <c r="NI37" s="42">
        <f>COUNTIF(Global!F37:NF37,"M")</f>
        <v>0</v>
      </c>
      <c r="NJ37" s="42">
        <f>COUNTIF(Global!G37:NG37,"AT")</f>
        <v>0</v>
      </c>
      <c r="NK37" s="42">
        <f>COUNTIF(Global!F37:NF37,"RD")</f>
        <v>0</v>
      </c>
      <c r="NL37" s="42">
        <f>COUNTIF(Global!F37:NF37,"RC")+(COUNTIF(Global!F37:NF37,"dRC")/2)</f>
        <v>0</v>
      </c>
      <c r="NM37" s="68">
        <f t="shared" ca="1" si="0"/>
        <v>4.0273972602739727</v>
      </c>
      <c r="NT37" s="33"/>
      <c r="NU37" s="33"/>
      <c r="NV37" s="28"/>
      <c r="NW37" s="28"/>
      <c r="NX37" s="29">
        <f>COUNTIF(F37:NF37,"C")++(COUNTIF(Global!F37:NF37,"DC")/2)</f>
        <v>19</v>
      </c>
      <c r="NY37" s="29"/>
      <c r="NZ37" s="29"/>
      <c r="OA37" s="29"/>
      <c r="OB37" s="29">
        <f>COUNTIF(Global!F37:NF37,"M")</f>
        <v>0</v>
      </c>
      <c r="OC37" s="30">
        <f t="shared" si="1"/>
        <v>-19</v>
      </c>
      <c r="OD37" s="30"/>
    </row>
    <row r="38" spans="1:394" ht="30" customHeight="1" x14ac:dyDescent="0.2">
      <c r="A38" s="13" t="s">
        <v>94</v>
      </c>
      <c r="B38" s="22" t="s">
        <v>215</v>
      </c>
      <c r="C38" s="22" t="s">
        <v>216</v>
      </c>
      <c r="D38" s="22" t="s">
        <v>217</v>
      </c>
      <c r="E38" s="44">
        <v>0</v>
      </c>
      <c r="F38" s="47" t="str">
        <f>IFERROR(VLOOKUP([2]Pointage!J32,Feuil1!$A:$B,2,FALSE),"")</f>
        <v/>
      </c>
      <c r="G38" s="31" t="str">
        <f>IFERROR(VLOOKUP([2]Pointage!K32,Feuil1!$A:$B,2,FALSE),"")</f>
        <v/>
      </c>
      <c r="H38" s="31" t="str">
        <f>IFERROR(VLOOKUP([2]Pointage!L32,Feuil1!$A:$B,2,FALSE),"")</f>
        <v/>
      </c>
      <c r="I38" s="31" t="str">
        <f>IFERROR(VLOOKUP([2]Pointage!M32,Feuil1!$A:$B,2,FALSE),"")</f>
        <v/>
      </c>
      <c r="J38" s="31" t="str">
        <f>IFERROR(VLOOKUP([2]Pointage!N32,Feuil1!$A:$B,2,FALSE),"")</f>
        <v/>
      </c>
      <c r="K38" s="31" t="str">
        <f>IFERROR(VLOOKUP([2]Pointage!O32,Feuil1!$A:$B,2,FALSE),"")</f>
        <v/>
      </c>
      <c r="L38" s="31" t="str">
        <f>IFERROR(VLOOKUP([2]Pointage!P32,Feuil1!$A:$B,2,FALSE),"")</f>
        <v/>
      </c>
      <c r="M38" s="31" t="str">
        <f>IFERROR(VLOOKUP([2]Pointage!Q32,Feuil1!$A:$B,2,FALSE),"")</f>
        <v/>
      </c>
      <c r="N38" s="31" t="str">
        <f>IFERROR(VLOOKUP([2]Pointage!R32,Feuil1!$A:$B,2,FALSE),"")</f>
        <v/>
      </c>
      <c r="O38" s="31" t="str">
        <f>IFERROR(VLOOKUP([2]Pointage!S32,Feuil1!$A:$B,2,FALSE),"")</f>
        <v/>
      </c>
      <c r="P38" s="31" t="str">
        <f>IFERROR(VLOOKUP([2]Pointage!T32,Feuil1!$A:$B,2,FALSE),"")</f>
        <v/>
      </c>
      <c r="Q38" s="31" t="str">
        <f>IFERROR(VLOOKUP([2]Pointage!U32,Feuil1!$A:$B,2,FALSE),"")</f>
        <v/>
      </c>
      <c r="R38" s="31" t="str">
        <f>IFERROR(VLOOKUP([2]Pointage!V32,Feuil1!$A:$B,2,FALSE),"")</f>
        <v/>
      </c>
      <c r="S38" s="31" t="str">
        <f>IFERROR(VLOOKUP([2]Pointage!W32,Feuil1!$A:$B,2,FALSE),"")</f>
        <v/>
      </c>
      <c r="T38" s="31" t="str">
        <f>IFERROR(VLOOKUP([2]Pointage!X32,Feuil1!$A:$B,2,FALSE),"")</f>
        <v/>
      </c>
      <c r="U38" s="31" t="str">
        <f>IFERROR(VLOOKUP([2]Pointage!Y32,Feuil1!$A:$B,2,FALSE),"")</f>
        <v/>
      </c>
      <c r="V38" s="31" t="str">
        <f>IFERROR(VLOOKUP([2]Pointage!Z32,Feuil1!$A:$B,2,FALSE),"")</f>
        <v/>
      </c>
      <c r="W38" s="31" t="str">
        <f>IFERROR(VLOOKUP([2]Pointage!AA32,Feuil1!$A:$B,2,FALSE),"")</f>
        <v/>
      </c>
      <c r="X38" s="31" t="str">
        <f>IFERROR(VLOOKUP([2]Pointage!AB32,Feuil1!$A:$B,2,FALSE),"")</f>
        <v/>
      </c>
      <c r="Y38" s="31" t="str">
        <f>IFERROR(VLOOKUP([2]Pointage!AC32,Feuil1!$A:$B,2,FALSE),"")</f>
        <v/>
      </c>
      <c r="Z38" s="31" t="str">
        <f>IFERROR(VLOOKUP([2]Pointage!AD32,Feuil1!$A:$B,2,FALSE),"")</f>
        <v/>
      </c>
      <c r="AA38" s="31" t="str">
        <f>IFERROR(VLOOKUP([2]Pointage!AE32,Feuil1!$A:$B,2,FALSE),"")</f>
        <v/>
      </c>
      <c r="AB38" s="31" t="str">
        <f>IFERROR(VLOOKUP([2]Pointage!AF32,Feuil1!$A:$B,2,FALSE),"")</f>
        <v/>
      </c>
      <c r="AC38" s="31" t="str">
        <f>IFERROR(VLOOKUP([2]Pointage!AG32,Feuil1!$A:$B,2,FALSE),"")</f>
        <v/>
      </c>
      <c r="AD38" s="31" t="str">
        <f>IFERROR(VLOOKUP([2]Pointage!AH32,Feuil1!$A:$B,2,FALSE),"")</f>
        <v/>
      </c>
      <c r="AE38" s="31" t="str">
        <f>IFERROR(VLOOKUP([2]Pointage!AI32,Feuil1!$A:$B,2,FALSE),"")</f>
        <v/>
      </c>
      <c r="AF38" s="31" t="str">
        <f>IFERROR(VLOOKUP([2]Pointage!AJ32,Feuil1!$A:$B,2,FALSE),"")</f>
        <v/>
      </c>
      <c r="AG38" s="31" t="str">
        <f>IFERROR(VLOOKUP([2]Pointage!AK32,Feuil1!$A:$B,2,FALSE),"")</f>
        <v/>
      </c>
      <c r="AH38" s="31" t="str">
        <f>IFERROR(VLOOKUP([2]Pointage!AL32,Feuil1!$A:$B,2,FALSE),"")</f>
        <v/>
      </c>
      <c r="AI38" s="31" t="str">
        <f>IFERROR(VLOOKUP([2]Pointage!AM32,Feuil1!$A:$B,2,FALSE),"")</f>
        <v/>
      </c>
      <c r="AJ38" s="82" t="str">
        <f>IFERROR(VLOOKUP([2]Pointage!AN32,Feuil1!$A:$B,2,FALSE),"")</f>
        <v/>
      </c>
      <c r="AK38" s="47" t="str">
        <f>IFERROR(VLOOKUP([2]Pointage!AO32,Feuil1!$A:$B,2,FALSE),"")</f>
        <v/>
      </c>
      <c r="AL38" s="31" t="str">
        <f>IFERROR(VLOOKUP([2]Pointage!AP32,Feuil1!$A:$B,2,FALSE),"")</f>
        <v/>
      </c>
      <c r="AM38" s="31" t="str">
        <f>IFERROR(VLOOKUP([2]Pointage!AQ32,Feuil1!$A:$B,2,FALSE),"")</f>
        <v/>
      </c>
      <c r="AN38" s="31" t="str">
        <f>IFERROR(VLOOKUP([2]Pointage!AR32,Feuil1!$A:$B,2,FALSE),"")</f>
        <v/>
      </c>
      <c r="AO38" s="31" t="str">
        <f>IFERROR(VLOOKUP([2]Pointage!AS32,Feuil1!$A:$B,2,FALSE),"")</f>
        <v/>
      </c>
      <c r="AP38" s="31" t="str">
        <f>IFERROR(VLOOKUP([2]Pointage!AT32,Feuil1!$A:$B,2,FALSE),"")</f>
        <v/>
      </c>
      <c r="AQ38" s="31" t="str">
        <f>IFERROR(VLOOKUP([2]Pointage!AU32,Feuil1!$A:$B,2,FALSE),"")</f>
        <v/>
      </c>
      <c r="AR38" s="31" t="str">
        <f>IFERROR(VLOOKUP([2]Pointage!AV32,Feuil1!$A:$B,2,FALSE),"")</f>
        <v/>
      </c>
      <c r="AS38" s="31" t="str">
        <f>IFERROR(VLOOKUP([2]Pointage!AW32,Feuil1!$A:$B,2,FALSE),"")</f>
        <v/>
      </c>
      <c r="AT38" s="31" t="str">
        <f>IFERROR(VLOOKUP([2]Pointage!AX32,Feuil1!$A:$B,2,FALSE),"")</f>
        <v/>
      </c>
      <c r="AU38" s="31" t="str">
        <f>IFERROR(VLOOKUP([2]Pointage!AY32,Feuil1!$A:$B,2,FALSE),"")</f>
        <v/>
      </c>
      <c r="AV38" s="31" t="str">
        <f>IFERROR(VLOOKUP([2]Pointage!AZ32,Feuil1!$A:$B,2,FALSE),"")</f>
        <v/>
      </c>
      <c r="AW38" s="31" t="str">
        <f>IFERROR(VLOOKUP([2]Pointage!BA32,Feuil1!$A:$B,2,FALSE),"")</f>
        <v/>
      </c>
      <c r="AX38" s="31" t="str">
        <f>IFERROR(VLOOKUP([2]Pointage!BB32,Feuil1!$A:$B,2,FALSE),"")</f>
        <v/>
      </c>
      <c r="AY38" s="31" t="str">
        <f>IFERROR(VLOOKUP([2]Pointage!BC32,Feuil1!$A:$B,2,FALSE),"")</f>
        <v/>
      </c>
      <c r="AZ38" s="31" t="str">
        <f>IFERROR(VLOOKUP([2]Pointage!BD32,Feuil1!$A:$B,2,FALSE),"")</f>
        <v>C</v>
      </c>
      <c r="BA38" s="31" t="str">
        <f>IFERROR(VLOOKUP([2]Pointage!BE32,Feuil1!$A:$B,2,FALSE),"")</f>
        <v/>
      </c>
      <c r="BB38" s="31" t="str">
        <f>IFERROR(VLOOKUP([2]Pointage!BF32,Feuil1!$A:$B,2,FALSE),"")</f>
        <v/>
      </c>
      <c r="BC38" s="31" t="str">
        <f>IFERROR(VLOOKUP([2]Pointage!BG32,Feuil1!$A:$B,2,FALSE),"")</f>
        <v/>
      </c>
      <c r="BD38" s="31" t="str">
        <f>IFERROR(VLOOKUP([2]Pointage!BH32,Feuil1!$A:$B,2,FALSE),"")</f>
        <v/>
      </c>
      <c r="BE38" s="31" t="str">
        <f>IFERROR(VLOOKUP([2]Pointage!BI32,Feuil1!$A:$B,2,FALSE),"")</f>
        <v/>
      </c>
      <c r="BF38" s="31" t="str">
        <f>IFERROR(VLOOKUP([2]Pointage!BJ32,Feuil1!$A:$B,2,FALSE),"")</f>
        <v/>
      </c>
      <c r="BG38" s="31" t="str">
        <f>IFERROR(VLOOKUP([2]Pointage!BK32,Feuil1!$A:$B,2,FALSE),"")</f>
        <v/>
      </c>
      <c r="BH38" s="31" t="str">
        <f>IFERROR(VLOOKUP([2]Pointage!BL32,Feuil1!$A:$B,2,FALSE),"")</f>
        <v/>
      </c>
      <c r="BI38" s="31" t="str">
        <f>IFERROR(VLOOKUP([2]Pointage!BM32,Feuil1!$A:$B,2,FALSE),"")</f>
        <v/>
      </c>
      <c r="BJ38" s="31" t="str">
        <f>IFERROR(VLOOKUP([2]Pointage!BN32,Feuil1!$A:$B,2,FALSE),"")</f>
        <v/>
      </c>
      <c r="BK38" s="31" t="str">
        <f>IFERROR(VLOOKUP([2]Pointage!BO32,Feuil1!$A:$B,2,FALSE),"")</f>
        <v/>
      </c>
      <c r="BL38" s="82" t="str">
        <f>IFERROR(VLOOKUP([2]Pointage!BP32,Feuil1!$A:$B,2,FALSE),"")</f>
        <v/>
      </c>
      <c r="BM38" s="47" t="str">
        <f>IFERROR(VLOOKUP([2]Pointage!BQ32,Feuil1!$A:$B,2,FALSE),"")</f>
        <v/>
      </c>
      <c r="BN38" s="31" t="str">
        <f>IFERROR(VLOOKUP([2]Pointage!BR32,Feuil1!$A:$B,2,FALSE),"")</f>
        <v/>
      </c>
      <c r="BO38" s="31" t="str">
        <f>IFERROR(VLOOKUP([2]Pointage!BS32,Feuil1!$A:$B,2,FALSE),"")</f>
        <v/>
      </c>
      <c r="BP38" s="31" t="str">
        <f>IFERROR(VLOOKUP([2]Pointage!BT32,Feuil1!$A:$B,2,FALSE),"")</f>
        <v/>
      </c>
      <c r="BQ38" s="31" t="str">
        <f>IFERROR(VLOOKUP([2]Pointage!BU32,Feuil1!$A:$B,2,FALSE),"")</f>
        <v/>
      </c>
      <c r="BR38" s="31" t="str">
        <f>IFERROR(VLOOKUP([2]Pointage!BV32,Feuil1!$A:$B,2,FALSE),"")</f>
        <v/>
      </c>
      <c r="BS38" s="31" t="str">
        <f>IFERROR(VLOOKUP([2]Pointage!BW32,Feuil1!$A:$B,2,FALSE),"")</f>
        <v/>
      </c>
      <c r="BT38" s="31" t="str">
        <f>IFERROR(VLOOKUP([2]Pointage!BX32,Feuil1!$A:$B,2,FALSE),"")</f>
        <v/>
      </c>
      <c r="BU38" s="31" t="str">
        <f>IFERROR(VLOOKUP([2]Pointage!BY32,Feuil1!$A:$B,2,FALSE),"")</f>
        <v/>
      </c>
      <c r="BV38" s="31" t="str">
        <f>IFERROR(VLOOKUP([2]Pointage!BZ32,Feuil1!$A:$B,2,FALSE),"")</f>
        <v/>
      </c>
      <c r="BW38" s="31" t="str">
        <f>IFERROR(VLOOKUP([2]Pointage!CA32,Feuil1!$A:$B,2,FALSE),"")</f>
        <v/>
      </c>
      <c r="BX38" s="31" t="str">
        <f>IFERROR(VLOOKUP([2]Pointage!CB32,Feuil1!$A:$B,2,FALSE),"")</f>
        <v/>
      </c>
      <c r="BY38" s="31" t="str">
        <f>IFERROR(VLOOKUP([2]Pointage!CC32,Feuil1!$A:$B,2,FALSE),"")</f>
        <v/>
      </c>
      <c r="BZ38" s="31" t="str">
        <f>IFERROR(VLOOKUP([2]Pointage!CD32,Feuil1!$A:$B,2,FALSE),"")</f>
        <v/>
      </c>
      <c r="CA38" s="31" t="str">
        <f>IFERROR(VLOOKUP([2]Pointage!CE32,Feuil1!$A:$B,2,FALSE),"")</f>
        <v/>
      </c>
      <c r="CB38" s="31" t="str">
        <f>IFERROR(VLOOKUP([2]Pointage!CF32,Feuil1!$A:$B,2,FALSE),"")</f>
        <v/>
      </c>
      <c r="CC38" s="31" t="str">
        <f>IFERROR(VLOOKUP([2]Pointage!CG32,Feuil1!$A:$B,2,FALSE),"")</f>
        <v/>
      </c>
      <c r="CD38" s="31" t="str">
        <f>IFERROR(VLOOKUP([2]Pointage!CH32,Feuil1!$A:$B,2,FALSE),"")</f>
        <v/>
      </c>
      <c r="CE38" s="31" t="str">
        <f>IFERROR(VLOOKUP([2]Pointage!CI32,Feuil1!$A:$B,2,FALSE),"")</f>
        <v/>
      </c>
      <c r="CF38" s="31" t="str">
        <f>IFERROR(VLOOKUP([2]Pointage!CJ32,Feuil1!$A:$B,2,FALSE),"")</f>
        <v/>
      </c>
      <c r="CG38" s="31" t="str">
        <f>IFERROR(VLOOKUP([2]Pointage!CK32,Feuil1!$A:$B,2,FALSE),"")</f>
        <v/>
      </c>
      <c r="CH38" s="31" t="str">
        <f>IFERROR(VLOOKUP([2]Pointage!CL32,Feuil1!$A:$B,2,FALSE),"")</f>
        <v/>
      </c>
      <c r="CI38" s="31" t="str">
        <f>IFERROR(VLOOKUP([2]Pointage!CM32,Feuil1!$A:$B,2,FALSE),"")</f>
        <v/>
      </c>
      <c r="CJ38" s="31" t="str">
        <f>IFERROR(VLOOKUP([2]Pointage!CN32,Feuil1!$A:$B,2,FALSE),"")</f>
        <v/>
      </c>
      <c r="CK38" s="31" t="str">
        <f>IFERROR(VLOOKUP([2]Pointage!CO32,Feuil1!$A:$B,2,FALSE),"")</f>
        <v/>
      </c>
      <c r="CL38" s="31" t="str">
        <f>IFERROR(VLOOKUP([2]Pointage!CP32,Feuil1!$A:$B,2,FALSE),"")</f>
        <v/>
      </c>
      <c r="CM38" s="31" t="str">
        <f>IFERROR(VLOOKUP([2]Pointage!CQ32,Feuil1!$A:$B,2,FALSE),"")</f>
        <v/>
      </c>
      <c r="CN38" s="31" t="str">
        <f>IFERROR(VLOOKUP([2]Pointage!CR32,Feuil1!$A:$B,2,FALSE),"")</f>
        <v/>
      </c>
      <c r="CO38" s="31" t="str">
        <f>IFERROR(VLOOKUP([2]Pointage!CS32,Feuil1!$A:$B,2,FALSE),"")</f>
        <v/>
      </c>
      <c r="CP38" s="31" t="str">
        <f>IFERROR(VLOOKUP([2]Pointage!CT32,Feuil1!$A:$B,2,FALSE),"")</f>
        <v/>
      </c>
      <c r="CQ38" s="82" t="str">
        <f>IFERROR(VLOOKUP([2]Pointage!CU32,Feuil1!$A:$B,2,FALSE),"")</f>
        <v/>
      </c>
      <c r="CR38" s="47" t="str">
        <f>IFERROR(VLOOKUP([2]Pointage!CV32,Feuil1!$A:$B,2,FALSE),"")</f>
        <v/>
      </c>
      <c r="CS38" s="31" t="str">
        <f>IFERROR(VLOOKUP([2]Pointage!CW32,Feuil1!$A:$B,2,FALSE),"")</f>
        <v/>
      </c>
      <c r="CT38" s="31" t="str">
        <f>IFERROR(VLOOKUP([2]Pointage!CX32,Feuil1!$A:$B,2,FALSE),"")</f>
        <v>C</v>
      </c>
      <c r="CU38" s="31" t="str">
        <f>IFERROR(VLOOKUP([2]Pointage!CY32,Feuil1!$A:$B,2,FALSE),"")</f>
        <v>C</v>
      </c>
      <c r="CV38" s="31" t="str">
        <f>IFERROR(VLOOKUP([2]Pointage!CZ32,Feuil1!$A:$B,2,FALSE),"")</f>
        <v>C</v>
      </c>
      <c r="CW38" s="31" t="str">
        <f>IFERROR(VLOOKUP([2]Pointage!DA32,Feuil1!$A:$B,2,FALSE),"")</f>
        <v>C</v>
      </c>
      <c r="CX38" s="31" t="str">
        <f>IFERROR(VLOOKUP([2]Pointage!DB32,Feuil1!$A:$B,2,FALSE),"")</f>
        <v/>
      </c>
      <c r="CY38" s="31" t="str">
        <f>IFERROR(VLOOKUP([2]Pointage!DC32,Feuil1!$A:$B,2,FALSE),"")</f>
        <v/>
      </c>
      <c r="CZ38" s="31" t="str">
        <f>IFERROR(VLOOKUP([2]Pointage!DD32,Feuil1!$A:$B,2,FALSE),"")</f>
        <v/>
      </c>
      <c r="DA38" s="31" t="str">
        <f>IFERROR(VLOOKUP([2]Pointage!DE32,Feuil1!$A:$B,2,FALSE),"")</f>
        <v/>
      </c>
      <c r="DB38" s="31" t="str">
        <f>IFERROR(VLOOKUP([2]Pointage!DF32,Feuil1!$A:$B,2,FALSE),"")</f>
        <v/>
      </c>
      <c r="DC38" s="31" t="str">
        <f>IFERROR(VLOOKUP([2]Pointage!DG32,Feuil1!$A:$B,2,FALSE),"")</f>
        <v/>
      </c>
      <c r="DD38" s="31" t="str">
        <f>IFERROR(VLOOKUP([2]Pointage!DH32,Feuil1!$A:$B,2,FALSE),"")</f>
        <v/>
      </c>
      <c r="DE38" s="31" t="str">
        <f>IFERROR(VLOOKUP([2]Pointage!DI32,Feuil1!$A:$B,2,FALSE),"")</f>
        <v/>
      </c>
      <c r="DF38" s="31" t="str">
        <f>IFERROR(VLOOKUP([2]Pointage!DJ32,Feuil1!$A:$B,2,FALSE),"")</f>
        <v/>
      </c>
      <c r="DG38" s="31" t="str">
        <f>IFERROR(VLOOKUP([2]Pointage!DK32,Feuil1!$A:$B,2,FALSE),"")</f>
        <v/>
      </c>
      <c r="DH38" s="31" t="str">
        <f>IFERROR(VLOOKUP([2]Pointage!DL32,Feuil1!$A:$B,2,FALSE),"")</f>
        <v/>
      </c>
      <c r="DI38" s="31" t="str">
        <f>IFERROR(VLOOKUP([2]Pointage!DM32,Feuil1!$A:$B,2,FALSE),"")</f>
        <v/>
      </c>
      <c r="DJ38" s="31" t="str">
        <f>IFERROR(VLOOKUP([2]Pointage!DN32,Feuil1!$A:$B,2,FALSE),"")</f>
        <v/>
      </c>
      <c r="DK38" s="31" t="str">
        <f>IFERROR(VLOOKUP([2]Pointage!DO32,Feuil1!$A:$B,2,FALSE),"")</f>
        <v/>
      </c>
      <c r="DL38" s="31" t="str">
        <f>IFERROR(VLOOKUP([2]Pointage!DP32,Feuil1!$A:$B,2,FALSE),"")</f>
        <v/>
      </c>
      <c r="DM38" s="31" t="str">
        <f>IFERROR(VLOOKUP([2]Pointage!DQ32,Feuil1!$A:$B,2,FALSE),"")</f>
        <v/>
      </c>
      <c r="DN38" s="31" t="str">
        <f>IFERROR(VLOOKUP([2]Pointage!DR32,Feuil1!$A:$B,2,FALSE),"")</f>
        <v/>
      </c>
      <c r="DO38" s="31" t="str">
        <f>IFERROR(VLOOKUP([2]Pointage!DS32,Feuil1!$A:$B,2,FALSE),"")</f>
        <v/>
      </c>
      <c r="DP38" s="31" t="str">
        <f>IFERROR(VLOOKUP([2]Pointage!DT32,Feuil1!$A:$B,2,FALSE),"")</f>
        <v/>
      </c>
      <c r="DQ38" s="31" t="str">
        <f>IFERROR(VLOOKUP([2]Pointage!DU32,Feuil1!$A:$B,2,FALSE),"")</f>
        <v/>
      </c>
      <c r="DR38" s="31" t="str">
        <f>IFERROR(VLOOKUP([2]Pointage!DV32,Feuil1!$A:$B,2,FALSE),"")</f>
        <v>AT</v>
      </c>
      <c r="DS38" s="31" t="str">
        <f>IFERROR(VLOOKUP([2]Pointage!DW32,Feuil1!$A:$B,2,FALSE),"")</f>
        <v>AT</v>
      </c>
      <c r="DT38" s="31" t="str">
        <f>IFERROR(VLOOKUP([2]Pointage!DX32,Feuil1!$A:$B,2,FALSE),"")</f>
        <v>AT</v>
      </c>
      <c r="DU38" s="82" t="str">
        <f>IFERROR(VLOOKUP([2]Pointage!DY32,Feuil1!$A:$B,2,FALSE),"")</f>
        <v>AT</v>
      </c>
      <c r="DV38" s="47" t="str">
        <f>IFERROR(VLOOKUP([2]Pointage!DZ32,Feuil1!$A:$B,2,FALSE),"")</f>
        <v>AT</v>
      </c>
      <c r="DW38" s="31" t="str">
        <f>IFERROR(VLOOKUP([2]Pointage!EA32,Feuil1!$A:$B,2,FALSE),"")</f>
        <v>AT</v>
      </c>
      <c r="DX38" s="31" t="str">
        <f>IFERROR(VLOOKUP([2]Pointage!EB32,Feuil1!$A:$B,2,FALSE),"")</f>
        <v>AT</v>
      </c>
      <c r="DY38" s="31" t="str">
        <f>IFERROR(VLOOKUP([2]Pointage!EC32,Feuil1!$A:$B,2,FALSE),"")</f>
        <v>AT</v>
      </c>
      <c r="DZ38" s="31" t="str">
        <f>IFERROR(VLOOKUP([2]Pointage!ED32,Feuil1!$A:$B,2,FALSE),"")</f>
        <v>AT</v>
      </c>
      <c r="EA38" s="31" t="str">
        <f>IFERROR(VLOOKUP([2]Pointage!EE32,Feuil1!$A:$B,2,FALSE),"")</f>
        <v>AT</v>
      </c>
      <c r="EB38" s="31" t="str">
        <f>IFERROR(VLOOKUP([2]Pointage!EF32,Feuil1!$A:$B,2,FALSE),"")</f>
        <v>AT</v>
      </c>
      <c r="EC38" s="31" t="str">
        <f>IFERROR(VLOOKUP([2]Pointage!EG32,Feuil1!$A:$B,2,FALSE),"")</f>
        <v>AT</v>
      </c>
      <c r="ED38" s="31" t="str">
        <f>IFERROR(VLOOKUP([2]Pointage!EH32,Feuil1!$A:$B,2,FALSE),"")</f>
        <v>AT</v>
      </c>
      <c r="EE38" s="31" t="str">
        <f>IFERROR(VLOOKUP([2]Pointage!EI32,Feuil1!$A:$B,2,FALSE),"")</f>
        <v>AT</v>
      </c>
      <c r="EF38" s="31" t="str">
        <f>IFERROR(VLOOKUP([2]Pointage!EJ32,Feuil1!$A:$B,2,FALSE),"")</f>
        <v/>
      </c>
      <c r="EG38" s="31" t="str">
        <f>IFERROR(VLOOKUP([2]Pointage!EK32,Feuil1!$A:$B,2,FALSE),"")</f>
        <v/>
      </c>
      <c r="EH38" s="31" t="str">
        <f>IFERROR(VLOOKUP([2]Pointage!EL32,Feuil1!$A:$B,2,FALSE),"")</f>
        <v/>
      </c>
      <c r="EI38" s="31" t="str">
        <f>IFERROR(VLOOKUP([2]Pointage!EM32,Feuil1!$A:$B,2,FALSE),"")</f>
        <v/>
      </c>
      <c r="EJ38" s="31" t="str">
        <f>IFERROR(VLOOKUP([2]Pointage!EN32,Feuil1!$A:$B,2,FALSE),"")</f>
        <v/>
      </c>
      <c r="EK38" s="31" t="str">
        <f>IFERROR(VLOOKUP([2]Pointage!EO32,Feuil1!$A:$B,2,FALSE),"")</f>
        <v/>
      </c>
      <c r="EL38" s="31" t="str">
        <f>IFERROR(VLOOKUP([2]Pointage!EP32,Feuil1!$A:$B,2,FALSE),"")</f>
        <v/>
      </c>
      <c r="EM38" s="31" t="str">
        <f>IFERROR(VLOOKUP([2]Pointage!EQ32,Feuil1!$A:$B,2,FALSE),"")</f>
        <v/>
      </c>
      <c r="EN38" s="31" t="str">
        <f>IFERROR(VLOOKUP([2]Pointage!ER32,Feuil1!$A:$B,2,FALSE),"")</f>
        <v/>
      </c>
      <c r="EO38" s="31" t="str">
        <f>IFERROR(VLOOKUP([2]Pointage!ES32,Feuil1!$A:$B,2,FALSE),"")</f>
        <v/>
      </c>
      <c r="EP38" s="31" t="str">
        <f>IFERROR(VLOOKUP([2]Pointage!ET32,Feuil1!$A:$B,2,FALSE),"")</f>
        <v/>
      </c>
      <c r="EQ38" s="31" t="str">
        <f>IFERROR(VLOOKUP([2]Pointage!EU32,Feuil1!$A:$B,2,FALSE),"")</f>
        <v/>
      </c>
      <c r="ER38" s="31" t="str">
        <f>IFERROR(VLOOKUP([2]Pointage!EV32,Feuil1!$A:$B,2,FALSE),"")</f>
        <v/>
      </c>
      <c r="ES38" s="31" t="str">
        <f>IFERROR(VLOOKUP([2]Pointage!EW32,Feuil1!$A:$B,2,FALSE),"")</f>
        <v/>
      </c>
      <c r="ET38" s="31" t="str">
        <f>IFERROR(VLOOKUP([2]Pointage!EX32,Feuil1!$A:$B,2,FALSE),"")</f>
        <v/>
      </c>
      <c r="EU38" s="31" t="str">
        <f>IFERROR(VLOOKUP([2]Pointage!EY32,Feuil1!$A:$B,2,FALSE),"")</f>
        <v/>
      </c>
      <c r="EV38" s="31" t="str">
        <f>IFERROR(VLOOKUP([2]Pointage!EZ32,Feuil1!$A:$B,2,FALSE),"")</f>
        <v/>
      </c>
      <c r="EW38" s="31" t="str">
        <f>IFERROR(VLOOKUP([2]Pointage!FA32,Feuil1!$A:$B,2,FALSE),"")</f>
        <v/>
      </c>
      <c r="EX38" s="31" t="str">
        <f>IFERROR(VLOOKUP([2]Pointage!FB32,Feuil1!$A:$B,2,FALSE),"")</f>
        <v/>
      </c>
      <c r="EY38" s="31" t="str">
        <f>IFERROR(VLOOKUP([2]Pointage!FC32,Feuil1!$A:$B,2,FALSE),"")</f>
        <v/>
      </c>
      <c r="EZ38" s="82" t="str">
        <f>IFERROR(VLOOKUP([2]Pointage!FD32,Feuil1!$A:$B,2,FALSE),"")</f>
        <v/>
      </c>
      <c r="FA38" s="47" t="str">
        <f>IFERROR(VLOOKUP([2]Pointage!FE32,Feuil1!$A:$B,2,FALSE),"")</f>
        <v/>
      </c>
      <c r="FB38" s="31" t="str">
        <f>IFERROR(VLOOKUP([2]Pointage!FF32,Feuil1!$A:$B,2,FALSE),"")</f>
        <v/>
      </c>
      <c r="FC38" s="31" t="str">
        <f>IFERROR(VLOOKUP([2]Pointage!FG32,Feuil1!$A:$B,2,FALSE),"")</f>
        <v/>
      </c>
      <c r="FD38" s="31" t="str">
        <f>IFERROR(VLOOKUP([2]Pointage!FH32,Feuil1!$A:$B,2,FALSE),"")</f>
        <v/>
      </c>
      <c r="FE38" s="31" t="str">
        <f>IFERROR(VLOOKUP([2]Pointage!FI32,Feuil1!$A:$B,2,FALSE),"")</f>
        <v/>
      </c>
      <c r="FF38" s="31" t="str">
        <f>IFERROR(VLOOKUP([2]Pointage!FJ32,Feuil1!$A:$B,2,FALSE),"")</f>
        <v/>
      </c>
      <c r="FG38" s="31" t="str">
        <f>IFERROR(VLOOKUP([2]Pointage!FK32,Feuil1!$A:$B,2,FALSE),"")</f>
        <v/>
      </c>
      <c r="FH38" s="31" t="str">
        <f>IFERROR(VLOOKUP([2]Pointage!FL32,Feuil1!$A:$B,2,FALSE),"")</f>
        <v/>
      </c>
      <c r="FI38" s="31" t="str">
        <f>IFERROR(VLOOKUP([2]Pointage!FM32,Feuil1!$A:$B,2,FALSE),"")</f>
        <v/>
      </c>
      <c r="FJ38" s="31" t="str">
        <f>IFERROR(VLOOKUP([2]Pointage!FN32,Feuil1!$A:$B,2,FALSE),"")</f>
        <v/>
      </c>
      <c r="FK38" s="31" t="str">
        <f>IFERROR(VLOOKUP([2]Pointage!FO32,Feuil1!$A:$B,2,FALSE),"")</f>
        <v/>
      </c>
      <c r="FL38" s="31" t="str">
        <f>IFERROR(VLOOKUP([2]Pointage!FP32,Feuil1!$A:$B,2,FALSE),"")</f>
        <v/>
      </c>
      <c r="FM38" s="31" t="str">
        <f>IFERROR(VLOOKUP([2]Pointage!FQ32,Feuil1!$A:$B,2,FALSE),"")</f>
        <v/>
      </c>
      <c r="FN38" s="31" t="str">
        <f>IFERROR(VLOOKUP([2]Pointage!FR32,Feuil1!$A:$B,2,FALSE),"")</f>
        <v/>
      </c>
      <c r="FO38" s="31" t="str">
        <f>IFERROR(VLOOKUP([2]Pointage!FS32,Feuil1!$A:$B,2,FALSE),"")</f>
        <v/>
      </c>
      <c r="FP38" s="31" t="str">
        <f>IFERROR(VLOOKUP([2]Pointage!FT32,Feuil1!$A:$B,2,FALSE),"")</f>
        <v/>
      </c>
      <c r="FQ38" s="31" t="str">
        <f>IFERROR(VLOOKUP([2]Pointage!FU32,Feuil1!$A:$B,2,FALSE),"")</f>
        <v/>
      </c>
      <c r="FR38" s="31" t="str">
        <f>IFERROR(VLOOKUP([2]Pointage!FV32,Feuil1!$A:$B,2,FALSE),"")</f>
        <v/>
      </c>
      <c r="FS38" s="31" t="str">
        <f>IFERROR(VLOOKUP([2]Pointage!FW32,Feuil1!$A:$B,2,FALSE),"")</f>
        <v/>
      </c>
      <c r="FT38" s="31" t="str">
        <f>IFERROR(VLOOKUP([2]Pointage!FX32,Feuil1!$A:$B,2,FALSE),"")</f>
        <v/>
      </c>
      <c r="FU38" s="31" t="str">
        <f>IFERROR(VLOOKUP([2]Pointage!FY32,Feuil1!$A:$B,2,FALSE),"")</f>
        <v/>
      </c>
      <c r="FV38" s="31" t="str">
        <f>IFERROR(VLOOKUP([2]Pointage!FZ32,Feuil1!$A:$B,2,FALSE),"")</f>
        <v/>
      </c>
      <c r="FW38" s="31" t="str">
        <f>IFERROR(VLOOKUP([2]Pointage!GA32,Feuil1!$A:$B,2,FALSE),"")</f>
        <v/>
      </c>
      <c r="FX38" s="31" t="str">
        <f>IFERROR(VLOOKUP([2]Pointage!GB32,Feuil1!$A:$B,2,FALSE),"")</f>
        <v/>
      </c>
      <c r="FY38" s="31" t="str">
        <f>IFERROR(VLOOKUP([2]Pointage!GC32,Feuil1!$A:$B,2,FALSE),"")</f>
        <v/>
      </c>
      <c r="FZ38" s="31" t="str">
        <f>IFERROR(VLOOKUP([2]Pointage!GD32,Feuil1!$A:$B,2,FALSE),"")</f>
        <v/>
      </c>
      <c r="GA38" s="31" t="str">
        <f>IFERROR(VLOOKUP([2]Pointage!GE32,Feuil1!$A:$B,2,FALSE),"")</f>
        <v/>
      </c>
      <c r="GB38" s="31" t="str">
        <f>IFERROR(VLOOKUP([2]Pointage!GF32,Feuil1!$A:$B,2,FALSE),"")</f>
        <v/>
      </c>
      <c r="GC38" s="31" t="str">
        <f>IFERROR(VLOOKUP([2]Pointage!GG32,Feuil1!$A:$B,2,FALSE),"")</f>
        <v/>
      </c>
      <c r="GD38" s="82" t="str">
        <f>IFERROR(VLOOKUP([2]Pointage!GH32,Feuil1!$A:$B,2,FALSE),"")</f>
        <v/>
      </c>
      <c r="GE38" s="47" t="str">
        <f>IFERROR(VLOOKUP([2]Pointage!GI32,Feuil1!$A:$B,2,FALSE),"")</f>
        <v/>
      </c>
      <c r="GF38" s="31" t="str">
        <f>IFERROR(VLOOKUP([2]Pointage!GJ32,Feuil1!$A:$B,2,FALSE),"")</f>
        <v/>
      </c>
      <c r="GG38" s="31" t="str">
        <f>IFERROR(VLOOKUP([2]Pointage!GK32,Feuil1!$A:$B,2,FALSE),"")</f>
        <v/>
      </c>
      <c r="GH38" s="31" t="str">
        <f>IFERROR(VLOOKUP([2]Pointage!GL32,Feuil1!$A:$B,2,FALSE),"")</f>
        <v/>
      </c>
      <c r="GI38" s="31" t="str">
        <f>IFERROR(VLOOKUP([2]Pointage!GM32,Feuil1!$A:$B,2,FALSE),"")</f>
        <v/>
      </c>
      <c r="GJ38" s="31" t="str">
        <f>IFERROR(VLOOKUP([2]Pointage!GN32,Feuil1!$A:$B,2,FALSE),"")</f>
        <v/>
      </c>
      <c r="GK38" s="31" t="str">
        <f>IFERROR(VLOOKUP([2]Pointage!GO32,Feuil1!$A:$B,2,FALSE),"")</f>
        <v/>
      </c>
      <c r="GL38" s="31" t="str">
        <f>IFERROR(VLOOKUP([2]Pointage!GP32,Feuil1!$A:$B,2,FALSE),"")</f>
        <v/>
      </c>
      <c r="GM38" s="31" t="str">
        <f>IFERROR(VLOOKUP([2]Pointage!GQ32,Feuil1!$A:$B,2,FALSE),"")</f>
        <v/>
      </c>
      <c r="GN38" s="31" t="str">
        <f>IFERROR(VLOOKUP([2]Pointage!GR32,Feuil1!$A:$B,2,FALSE),"")</f>
        <v/>
      </c>
      <c r="GO38" s="31" t="str">
        <f>IFERROR(VLOOKUP([2]Pointage!GS32,Feuil1!$A:$B,2,FALSE),"")</f>
        <v/>
      </c>
      <c r="GP38" s="31" t="str">
        <f>IFERROR(VLOOKUP([2]Pointage!GT32,Feuil1!$A:$B,2,FALSE),"")</f>
        <v/>
      </c>
      <c r="GQ38" s="31" t="str">
        <f>IFERROR(VLOOKUP([2]Pointage!GU32,Feuil1!$A:$B,2,FALSE),"")</f>
        <v/>
      </c>
      <c r="GR38" s="31" t="str">
        <f>IFERROR(VLOOKUP([2]Pointage!GV32,Feuil1!$A:$B,2,FALSE),"")</f>
        <v/>
      </c>
      <c r="GS38" s="31" t="str">
        <f>IFERROR(VLOOKUP([2]Pointage!GW32,Feuil1!$A:$B,2,FALSE),"")</f>
        <v/>
      </c>
      <c r="GT38" s="31" t="str">
        <f>IFERROR(VLOOKUP([2]Pointage!GX32,Feuil1!$A:$B,2,FALSE),"")</f>
        <v>C</v>
      </c>
      <c r="GU38" s="31" t="str">
        <f>IFERROR(VLOOKUP([2]Pointage!GY32,Feuil1!$A:$B,2,FALSE),"")</f>
        <v>C</v>
      </c>
      <c r="GV38" s="31" t="str">
        <f>IFERROR(VLOOKUP([2]Pointage!GZ32,Feuil1!$A:$B,2,FALSE),"")</f>
        <v>C</v>
      </c>
      <c r="GW38" s="31" t="str">
        <f>IFERROR(VLOOKUP([2]Pointage!HA32,Feuil1!$A:$B,2,FALSE),"")</f>
        <v>C</v>
      </c>
      <c r="GX38" s="31" t="str">
        <f>IFERROR(VLOOKUP([2]Pointage!HB32,Feuil1!$A:$B,2,FALSE),"")</f>
        <v>C</v>
      </c>
      <c r="GY38" s="31" t="str">
        <f>IFERROR(VLOOKUP([2]Pointage!HC32,Feuil1!$A:$B,2,FALSE),"")</f>
        <v/>
      </c>
      <c r="GZ38" s="31" t="str">
        <f>IFERROR(VLOOKUP([2]Pointage!HD32,Feuil1!$A:$B,2,FALSE),"")</f>
        <v/>
      </c>
      <c r="HA38" s="31" t="str">
        <f>IFERROR(VLOOKUP([2]Pointage!HE32,Feuil1!$A:$B,2,FALSE),"")</f>
        <v>C</v>
      </c>
      <c r="HB38" s="31" t="str">
        <f>IFERROR(VLOOKUP([2]Pointage!HF32,Feuil1!$A:$B,2,FALSE),"")</f>
        <v>C</v>
      </c>
      <c r="HC38" s="31" t="str">
        <f>IFERROR(VLOOKUP([2]Pointage!HG32,Feuil1!$A:$B,2,FALSE),"")</f>
        <v>C</v>
      </c>
      <c r="HD38" s="31" t="str">
        <f>IFERROR(VLOOKUP([2]Pointage!HH32,Feuil1!$A:$B,2,FALSE),"")</f>
        <v>C</v>
      </c>
      <c r="HE38" s="31" t="str">
        <f>IFERROR(VLOOKUP([2]Pointage!HI32,Feuil1!$A:$B,2,FALSE),"")</f>
        <v>C</v>
      </c>
      <c r="HF38" s="31" t="str">
        <f>IFERROR(VLOOKUP([2]Pointage!HJ32,Feuil1!$A:$B,2,FALSE),"")</f>
        <v/>
      </c>
      <c r="HG38" s="31" t="str">
        <f>IFERROR(VLOOKUP([2]Pointage!HK32,Feuil1!$A:$B,2,FALSE),"")</f>
        <v/>
      </c>
      <c r="HH38" s="31" t="str">
        <f>IFERROR(VLOOKUP([2]Pointage!HL32,Feuil1!$A:$B,2,FALSE),"")</f>
        <v/>
      </c>
      <c r="HI38" s="82" t="str">
        <f>IFERROR(VLOOKUP([2]Pointage!HM32,Feuil1!$A:$B,2,FALSE),"")</f>
        <v/>
      </c>
      <c r="HJ38" s="47" t="str">
        <f>IFERROR(VLOOKUP([2]Pointage!HN32,Feuil1!$A:$B,2,FALSE),"")</f>
        <v/>
      </c>
      <c r="HK38" s="31" t="str">
        <f>IFERROR(VLOOKUP([2]Pointage!HO32,Feuil1!$A:$B,2,FALSE),"")</f>
        <v/>
      </c>
      <c r="HL38" s="31" t="str">
        <f>IFERROR(VLOOKUP([2]Pointage!HP32,Feuil1!$A:$B,2,FALSE),"")</f>
        <v/>
      </c>
      <c r="HM38" s="31" t="str">
        <f>IFERROR(VLOOKUP([2]Pointage!HQ32,Feuil1!$A:$B,2,FALSE),"")</f>
        <v/>
      </c>
      <c r="HN38" s="31" t="str">
        <f>IFERROR(VLOOKUP([2]Pointage!HR32,Feuil1!$A:$B,2,FALSE),"")</f>
        <v/>
      </c>
      <c r="HO38" s="31" t="str">
        <f>IFERROR(VLOOKUP([2]Pointage!HS32,Feuil1!$A:$B,2,FALSE),"")</f>
        <v/>
      </c>
      <c r="HP38" s="31" t="str">
        <f>IFERROR(VLOOKUP([2]Pointage!HT32,Feuil1!$A:$B,2,FALSE),"")</f>
        <v/>
      </c>
      <c r="HQ38" s="31" t="str">
        <f>IFERROR(VLOOKUP([2]Pointage!HU32,Feuil1!$A:$B,2,FALSE),"")</f>
        <v/>
      </c>
      <c r="HR38" s="31" t="str">
        <f>IFERROR(VLOOKUP([2]Pointage!HV32,Feuil1!$A:$B,2,FALSE),"")</f>
        <v/>
      </c>
      <c r="HS38" s="31" t="str">
        <f>IFERROR(VLOOKUP([2]Pointage!HW32,Feuil1!$A:$B,2,FALSE),"")</f>
        <v/>
      </c>
      <c r="HT38" s="31" t="str">
        <f>IFERROR(VLOOKUP([2]Pointage!HX32,Feuil1!$A:$B,2,FALSE),"")</f>
        <v/>
      </c>
      <c r="HU38" s="31" t="str">
        <f>IFERROR(VLOOKUP([2]Pointage!HY32,Feuil1!$A:$B,2,FALSE),"")</f>
        <v/>
      </c>
      <c r="HV38" s="31" t="str">
        <f>IFERROR(VLOOKUP([2]Pointage!HZ32,Feuil1!$A:$B,2,FALSE),"")</f>
        <v/>
      </c>
      <c r="HW38" s="31" t="str">
        <f>IFERROR(VLOOKUP([2]Pointage!IA32,Feuil1!$A:$B,2,FALSE),"")</f>
        <v/>
      </c>
      <c r="HX38" s="31" t="str">
        <f>IFERROR(VLOOKUP([2]Pointage!IB32,Feuil1!$A:$B,2,FALSE),"")</f>
        <v/>
      </c>
      <c r="HY38" s="31" t="str">
        <f>IFERROR(VLOOKUP([2]Pointage!IC32,Feuil1!$A:$B,2,FALSE),"")</f>
        <v/>
      </c>
      <c r="HZ38" s="31" t="str">
        <f>IFERROR(VLOOKUP([2]Pointage!ID32,Feuil1!$A:$B,2,FALSE),"")</f>
        <v/>
      </c>
      <c r="IA38" s="31" t="str">
        <f>IFERROR(VLOOKUP([2]Pointage!IE32,Feuil1!$A:$B,2,FALSE),"")</f>
        <v/>
      </c>
      <c r="IB38" s="31" t="str">
        <f>IFERROR(VLOOKUP([2]Pointage!IF32,Feuil1!$A:$B,2,FALSE),"")</f>
        <v/>
      </c>
      <c r="IC38" s="31" t="str">
        <f>IFERROR(VLOOKUP([2]Pointage!IG32,Feuil1!$A:$B,2,FALSE),"")</f>
        <v/>
      </c>
      <c r="ID38" s="31" t="str">
        <f>IFERROR(VLOOKUP([2]Pointage!IH32,Feuil1!$A:$B,2,FALSE),"")</f>
        <v/>
      </c>
      <c r="IE38" s="31" t="str">
        <f>IFERROR(VLOOKUP([2]Pointage!II32,Feuil1!$A:$B,2,FALSE),"")</f>
        <v/>
      </c>
      <c r="IF38" s="31" t="str">
        <f>IFERROR(VLOOKUP([2]Pointage!IJ32,Feuil1!$A:$B,2,FALSE),"")</f>
        <v/>
      </c>
      <c r="IG38" s="31" t="str">
        <f>IFERROR(VLOOKUP([2]Pointage!IK32,Feuil1!$A:$B,2,FALSE),"")</f>
        <v/>
      </c>
      <c r="IH38" s="31" t="str">
        <f>IFERROR(VLOOKUP([2]Pointage!IL32,Feuil1!$A:$B,2,FALSE),"")</f>
        <v/>
      </c>
      <c r="II38" s="31" t="str">
        <f>IFERROR(VLOOKUP([2]Pointage!IM32,Feuil1!$A:$B,2,FALSE),"")</f>
        <v/>
      </c>
      <c r="IJ38" s="31" t="str">
        <f>IFERROR(VLOOKUP([2]Pointage!IN32,Feuil1!$A:$B,2,FALSE),"")</f>
        <v/>
      </c>
      <c r="IK38" s="31" t="str">
        <f>IFERROR(VLOOKUP([2]Pointage!IO32,Feuil1!$A:$B,2,FALSE),"")</f>
        <v/>
      </c>
      <c r="IL38" s="31" t="str">
        <f>IFERROR(VLOOKUP([2]Pointage!IP32,Feuil1!$A:$B,2,FALSE),"")</f>
        <v/>
      </c>
      <c r="IM38" s="31" t="str">
        <f>IFERROR(VLOOKUP([2]Pointage!IQ32,Feuil1!$A:$B,2,FALSE),"")</f>
        <v/>
      </c>
      <c r="IN38" s="82" t="str">
        <f>IFERROR(VLOOKUP([2]Pointage!IR32,Feuil1!$A:$B,2,FALSE),"")</f>
        <v/>
      </c>
      <c r="IO38" s="47" t="str">
        <f>IFERROR(VLOOKUP([2]Pointage!IS32,Feuil1!$A:$B,2,FALSE),"")</f>
        <v/>
      </c>
      <c r="IP38" s="31" t="str">
        <f>IFERROR(VLOOKUP([2]Pointage!IT32,Feuil1!$A:$B,2,FALSE),"")</f>
        <v/>
      </c>
      <c r="IQ38" s="31" t="str">
        <f>IFERROR(VLOOKUP([2]Pointage!IU32,Feuil1!$A:$B,2,FALSE),"")</f>
        <v/>
      </c>
      <c r="IR38" s="31" t="str">
        <f>IFERROR(VLOOKUP([2]Pointage!IV32,Feuil1!$A:$B,2,FALSE),"")</f>
        <v/>
      </c>
      <c r="IS38" s="31" t="str">
        <f>IFERROR(VLOOKUP([2]Pointage!IW32,Feuil1!$A:$B,2,FALSE),"")</f>
        <v/>
      </c>
      <c r="IT38" s="31" t="str">
        <f>IFERROR(VLOOKUP([2]Pointage!IX32,Feuil1!$A:$B,2,FALSE),"")</f>
        <v/>
      </c>
      <c r="IU38" s="31" t="str">
        <f>IFERROR(VLOOKUP([2]Pointage!IY32,Feuil1!$A:$B,2,FALSE),"")</f>
        <v/>
      </c>
      <c r="IV38" s="31" t="str">
        <f>IFERROR(VLOOKUP([2]Pointage!IZ32,Feuil1!$A:$B,2,FALSE),"")</f>
        <v/>
      </c>
      <c r="IW38" s="31" t="str">
        <f>IFERROR(VLOOKUP([2]Pointage!JA32,Feuil1!$A:$B,2,FALSE),"")</f>
        <v/>
      </c>
      <c r="IX38" s="31" t="str">
        <f>IFERROR(VLOOKUP([2]Pointage!JB32,Feuil1!$A:$B,2,FALSE),"")</f>
        <v/>
      </c>
      <c r="IY38" s="31" t="str">
        <f>IFERROR(VLOOKUP([2]Pointage!JC32,Feuil1!$A:$B,2,FALSE),"")</f>
        <v/>
      </c>
      <c r="IZ38" s="31" t="str">
        <f>IFERROR(VLOOKUP([2]Pointage!JD32,Feuil1!$A:$B,2,FALSE),"")</f>
        <v/>
      </c>
      <c r="JA38" s="31" t="str">
        <f>IFERROR(VLOOKUP([2]Pointage!JE32,Feuil1!$A:$B,2,FALSE),"")</f>
        <v/>
      </c>
      <c r="JB38" s="31" t="str">
        <f>IFERROR(VLOOKUP([2]Pointage!JF32,Feuil1!$A:$B,2,FALSE),"")</f>
        <v/>
      </c>
      <c r="JC38" s="31" t="str">
        <f>IFERROR(VLOOKUP([2]Pointage!JG32,Feuil1!$A:$B,2,FALSE),"")</f>
        <v/>
      </c>
      <c r="JD38" s="31" t="str">
        <f>IFERROR(VLOOKUP([2]Pointage!JH32,Feuil1!$A:$B,2,FALSE),"")</f>
        <v/>
      </c>
      <c r="JE38" s="31" t="str">
        <f>IFERROR(VLOOKUP([2]Pointage!JI32,Feuil1!$A:$B,2,FALSE),"")</f>
        <v/>
      </c>
      <c r="JF38" s="31" t="str">
        <f>IFERROR(VLOOKUP([2]Pointage!JJ32,Feuil1!$A:$B,2,FALSE),"")</f>
        <v/>
      </c>
      <c r="JG38" s="31" t="str">
        <f>IFERROR(VLOOKUP([2]Pointage!JK32,Feuil1!$A:$B,2,FALSE),"")</f>
        <v/>
      </c>
      <c r="JH38" s="31" t="str">
        <f>IFERROR(VLOOKUP([2]Pointage!JL32,Feuil1!$A:$B,2,FALSE),"")</f>
        <v/>
      </c>
      <c r="JI38" s="31" t="str">
        <f>IFERROR(VLOOKUP([2]Pointage!JM32,Feuil1!$A:$B,2,FALSE),"")</f>
        <v/>
      </c>
      <c r="JJ38" s="31" t="str">
        <f>IFERROR(VLOOKUP([2]Pointage!JN32,Feuil1!$A:$B,2,FALSE),"")</f>
        <v/>
      </c>
      <c r="JK38" s="31" t="str">
        <f>IFERROR(VLOOKUP([2]Pointage!JO32,Feuil1!$A:$B,2,FALSE),"")</f>
        <v/>
      </c>
      <c r="JL38" s="31" t="str">
        <f>IFERROR(VLOOKUP([2]Pointage!JP32,Feuil1!$A:$B,2,FALSE),"")</f>
        <v/>
      </c>
      <c r="JM38" s="31" t="str">
        <f>IFERROR(VLOOKUP([2]Pointage!JQ32,Feuil1!$A:$B,2,FALSE),"")</f>
        <v/>
      </c>
      <c r="JN38" s="31" t="str">
        <f>IFERROR(VLOOKUP([2]Pointage!JR32,Feuil1!$A:$B,2,FALSE),"")</f>
        <v/>
      </c>
      <c r="JO38" s="31" t="str">
        <f>IFERROR(VLOOKUP([2]Pointage!JS32,Feuil1!$A:$B,2,FALSE),"")</f>
        <v/>
      </c>
      <c r="JP38" s="31" t="str">
        <f>IFERROR(VLOOKUP([2]Pointage!JT32,Feuil1!$A:$B,2,FALSE),"")</f>
        <v/>
      </c>
      <c r="JQ38" s="31" t="str">
        <f>IFERROR(VLOOKUP([2]Pointage!JU32,Feuil1!$A:$B,2,FALSE),"")</f>
        <v/>
      </c>
      <c r="JR38" s="82" t="str">
        <f>IFERROR(VLOOKUP([2]Pointage!JV32,Feuil1!$A:$B,2,FALSE),"")</f>
        <v/>
      </c>
      <c r="JS38" s="47" t="str">
        <f>IFERROR(VLOOKUP([2]Pointage!JW32,Feuil1!$A:$B,2,FALSE),"")</f>
        <v/>
      </c>
      <c r="JT38" s="31" t="str">
        <f>IFERROR(VLOOKUP([2]Pointage!JX32,Feuil1!$A:$B,2,FALSE),"")</f>
        <v/>
      </c>
      <c r="JU38" s="31" t="str">
        <f>IFERROR(VLOOKUP([2]Pointage!JY32,Feuil1!$A:$B,2,FALSE),"")</f>
        <v/>
      </c>
      <c r="JV38" s="31" t="str">
        <f>IFERROR(VLOOKUP([2]Pointage!JZ32,Feuil1!$A:$B,2,FALSE),"")</f>
        <v/>
      </c>
      <c r="JW38" s="31" t="str">
        <f>IFERROR(VLOOKUP([2]Pointage!KA32,Feuil1!$A:$B,2,FALSE),"")</f>
        <v/>
      </c>
      <c r="JX38" s="31" t="str">
        <f>IFERROR(VLOOKUP([2]Pointage!KB32,Feuil1!$A:$B,2,FALSE),"")</f>
        <v/>
      </c>
      <c r="JY38" s="31" t="str">
        <f>IFERROR(VLOOKUP([2]Pointage!KC32,Feuil1!$A:$B,2,FALSE),"")</f>
        <v/>
      </c>
      <c r="JZ38" s="31" t="str">
        <f>IFERROR(VLOOKUP([2]Pointage!KD32,Feuil1!$A:$B,2,FALSE),"")</f>
        <v/>
      </c>
      <c r="KA38" s="31" t="str">
        <f>IFERROR(VLOOKUP([2]Pointage!KE32,Feuil1!$A:$B,2,FALSE),"")</f>
        <v/>
      </c>
      <c r="KB38" s="31" t="str">
        <f>IFERROR(VLOOKUP([2]Pointage!KF32,Feuil1!$A:$B,2,FALSE),"")</f>
        <v/>
      </c>
      <c r="KC38" s="31" t="str">
        <f>IFERROR(VLOOKUP([2]Pointage!KG32,Feuil1!$A:$B,2,FALSE),"")</f>
        <v/>
      </c>
      <c r="KD38" s="31" t="str">
        <f>IFERROR(VLOOKUP([2]Pointage!KH32,Feuil1!$A:$B,2,FALSE),"")</f>
        <v/>
      </c>
      <c r="KE38" s="31" t="str">
        <f>IFERROR(VLOOKUP([2]Pointage!KI32,Feuil1!$A:$B,2,FALSE),"")</f>
        <v/>
      </c>
      <c r="KF38" s="31" t="str">
        <f>IFERROR(VLOOKUP([2]Pointage!KJ32,Feuil1!$A:$B,2,FALSE),"")</f>
        <v/>
      </c>
      <c r="KG38" s="31" t="str">
        <f>IFERROR(VLOOKUP([2]Pointage!KK32,Feuil1!$A:$B,2,FALSE),"")</f>
        <v/>
      </c>
      <c r="KH38" s="31" t="str">
        <f>IFERROR(VLOOKUP([2]Pointage!KL32,Feuil1!$A:$B,2,FALSE),"")</f>
        <v/>
      </c>
      <c r="KI38" s="31" t="str">
        <f>IFERROR(VLOOKUP([2]Pointage!KM32,Feuil1!$A:$B,2,FALSE),"")</f>
        <v/>
      </c>
      <c r="KJ38" s="31" t="str">
        <f>IFERROR(VLOOKUP([2]Pointage!KN32,Feuil1!$A:$B,2,FALSE),"")</f>
        <v/>
      </c>
      <c r="KK38" s="31" t="str">
        <f>IFERROR(VLOOKUP([2]Pointage!KO32,Feuil1!$A:$B,2,FALSE),"")</f>
        <v/>
      </c>
      <c r="KL38" s="31" t="str">
        <f>IFERROR(VLOOKUP([2]Pointage!KP32,Feuil1!$A:$B,2,FALSE),"")</f>
        <v/>
      </c>
      <c r="KM38" s="31" t="str">
        <f>IFERROR(VLOOKUP([2]Pointage!KQ32,Feuil1!$A:$B,2,FALSE),"")</f>
        <v/>
      </c>
      <c r="KN38" s="31" t="str">
        <f>IFERROR(VLOOKUP([2]Pointage!KR32,Feuil1!$A:$B,2,FALSE),"")</f>
        <v/>
      </c>
      <c r="KO38" s="31" t="str">
        <f>IFERROR(VLOOKUP([2]Pointage!KS32,Feuil1!$A:$B,2,FALSE),"")</f>
        <v/>
      </c>
      <c r="KP38" s="31" t="str">
        <f>IFERROR(VLOOKUP([2]Pointage!KT32,Feuil1!$A:$B,2,FALSE),"")</f>
        <v/>
      </c>
      <c r="KQ38" s="31" t="str">
        <f>IFERROR(VLOOKUP([2]Pointage!KU32,Feuil1!$A:$B,2,FALSE),"")</f>
        <v/>
      </c>
      <c r="KR38" s="31" t="str">
        <f>IFERROR(VLOOKUP([2]Pointage!KV32,Feuil1!$A:$B,2,FALSE),"")</f>
        <v/>
      </c>
      <c r="KS38" s="31" t="str">
        <f>IFERROR(VLOOKUP([2]Pointage!KW32,Feuil1!$A:$B,2,FALSE),"")</f>
        <v/>
      </c>
      <c r="KT38" s="31" t="str">
        <f>IFERROR(VLOOKUP([2]Pointage!KX32,Feuil1!$A:$B,2,FALSE),"")</f>
        <v/>
      </c>
      <c r="KU38" s="31" t="str">
        <f>IFERROR(VLOOKUP([2]Pointage!KY32,Feuil1!$A:$B,2,FALSE),"")</f>
        <v/>
      </c>
      <c r="KV38" s="31" t="str">
        <f>IFERROR(VLOOKUP([2]Pointage!KZ32,Feuil1!$A:$B,2,FALSE),"")</f>
        <v/>
      </c>
      <c r="KW38" s="82" t="str">
        <f>IFERROR(VLOOKUP([2]Pointage!LA32,Feuil1!$A:$B,2,FALSE),"")</f>
        <v/>
      </c>
      <c r="KX38" s="47" t="str">
        <f>IFERROR(VLOOKUP([2]Pointage!LB32,Feuil1!$A:$B,2,FALSE),"")</f>
        <v/>
      </c>
      <c r="KY38" s="31" t="str">
        <f>IFERROR(VLOOKUP([2]Pointage!LC32,Feuil1!$A:$B,2,FALSE),"")</f>
        <v/>
      </c>
      <c r="KZ38" s="31" t="str">
        <f>IFERROR(VLOOKUP([2]Pointage!LD32,Feuil1!$A:$B,2,FALSE),"")</f>
        <v/>
      </c>
      <c r="LA38" s="31" t="str">
        <f>IFERROR(VLOOKUP([2]Pointage!LE32,Feuil1!$A:$B,2,FALSE),"")</f>
        <v/>
      </c>
      <c r="LB38" s="31" t="str">
        <f>IFERROR(VLOOKUP([2]Pointage!LF32,Feuil1!$A:$B,2,FALSE),"")</f>
        <v/>
      </c>
      <c r="LC38" s="31" t="str">
        <f>IFERROR(VLOOKUP([2]Pointage!LG32,Feuil1!$A:$B,2,FALSE),"")</f>
        <v/>
      </c>
      <c r="LD38" s="31" t="str">
        <f>IFERROR(VLOOKUP([2]Pointage!LH32,Feuil1!$A:$B,2,FALSE),"")</f>
        <v/>
      </c>
      <c r="LE38" s="31" t="str">
        <f>IFERROR(VLOOKUP([2]Pointage!LI32,Feuil1!$A:$B,2,FALSE),"")</f>
        <v/>
      </c>
      <c r="LF38" s="31" t="str">
        <f>IFERROR(VLOOKUP([2]Pointage!LJ32,Feuil1!$A:$B,2,FALSE),"")</f>
        <v/>
      </c>
      <c r="LG38" s="31" t="str">
        <f>IFERROR(VLOOKUP([2]Pointage!LK32,Feuil1!$A:$B,2,FALSE),"")</f>
        <v/>
      </c>
      <c r="LH38" s="31" t="str">
        <f>IFERROR(VLOOKUP([2]Pointage!LL32,Feuil1!$A:$B,2,FALSE),"")</f>
        <v/>
      </c>
      <c r="LI38" s="31" t="str">
        <f>IFERROR(VLOOKUP([2]Pointage!LM32,Feuil1!$A:$B,2,FALSE),"")</f>
        <v/>
      </c>
      <c r="LJ38" s="31" t="str">
        <f>IFERROR(VLOOKUP([2]Pointage!LN32,Feuil1!$A:$B,2,FALSE),"")</f>
        <v/>
      </c>
      <c r="LK38" s="31" t="str">
        <f>IFERROR(VLOOKUP([2]Pointage!LO32,Feuil1!$A:$B,2,FALSE),"")</f>
        <v/>
      </c>
      <c r="LL38" s="31" t="str">
        <f>IFERROR(VLOOKUP([2]Pointage!LP32,Feuil1!$A:$B,2,FALSE),"")</f>
        <v/>
      </c>
      <c r="LM38" s="31" t="str">
        <f>IFERROR(VLOOKUP([2]Pointage!LQ32,Feuil1!$A:$B,2,FALSE),"")</f>
        <v/>
      </c>
      <c r="LN38" s="31" t="str">
        <f>IFERROR(VLOOKUP([2]Pointage!LR32,Feuil1!$A:$B,2,FALSE),"")</f>
        <v/>
      </c>
      <c r="LO38" s="31" t="str">
        <f>IFERROR(VLOOKUP([2]Pointage!LS32,Feuil1!$A:$B,2,FALSE),"")</f>
        <v/>
      </c>
      <c r="LP38" s="31" t="str">
        <f>IFERROR(VLOOKUP([2]Pointage!LT32,Feuil1!$A:$B,2,FALSE),"")</f>
        <v/>
      </c>
      <c r="LQ38" s="31" t="str">
        <f>IFERROR(VLOOKUP([2]Pointage!LU32,Feuil1!$A:$B,2,FALSE),"")</f>
        <v/>
      </c>
      <c r="LR38" s="31" t="str">
        <f>IFERROR(VLOOKUP([2]Pointage!LV32,Feuil1!$A:$B,2,FALSE),"")</f>
        <v/>
      </c>
      <c r="LS38" s="31" t="str">
        <f>IFERROR(VLOOKUP([2]Pointage!LW32,Feuil1!$A:$B,2,FALSE),"")</f>
        <v/>
      </c>
      <c r="LT38" s="31" t="str">
        <f>IFERROR(VLOOKUP([2]Pointage!LX32,Feuil1!$A:$B,2,FALSE),"")</f>
        <v/>
      </c>
      <c r="LU38" s="31" t="str">
        <f>IFERROR(VLOOKUP([2]Pointage!LY32,Feuil1!$A:$B,2,FALSE),"")</f>
        <v/>
      </c>
      <c r="LV38" s="31" t="str">
        <f>IFERROR(VLOOKUP([2]Pointage!LZ32,Feuil1!$A:$B,2,FALSE),"")</f>
        <v/>
      </c>
      <c r="LW38" s="31" t="str">
        <f>IFERROR(VLOOKUP([2]Pointage!MA32,Feuil1!$A:$B,2,FALSE),"")</f>
        <v/>
      </c>
      <c r="LX38" s="31" t="str">
        <f>IFERROR(VLOOKUP([2]Pointage!MB32,Feuil1!$A:$B,2,FALSE),"")</f>
        <v/>
      </c>
      <c r="LY38" s="31" t="str">
        <f>IFERROR(VLOOKUP([2]Pointage!MC32,Feuil1!$A:$B,2,FALSE),"")</f>
        <v/>
      </c>
      <c r="LZ38" s="31" t="str">
        <f>IFERROR(VLOOKUP([2]Pointage!MD32,Feuil1!$A:$B,2,FALSE),"")</f>
        <v/>
      </c>
      <c r="MA38" s="82" t="str">
        <f>IFERROR(VLOOKUP([2]Pointage!ME32,Feuil1!$A:$B,2,FALSE),"")</f>
        <v/>
      </c>
      <c r="MB38" s="47" t="str">
        <f>IFERROR(VLOOKUP([2]Pointage!MF32,Feuil1!$A:$B,2,FALSE),"")</f>
        <v/>
      </c>
      <c r="MC38" s="31" t="str">
        <f>IFERROR(VLOOKUP([2]Pointage!MG32,Feuil1!$A:$B,2,FALSE),"")</f>
        <v/>
      </c>
      <c r="MD38" s="31" t="str">
        <f>IFERROR(VLOOKUP([2]Pointage!MH32,Feuil1!$A:$B,2,FALSE),"")</f>
        <v/>
      </c>
      <c r="ME38" s="31" t="str">
        <f>IFERROR(VLOOKUP([2]Pointage!MI32,Feuil1!$A:$B,2,FALSE),"")</f>
        <v/>
      </c>
      <c r="MF38" s="31" t="str">
        <f>IFERROR(VLOOKUP([2]Pointage!MJ32,Feuil1!$A:$B,2,FALSE),"")</f>
        <v/>
      </c>
      <c r="MG38" s="31" t="str">
        <f>IFERROR(VLOOKUP([2]Pointage!MK32,Feuil1!$A:$B,2,FALSE),"")</f>
        <v/>
      </c>
      <c r="MH38" s="31" t="str">
        <f>IFERROR(VLOOKUP([2]Pointage!ML32,Feuil1!$A:$B,2,FALSE),"")</f>
        <v/>
      </c>
      <c r="MI38" s="31" t="str">
        <f>IFERROR(VLOOKUP([2]Pointage!MM32,Feuil1!$A:$B,2,FALSE),"")</f>
        <v/>
      </c>
      <c r="MJ38" s="31" t="str">
        <f>IFERROR(VLOOKUP([2]Pointage!MN32,Feuil1!$A:$B,2,FALSE),"")</f>
        <v/>
      </c>
      <c r="MK38" s="31" t="str">
        <f>IFERROR(VLOOKUP([2]Pointage!MO32,Feuil1!$A:$B,2,FALSE),"")</f>
        <v/>
      </c>
      <c r="ML38" s="31" t="str">
        <f>IFERROR(VLOOKUP([2]Pointage!MP32,Feuil1!$A:$B,2,FALSE),"")</f>
        <v/>
      </c>
      <c r="MM38" s="31" t="str">
        <f>IFERROR(VLOOKUP([2]Pointage!MQ32,Feuil1!$A:$B,2,FALSE),"")</f>
        <v/>
      </c>
      <c r="MN38" s="31" t="str">
        <f>IFERROR(VLOOKUP([2]Pointage!MR32,Feuil1!$A:$B,2,FALSE),"")</f>
        <v/>
      </c>
      <c r="MO38" s="31" t="str">
        <f>IFERROR(VLOOKUP([2]Pointage!MS32,Feuil1!$A:$B,2,FALSE),"")</f>
        <v/>
      </c>
      <c r="MP38" s="31" t="str">
        <f>IFERROR(VLOOKUP([2]Pointage!MT32,Feuil1!$A:$B,2,FALSE),"")</f>
        <v/>
      </c>
      <c r="MQ38" s="31" t="str">
        <f>IFERROR(VLOOKUP([2]Pointage!MU32,Feuil1!$A:$B,2,FALSE),"")</f>
        <v/>
      </c>
      <c r="MR38" s="31" t="str">
        <f>IFERROR(VLOOKUP([2]Pointage!MV32,Feuil1!$A:$B,2,FALSE),"")</f>
        <v/>
      </c>
      <c r="MS38" s="31" t="str">
        <f>IFERROR(VLOOKUP([2]Pointage!MW32,Feuil1!$A:$B,2,FALSE),"")</f>
        <v/>
      </c>
      <c r="MT38" s="31" t="str">
        <f>IFERROR(VLOOKUP([2]Pointage!MX32,Feuil1!$A:$B,2,FALSE),"")</f>
        <v/>
      </c>
      <c r="MU38" s="31" t="str">
        <f>IFERROR(VLOOKUP([2]Pointage!MY32,Feuil1!$A:$B,2,FALSE),"")</f>
        <v/>
      </c>
      <c r="MV38" s="31" t="str">
        <f>IFERROR(VLOOKUP([2]Pointage!MZ32,Feuil1!$A:$B,2,FALSE),"")</f>
        <v/>
      </c>
      <c r="MW38" s="31" t="str">
        <f>IFERROR(VLOOKUP([2]Pointage!NA32,Feuil1!$A:$B,2,FALSE),"")</f>
        <v/>
      </c>
      <c r="MX38" s="31" t="str">
        <f>IFERROR(VLOOKUP([2]Pointage!NB32,Feuil1!$A:$B,2,FALSE),"")</f>
        <v/>
      </c>
      <c r="MY38" s="31" t="str">
        <f>IFERROR(VLOOKUP([2]Pointage!NC32,Feuil1!$A:$B,2,FALSE),"")</f>
        <v/>
      </c>
      <c r="MZ38" s="31" t="str">
        <f>IFERROR(VLOOKUP([2]Pointage!ND32,Feuil1!$A:$B,2,FALSE),"")</f>
        <v/>
      </c>
      <c r="NA38" s="31" t="str">
        <f>IFERROR(VLOOKUP([2]Pointage!NE32,Feuil1!$A:$B,2,FALSE),"")</f>
        <v/>
      </c>
      <c r="NB38" s="31" t="str">
        <f>IFERROR(VLOOKUP([2]Pointage!NF32,Feuil1!$A:$B,2,FALSE),"")</f>
        <v/>
      </c>
      <c r="NC38" s="31" t="str">
        <f>IFERROR(VLOOKUP([2]Pointage!NG32,Feuil1!$A:$B,2,FALSE),"")</f>
        <v/>
      </c>
      <c r="ND38" s="31" t="str">
        <f>IFERROR(VLOOKUP([2]Pointage!NH32,Feuil1!$A:$B,2,FALSE),"")</f>
        <v/>
      </c>
      <c r="NE38" s="31" t="str">
        <f>IFERROR(VLOOKUP([2]Pointage!NI32,Feuil1!$A:$B,2,FALSE),"")</f>
        <v/>
      </c>
      <c r="NF38" s="48" t="str">
        <f>IFERROR(VLOOKUP([2]Pointage!NJ32,Feuil1!$A:$B,2,FALSE),"")</f>
        <v/>
      </c>
      <c r="NG38" s="52">
        <f>COUNTIF(Global!F38:NF38,"RTT")+(COUNTIF(Global!F38:NF38,"dRTT")/2)</f>
        <v>0</v>
      </c>
      <c r="NH38" s="42">
        <f>COUNTIF(Global!F38:NF38,"C")+(COUNTIF(Global!F38:NF38,"DC")/2)</f>
        <v>15</v>
      </c>
      <c r="NI38" s="42">
        <f>COUNTIF(Global!F38:NF38,"M")</f>
        <v>0</v>
      </c>
      <c r="NJ38" s="42">
        <f>COUNTIF(Global!G38:NG38,"AT")</f>
        <v>14</v>
      </c>
      <c r="NK38" s="42">
        <f>COUNTIF(Global!F38:NF38,"RD")</f>
        <v>0</v>
      </c>
      <c r="NL38" s="42">
        <f>COUNTIF(Global!F38:NF38,"RC")+(COUNTIF(Global!F38:NF38,"dRC")/2)</f>
        <v>0</v>
      </c>
      <c r="NM38" s="68">
        <f t="shared" ca="1" si="0"/>
        <v>3.6438356164383565</v>
      </c>
      <c r="NT38" s="33"/>
      <c r="NU38" s="33"/>
      <c r="NV38" s="28"/>
      <c r="NW38" s="28"/>
      <c r="NX38" s="29">
        <f>COUNTIF(F38:NF38,"C")++(COUNTIF(Global!F38:NF38,"DC")/2)</f>
        <v>15</v>
      </c>
      <c r="NY38" s="29"/>
      <c r="NZ38" s="29"/>
      <c r="OA38" s="29"/>
      <c r="OB38" s="29">
        <f>COUNTIF(Global!F38:NF38,"M")</f>
        <v>0</v>
      </c>
      <c r="OC38" s="30">
        <f t="shared" si="1"/>
        <v>-15</v>
      </c>
      <c r="OD38" s="30"/>
    </row>
    <row r="39" spans="1:394" ht="30" customHeight="1" x14ac:dyDescent="0.2">
      <c r="A39" s="16" t="s">
        <v>95</v>
      </c>
      <c r="B39" s="22" t="s">
        <v>218</v>
      </c>
      <c r="C39" s="22" t="s">
        <v>219</v>
      </c>
      <c r="D39" s="22" t="s">
        <v>220</v>
      </c>
      <c r="E39" s="44">
        <v>0</v>
      </c>
      <c r="F39" s="47" t="str">
        <f>IFERROR(VLOOKUP([2]Pointage!J33,Feuil1!$A:$B,2,FALSE),"")</f>
        <v/>
      </c>
      <c r="G39" s="31" t="str">
        <f>IFERROR(VLOOKUP([2]Pointage!K33,Feuil1!$A:$B,2,FALSE),"")</f>
        <v/>
      </c>
      <c r="H39" s="31" t="str">
        <f>IFERROR(VLOOKUP([2]Pointage!L33,Feuil1!$A:$B,2,FALSE),"")</f>
        <v/>
      </c>
      <c r="I39" s="31" t="str">
        <f>IFERROR(VLOOKUP([2]Pointage!M33,Feuil1!$A:$B,2,FALSE),"")</f>
        <v/>
      </c>
      <c r="J39" s="31" t="str">
        <f>IFERROR(VLOOKUP([2]Pointage!N33,Feuil1!$A:$B,2,FALSE),"")</f>
        <v/>
      </c>
      <c r="K39" s="31" t="str">
        <f>IFERROR(VLOOKUP([2]Pointage!O33,Feuil1!$A:$B,2,FALSE),"")</f>
        <v/>
      </c>
      <c r="L39" s="31" t="str">
        <f>IFERROR(VLOOKUP([2]Pointage!P33,Feuil1!$A:$B,2,FALSE),"")</f>
        <v/>
      </c>
      <c r="M39" s="31" t="str">
        <f>IFERROR(VLOOKUP([2]Pointage!Q33,Feuil1!$A:$B,2,FALSE),"")</f>
        <v/>
      </c>
      <c r="N39" s="31" t="str">
        <f>IFERROR(VLOOKUP([2]Pointage!R33,Feuil1!$A:$B,2,FALSE),"")</f>
        <v/>
      </c>
      <c r="O39" s="31" t="str">
        <f>IFERROR(VLOOKUP([2]Pointage!S33,Feuil1!$A:$B,2,FALSE),"")</f>
        <v>C</v>
      </c>
      <c r="P39" s="31" t="str">
        <f>IFERROR(VLOOKUP([2]Pointage!T33,Feuil1!$A:$B,2,FALSE),"")</f>
        <v>C</v>
      </c>
      <c r="Q39" s="31" t="str">
        <f>IFERROR(VLOOKUP([2]Pointage!U33,Feuil1!$A:$B,2,FALSE),"")</f>
        <v>C</v>
      </c>
      <c r="R39" s="31" t="str">
        <f>IFERROR(VLOOKUP([2]Pointage!V33,Feuil1!$A:$B,2,FALSE),"")</f>
        <v/>
      </c>
      <c r="S39" s="31" t="str">
        <f>IFERROR(VLOOKUP([2]Pointage!W33,Feuil1!$A:$B,2,FALSE),"")</f>
        <v/>
      </c>
      <c r="T39" s="31" t="str">
        <f>IFERROR(VLOOKUP([2]Pointage!X33,Feuil1!$A:$B,2,FALSE),"")</f>
        <v/>
      </c>
      <c r="U39" s="31" t="str">
        <f>IFERROR(VLOOKUP([2]Pointage!Y33,Feuil1!$A:$B,2,FALSE),"")</f>
        <v/>
      </c>
      <c r="V39" s="31" t="str">
        <f>IFERROR(VLOOKUP([2]Pointage!Z33,Feuil1!$A:$B,2,FALSE),"")</f>
        <v/>
      </c>
      <c r="W39" s="31" t="str">
        <f>IFERROR(VLOOKUP([2]Pointage!AA33,Feuil1!$A:$B,2,FALSE),"")</f>
        <v/>
      </c>
      <c r="X39" s="31" t="str">
        <f>IFERROR(VLOOKUP([2]Pointage!AB33,Feuil1!$A:$B,2,FALSE),"")</f>
        <v/>
      </c>
      <c r="Y39" s="31" t="str">
        <f>IFERROR(VLOOKUP([2]Pointage!AC33,Feuil1!$A:$B,2,FALSE),"")</f>
        <v/>
      </c>
      <c r="Z39" s="31" t="str">
        <f>IFERROR(VLOOKUP([2]Pointage!AD33,Feuil1!$A:$B,2,FALSE),"")</f>
        <v/>
      </c>
      <c r="AA39" s="31" t="str">
        <f>IFERROR(VLOOKUP([2]Pointage!AE33,Feuil1!$A:$B,2,FALSE),"")</f>
        <v/>
      </c>
      <c r="AB39" s="31" t="str">
        <f>IFERROR(VLOOKUP([2]Pointage!AF33,Feuil1!$A:$B,2,FALSE),"")</f>
        <v/>
      </c>
      <c r="AC39" s="31" t="str">
        <f>IFERROR(VLOOKUP([2]Pointage!AG33,Feuil1!$A:$B,2,FALSE),"")</f>
        <v/>
      </c>
      <c r="AD39" s="31" t="str">
        <f>IFERROR(VLOOKUP([2]Pointage!AH33,Feuil1!$A:$B,2,FALSE),"")</f>
        <v/>
      </c>
      <c r="AE39" s="31" t="str">
        <f>IFERROR(VLOOKUP([2]Pointage!AI33,Feuil1!$A:$B,2,FALSE),"")</f>
        <v/>
      </c>
      <c r="AF39" s="31" t="str">
        <f>IFERROR(VLOOKUP([2]Pointage!AJ33,Feuil1!$A:$B,2,FALSE),"")</f>
        <v/>
      </c>
      <c r="AG39" s="31" t="str">
        <f>IFERROR(VLOOKUP([2]Pointage!AK33,Feuil1!$A:$B,2,FALSE),"")</f>
        <v/>
      </c>
      <c r="AH39" s="31" t="str">
        <f>IFERROR(VLOOKUP([2]Pointage!AL33,Feuil1!$A:$B,2,FALSE),"")</f>
        <v/>
      </c>
      <c r="AI39" s="31" t="str">
        <f>IFERROR(VLOOKUP([2]Pointage!AM33,Feuil1!$A:$B,2,FALSE),"")</f>
        <v/>
      </c>
      <c r="AJ39" s="82" t="str">
        <f>IFERROR(VLOOKUP([2]Pointage!AN33,Feuil1!$A:$B,2,FALSE),"")</f>
        <v/>
      </c>
      <c r="AK39" s="47" t="str">
        <f>IFERROR(VLOOKUP([2]Pointage!AO33,Feuil1!$A:$B,2,FALSE),"")</f>
        <v/>
      </c>
      <c r="AL39" s="31" t="str">
        <f>IFERROR(VLOOKUP([2]Pointage!AP33,Feuil1!$A:$B,2,FALSE),"")</f>
        <v/>
      </c>
      <c r="AM39" s="31" t="str">
        <f>IFERROR(VLOOKUP([2]Pointage!AQ33,Feuil1!$A:$B,2,FALSE),"")</f>
        <v/>
      </c>
      <c r="AN39" s="31" t="str">
        <f>IFERROR(VLOOKUP([2]Pointage!AR33,Feuil1!$A:$B,2,FALSE),"")</f>
        <v/>
      </c>
      <c r="AO39" s="31" t="str">
        <f>IFERROR(VLOOKUP([2]Pointage!AS33,Feuil1!$A:$B,2,FALSE),"")</f>
        <v/>
      </c>
      <c r="AP39" s="31" t="str">
        <f>IFERROR(VLOOKUP([2]Pointage!AT33,Feuil1!$A:$B,2,FALSE),"")</f>
        <v/>
      </c>
      <c r="AQ39" s="31" t="str">
        <f>IFERROR(VLOOKUP([2]Pointage!AU33,Feuil1!$A:$B,2,FALSE),"")</f>
        <v/>
      </c>
      <c r="AR39" s="31" t="str">
        <f>IFERROR(VLOOKUP([2]Pointage!AV33,Feuil1!$A:$B,2,FALSE),"")</f>
        <v/>
      </c>
      <c r="AS39" s="31" t="str">
        <f>IFERROR(VLOOKUP([2]Pointage!AW33,Feuil1!$A:$B,2,FALSE),"")</f>
        <v/>
      </c>
      <c r="AT39" s="31" t="str">
        <f>IFERROR(VLOOKUP([2]Pointage!AX33,Feuil1!$A:$B,2,FALSE),"")</f>
        <v/>
      </c>
      <c r="AU39" s="31" t="str">
        <f>IFERROR(VLOOKUP([2]Pointage!AY33,Feuil1!$A:$B,2,FALSE),"")</f>
        <v/>
      </c>
      <c r="AV39" s="31" t="str">
        <f>IFERROR(VLOOKUP([2]Pointage!AZ33,Feuil1!$A:$B,2,FALSE),"")</f>
        <v/>
      </c>
      <c r="AW39" s="31" t="str">
        <f>IFERROR(VLOOKUP([2]Pointage!BA33,Feuil1!$A:$B,2,FALSE),"")</f>
        <v/>
      </c>
      <c r="AX39" s="31" t="str">
        <f>IFERROR(VLOOKUP([2]Pointage!BB33,Feuil1!$A:$B,2,FALSE),"")</f>
        <v/>
      </c>
      <c r="AY39" s="31" t="str">
        <f>IFERROR(VLOOKUP([2]Pointage!BC33,Feuil1!$A:$B,2,FALSE),"")</f>
        <v/>
      </c>
      <c r="AZ39" s="31" t="str">
        <f>IFERROR(VLOOKUP([2]Pointage!BD33,Feuil1!$A:$B,2,FALSE),"")</f>
        <v/>
      </c>
      <c r="BA39" s="31" t="str">
        <f>IFERROR(VLOOKUP([2]Pointage!BE33,Feuil1!$A:$B,2,FALSE),"")</f>
        <v/>
      </c>
      <c r="BB39" s="31" t="str">
        <f>IFERROR(VLOOKUP([2]Pointage!BF33,Feuil1!$A:$B,2,FALSE),"")</f>
        <v/>
      </c>
      <c r="BC39" s="31" t="str">
        <f>IFERROR(VLOOKUP([2]Pointage!BG33,Feuil1!$A:$B,2,FALSE),"")</f>
        <v/>
      </c>
      <c r="BD39" s="31" t="str">
        <f>IFERROR(VLOOKUP([2]Pointage!BH33,Feuil1!$A:$B,2,FALSE),"")</f>
        <v/>
      </c>
      <c r="BE39" s="31" t="str">
        <f>IFERROR(VLOOKUP([2]Pointage!BI33,Feuil1!$A:$B,2,FALSE),"")</f>
        <v/>
      </c>
      <c r="BF39" s="31" t="str">
        <f>IFERROR(VLOOKUP([2]Pointage!BJ33,Feuil1!$A:$B,2,FALSE),"")</f>
        <v/>
      </c>
      <c r="BG39" s="31" t="str">
        <f>IFERROR(VLOOKUP([2]Pointage!BK33,Feuil1!$A:$B,2,FALSE),"")</f>
        <v/>
      </c>
      <c r="BH39" s="31" t="str">
        <f>IFERROR(VLOOKUP([2]Pointage!BL33,Feuil1!$A:$B,2,FALSE),"")</f>
        <v/>
      </c>
      <c r="BI39" s="31" t="str">
        <f>IFERROR(VLOOKUP([2]Pointage!BM33,Feuil1!$A:$B,2,FALSE),"")</f>
        <v/>
      </c>
      <c r="BJ39" s="31" t="str">
        <f>IFERROR(VLOOKUP([2]Pointage!BN33,Feuil1!$A:$B,2,FALSE),"")</f>
        <v/>
      </c>
      <c r="BK39" s="31" t="str">
        <f>IFERROR(VLOOKUP([2]Pointage!BO33,Feuil1!$A:$B,2,FALSE),"")</f>
        <v>C</v>
      </c>
      <c r="BL39" s="82" t="str">
        <f>IFERROR(VLOOKUP([2]Pointage!BP33,Feuil1!$A:$B,2,FALSE),"")</f>
        <v/>
      </c>
      <c r="BM39" s="47" t="str">
        <f>IFERROR(VLOOKUP([2]Pointage!BQ33,Feuil1!$A:$B,2,FALSE),"")</f>
        <v/>
      </c>
      <c r="BN39" s="31" t="str">
        <f>IFERROR(VLOOKUP([2]Pointage!BR33,Feuil1!$A:$B,2,FALSE),"")</f>
        <v/>
      </c>
      <c r="BO39" s="31" t="str">
        <f>IFERROR(VLOOKUP([2]Pointage!BS33,Feuil1!$A:$B,2,FALSE),"")</f>
        <v/>
      </c>
      <c r="BP39" s="31" t="str">
        <f>IFERROR(VLOOKUP([2]Pointage!BT33,Feuil1!$A:$B,2,FALSE),"")</f>
        <v/>
      </c>
      <c r="BQ39" s="31" t="str">
        <f>IFERROR(VLOOKUP([2]Pointage!BU33,Feuil1!$A:$B,2,FALSE),"")</f>
        <v/>
      </c>
      <c r="BR39" s="31" t="str">
        <f>IFERROR(VLOOKUP([2]Pointage!BV33,Feuil1!$A:$B,2,FALSE),"")</f>
        <v/>
      </c>
      <c r="BS39" s="31" t="str">
        <f>IFERROR(VLOOKUP([2]Pointage!BW33,Feuil1!$A:$B,2,FALSE),"")</f>
        <v/>
      </c>
      <c r="BT39" s="31" t="str">
        <f>IFERROR(VLOOKUP([2]Pointage!BX33,Feuil1!$A:$B,2,FALSE),"")</f>
        <v/>
      </c>
      <c r="BU39" s="31" t="str">
        <f>IFERROR(VLOOKUP([2]Pointage!BY33,Feuil1!$A:$B,2,FALSE),"")</f>
        <v>C</v>
      </c>
      <c r="BV39" s="31" t="str">
        <f>IFERROR(VLOOKUP([2]Pointage!BZ33,Feuil1!$A:$B,2,FALSE),"")</f>
        <v/>
      </c>
      <c r="BW39" s="31" t="str">
        <f>IFERROR(VLOOKUP([2]Pointage!CA33,Feuil1!$A:$B,2,FALSE),"")</f>
        <v/>
      </c>
      <c r="BX39" s="31" t="str">
        <f>IFERROR(VLOOKUP([2]Pointage!CB33,Feuil1!$A:$B,2,FALSE),"")</f>
        <v/>
      </c>
      <c r="BY39" s="31" t="str">
        <f>IFERROR(VLOOKUP([2]Pointage!CC33,Feuil1!$A:$B,2,FALSE),"")</f>
        <v/>
      </c>
      <c r="BZ39" s="31" t="str">
        <f>IFERROR(VLOOKUP([2]Pointage!CD33,Feuil1!$A:$B,2,FALSE),"")</f>
        <v/>
      </c>
      <c r="CA39" s="31" t="str">
        <f>IFERROR(VLOOKUP([2]Pointage!CE33,Feuil1!$A:$B,2,FALSE),"")</f>
        <v/>
      </c>
      <c r="CB39" s="31" t="str">
        <f>IFERROR(VLOOKUP([2]Pointage!CF33,Feuil1!$A:$B,2,FALSE),"")</f>
        <v/>
      </c>
      <c r="CC39" s="31" t="str">
        <f>IFERROR(VLOOKUP([2]Pointage!CG33,Feuil1!$A:$B,2,FALSE),"")</f>
        <v/>
      </c>
      <c r="CD39" s="31" t="str">
        <f>IFERROR(VLOOKUP([2]Pointage!CH33,Feuil1!$A:$B,2,FALSE),"")</f>
        <v/>
      </c>
      <c r="CE39" s="31" t="str">
        <f>IFERROR(VLOOKUP([2]Pointage!CI33,Feuil1!$A:$B,2,FALSE),"")</f>
        <v/>
      </c>
      <c r="CF39" s="31" t="str">
        <f>IFERROR(VLOOKUP([2]Pointage!CJ33,Feuil1!$A:$B,2,FALSE),"")</f>
        <v/>
      </c>
      <c r="CG39" s="31" t="str">
        <f>IFERROR(VLOOKUP([2]Pointage!CK33,Feuil1!$A:$B,2,FALSE),"")</f>
        <v/>
      </c>
      <c r="CH39" s="31" t="str">
        <f>IFERROR(VLOOKUP([2]Pointage!CL33,Feuil1!$A:$B,2,FALSE),"")</f>
        <v/>
      </c>
      <c r="CI39" s="31" t="str">
        <f>IFERROR(VLOOKUP([2]Pointage!CM33,Feuil1!$A:$B,2,FALSE),"")</f>
        <v/>
      </c>
      <c r="CJ39" s="31" t="str">
        <f>IFERROR(VLOOKUP([2]Pointage!CN33,Feuil1!$A:$B,2,FALSE),"")</f>
        <v/>
      </c>
      <c r="CK39" s="31" t="str">
        <f>IFERROR(VLOOKUP([2]Pointage!CO33,Feuil1!$A:$B,2,FALSE),"")</f>
        <v/>
      </c>
      <c r="CL39" s="31" t="str">
        <f>IFERROR(VLOOKUP([2]Pointage!CP33,Feuil1!$A:$B,2,FALSE),"")</f>
        <v/>
      </c>
      <c r="CM39" s="31" t="str">
        <f>IFERROR(VLOOKUP([2]Pointage!CQ33,Feuil1!$A:$B,2,FALSE),"")</f>
        <v/>
      </c>
      <c r="CN39" s="31" t="str">
        <f>IFERROR(VLOOKUP([2]Pointage!CR33,Feuil1!$A:$B,2,FALSE),"")</f>
        <v/>
      </c>
      <c r="CO39" s="31" t="str">
        <f>IFERROR(VLOOKUP([2]Pointage!CS33,Feuil1!$A:$B,2,FALSE),"")</f>
        <v/>
      </c>
      <c r="CP39" s="31" t="str">
        <f>IFERROR(VLOOKUP([2]Pointage!CT33,Feuil1!$A:$B,2,FALSE),"")</f>
        <v/>
      </c>
      <c r="CQ39" s="82" t="str">
        <f>IFERROR(VLOOKUP([2]Pointage!CU33,Feuil1!$A:$B,2,FALSE),"")</f>
        <v/>
      </c>
      <c r="CR39" s="47" t="str">
        <f>IFERROR(VLOOKUP([2]Pointage!CV33,Feuil1!$A:$B,2,FALSE),"")</f>
        <v/>
      </c>
      <c r="CS39" s="31" t="str">
        <f>IFERROR(VLOOKUP([2]Pointage!CW33,Feuil1!$A:$B,2,FALSE),"")</f>
        <v/>
      </c>
      <c r="CT39" s="31" t="str">
        <f>IFERROR(VLOOKUP([2]Pointage!CX33,Feuil1!$A:$B,2,FALSE),"")</f>
        <v/>
      </c>
      <c r="CU39" s="31" t="str">
        <f>IFERROR(VLOOKUP([2]Pointage!CY33,Feuil1!$A:$B,2,FALSE),"")</f>
        <v/>
      </c>
      <c r="CV39" s="31" t="str">
        <f>IFERROR(VLOOKUP([2]Pointage!CZ33,Feuil1!$A:$B,2,FALSE),"")</f>
        <v/>
      </c>
      <c r="CW39" s="31" t="str">
        <f>IFERROR(VLOOKUP([2]Pointage!DA33,Feuil1!$A:$B,2,FALSE),"")</f>
        <v/>
      </c>
      <c r="CX39" s="31" t="str">
        <f>IFERROR(VLOOKUP([2]Pointage!DB33,Feuil1!$A:$B,2,FALSE),"")</f>
        <v/>
      </c>
      <c r="CY39" s="31" t="str">
        <f>IFERROR(VLOOKUP([2]Pointage!DC33,Feuil1!$A:$B,2,FALSE),"")</f>
        <v/>
      </c>
      <c r="CZ39" s="31" t="str">
        <f>IFERROR(VLOOKUP([2]Pointage!DD33,Feuil1!$A:$B,2,FALSE),"")</f>
        <v/>
      </c>
      <c r="DA39" s="31" t="str">
        <f>IFERROR(VLOOKUP([2]Pointage!DE33,Feuil1!$A:$B,2,FALSE),"")</f>
        <v/>
      </c>
      <c r="DB39" s="31" t="str">
        <f>IFERROR(VLOOKUP([2]Pointage!DF33,Feuil1!$A:$B,2,FALSE),"")</f>
        <v/>
      </c>
      <c r="DC39" s="31" t="str">
        <f>IFERROR(VLOOKUP([2]Pointage!DG33,Feuil1!$A:$B,2,FALSE),"")</f>
        <v/>
      </c>
      <c r="DD39" s="31" t="str">
        <f>IFERROR(VLOOKUP([2]Pointage!DH33,Feuil1!$A:$B,2,FALSE),"")</f>
        <v/>
      </c>
      <c r="DE39" s="31" t="str">
        <f>IFERROR(VLOOKUP([2]Pointage!DI33,Feuil1!$A:$B,2,FALSE),"")</f>
        <v/>
      </c>
      <c r="DF39" s="31" t="str">
        <f>IFERROR(VLOOKUP([2]Pointage!DJ33,Feuil1!$A:$B,2,FALSE),"")</f>
        <v/>
      </c>
      <c r="DG39" s="31" t="str">
        <f>IFERROR(VLOOKUP([2]Pointage!DK33,Feuil1!$A:$B,2,FALSE),"")</f>
        <v>C</v>
      </c>
      <c r="DH39" s="31" t="str">
        <f>IFERROR(VLOOKUP([2]Pointage!DL33,Feuil1!$A:$B,2,FALSE),"")</f>
        <v>C</v>
      </c>
      <c r="DI39" s="31" t="str">
        <f>IFERROR(VLOOKUP([2]Pointage!DM33,Feuil1!$A:$B,2,FALSE),"")</f>
        <v/>
      </c>
      <c r="DJ39" s="31" t="str">
        <f>IFERROR(VLOOKUP([2]Pointage!DN33,Feuil1!$A:$B,2,FALSE),"")</f>
        <v/>
      </c>
      <c r="DK39" s="31" t="str">
        <f>IFERROR(VLOOKUP([2]Pointage!DO33,Feuil1!$A:$B,2,FALSE),"")</f>
        <v/>
      </c>
      <c r="DL39" s="31" t="str">
        <f>IFERROR(VLOOKUP([2]Pointage!DP33,Feuil1!$A:$B,2,FALSE),"")</f>
        <v/>
      </c>
      <c r="DM39" s="31" t="str">
        <f>IFERROR(VLOOKUP([2]Pointage!DQ33,Feuil1!$A:$B,2,FALSE),"")</f>
        <v/>
      </c>
      <c r="DN39" s="31" t="str">
        <f>IFERROR(VLOOKUP([2]Pointage!DR33,Feuil1!$A:$B,2,FALSE),"")</f>
        <v/>
      </c>
      <c r="DO39" s="31" t="str">
        <f>IFERROR(VLOOKUP([2]Pointage!DS33,Feuil1!$A:$B,2,FALSE),"")</f>
        <v/>
      </c>
      <c r="DP39" s="31" t="str">
        <f>IFERROR(VLOOKUP([2]Pointage!DT33,Feuil1!$A:$B,2,FALSE),"")</f>
        <v/>
      </c>
      <c r="DQ39" s="31" t="str">
        <f>IFERROR(VLOOKUP([2]Pointage!DU33,Feuil1!$A:$B,2,FALSE),"")</f>
        <v/>
      </c>
      <c r="DR39" s="31" t="str">
        <f>IFERROR(VLOOKUP([2]Pointage!DV33,Feuil1!$A:$B,2,FALSE),"")</f>
        <v/>
      </c>
      <c r="DS39" s="31" t="str">
        <f>IFERROR(VLOOKUP([2]Pointage!DW33,Feuil1!$A:$B,2,FALSE),"")</f>
        <v/>
      </c>
      <c r="DT39" s="31" t="str">
        <f>IFERROR(VLOOKUP([2]Pointage!DX33,Feuil1!$A:$B,2,FALSE),"")</f>
        <v/>
      </c>
      <c r="DU39" s="82" t="str">
        <f>IFERROR(VLOOKUP([2]Pointage!DY33,Feuil1!$A:$B,2,FALSE),"")</f>
        <v>C</v>
      </c>
      <c r="DV39" s="47" t="str">
        <f>IFERROR(VLOOKUP([2]Pointage!DZ33,Feuil1!$A:$B,2,FALSE),"")</f>
        <v/>
      </c>
      <c r="DW39" s="31" t="str">
        <f>IFERROR(VLOOKUP([2]Pointage!EA33,Feuil1!$A:$B,2,FALSE),"")</f>
        <v/>
      </c>
      <c r="DX39" s="31" t="str">
        <f>IFERROR(VLOOKUP([2]Pointage!EB33,Feuil1!$A:$B,2,FALSE),"")</f>
        <v/>
      </c>
      <c r="DY39" s="31" t="str">
        <f>IFERROR(VLOOKUP([2]Pointage!EC33,Feuil1!$A:$B,2,FALSE),"")</f>
        <v/>
      </c>
      <c r="DZ39" s="31" t="str">
        <f>IFERROR(VLOOKUP([2]Pointage!ED33,Feuil1!$A:$B,2,FALSE),"")</f>
        <v/>
      </c>
      <c r="EA39" s="31" t="str">
        <f>IFERROR(VLOOKUP([2]Pointage!EE33,Feuil1!$A:$B,2,FALSE),"")</f>
        <v/>
      </c>
      <c r="EB39" s="31" t="str">
        <f>IFERROR(VLOOKUP([2]Pointage!EF33,Feuil1!$A:$B,2,FALSE),"")</f>
        <v/>
      </c>
      <c r="EC39" s="31" t="str">
        <f>IFERROR(VLOOKUP([2]Pointage!EG33,Feuil1!$A:$B,2,FALSE),"")</f>
        <v/>
      </c>
      <c r="ED39" s="31" t="str">
        <f>IFERROR(VLOOKUP([2]Pointage!EH33,Feuil1!$A:$B,2,FALSE),"")</f>
        <v/>
      </c>
      <c r="EE39" s="31" t="str">
        <f>IFERROR(VLOOKUP([2]Pointage!EI33,Feuil1!$A:$B,2,FALSE),"")</f>
        <v/>
      </c>
      <c r="EF39" s="31" t="str">
        <f>IFERROR(VLOOKUP([2]Pointage!EJ33,Feuil1!$A:$B,2,FALSE),"")</f>
        <v/>
      </c>
      <c r="EG39" s="31" t="str">
        <f>IFERROR(VLOOKUP([2]Pointage!EK33,Feuil1!$A:$B,2,FALSE),"")</f>
        <v/>
      </c>
      <c r="EH39" s="31" t="str">
        <f>IFERROR(VLOOKUP([2]Pointage!EL33,Feuil1!$A:$B,2,FALSE),"")</f>
        <v/>
      </c>
      <c r="EI39" s="31" t="str">
        <f>IFERROR(VLOOKUP([2]Pointage!EM33,Feuil1!$A:$B,2,FALSE),"")</f>
        <v/>
      </c>
      <c r="EJ39" s="31" t="str">
        <f>IFERROR(VLOOKUP([2]Pointage!EN33,Feuil1!$A:$B,2,FALSE),"")</f>
        <v/>
      </c>
      <c r="EK39" s="31" t="str">
        <f>IFERROR(VLOOKUP([2]Pointage!EO33,Feuil1!$A:$B,2,FALSE),"")</f>
        <v/>
      </c>
      <c r="EL39" s="31" t="str">
        <f>IFERROR(VLOOKUP([2]Pointage!EP33,Feuil1!$A:$B,2,FALSE),"")</f>
        <v/>
      </c>
      <c r="EM39" s="31" t="str">
        <f>IFERROR(VLOOKUP([2]Pointage!EQ33,Feuil1!$A:$B,2,FALSE),"")</f>
        <v/>
      </c>
      <c r="EN39" s="31" t="str">
        <f>IFERROR(VLOOKUP([2]Pointage!ER33,Feuil1!$A:$B,2,FALSE),"")</f>
        <v/>
      </c>
      <c r="EO39" s="31" t="str">
        <f>IFERROR(VLOOKUP([2]Pointage!ES33,Feuil1!$A:$B,2,FALSE),"")</f>
        <v/>
      </c>
      <c r="EP39" s="31" t="str">
        <f>IFERROR(VLOOKUP([2]Pointage!ET33,Feuil1!$A:$B,2,FALSE),"")</f>
        <v/>
      </c>
      <c r="EQ39" s="31" t="str">
        <f>IFERROR(VLOOKUP([2]Pointage!EU33,Feuil1!$A:$B,2,FALSE),"")</f>
        <v/>
      </c>
      <c r="ER39" s="31" t="str">
        <f>IFERROR(VLOOKUP([2]Pointage!EV33,Feuil1!$A:$B,2,FALSE),"")</f>
        <v/>
      </c>
      <c r="ES39" s="31" t="str">
        <f>IFERROR(VLOOKUP([2]Pointage!EW33,Feuil1!$A:$B,2,FALSE),"")</f>
        <v/>
      </c>
      <c r="ET39" s="31" t="str">
        <f>IFERROR(VLOOKUP([2]Pointage!EX33,Feuil1!$A:$B,2,FALSE),"")</f>
        <v/>
      </c>
      <c r="EU39" s="31" t="str">
        <f>IFERROR(VLOOKUP([2]Pointage!EY33,Feuil1!$A:$B,2,FALSE),"")</f>
        <v/>
      </c>
      <c r="EV39" s="31" t="str">
        <f>IFERROR(VLOOKUP([2]Pointage!EZ33,Feuil1!$A:$B,2,FALSE),"")</f>
        <v/>
      </c>
      <c r="EW39" s="31" t="str">
        <f>IFERROR(VLOOKUP([2]Pointage!FA33,Feuil1!$A:$B,2,FALSE),"")</f>
        <v/>
      </c>
      <c r="EX39" s="31" t="str">
        <f>IFERROR(VLOOKUP([2]Pointage!FB33,Feuil1!$A:$B,2,FALSE),"")</f>
        <v/>
      </c>
      <c r="EY39" s="31" t="str">
        <f>IFERROR(VLOOKUP([2]Pointage!FC33,Feuil1!$A:$B,2,FALSE),"")</f>
        <v/>
      </c>
      <c r="EZ39" s="82" t="str">
        <f>IFERROR(VLOOKUP([2]Pointage!FD33,Feuil1!$A:$B,2,FALSE),"")</f>
        <v/>
      </c>
      <c r="FA39" s="47" t="str">
        <f>IFERROR(VLOOKUP([2]Pointage!FE33,Feuil1!$A:$B,2,FALSE),"")</f>
        <v/>
      </c>
      <c r="FB39" s="31" t="str">
        <f>IFERROR(VLOOKUP([2]Pointage!FF33,Feuil1!$A:$B,2,FALSE),"")</f>
        <v/>
      </c>
      <c r="FC39" s="31" t="str">
        <f>IFERROR(VLOOKUP([2]Pointage!FG33,Feuil1!$A:$B,2,FALSE),"")</f>
        <v/>
      </c>
      <c r="FD39" s="31" t="str">
        <f>IFERROR(VLOOKUP([2]Pointage!FH33,Feuil1!$A:$B,2,FALSE),"")</f>
        <v/>
      </c>
      <c r="FE39" s="31" t="str">
        <f>IFERROR(VLOOKUP([2]Pointage!FI33,Feuil1!$A:$B,2,FALSE),"")</f>
        <v/>
      </c>
      <c r="FF39" s="31" t="str">
        <f>IFERROR(VLOOKUP([2]Pointage!FJ33,Feuil1!$A:$B,2,FALSE),"")</f>
        <v/>
      </c>
      <c r="FG39" s="31" t="str">
        <f>IFERROR(VLOOKUP([2]Pointage!FK33,Feuil1!$A:$B,2,FALSE),"")</f>
        <v/>
      </c>
      <c r="FH39" s="31" t="str">
        <f>IFERROR(VLOOKUP([2]Pointage!FL33,Feuil1!$A:$B,2,FALSE),"")</f>
        <v/>
      </c>
      <c r="FI39" s="31" t="str">
        <f>IFERROR(VLOOKUP([2]Pointage!FM33,Feuil1!$A:$B,2,FALSE),"")</f>
        <v/>
      </c>
      <c r="FJ39" s="31" t="str">
        <f>IFERROR(VLOOKUP([2]Pointage!FN33,Feuil1!$A:$B,2,FALSE),"")</f>
        <v/>
      </c>
      <c r="FK39" s="31" t="str">
        <f>IFERROR(VLOOKUP([2]Pointage!FO33,Feuil1!$A:$B,2,FALSE),"")</f>
        <v/>
      </c>
      <c r="FL39" s="31" t="str">
        <f>IFERROR(VLOOKUP([2]Pointage!FP33,Feuil1!$A:$B,2,FALSE),"")</f>
        <v/>
      </c>
      <c r="FM39" s="31" t="str">
        <f>IFERROR(VLOOKUP([2]Pointage!FQ33,Feuil1!$A:$B,2,FALSE),"")</f>
        <v/>
      </c>
      <c r="FN39" s="31" t="str">
        <f>IFERROR(VLOOKUP([2]Pointage!FR33,Feuil1!$A:$B,2,FALSE),"")</f>
        <v/>
      </c>
      <c r="FO39" s="31" t="str">
        <f>IFERROR(VLOOKUP([2]Pointage!FS33,Feuil1!$A:$B,2,FALSE),"")</f>
        <v/>
      </c>
      <c r="FP39" s="31" t="str">
        <f>IFERROR(VLOOKUP([2]Pointage!FT33,Feuil1!$A:$B,2,FALSE),"")</f>
        <v/>
      </c>
      <c r="FQ39" s="31" t="str">
        <f>IFERROR(VLOOKUP([2]Pointage!FU33,Feuil1!$A:$B,2,FALSE),"")</f>
        <v/>
      </c>
      <c r="FR39" s="31" t="str">
        <f>IFERROR(VLOOKUP([2]Pointage!FV33,Feuil1!$A:$B,2,FALSE),"")</f>
        <v/>
      </c>
      <c r="FS39" s="31" t="str">
        <f>IFERROR(VLOOKUP([2]Pointage!FW33,Feuil1!$A:$B,2,FALSE),"")</f>
        <v/>
      </c>
      <c r="FT39" s="31" t="str">
        <f>IFERROR(VLOOKUP([2]Pointage!FX33,Feuil1!$A:$B,2,FALSE),"")</f>
        <v/>
      </c>
      <c r="FU39" s="31" t="str">
        <f>IFERROR(VLOOKUP([2]Pointage!FY33,Feuil1!$A:$B,2,FALSE),"")</f>
        <v/>
      </c>
      <c r="FV39" s="31" t="str">
        <f>IFERROR(VLOOKUP([2]Pointage!FZ33,Feuil1!$A:$B,2,FALSE),"")</f>
        <v/>
      </c>
      <c r="FW39" s="31" t="str">
        <f>IFERROR(VLOOKUP([2]Pointage!GA33,Feuil1!$A:$B,2,FALSE),"")</f>
        <v/>
      </c>
      <c r="FX39" s="31" t="str">
        <f>IFERROR(VLOOKUP([2]Pointage!GB33,Feuil1!$A:$B,2,FALSE),"")</f>
        <v/>
      </c>
      <c r="FY39" s="31" t="str">
        <f>IFERROR(VLOOKUP([2]Pointage!GC33,Feuil1!$A:$B,2,FALSE),"")</f>
        <v/>
      </c>
      <c r="FZ39" s="31" t="str">
        <f>IFERROR(VLOOKUP([2]Pointage!GD33,Feuil1!$A:$B,2,FALSE),"")</f>
        <v/>
      </c>
      <c r="GA39" s="31" t="str">
        <f>IFERROR(VLOOKUP([2]Pointage!GE33,Feuil1!$A:$B,2,FALSE),"")</f>
        <v/>
      </c>
      <c r="GB39" s="31" t="str">
        <f>IFERROR(VLOOKUP([2]Pointage!GF33,Feuil1!$A:$B,2,FALSE),"")</f>
        <v/>
      </c>
      <c r="GC39" s="31" t="str">
        <f>IFERROR(VLOOKUP([2]Pointage!GG33,Feuil1!$A:$B,2,FALSE),"")</f>
        <v/>
      </c>
      <c r="GD39" s="82" t="str">
        <f>IFERROR(VLOOKUP([2]Pointage!GH33,Feuil1!$A:$B,2,FALSE),"")</f>
        <v/>
      </c>
      <c r="GE39" s="47" t="str">
        <f>IFERROR(VLOOKUP([2]Pointage!GI33,Feuil1!$A:$B,2,FALSE),"")</f>
        <v/>
      </c>
      <c r="GF39" s="31" t="str">
        <f>IFERROR(VLOOKUP([2]Pointage!GJ33,Feuil1!$A:$B,2,FALSE),"")</f>
        <v>C</v>
      </c>
      <c r="GG39" s="31" t="str">
        <f>IFERROR(VLOOKUP([2]Pointage!GK33,Feuil1!$A:$B,2,FALSE),"")</f>
        <v>C</v>
      </c>
      <c r="GH39" s="31" t="str">
        <f>IFERROR(VLOOKUP([2]Pointage!GL33,Feuil1!$A:$B,2,FALSE),"")</f>
        <v>C</v>
      </c>
      <c r="GI39" s="31" t="str">
        <f>IFERROR(VLOOKUP([2]Pointage!GM33,Feuil1!$A:$B,2,FALSE),"")</f>
        <v>C</v>
      </c>
      <c r="GJ39" s="31" t="str">
        <f>IFERROR(VLOOKUP([2]Pointage!GN33,Feuil1!$A:$B,2,FALSE),"")</f>
        <v>C</v>
      </c>
      <c r="GK39" s="31" t="str">
        <f>IFERROR(VLOOKUP([2]Pointage!GO33,Feuil1!$A:$B,2,FALSE),"")</f>
        <v/>
      </c>
      <c r="GL39" s="31" t="str">
        <f>IFERROR(VLOOKUP([2]Pointage!GP33,Feuil1!$A:$B,2,FALSE),"")</f>
        <v/>
      </c>
      <c r="GM39" s="31" t="str">
        <f>IFERROR(VLOOKUP([2]Pointage!GQ33,Feuil1!$A:$B,2,FALSE),"")</f>
        <v>C</v>
      </c>
      <c r="GN39" s="31" t="str">
        <f>IFERROR(VLOOKUP([2]Pointage!GR33,Feuil1!$A:$B,2,FALSE),"")</f>
        <v>C</v>
      </c>
      <c r="GO39" s="31" t="str">
        <f>IFERROR(VLOOKUP([2]Pointage!GS33,Feuil1!$A:$B,2,FALSE),"")</f>
        <v>C</v>
      </c>
      <c r="GP39" s="31" t="str">
        <f>IFERROR(VLOOKUP([2]Pointage!GT33,Feuil1!$A:$B,2,FALSE),"")</f>
        <v>C</v>
      </c>
      <c r="GQ39" s="31" t="str">
        <f>IFERROR(VLOOKUP([2]Pointage!GU33,Feuil1!$A:$B,2,FALSE),"")</f>
        <v>C</v>
      </c>
      <c r="GR39" s="31" t="str">
        <f>IFERROR(VLOOKUP([2]Pointage!GV33,Feuil1!$A:$B,2,FALSE),"")</f>
        <v/>
      </c>
      <c r="GS39" s="31" t="str">
        <f>IFERROR(VLOOKUP([2]Pointage!GW33,Feuil1!$A:$B,2,FALSE),"")</f>
        <v/>
      </c>
      <c r="GT39" s="31" t="str">
        <f>IFERROR(VLOOKUP([2]Pointage!GX33,Feuil1!$A:$B,2,FALSE),"")</f>
        <v/>
      </c>
      <c r="GU39" s="31" t="str">
        <f>IFERROR(VLOOKUP([2]Pointage!GY33,Feuil1!$A:$B,2,FALSE),"")</f>
        <v/>
      </c>
      <c r="GV39" s="31" t="str">
        <f>IFERROR(VLOOKUP([2]Pointage!GZ33,Feuil1!$A:$B,2,FALSE),"")</f>
        <v/>
      </c>
      <c r="GW39" s="31" t="str">
        <f>IFERROR(VLOOKUP([2]Pointage!HA33,Feuil1!$A:$B,2,FALSE),"")</f>
        <v/>
      </c>
      <c r="GX39" s="31" t="str">
        <f>IFERROR(VLOOKUP([2]Pointage!HB33,Feuil1!$A:$B,2,FALSE),"")</f>
        <v/>
      </c>
      <c r="GY39" s="31" t="str">
        <f>IFERROR(VLOOKUP([2]Pointage!HC33,Feuil1!$A:$B,2,FALSE),"")</f>
        <v/>
      </c>
      <c r="GZ39" s="31" t="str">
        <f>IFERROR(VLOOKUP([2]Pointage!HD33,Feuil1!$A:$B,2,FALSE),"")</f>
        <v/>
      </c>
      <c r="HA39" s="31" t="str">
        <f>IFERROR(VLOOKUP([2]Pointage!HE33,Feuil1!$A:$B,2,FALSE),"")</f>
        <v/>
      </c>
      <c r="HB39" s="31" t="str">
        <f>IFERROR(VLOOKUP([2]Pointage!HF33,Feuil1!$A:$B,2,FALSE),"")</f>
        <v/>
      </c>
      <c r="HC39" s="31" t="str">
        <f>IFERROR(VLOOKUP([2]Pointage!HG33,Feuil1!$A:$B,2,FALSE),"")</f>
        <v/>
      </c>
      <c r="HD39" s="31" t="str">
        <f>IFERROR(VLOOKUP([2]Pointage!HH33,Feuil1!$A:$B,2,FALSE),"")</f>
        <v/>
      </c>
      <c r="HE39" s="31" t="str">
        <f>IFERROR(VLOOKUP([2]Pointage!HI33,Feuil1!$A:$B,2,FALSE),"")</f>
        <v/>
      </c>
      <c r="HF39" s="31" t="str">
        <f>IFERROR(VLOOKUP([2]Pointage!HJ33,Feuil1!$A:$B,2,FALSE),"")</f>
        <v/>
      </c>
      <c r="HG39" s="31" t="str">
        <f>IFERROR(VLOOKUP([2]Pointage!HK33,Feuil1!$A:$B,2,FALSE),"")</f>
        <v/>
      </c>
      <c r="HH39" s="31" t="str">
        <f>IFERROR(VLOOKUP([2]Pointage!HL33,Feuil1!$A:$B,2,FALSE),"")</f>
        <v/>
      </c>
      <c r="HI39" s="82" t="str">
        <f>IFERROR(VLOOKUP([2]Pointage!HM33,Feuil1!$A:$B,2,FALSE),"")</f>
        <v/>
      </c>
      <c r="HJ39" s="47" t="str">
        <f>IFERROR(VLOOKUP([2]Pointage!HN33,Feuil1!$A:$B,2,FALSE),"")</f>
        <v/>
      </c>
      <c r="HK39" s="31" t="str">
        <f>IFERROR(VLOOKUP([2]Pointage!HO33,Feuil1!$A:$B,2,FALSE),"")</f>
        <v/>
      </c>
      <c r="HL39" s="31" t="str">
        <f>IFERROR(VLOOKUP([2]Pointage!HP33,Feuil1!$A:$B,2,FALSE),"")</f>
        <v/>
      </c>
      <c r="HM39" s="31" t="str">
        <f>IFERROR(VLOOKUP([2]Pointage!HQ33,Feuil1!$A:$B,2,FALSE),"")</f>
        <v/>
      </c>
      <c r="HN39" s="31" t="str">
        <f>IFERROR(VLOOKUP([2]Pointage!HR33,Feuil1!$A:$B,2,FALSE),"")</f>
        <v/>
      </c>
      <c r="HO39" s="31" t="str">
        <f>IFERROR(VLOOKUP([2]Pointage!HS33,Feuil1!$A:$B,2,FALSE),"")</f>
        <v/>
      </c>
      <c r="HP39" s="31" t="str">
        <f>IFERROR(VLOOKUP([2]Pointage!HT33,Feuil1!$A:$B,2,FALSE),"")</f>
        <v/>
      </c>
      <c r="HQ39" s="31" t="str">
        <f>IFERROR(VLOOKUP([2]Pointage!HU33,Feuil1!$A:$B,2,FALSE),"")</f>
        <v/>
      </c>
      <c r="HR39" s="31" t="str">
        <f>IFERROR(VLOOKUP([2]Pointage!HV33,Feuil1!$A:$B,2,FALSE),"")</f>
        <v/>
      </c>
      <c r="HS39" s="31" t="str">
        <f>IFERROR(VLOOKUP([2]Pointage!HW33,Feuil1!$A:$B,2,FALSE),"")</f>
        <v/>
      </c>
      <c r="HT39" s="31" t="str">
        <f>IFERROR(VLOOKUP([2]Pointage!HX33,Feuil1!$A:$B,2,FALSE),"")</f>
        <v/>
      </c>
      <c r="HU39" s="31" t="str">
        <f>IFERROR(VLOOKUP([2]Pointage!HY33,Feuil1!$A:$B,2,FALSE),"")</f>
        <v/>
      </c>
      <c r="HV39" s="31" t="str">
        <f>IFERROR(VLOOKUP([2]Pointage!HZ33,Feuil1!$A:$B,2,FALSE),"")</f>
        <v/>
      </c>
      <c r="HW39" s="31" t="str">
        <f>IFERROR(VLOOKUP([2]Pointage!IA33,Feuil1!$A:$B,2,FALSE),"")</f>
        <v/>
      </c>
      <c r="HX39" s="31" t="str">
        <f>IFERROR(VLOOKUP([2]Pointage!IB33,Feuil1!$A:$B,2,FALSE),"")</f>
        <v/>
      </c>
      <c r="HY39" s="31" t="str">
        <f>IFERROR(VLOOKUP([2]Pointage!IC33,Feuil1!$A:$B,2,FALSE),"")</f>
        <v/>
      </c>
      <c r="HZ39" s="31" t="str">
        <f>IFERROR(VLOOKUP([2]Pointage!ID33,Feuil1!$A:$B,2,FALSE),"")</f>
        <v/>
      </c>
      <c r="IA39" s="31" t="str">
        <f>IFERROR(VLOOKUP([2]Pointage!IE33,Feuil1!$A:$B,2,FALSE),"")</f>
        <v/>
      </c>
      <c r="IB39" s="31" t="str">
        <f>IFERROR(VLOOKUP([2]Pointage!IF33,Feuil1!$A:$B,2,FALSE),"")</f>
        <v/>
      </c>
      <c r="IC39" s="31" t="str">
        <f>IFERROR(VLOOKUP([2]Pointage!IG33,Feuil1!$A:$B,2,FALSE),"")</f>
        <v/>
      </c>
      <c r="ID39" s="31" t="str">
        <f>IFERROR(VLOOKUP([2]Pointage!IH33,Feuil1!$A:$B,2,FALSE),"")</f>
        <v/>
      </c>
      <c r="IE39" s="31" t="str">
        <f>IFERROR(VLOOKUP([2]Pointage!II33,Feuil1!$A:$B,2,FALSE),"")</f>
        <v/>
      </c>
      <c r="IF39" s="31" t="str">
        <f>IFERROR(VLOOKUP([2]Pointage!IJ33,Feuil1!$A:$B,2,FALSE),"")</f>
        <v/>
      </c>
      <c r="IG39" s="31" t="str">
        <f>IFERROR(VLOOKUP([2]Pointage!IK33,Feuil1!$A:$B,2,FALSE),"")</f>
        <v/>
      </c>
      <c r="IH39" s="31" t="str">
        <f>IFERROR(VLOOKUP([2]Pointage!IL33,Feuil1!$A:$B,2,FALSE),"")</f>
        <v/>
      </c>
      <c r="II39" s="31" t="str">
        <f>IFERROR(VLOOKUP([2]Pointage!IM33,Feuil1!$A:$B,2,FALSE),"")</f>
        <v/>
      </c>
      <c r="IJ39" s="31" t="str">
        <f>IFERROR(VLOOKUP([2]Pointage!IN33,Feuil1!$A:$B,2,FALSE),"")</f>
        <v/>
      </c>
      <c r="IK39" s="31" t="str">
        <f>IFERROR(VLOOKUP([2]Pointage!IO33,Feuil1!$A:$B,2,FALSE),"")</f>
        <v/>
      </c>
      <c r="IL39" s="31" t="str">
        <f>IFERROR(VLOOKUP([2]Pointage!IP33,Feuil1!$A:$B,2,FALSE),"")</f>
        <v/>
      </c>
      <c r="IM39" s="31" t="str">
        <f>IFERROR(VLOOKUP([2]Pointage!IQ33,Feuil1!$A:$B,2,FALSE),"")</f>
        <v/>
      </c>
      <c r="IN39" s="82" t="str">
        <f>IFERROR(VLOOKUP([2]Pointage!IR33,Feuil1!$A:$B,2,FALSE),"")</f>
        <v/>
      </c>
      <c r="IO39" s="47" t="str">
        <f>IFERROR(VLOOKUP([2]Pointage!IS33,Feuil1!$A:$B,2,FALSE),"")</f>
        <v/>
      </c>
      <c r="IP39" s="31" t="str">
        <f>IFERROR(VLOOKUP([2]Pointage!IT33,Feuil1!$A:$B,2,FALSE),"")</f>
        <v/>
      </c>
      <c r="IQ39" s="31" t="str">
        <f>IFERROR(VLOOKUP([2]Pointage!IU33,Feuil1!$A:$B,2,FALSE),"")</f>
        <v/>
      </c>
      <c r="IR39" s="31" t="str">
        <f>IFERROR(VLOOKUP([2]Pointage!IV33,Feuil1!$A:$B,2,FALSE),"")</f>
        <v/>
      </c>
      <c r="IS39" s="31" t="str">
        <f>IFERROR(VLOOKUP([2]Pointage!IW33,Feuil1!$A:$B,2,FALSE),"")</f>
        <v/>
      </c>
      <c r="IT39" s="31" t="str">
        <f>IFERROR(VLOOKUP([2]Pointage!IX33,Feuil1!$A:$B,2,FALSE),"")</f>
        <v/>
      </c>
      <c r="IU39" s="31" t="str">
        <f>IFERROR(VLOOKUP([2]Pointage!IY33,Feuil1!$A:$B,2,FALSE),"")</f>
        <v/>
      </c>
      <c r="IV39" s="31" t="str">
        <f>IFERROR(VLOOKUP([2]Pointage!IZ33,Feuil1!$A:$B,2,FALSE),"")</f>
        <v/>
      </c>
      <c r="IW39" s="31" t="str">
        <f>IFERROR(VLOOKUP([2]Pointage!JA33,Feuil1!$A:$B,2,FALSE),"")</f>
        <v/>
      </c>
      <c r="IX39" s="31" t="str">
        <f>IFERROR(VLOOKUP([2]Pointage!JB33,Feuil1!$A:$B,2,FALSE),"")</f>
        <v/>
      </c>
      <c r="IY39" s="31" t="str">
        <f>IFERROR(VLOOKUP([2]Pointage!JC33,Feuil1!$A:$B,2,FALSE),"")</f>
        <v/>
      </c>
      <c r="IZ39" s="31" t="str">
        <f>IFERROR(VLOOKUP([2]Pointage!JD33,Feuil1!$A:$B,2,FALSE),"")</f>
        <v/>
      </c>
      <c r="JA39" s="31" t="str">
        <f>IFERROR(VLOOKUP([2]Pointage!JE33,Feuil1!$A:$B,2,FALSE),"")</f>
        <v/>
      </c>
      <c r="JB39" s="31" t="str">
        <f>IFERROR(VLOOKUP([2]Pointage!JF33,Feuil1!$A:$B,2,FALSE),"")</f>
        <v/>
      </c>
      <c r="JC39" s="31" t="str">
        <f>IFERROR(VLOOKUP([2]Pointage!JG33,Feuil1!$A:$B,2,FALSE),"")</f>
        <v/>
      </c>
      <c r="JD39" s="31" t="str">
        <f>IFERROR(VLOOKUP([2]Pointage!JH33,Feuil1!$A:$B,2,FALSE),"")</f>
        <v/>
      </c>
      <c r="JE39" s="31" t="str">
        <f>IFERROR(VLOOKUP([2]Pointage!JI33,Feuil1!$A:$B,2,FALSE),"")</f>
        <v/>
      </c>
      <c r="JF39" s="31" t="str">
        <f>IFERROR(VLOOKUP([2]Pointage!JJ33,Feuil1!$A:$B,2,FALSE),"")</f>
        <v/>
      </c>
      <c r="JG39" s="31" t="str">
        <f>IFERROR(VLOOKUP([2]Pointage!JK33,Feuil1!$A:$B,2,FALSE),"")</f>
        <v/>
      </c>
      <c r="JH39" s="31" t="str">
        <f>IFERROR(VLOOKUP([2]Pointage!JL33,Feuil1!$A:$B,2,FALSE),"")</f>
        <v/>
      </c>
      <c r="JI39" s="31" t="str">
        <f>IFERROR(VLOOKUP([2]Pointage!JM33,Feuil1!$A:$B,2,FALSE),"")</f>
        <v/>
      </c>
      <c r="JJ39" s="31" t="str">
        <f>IFERROR(VLOOKUP([2]Pointage!JN33,Feuil1!$A:$B,2,FALSE),"")</f>
        <v/>
      </c>
      <c r="JK39" s="31" t="str">
        <f>IFERROR(VLOOKUP([2]Pointage!JO33,Feuil1!$A:$B,2,FALSE),"")</f>
        <v/>
      </c>
      <c r="JL39" s="31" t="str">
        <f>IFERROR(VLOOKUP([2]Pointage!JP33,Feuil1!$A:$B,2,FALSE),"")</f>
        <v/>
      </c>
      <c r="JM39" s="31" t="str">
        <f>IFERROR(VLOOKUP([2]Pointage!JQ33,Feuil1!$A:$B,2,FALSE),"")</f>
        <v/>
      </c>
      <c r="JN39" s="31" t="str">
        <f>IFERROR(VLOOKUP([2]Pointage!JR33,Feuil1!$A:$B,2,FALSE),"")</f>
        <v/>
      </c>
      <c r="JO39" s="31" t="str">
        <f>IFERROR(VLOOKUP([2]Pointage!JS33,Feuil1!$A:$B,2,FALSE),"")</f>
        <v/>
      </c>
      <c r="JP39" s="31" t="str">
        <f>IFERROR(VLOOKUP([2]Pointage!JT33,Feuil1!$A:$B,2,FALSE),"")</f>
        <v/>
      </c>
      <c r="JQ39" s="31" t="str">
        <f>IFERROR(VLOOKUP([2]Pointage!JU33,Feuil1!$A:$B,2,FALSE),"")</f>
        <v/>
      </c>
      <c r="JR39" s="82" t="str">
        <f>IFERROR(VLOOKUP([2]Pointage!JV33,Feuil1!$A:$B,2,FALSE),"")</f>
        <v/>
      </c>
      <c r="JS39" s="47" t="str">
        <f>IFERROR(VLOOKUP([2]Pointage!JW33,Feuil1!$A:$B,2,FALSE),"")</f>
        <v>C</v>
      </c>
      <c r="JT39" s="31" t="str">
        <f>IFERROR(VLOOKUP([2]Pointage!JX33,Feuil1!$A:$B,2,FALSE),"")</f>
        <v>C</v>
      </c>
      <c r="JU39" s="31" t="str">
        <f>IFERROR(VLOOKUP([2]Pointage!JY33,Feuil1!$A:$B,2,FALSE),"")</f>
        <v>C</v>
      </c>
      <c r="JV39" s="31" t="str">
        <f>IFERROR(VLOOKUP([2]Pointage!JZ33,Feuil1!$A:$B,2,FALSE),"")</f>
        <v>C</v>
      </c>
      <c r="JW39" s="31" t="str">
        <f>IFERROR(VLOOKUP([2]Pointage!KA33,Feuil1!$A:$B,2,FALSE),"")</f>
        <v>C</v>
      </c>
      <c r="JX39" s="31" t="str">
        <f>IFERROR(VLOOKUP([2]Pointage!KB33,Feuil1!$A:$B,2,FALSE),"")</f>
        <v/>
      </c>
      <c r="JY39" s="31" t="str">
        <f>IFERROR(VLOOKUP([2]Pointage!KC33,Feuil1!$A:$B,2,FALSE),"")</f>
        <v/>
      </c>
      <c r="JZ39" s="31" t="str">
        <f>IFERROR(VLOOKUP([2]Pointage!KD33,Feuil1!$A:$B,2,FALSE),"")</f>
        <v>C</v>
      </c>
      <c r="KA39" s="31" t="str">
        <f>IFERROR(VLOOKUP([2]Pointage!KE33,Feuil1!$A:$B,2,FALSE),"")</f>
        <v>C</v>
      </c>
      <c r="KB39" s="31" t="str">
        <f>IFERROR(VLOOKUP([2]Pointage!KF33,Feuil1!$A:$B,2,FALSE),"")</f>
        <v>C</v>
      </c>
      <c r="KC39" s="31" t="str">
        <f>IFERROR(VLOOKUP([2]Pointage!KG33,Feuil1!$A:$B,2,FALSE),"")</f>
        <v>C</v>
      </c>
      <c r="KD39" s="31" t="str">
        <f>IFERROR(VLOOKUP([2]Pointage!KH33,Feuil1!$A:$B,2,FALSE),"")</f>
        <v>C</v>
      </c>
      <c r="KE39" s="31" t="str">
        <f>IFERROR(VLOOKUP([2]Pointage!KI33,Feuil1!$A:$B,2,FALSE),"")</f>
        <v/>
      </c>
      <c r="KF39" s="31" t="str">
        <f>IFERROR(VLOOKUP([2]Pointage!KJ33,Feuil1!$A:$B,2,FALSE),"")</f>
        <v/>
      </c>
      <c r="KG39" s="31" t="str">
        <f>IFERROR(VLOOKUP([2]Pointage!KK33,Feuil1!$A:$B,2,FALSE),"")</f>
        <v/>
      </c>
      <c r="KH39" s="31" t="str">
        <f>IFERROR(VLOOKUP([2]Pointage!KL33,Feuil1!$A:$B,2,FALSE),"")</f>
        <v/>
      </c>
      <c r="KI39" s="31" t="str">
        <f>IFERROR(VLOOKUP([2]Pointage!KM33,Feuil1!$A:$B,2,FALSE),"")</f>
        <v/>
      </c>
      <c r="KJ39" s="31" t="str">
        <f>IFERROR(VLOOKUP([2]Pointage!KN33,Feuil1!$A:$B,2,FALSE),"")</f>
        <v/>
      </c>
      <c r="KK39" s="31" t="str">
        <f>IFERROR(VLOOKUP([2]Pointage!KO33,Feuil1!$A:$B,2,FALSE),"")</f>
        <v/>
      </c>
      <c r="KL39" s="31" t="str">
        <f>IFERROR(VLOOKUP([2]Pointage!KP33,Feuil1!$A:$B,2,FALSE),"")</f>
        <v/>
      </c>
      <c r="KM39" s="31" t="str">
        <f>IFERROR(VLOOKUP([2]Pointage!KQ33,Feuil1!$A:$B,2,FALSE),"")</f>
        <v/>
      </c>
      <c r="KN39" s="31" t="str">
        <f>IFERROR(VLOOKUP([2]Pointage!KR33,Feuil1!$A:$B,2,FALSE),"")</f>
        <v/>
      </c>
      <c r="KO39" s="31" t="str">
        <f>IFERROR(VLOOKUP([2]Pointage!KS33,Feuil1!$A:$B,2,FALSE),"")</f>
        <v/>
      </c>
      <c r="KP39" s="31" t="str">
        <f>IFERROR(VLOOKUP([2]Pointage!KT33,Feuil1!$A:$B,2,FALSE),"")</f>
        <v/>
      </c>
      <c r="KQ39" s="31" t="str">
        <f>IFERROR(VLOOKUP([2]Pointage!KU33,Feuil1!$A:$B,2,FALSE),"")</f>
        <v/>
      </c>
      <c r="KR39" s="31" t="str">
        <f>IFERROR(VLOOKUP([2]Pointage!KV33,Feuil1!$A:$B,2,FALSE),"")</f>
        <v/>
      </c>
      <c r="KS39" s="31" t="str">
        <f>IFERROR(VLOOKUP([2]Pointage!KW33,Feuil1!$A:$B,2,FALSE),"")</f>
        <v/>
      </c>
      <c r="KT39" s="31" t="str">
        <f>IFERROR(VLOOKUP([2]Pointage!KX33,Feuil1!$A:$B,2,FALSE),"")</f>
        <v/>
      </c>
      <c r="KU39" s="31" t="str">
        <f>IFERROR(VLOOKUP([2]Pointage!KY33,Feuil1!$A:$B,2,FALSE),"")</f>
        <v/>
      </c>
      <c r="KV39" s="31" t="str">
        <f>IFERROR(VLOOKUP([2]Pointage!KZ33,Feuil1!$A:$B,2,FALSE),"")</f>
        <v/>
      </c>
      <c r="KW39" s="82" t="str">
        <f>IFERROR(VLOOKUP([2]Pointage!LA33,Feuil1!$A:$B,2,FALSE),"")</f>
        <v/>
      </c>
      <c r="KX39" s="47" t="str">
        <f>IFERROR(VLOOKUP([2]Pointage!LB33,Feuil1!$A:$B,2,FALSE),"")</f>
        <v/>
      </c>
      <c r="KY39" s="31" t="str">
        <f>IFERROR(VLOOKUP([2]Pointage!LC33,Feuil1!$A:$B,2,FALSE),"")</f>
        <v/>
      </c>
      <c r="KZ39" s="31" t="str">
        <f>IFERROR(VLOOKUP([2]Pointage!LD33,Feuil1!$A:$B,2,FALSE),"")</f>
        <v/>
      </c>
      <c r="LA39" s="31" t="str">
        <f>IFERROR(VLOOKUP([2]Pointage!LE33,Feuil1!$A:$B,2,FALSE),"")</f>
        <v/>
      </c>
      <c r="LB39" s="31" t="str">
        <f>IFERROR(VLOOKUP([2]Pointage!LF33,Feuil1!$A:$B,2,FALSE),"")</f>
        <v/>
      </c>
      <c r="LC39" s="31" t="str">
        <f>IFERROR(VLOOKUP([2]Pointage!LG33,Feuil1!$A:$B,2,FALSE),"")</f>
        <v/>
      </c>
      <c r="LD39" s="31" t="str">
        <f>IFERROR(VLOOKUP([2]Pointage!LH33,Feuil1!$A:$B,2,FALSE),"")</f>
        <v/>
      </c>
      <c r="LE39" s="31" t="str">
        <f>IFERROR(VLOOKUP([2]Pointage!LI33,Feuil1!$A:$B,2,FALSE),"")</f>
        <v/>
      </c>
      <c r="LF39" s="31" t="str">
        <f>IFERROR(VLOOKUP([2]Pointage!LJ33,Feuil1!$A:$B,2,FALSE),"")</f>
        <v/>
      </c>
      <c r="LG39" s="31" t="str">
        <f>IFERROR(VLOOKUP([2]Pointage!LK33,Feuil1!$A:$B,2,FALSE),"")</f>
        <v/>
      </c>
      <c r="LH39" s="31" t="str">
        <f>IFERROR(VLOOKUP([2]Pointage!LL33,Feuil1!$A:$B,2,FALSE),"")</f>
        <v/>
      </c>
      <c r="LI39" s="31" t="str">
        <f>IFERROR(VLOOKUP([2]Pointage!LM33,Feuil1!$A:$B,2,FALSE),"")</f>
        <v/>
      </c>
      <c r="LJ39" s="31" t="str">
        <f>IFERROR(VLOOKUP([2]Pointage!LN33,Feuil1!$A:$B,2,FALSE),"")</f>
        <v/>
      </c>
      <c r="LK39" s="31" t="str">
        <f>IFERROR(VLOOKUP([2]Pointage!LO33,Feuil1!$A:$B,2,FALSE),"")</f>
        <v/>
      </c>
      <c r="LL39" s="31" t="str">
        <f>IFERROR(VLOOKUP([2]Pointage!LP33,Feuil1!$A:$B,2,FALSE),"")</f>
        <v/>
      </c>
      <c r="LM39" s="31" t="str">
        <f>IFERROR(VLOOKUP([2]Pointage!LQ33,Feuil1!$A:$B,2,FALSE),"")</f>
        <v/>
      </c>
      <c r="LN39" s="31" t="str">
        <f>IFERROR(VLOOKUP([2]Pointage!LR33,Feuil1!$A:$B,2,FALSE),"")</f>
        <v/>
      </c>
      <c r="LO39" s="31" t="str">
        <f>IFERROR(VLOOKUP([2]Pointage!LS33,Feuil1!$A:$B,2,FALSE),"")</f>
        <v/>
      </c>
      <c r="LP39" s="31" t="str">
        <f>IFERROR(VLOOKUP([2]Pointage!LT33,Feuil1!$A:$B,2,FALSE),"")</f>
        <v/>
      </c>
      <c r="LQ39" s="31" t="str">
        <f>IFERROR(VLOOKUP([2]Pointage!LU33,Feuil1!$A:$B,2,FALSE),"")</f>
        <v/>
      </c>
      <c r="LR39" s="31" t="str">
        <f>IFERROR(VLOOKUP([2]Pointage!LV33,Feuil1!$A:$B,2,FALSE),"")</f>
        <v/>
      </c>
      <c r="LS39" s="31" t="str">
        <f>IFERROR(VLOOKUP([2]Pointage!LW33,Feuil1!$A:$B,2,FALSE),"")</f>
        <v/>
      </c>
      <c r="LT39" s="31" t="str">
        <f>IFERROR(VLOOKUP([2]Pointage!LX33,Feuil1!$A:$B,2,FALSE),"")</f>
        <v/>
      </c>
      <c r="LU39" s="31" t="str">
        <f>IFERROR(VLOOKUP([2]Pointage!LY33,Feuil1!$A:$B,2,FALSE),"")</f>
        <v/>
      </c>
      <c r="LV39" s="31" t="str">
        <f>IFERROR(VLOOKUP([2]Pointage!LZ33,Feuil1!$A:$B,2,FALSE),"")</f>
        <v/>
      </c>
      <c r="LW39" s="31" t="str">
        <f>IFERROR(VLOOKUP([2]Pointage!MA33,Feuil1!$A:$B,2,FALSE),"")</f>
        <v/>
      </c>
      <c r="LX39" s="31" t="str">
        <f>IFERROR(VLOOKUP([2]Pointage!MB33,Feuil1!$A:$B,2,FALSE),"")</f>
        <v/>
      </c>
      <c r="LY39" s="31" t="str">
        <f>IFERROR(VLOOKUP([2]Pointage!MC33,Feuil1!$A:$B,2,FALSE),"")</f>
        <v/>
      </c>
      <c r="LZ39" s="31" t="str">
        <f>IFERROR(VLOOKUP([2]Pointage!MD33,Feuil1!$A:$B,2,FALSE),"")</f>
        <v/>
      </c>
      <c r="MA39" s="82" t="str">
        <f>IFERROR(VLOOKUP([2]Pointage!ME33,Feuil1!$A:$B,2,FALSE),"")</f>
        <v/>
      </c>
      <c r="MB39" s="47" t="str">
        <f>IFERROR(VLOOKUP([2]Pointage!MF33,Feuil1!$A:$B,2,FALSE),"")</f>
        <v/>
      </c>
      <c r="MC39" s="31" t="str">
        <f>IFERROR(VLOOKUP([2]Pointage!MG33,Feuil1!$A:$B,2,FALSE),"")</f>
        <v/>
      </c>
      <c r="MD39" s="31" t="str">
        <f>IFERROR(VLOOKUP([2]Pointage!MH33,Feuil1!$A:$B,2,FALSE),"")</f>
        <v/>
      </c>
      <c r="ME39" s="31" t="str">
        <f>IFERROR(VLOOKUP([2]Pointage!MI33,Feuil1!$A:$B,2,FALSE),"")</f>
        <v/>
      </c>
      <c r="MF39" s="31" t="str">
        <f>IFERROR(VLOOKUP([2]Pointage!MJ33,Feuil1!$A:$B,2,FALSE),"")</f>
        <v/>
      </c>
      <c r="MG39" s="31" t="str">
        <f>IFERROR(VLOOKUP([2]Pointage!MK33,Feuil1!$A:$B,2,FALSE),"")</f>
        <v/>
      </c>
      <c r="MH39" s="31" t="str">
        <f>IFERROR(VLOOKUP([2]Pointage!ML33,Feuil1!$A:$B,2,FALSE),"")</f>
        <v/>
      </c>
      <c r="MI39" s="31" t="str">
        <f>IFERROR(VLOOKUP([2]Pointage!MM33,Feuil1!$A:$B,2,FALSE),"")</f>
        <v/>
      </c>
      <c r="MJ39" s="31" t="str">
        <f>IFERROR(VLOOKUP([2]Pointage!MN33,Feuil1!$A:$B,2,FALSE),"")</f>
        <v/>
      </c>
      <c r="MK39" s="31" t="str">
        <f>IFERROR(VLOOKUP([2]Pointage!MO33,Feuil1!$A:$B,2,FALSE),"")</f>
        <v/>
      </c>
      <c r="ML39" s="31" t="str">
        <f>IFERROR(VLOOKUP([2]Pointage!MP33,Feuil1!$A:$B,2,FALSE),"")</f>
        <v/>
      </c>
      <c r="MM39" s="31" t="str">
        <f>IFERROR(VLOOKUP([2]Pointage!MQ33,Feuil1!$A:$B,2,FALSE),"")</f>
        <v/>
      </c>
      <c r="MN39" s="31" t="str">
        <f>IFERROR(VLOOKUP([2]Pointage!MR33,Feuil1!$A:$B,2,FALSE),"")</f>
        <v/>
      </c>
      <c r="MO39" s="31" t="str">
        <f>IFERROR(VLOOKUP([2]Pointage!MS33,Feuil1!$A:$B,2,FALSE),"")</f>
        <v/>
      </c>
      <c r="MP39" s="31" t="str">
        <f>IFERROR(VLOOKUP([2]Pointage!MT33,Feuil1!$A:$B,2,FALSE),"")</f>
        <v/>
      </c>
      <c r="MQ39" s="31" t="str">
        <f>IFERROR(VLOOKUP([2]Pointage!MU33,Feuil1!$A:$B,2,FALSE),"")</f>
        <v/>
      </c>
      <c r="MR39" s="31" t="str">
        <f>IFERROR(VLOOKUP([2]Pointage!MV33,Feuil1!$A:$B,2,FALSE),"")</f>
        <v/>
      </c>
      <c r="MS39" s="31" t="str">
        <f>IFERROR(VLOOKUP([2]Pointage!MW33,Feuil1!$A:$B,2,FALSE),"")</f>
        <v/>
      </c>
      <c r="MT39" s="31" t="str">
        <f>IFERROR(VLOOKUP([2]Pointage!MX33,Feuil1!$A:$B,2,FALSE),"")</f>
        <v/>
      </c>
      <c r="MU39" s="31" t="str">
        <f>IFERROR(VLOOKUP([2]Pointage!MY33,Feuil1!$A:$B,2,FALSE),"")</f>
        <v/>
      </c>
      <c r="MV39" s="31" t="str">
        <f>IFERROR(VLOOKUP([2]Pointage!MZ33,Feuil1!$A:$B,2,FALSE),"")</f>
        <v/>
      </c>
      <c r="MW39" s="31" t="str">
        <f>IFERROR(VLOOKUP([2]Pointage!NA33,Feuil1!$A:$B,2,FALSE),"")</f>
        <v/>
      </c>
      <c r="MX39" s="31" t="str">
        <f>IFERROR(VLOOKUP([2]Pointage!NB33,Feuil1!$A:$B,2,FALSE),"")</f>
        <v/>
      </c>
      <c r="MY39" s="31" t="str">
        <f>IFERROR(VLOOKUP([2]Pointage!NC33,Feuil1!$A:$B,2,FALSE),"")</f>
        <v/>
      </c>
      <c r="MZ39" s="31" t="str">
        <f>IFERROR(VLOOKUP([2]Pointage!ND33,Feuil1!$A:$B,2,FALSE),"")</f>
        <v/>
      </c>
      <c r="NA39" s="31" t="str">
        <f>IFERROR(VLOOKUP([2]Pointage!NE33,Feuil1!$A:$B,2,FALSE),"")</f>
        <v/>
      </c>
      <c r="NB39" s="31" t="str">
        <f>IFERROR(VLOOKUP([2]Pointage!NF33,Feuil1!$A:$B,2,FALSE),"")</f>
        <v/>
      </c>
      <c r="NC39" s="31" t="str">
        <f>IFERROR(VLOOKUP([2]Pointage!NG33,Feuil1!$A:$B,2,FALSE),"")</f>
        <v/>
      </c>
      <c r="ND39" s="31" t="str">
        <f>IFERROR(VLOOKUP([2]Pointage!NH33,Feuil1!$A:$B,2,FALSE),"")</f>
        <v/>
      </c>
      <c r="NE39" s="31" t="str">
        <f>IFERROR(VLOOKUP([2]Pointage!NI33,Feuil1!$A:$B,2,FALSE),"")</f>
        <v/>
      </c>
      <c r="NF39" s="48" t="str">
        <f>IFERROR(VLOOKUP([2]Pointage!NJ33,Feuil1!$A:$B,2,FALSE),"")</f>
        <v/>
      </c>
      <c r="NG39" s="52">
        <f>COUNTIF(Global!F39:NF39,"RTT")+(COUNTIF(Global!F39:NF39,"dRTT")/2)</f>
        <v>0</v>
      </c>
      <c r="NH39" s="42">
        <f>COUNTIF(Global!F39:NF39,"C")+(COUNTIF(Global!F39:NF39,"DC")/2)</f>
        <v>28</v>
      </c>
      <c r="NI39" s="42">
        <f>COUNTIF(Global!F39:NF39,"M")</f>
        <v>0</v>
      </c>
      <c r="NJ39" s="42">
        <f>COUNTIF(Global!G39:NG39,"AT")</f>
        <v>0</v>
      </c>
      <c r="NK39" s="42">
        <f>COUNTIF(Global!F39:NF39,"RD")</f>
        <v>0</v>
      </c>
      <c r="NL39" s="42">
        <f>COUNTIF(Global!F39:NF39,"RC")+(COUNTIF(Global!F39:NF39,"dRC")/2)</f>
        <v>0</v>
      </c>
      <c r="NM39" s="68">
        <f t="shared" ca="1" si="0"/>
        <v>4.0273972602739727</v>
      </c>
      <c r="NT39" s="33"/>
      <c r="NU39" s="33"/>
      <c r="NV39" s="28"/>
      <c r="NW39" s="28"/>
      <c r="NX39" s="29">
        <f>COUNTIF(F39:NF39,"C")++(COUNTIF(Global!F39:NF39,"DC")/2)</f>
        <v>28</v>
      </c>
      <c r="NY39" s="29"/>
      <c r="NZ39" s="29"/>
      <c r="OA39" s="29"/>
      <c r="OB39" s="29">
        <f>COUNTIF(Global!F39:NF39,"M")</f>
        <v>0</v>
      </c>
      <c r="OC39" s="30">
        <f t="shared" si="1"/>
        <v>-28</v>
      </c>
      <c r="OD39" s="30"/>
    </row>
    <row r="40" spans="1:394" ht="30" customHeight="1" x14ac:dyDescent="0.2">
      <c r="A40" s="15" t="s">
        <v>96</v>
      </c>
      <c r="B40" s="22" t="s">
        <v>221</v>
      </c>
      <c r="C40" s="22" t="s">
        <v>222</v>
      </c>
      <c r="D40" s="22" t="s">
        <v>223</v>
      </c>
      <c r="E40" s="44">
        <v>0</v>
      </c>
      <c r="F40" s="47" t="str">
        <f>IFERROR(VLOOKUP([2]Pointage!J34,Feuil1!$A:$B,2,FALSE),"")</f>
        <v/>
      </c>
      <c r="G40" s="31" t="str">
        <f>IFERROR(VLOOKUP([2]Pointage!K34,Feuil1!$A:$B,2,FALSE),"")</f>
        <v/>
      </c>
      <c r="H40" s="31" t="str">
        <f>IFERROR(VLOOKUP([2]Pointage!L34,Feuil1!$A:$B,2,FALSE),"")</f>
        <v/>
      </c>
      <c r="I40" s="31" t="str">
        <f>IFERROR(VLOOKUP([2]Pointage!M34,Feuil1!$A:$B,2,FALSE),"")</f>
        <v/>
      </c>
      <c r="J40" s="31" t="str">
        <f>IFERROR(VLOOKUP([2]Pointage!N34,Feuil1!$A:$B,2,FALSE),"")</f>
        <v/>
      </c>
      <c r="K40" s="31" t="str">
        <f>IFERROR(VLOOKUP([2]Pointage!O34,Feuil1!$A:$B,2,FALSE),"")</f>
        <v/>
      </c>
      <c r="L40" s="31" t="str">
        <f>IFERROR(VLOOKUP([2]Pointage!P34,Feuil1!$A:$B,2,FALSE),"")</f>
        <v/>
      </c>
      <c r="M40" s="31" t="str">
        <f>IFERROR(VLOOKUP([2]Pointage!Q34,Feuil1!$A:$B,2,FALSE),"")</f>
        <v/>
      </c>
      <c r="N40" s="31" t="str">
        <f>IFERROR(VLOOKUP([2]Pointage!R34,Feuil1!$A:$B,2,FALSE),"")</f>
        <v/>
      </c>
      <c r="O40" s="31" t="str">
        <f>IFERROR(VLOOKUP([2]Pointage!S34,Feuil1!$A:$B,2,FALSE),"")</f>
        <v/>
      </c>
      <c r="P40" s="31" t="str">
        <f>IFERROR(VLOOKUP([2]Pointage!T34,Feuil1!$A:$B,2,FALSE),"")</f>
        <v/>
      </c>
      <c r="Q40" s="31" t="str">
        <f>IFERROR(VLOOKUP([2]Pointage!U34,Feuil1!$A:$B,2,FALSE),"")</f>
        <v/>
      </c>
      <c r="R40" s="31" t="str">
        <f>IFERROR(VLOOKUP([2]Pointage!V34,Feuil1!$A:$B,2,FALSE),"")</f>
        <v/>
      </c>
      <c r="S40" s="31" t="str">
        <f>IFERROR(VLOOKUP([2]Pointage!W34,Feuil1!$A:$B,2,FALSE),"")</f>
        <v/>
      </c>
      <c r="T40" s="31" t="str">
        <f>IFERROR(VLOOKUP([2]Pointage!X34,Feuil1!$A:$B,2,FALSE),"")</f>
        <v/>
      </c>
      <c r="U40" s="31" t="str">
        <f>IFERROR(VLOOKUP([2]Pointage!Y34,Feuil1!$A:$B,2,FALSE),"")</f>
        <v/>
      </c>
      <c r="V40" s="31" t="str">
        <f>IFERROR(VLOOKUP([2]Pointage!Z34,Feuil1!$A:$B,2,FALSE),"")</f>
        <v/>
      </c>
      <c r="W40" s="31" t="str">
        <f>IFERROR(VLOOKUP([2]Pointage!AA34,Feuil1!$A:$B,2,FALSE),"")</f>
        <v/>
      </c>
      <c r="X40" s="31" t="str">
        <f>IFERROR(VLOOKUP([2]Pointage!AB34,Feuil1!$A:$B,2,FALSE),"")</f>
        <v/>
      </c>
      <c r="Y40" s="31" t="str">
        <f>IFERROR(VLOOKUP([2]Pointage!AC34,Feuil1!$A:$B,2,FALSE),"")</f>
        <v/>
      </c>
      <c r="Z40" s="31" t="str">
        <f>IFERROR(VLOOKUP([2]Pointage!AD34,Feuil1!$A:$B,2,FALSE),"")</f>
        <v/>
      </c>
      <c r="AA40" s="31" t="str">
        <f>IFERROR(VLOOKUP([2]Pointage!AE34,Feuil1!$A:$B,2,FALSE),"")</f>
        <v/>
      </c>
      <c r="AB40" s="31" t="str">
        <f>IFERROR(VLOOKUP([2]Pointage!AF34,Feuil1!$A:$B,2,FALSE),"")</f>
        <v/>
      </c>
      <c r="AC40" s="31" t="str">
        <f>IFERROR(VLOOKUP([2]Pointage!AG34,Feuil1!$A:$B,2,FALSE),"")</f>
        <v/>
      </c>
      <c r="AD40" s="31" t="str">
        <f>IFERROR(VLOOKUP([2]Pointage!AH34,Feuil1!$A:$B,2,FALSE),"")</f>
        <v/>
      </c>
      <c r="AE40" s="31" t="str">
        <f>IFERROR(VLOOKUP([2]Pointage!AI34,Feuil1!$A:$B,2,FALSE),"")</f>
        <v/>
      </c>
      <c r="AF40" s="31" t="str">
        <f>IFERROR(VLOOKUP([2]Pointage!AJ34,Feuil1!$A:$B,2,FALSE),"")</f>
        <v/>
      </c>
      <c r="AG40" s="31" t="str">
        <f>IFERROR(VLOOKUP([2]Pointage!AK34,Feuil1!$A:$B,2,FALSE),"")</f>
        <v/>
      </c>
      <c r="AH40" s="31" t="str">
        <f>IFERROR(VLOOKUP([2]Pointage!AL34,Feuil1!$A:$B,2,FALSE),"")</f>
        <v/>
      </c>
      <c r="AI40" s="31" t="str">
        <f>IFERROR(VLOOKUP([2]Pointage!AM34,Feuil1!$A:$B,2,FALSE),"")</f>
        <v/>
      </c>
      <c r="AJ40" s="82" t="str">
        <f>IFERROR(VLOOKUP([2]Pointage!AN34,Feuil1!$A:$B,2,FALSE),"")</f>
        <v/>
      </c>
      <c r="AK40" s="47" t="str">
        <f>IFERROR(VLOOKUP([2]Pointage!AO34,Feuil1!$A:$B,2,FALSE),"")</f>
        <v/>
      </c>
      <c r="AL40" s="31" t="str">
        <f>IFERROR(VLOOKUP([2]Pointage!AP34,Feuil1!$A:$B,2,FALSE),"")</f>
        <v/>
      </c>
      <c r="AM40" s="31" t="str">
        <f>IFERROR(VLOOKUP([2]Pointage!AQ34,Feuil1!$A:$B,2,FALSE),"")</f>
        <v/>
      </c>
      <c r="AN40" s="31" t="str">
        <f>IFERROR(VLOOKUP([2]Pointage!AR34,Feuil1!$A:$B,2,FALSE),"")</f>
        <v/>
      </c>
      <c r="AO40" s="31" t="str">
        <f>IFERROR(VLOOKUP([2]Pointage!AS34,Feuil1!$A:$B,2,FALSE),"")</f>
        <v/>
      </c>
      <c r="AP40" s="31" t="str">
        <f>IFERROR(VLOOKUP([2]Pointage!AT34,Feuil1!$A:$B,2,FALSE),"")</f>
        <v/>
      </c>
      <c r="AQ40" s="31" t="str">
        <f>IFERROR(VLOOKUP([2]Pointage!AU34,Feuil1!$A:$B,2,FALSE),"")</f>
        <v>C</v>
      </c>
      <c r="AR40" s="31" t="str">
        <f>IFERROR(VLOOKUP([2]Pointage!AV34,Feuil1!$A:$B,2,FALSE),"")</f>
        <v/>
      </c>
      <c r="AS40" s="31" t="str">
        <f>IFERROR(VLOOKUP([2]Pointage!AW34,Feuil1!$A:$B,2,FALSE),"")</f>
        <v/>
      </c>
      <c r="AT40" s="31" t="str">
        <f>IFERROR(VLOOKUP([2]Pointage!AX34,Feuil1!$A:$B,2,FALSE),"")</f>
        <v/>
      </c>
      <c r="AU40" s="31" t="str">
        <f>IFERROR(VLOOKUP([2]Pointage!AY34,Feuil1!$A:$B,2,FALSE),"")</f>
        <v/>
      </c>
      <c r="AV40" s="31" t="str">
        <f>IFERROR(VLOOKUP([2]Pointage!AZ34,Feuil1!$A:$B,2,FALSE),"")</f>
        <v/>
      </c>
      <c r="AW40" s="31" t="str">
        <f>IFERROR(VLOOKUP([2]Pointage!BA34,Feuil1!$A:$B,2,FALSE),"")</f>
        <v/>
      </c>
      <c r="AX40" s="31" t="str">
        <f>IFERROR(VLOOKUP([2]Pointage!BB34,Feuil1!$A:$B,2,FALSE),"")</f>
        <v/>
      </c>
      <c r="AY40" s="31" t="str">
        <f>IFERROR(VLOOKUP([2]Pointage!BC34,Feuil1!$A:$B,2,FALSE),"")</f>
        <v/>
      </c>
      <c r="AZ40" s="31" t="str">
        <f>IFERROR(VLOOKUP([2]Pointage!BD34,Feuil1!$A:$B,2,FALSE),"")</f>
        <v/>
      </c>
      <c r="BA40" s="31" t="str">
        <f>IFERROR(VLOOKUP([2]Pointage!BE34,Feuil1!$A:$B,2,FALSE),"")</f>
        <v/>
      </c>
      <c r="BB40" s="31" t="str">
        <f>IFERROR(VLOOKUP([2]Pointage!BF34,Feuil1!$A:$B,2,FALSE),"")</f>
        <v/>
      </c>
      <c r="BC40" s="31" t="str">
        <f>IFERROR(VLOOKUP([2]Pointage!BG34,Feuil1!$A:$B,2,FALSE),"")</f>
        <v/>
      </c>
      <c r="BD40" s="31" t="str">
        <f>IFERROR(VLOOKUP([2]Pointage!BH34,Feuil1!$A:$B,2,FALSE),"")</f>
        <v/>
      </c>
      <c r="BE40" s="31" t="str">
        <f>IFERROR(VLOOKUP([2]Pointage!BI34,Feuil1!$A:$B,2,FALSE),"")</f>
        <v/>
      </c>
      <c r="BF40" s="31" t="str">
        <f>IFERROR(VLOOKUP([2]Pointage!BJ34,Feuil1!$A:$B,2,FALSE),"")</f>
        <v/>
      </c>
      <c r="BG40" s="31" t="str">
        <f>IFERROR(VLOOKUP([2]Pointage!BK34,Feuil1!$A:$B,2,FALSE),"")</f>
        <v/>
      </c>
      <c r="BH40" s="31" t="str">
        <f>IFERROR(VLOOKUP([2]Pointage!BL34,Feuil1!$A:$B,2,FALSE),"")</f>
        <v/>
      </c>
      <c r="BI40" s="31" t="str">
        <f>IFERROR(VLOOKUP([2]Pointage!BM34,Feuil1!$A:$B,2,FALSE),"")</f>
        <v/>
      </c>
      <c r="BJ40" s="31" t="str">
        <f>IFERROR(VLOOKUP([2]Pointage!BN34,Feuil1!$A:$B,2,FALSE),"")</f>
        <v/>
      </c>
      <c r="BK40" s="31" t="str">
        <f>IFERROR(VLOOKUP([2]Pointage!BO34,Feuil1!$A:$B,2,FALSE),"")</f>
        <v/>
      </c>
      <c r="BL40" s="82" t="str">
        <f>IFERROR(VLOOKUP([2]Pointage!BP34,Feuil1!$A:$B,2,FALSE),"")</f>
        <v/>
      </c>
      <c r="BM40" s="47" t="str">
        <f>IFERROR(VLOOKUP([2]Pointage!BQ34,Feuil1!$A:$B,2,FALSE),"")</f>
        <v/>
      </c>
      <c r="BN40" s="31" t="str">
        <f>IFERROR(VLOOKUP([2]Pointage!BR34,Feuil1!$A:$B,2,FALSE),"")</f>
        <v/>
      </c>
      <c r="BO40" s="31" t="str">
        <f>IFERROR(VLOOKUP([2]Pointage!BS34,Feuil1!$A:$B,2,FALSE),"")</f>
        <v/>
      </c>
      <c r="BP40" s="31" t="str">
        <f>IFERROR(VLOOKUP([2]Pointage!BT34,Feuil1!$A:$B,2,FALSE),"")</f>
        <v/>
      </c>
      <c r="BQ40" s="31" t="str">
        <f>IFERROR(VLOOKUP([2]Pointage!BU34,Feuil1!$A:$B,2,FALSE),"")</f>
        <v/>
      </c>
      <c r="BR40" s="31" t="str">
        <f>IFERROR(VLOOKUP([2]Pointage!BV34,Feuil1!$A:$B,2,FALSE),"")</f>
        <v/>
      </c>
      <c r="BS40" s="31" t="str">
        <f>IFERROR(VLOOKUP([2]Pointage!BW34,Feuil1!$A:$B,2,FALSE),"")</f>
        <v/>
      </c>
      <c r="BT40" s="31" t="str">
        <f>IFERROR(VLOOKUP([2]Pointage!BX34,Feuil1!$A:$B,2,FALSE),"")</f>
        <v/>
      </c>
      <c r="BU40" s="31" t="str">
        <f>IFERROR(VLOOKUP([2]Pointage!BY34,Feuil1!$A:$B,2,FALSE),"")</f>
        <v/>
      </c>
      <c r="BV40" s="31" t="str">
        <f>IFERROR(VLOOKUP([2]Pointage!BZ34,Feuil1!$A:$B,2,FALSE),"")</f>
        <v/>
      </c>
      <c r="BW40" s="31" t="str">
        <f>IFERROR(VLOOKUP([2]Pointage!CA34,Feuil1!$A:$B,2,FALSE),"")</f>
        <v/>
      </c>
      <c r="BX40" s="31" t="str">
        <f>IFERROR(VLOOKUP([2]Pointage!CB34,Feuil1!$A:$B,2,FALSE),"")</f>
        <v/>
      </c>
      <c r="BY40" s="31" t="str">
        <f>IFERROR(VLOOKUP([2]Pointage!CC34,Feuil1!$A:$B,2,FALSE),"")</f>
        <v/>
      </c>
      <c r="BZ40" s="31" t="str">
        <f>IFERROR(VLOOKUP([2]Pointage!CD34,Feuil1!$A:$B,2,FALSE),"")</f>
        <v/>
      </c>
      <c r="CA40" s="31" t="str">
        <f>IFERROR(VLOOKUP([2]Pointage!CE34,Feuil1!$A:$B,2,FALSE),"")</f>
        <v/>
      </c>
      <c r="CB40" s="31" t="str">
        <f>IFERROR(VLOOKUP([2]Pointage!CF34,Feuil1!$A:$B,2,FALSE),"")</f>
        <v/>
      </c>
      <c r="CC40" s="31" t="str">
        <f>IFERROR(VLOOKUP([2]Pointage!CG34,Feuil1!$A:$B,2,FALSE),"")</f>
        <v/>
      </c>
      <c r="CD40" s="31" t="str">
        <f>IFERROR(VLOOKUP([2]Pointage!CH34,Feuil1!$A:$B,2,FALSE),"")</f>
        <v/>
      </c>
      <c r="CE40" s="31" t="str">
        <f>IFERROR(VLOOKUP([2]Pointage!CI34,Feuil1!$A:$B,2,FALSE),"")</f>
        <v/>
      </c>
      <c r="CF40" s="31" t="str">
        <f>IFERROR(VLOOKUP([2]Pointage!CJ34,Feuil1!$A:$B,2,FALSE),"")</f>
        <v/>
      </c>
      <c r="CG40" s="31" t="str">
        <f>IFERROR(VLOOKUP([2]Pointage!CK34,Feuil1!$A:$B,2,FALSE),"")</f>
        <v/>
      </c>
      <c r="CH40" s="31" t="str">
        <f>IFERROR(VLOOKUP([2]Pointage!CL34,Feuil1!$A:$B,2,FALSE),"")</f>
        <v/>
      </c>
      <c r="CI40" s="31" t="str">
        <f>IFERROR(VLOOKUP([2]Pointage!CM34,Feuil1!$A:$B,2,FALSE),"")</f>
        <v/>
      </c>
      <c r="CJ40" s="31" t="str">
        <f>IFERROR(VLOOKUP([2]Pointage!CN34,Feuil1!$A:$B,2,FALSE),"")</f>
        <v/>
      </c>
      <c r="CK40" s="31" t="str">
        <f>IFERROR(VLOOKUP([2]Pointage!CO34,Feuil1!$A:$B,2,FALSE),"")</f>
        <v/>
      </c>
      <c r="CL40" s="31" t="str">
        <f>IFERROR(VLOOKUP([2]Pointage!CP34,Feuil1!$A:$B,2,FALSE),"")</f>
        <v/>
      </c>
      <c r="CM40" s="31" t="str">
        <f>IFERROR(VLOOKUP([2]Pointage!CQ34,Feuil1!$A:$B,2,FALSE),"")</f>
        <v/>
      </c>
      <c r="CN40" s="31" t="str">
        <f>IFERROR(VLOOKUP([2]Pointage!CR34,Feuil1!$A:$B,2,FALSE),"")</f>
        <v/>
      </c>
      <c r="CO40" s="31" t="str">
        <f>IFERROR(VLOOKUP([2]Pointage!CS34,Feuil1!$A:$B,2,FALSE),"")</f>
        <v/>
      </c>
      <c r="CP40" s="31" t="str">
        <f>IFERROR(VLOOKUP([2]Pointage!CT34,Feuil1!$A:$B,2,FALSE),"")</f>
        <v/>
      </c>
      <c r="CQ40" s="82" t="str">
        <f>IFERROR(VLOOKUP([2]Pointage!CU34,Feuil1!$A:$B,2,FALSE),"")</f>
        <v/>
      </c>
      <c r="CR40" s="47" t="str">
        <f>IFERROR(VLOOKUP([2]Pointage!CV34,Feuil1!$A:$B,2,FALSE),"")</f>
        <v/>
      </c>
      <c r="CS40" s="31" t="str">
        <f>IFERROR(VLOOKUP([2]Pointage!CW34,Feuil1!$A:$B,2,FALSE),"")</f>
        <v/>
      </c>
      <c r="CT40" s="31" t="str">
        <f>IFERROR(VLOOKUP([2]Pointage!CX34,Feuil1!$A:$B,2,FALSE),"")</f>
        <v>C</v>
      </c>
      <c r="CU40" s="31" t="str">
        <f>IFERROR(VLOOKUP([2]Pointage!CY34,Feuil1!$A:$B,2,FALSE),"")</f>
        <v>C</v>
      </c>
      <c r="CV40" s="31" t="str">
        <f>IFERROR(VLOOKUP([2]Pointage!CZ34,Feuil1!$A:$B,2,FALSE),"")</f>
        <v>C</v>
      </c>
      <c r="CW40" s="31" t="str">
        <f>IFERROR(VLOOKUP([2]Pointage!DA34,Feuil1!$A:$B,2,FALSE),"")</f>
        <v>C</v>
      </c>
      <c r="CX40" s="31" t="str">
        <f>IFERROR(VLOOKUP([2]Pointage!DB34,Feuil1!$A:$B,2,FALSE),"")</f>
        <v/>
      </c>
      <c r="CY40" s="31" t="str">
        <f>IFERROR(VLOOKUP([2]Pointage!DC34,Feuil1!$A:$B,2,FALSE),"")</f>
        <v/>
      </c>
      <c r="CZ40" s="31" t="str">
        <f>IFERROR(VLOOKUP([2]Pointage!DD34,Feuil1!$A:$B,2,FALSE),"")</f>
        <v>C</v>
      </c>
      <c r="DA40" s="31" t="str">
        <f>IFERROR(VLOOKUP([2]Pointage!DE34,Feuil1!$A:$B,2,FALSE),"")</f>
        <v>C</v>
      </c>
      <c r="DB40" s="31" t="str">
        <f>IFERROR(VLOOKUP([2]Pointage!DF34,Feuil1!$A:$B,2,FALSE),"")</f>
        <v>C</v>
      </c>
      <c r="DC40" s="31" t="str">
        <f>IFERROR(VLOOKUP([2]Pointage!DG34,Feuil1!$A:$B,2,FALSE),"")</f>
        <v>C</v>
      </c>
      <c r="DD40" s="31" t="str">
        <f>IFERROR(VLOOKUP([2]Pointage!DH34,Feuil1!$A:$B,2,FALSE),"")</f>
        <v>C</v>
      </c>
      <c r="DE40" s="31" t="str">
        <f>IFERROR(VLOOKUP([2]Pointage!DI34,Feuil1!$A:$B,2,FALSE),"")</f>
        <v/>
      </c>
      <c r="DF40" s="31" t="str">
        <f>IFERROR(VLOOKUP([2]Pointage!DJ34,Feuil1!$A:$B,2,FALSE),"")</f>
        <v/>
      </c>
      <c r="DG40" s="31" t="str">
        <f>IFERROR(VLOOKUP([2]Pointage!DK34,Feuil1!$A:$B,2,FALSE),"")</f>
        <v/>
      </c>
      <c r="DH40" s="31" t="str">
        <f>IFERROR(VLOOKUP([2]Pointage!DL34,Feuil1!$A:$B,2,FALSE),"")</f>
        <v/>
      </c>
      <c r="DI40" s="31" t="str">
        <f>IFERROR(VLOOKUP([2]Pointage!DM34,Feuil1!$A:$B,2,FALSE),"")</f>
        <v>C</v>
      </c>
      <c r="DJ40" s="31" t="str">
        <f>IFERROR(VLOOKUP([2]Pointage!DN34,Feuil1!$A:$B,2,FALSE),"")</f>
        <v>C</v>
      </c>
      <c r="DK40" s="31" t="str">
        <f>IFERROR(VLOOKUP([2]Pointage!DO34,Feuil1!$A:$B,2,FALSE),"")</f>
        <v/>
      </c>
      <c r="DL40" s="31" t="str">
        <f>IFERROR(VLOOKUP([2]Pointage!DP34,Feuil1!$A:$B,2,FALSE),"")</f>
        <v/>
      </c>
      <c r="DM40" s="31" t="str">
        <f>IFERROR(VLOOKUP([2]Pointage!DQ34,Feuil1!$A:$B,2,FALSE),"")</f>
        <v/>
      </c>
      <c r="DN40" s="31" t="str">
        <f>IFERROR(VLOOKUP([2]Pointage!DR34,Feuil1!$A:$B,2,FALSE),"")</f>
        <v/>
      </c>
      <c r="DO40" s="31" t="str">
        <f>IFERROR(VLOOKUP([2]Pointage!DS34,Feuil1!$A:$B,2,FALSE),"")</f>
        <v/>
      </c>
      <c r="DP40" s="31" t="str">
        <f>IFERROR(VLOOKUP([2]Pointage!DT34,Feuil1!$A:$B,2,FALSE),"")</f>
        <v/>
      </c>
      <c r="DQ40" s="31" t="str">
        <f>IFERROR(VLOOKUP([2]Pointage!DU34,Feuil1!$A:$B,2,FALSE),"")</f>
        <v/>
      </c>
      <c r="DR40" s="31" t="str">
        <f>IFERROR(VLOOKUP([2]Pointage!DV34,Feuil1!$A:$B,2,FALSE),"")</f>
        <v/>
      </c>
      <c r="DS40" s="31" t="str">
        <f>IFERROR(VLOOKUP([2]Pointage!DW34,Feuil1!$A:$B,2,FALSE),"")</f>
        <v/>
      </c>
      <c r="DT40" s="31" t="str">
        <f>IFERROR(VLOOKUP([2]Pointage!DX34,Feuil1!$A:$B,2,FALSE),"")</f>
        <v/>
      </c>
      <c r="DU40" s="82" t="str">
        <f>IFERROR(VLOOKUP([2]Pointage!DY34,Feuil1!$A:$B,2,FALSE),"")</f>
        <v/>
      </c>
      <c r="DV40" s="47" t="str">
        <f>IFERROR(VLOOKUP([2]Pointage!DZ34,Feuil1!$A:$B,2,FALSE),"")</f>
        <v/>
      </c>
      <c r="DW40" s="31" t="str">
        <f>IFERROR(VLOOKUP([2]Pointage!EA34,Feuil1!$A:$B,2,FALSE),"")</f>
        <v/>
      </c>
      <c r="DX40" s="31" t="str">
        <f>IFERROR(VLOOKUP([2]Pointage!EB34,Feuil1!$A:$B,2,FALSE),"")</f>
        <v/>
      </c>
      <c r="DY40" s="31" t="str">
        <f>IFERROR(VLOOKUP([2]Pointage!EC34,Feuil1!$A:$B,2,FALSE),"")</f>
        <v/>
      </c>
      <c r="DZ40" s="31" t="str">
        <f>IFERROR(VLOOKUP([2]Pointage!ED34,Feuil1!$A:$B,2,FALSE),"")</f>
        <v/>
      </c>
      <c r="EA40" s="31" t="str">
        <f>IFERROR(VLOOKUP([2]Pointage!EE34,Feuil1!$A:$B,2,FALSE),"")</f>
        <v/>
      </c>
      <c r="EB40" s="31" t="str">
        <f>IFERROR(VLOOKUP([2]Pointage!EF34,Feuil1!$A:$B,2,FALSE),"")</f>
        <v/>
      </c>
      <c r="EC40" s="31" t="str">
        <f>IFERROR(VLOOKUP([2]Pointage!EG34,Feuil1!$A:$B,2,FALSE),"")</f>
        <v/>
      </c>
      <c r="ED40" s="31" t="str">
        <f>IFERROR(VLOOKUP([2]Pointage!EH34,Feuil1!$A:$B,2,FALSE),"")</f>
        <v/>
      </c>
      <c r="EE40" s="31" t="str">
        <f>IFERROR(VLOOKUP([2]Pointage!EI34,Feuil1!$A:$B,2,FALSE),"")</f>
        <v/>
      </c>
      <c r="EF40" s="31" t="str">
        <f>IFERROR(VLOOKUP([2]Pointage!EJ34,Feuil1!$A:$B,2,FALSE),"")</f>
        <v/>
      </c>
      <c r="EG40" s="31" t="str">
        <f>IFERROR(VLOOKUP([2]Pointage!EK34,Feuil1!$A:$B,2,FALSE),"")</f>
        <v/>
      </c>
      <c r="EH40" s="31" t="str">
        <f>IFERROR(VLOOKUP([2]Pointage!EL34,Feuil1!$A:$B,2,FALSE),"")</f>
        <v/>
      </c>
      <c r="EI40" s="31" t="str">
        <f>IFERROR(VLOOKUP([2]Pointage!EM34,Feuil1!$A:$B,2,FALSE),"")</f>
        <v/>
      </c>
      <c r="EJ40" s="31" t="str">
        <f>IFERROR(VLOOKUP([2]Pointage!EN34,Feuil1!$A:$B,2,FALSE),"")</f>
        <v/>
      </c>
      <c r="EK40" s="31" t="str">
        <f>IFERROR(VLOOKUP([2]Pointage!EO34,Feuil1!$A:$B,2,FALSE),"")</f>
        <v/>
      </c>
      <c r="EL40" s="31" t="str">
        <f>IFERROR(VLOOKUP([2]Pointage!EP34,Feuil1!$A:$B,2,FALSE),"")</f>
        <v/>
      </c>
      <c r="EM40" s="31" t="str">
        <f>IFERROR(VLOOKUP([2]Pointage!EQ34,Feuil1!$A:$B,2,FALSE),"")</f>
        <v/>
      </c>
      <c r="EN40" s="31" t="str">
        <f>IFERROR(VLOOKUP([2]Pointage!ER34,Feuil1!$A:$B,2,FALSE),"")</f>
        <v/>
      </c>
      <c r="EO40" s="31" t="str">
        <f>IFERROR(VLOOKUP([2]Pointage!ES34,Feuil1!$A:$B,2,FALSE),"")</f>
        <v/>
      </c>
      <c r="EP40" s="31" t="str">
        <f>IFERROR(VLOOKUP([2]Pointage!ET34,Feuil1!$A:$B,2,FALSE),"")</f>
        <v/>
      </c>
      <c r="EQ40" s="31" t="str">
        <f>IFERROR(VLOOKUP([2]Pointage!EU34,Feuil1!$A:$B,2,FALSE),"")</f>
        <v/>
      </c>
      <c r="ER40" s="31" t="str">
        <f>IFERROR(VLOOKUP([2]Pointage!EV34,Feuil1!$A:$B,2,FALSE),"")</f>
        <v/>
      </c>
      <c r="ES40" s="31" t="str">
        <f>IFERROR(VLOOKUP([2]Pointage!EW34,Feuil1!$A:$B,2,FALSE),"")</f>
        <v/>
      </c>
      <c r="ET40" s="31" t="str">
        <f>IFERROR(VLOOKUP([2]Pointage!EX34,Feuil1!$A:$B,2,FALSE),"")</f>
        <v/>
      </c>
      <c r="EU40" s="31" t="str">
        <f>IFERROR(VLOOKUP([2]Pointage!EY34,Feuil1!$A:$B,2,FALSE),"")</f>
        <v/>
      </c>
      <c r="EV40" s="31" t="str">
        <f>IFERROR(VLOOKUP([2]Pointage!EZ34,Feuil1!$A:$B,2,FALSE),"")</f>
        <v/>
      </c>
      <c r="EW40" s="31" t="str">
        <f>IFERROR(VLOOKUP([2]Pointage!FA34,Feuil1!$A:$B,2,FALSE),"")</f>
        <v/>
      </c>
      <c r="EX40" s="31" t="str">
        <f>IFERROR(VLOOKUP([2]Pointage!FB34,Feuil1!$A:$B,2,FALSE),"")</f>
        <v/>
      </c>
      <c r="EY40" s="31" t="str">
        <f>IFERROR(VLOOKUP([2]Pointage!FC34,Feuil1!$A:$B,2,FALSE),"")</f>
        <v/>
      </c>
      <c r="EZ40" s="82" t="str">
        <f>IFERROR(VLOOKUP([2]Pointage!FD34,Feuil1!$A:$B,2,FALSE),"")</f>
        <v/>
      </c>
      <c r="FA40" s="47" t="str">
        <f>IFERROR(VLOOKUP([2]Pointage!FE34,Feuil1!$A:$B,2,FALSE),"")</f>
        <v/>
      </c>
      <c r="FB40" s="31" t="str">
        <f>IFERROR(VLOOKUP([2]Pointage!FF34,Feuil1!$A:$B,2,FALSE),"")</f>
        <v/>
      </c>
      <c r="FC40" s="31" t="str">
        <f>IFERROR(VLOOKUP([2]Pointage!FG34,Feuil1!$A:$B,2,FALSE),"")</f>
        <v/>
      </c>
      <c r="FD40" s="31" t="str">
        <f>IFERROR(VLOOKUP([2]Pointage!FH34,Feuil1!$A:$B,2,FALSE),"")</f>
        <v/>
      </c>
      <c r="FE40" s="31" t="str">
        <f>IFERROR(VLOOKUP([2]Pointage!FI34,Feuil1!$A:$B,2,FALSE),"")</f>
        <v/>
      </c>
      <c r="FF40" s="31" t="str">
        <f>IFERROR(VLOOKUP([2]Pointage!FJ34,Feuil1!$A:$B,2,FALSE),"")</f>
        <v/>
      </c>
      <c r="FG40" s="31" t="str">
        <f>IFERROR(VLOOKUP([2]Pointage!FK34,Feuil1!$A:$B,2,FALSE),"")</f>
        <v/>
      </c>
      <c r="FH40" s="31" t="str">
        <f>IFERROR(VLOOKUP([2]Pointage!FL34,Feuil1!$A:$B,2,FALSE),"")</f>
        <v/>
      </c>
      <c r="FI40" s="31" t="str">
        <f>IFERROR(VLOOKUP([2]Pointage!FM34,Feuil1!$A:$B,2,FALSE),"")</f>
        <v/>
      </c>
      <c r="FJ40" s="31" t="str">
        <f>IFERROR(VLOOKUP([2]Pointage!FN34,Feuil1!$A:$B,2,FALSE),"")</f>
        <v/>
      </c>
      <c r="FK40" s="31" t="str">
        <f>IFERROR(VLOOKUP([2]Pointage!FO34,Feuil1!$A:$B,2,FALSE),"")</f>
        <v/>
      </c>
      <c r="FL40" s="31" t="str">
        <f>IFERROR(VLOOKUP([2]Pointage!FP34,Feuil1!$A:$B,2,FALSE),"")</f>
        <v/>
      </c>
      <c r="FM40" s="31" t="str">
        <f>IFERROR(VLOOKUP([2]Pointage!FQ34,Feuil1!$A:$B,2,FALSE),"")</f>
        <v/>
      </c>
      <c r="FN40" s="31" t="str">
        <f>IFERROR(VLOOKUP([2]Pointage!FR34,Feuil1!$A:$B,2,FALSE),"")</f>
        <v/>
      </c>
      <c r="FO40" s="31" t="str">
        <f>IFERROR(VLOOKUP([2]Pointage!FS34,Feuil1!$A:$B,2,FALSE),"")</f>
        <v/>
      </c>
      <c r="FP40" s="31" t="str">
        <f>IFERROR(VLOOKUP([2]Pointage!FT34,Feuil1!$A:$B,2,FALSE),"")</f>
        <v/>
      </c>
      <c r="FQ40" s="31" t="str">
        <f>IFERROR(VLOOKUP([2]Pointage!FU34,Feuil1!$A:$B,2,FALSE),"")</f>
        <v/>
      </c>
      <c r="FR40" s="31" t="str">
        <f>IFERROR(VLOOKUP([2]Pointage!FV34,Feuil1!$A:$B,2,FALSE),"")</f>
        <v/>
      </c>
      <c r="FS40" s="31" t="str">
        <f>IFERROR(VLOOKUP([2]Pointage!FW34,Feuil1!$A:$B,2,FALSE),"")</f>
        <v/>
      </c>
      <c r="FT40" s="31" t="str">
        <f>IFERROR(VLOOKUP([2]Pointage!FX34,Feuil1!$A:$B,2,FALSE),"")</f>
        <v/>
      </c>
      <c r="FU40" s="31" t="str">
        <f>IFERROR(VLOOKUP([2]Pointage!FY34,Feuil1!$A:$B,2,FALSE),"")</f>
        <v/>
      </c>
      <c r="FV40" s="31" t="str">
        <f>IFERROR(VLOOKUP([2]Pointage!FZ34,Feuil1!$A:$B,2,FALSE),"")</f>
        <v/>
      </c>
      <c r="FW40" s="31" t="str">
        <f>IFERROR(VLOOKUP([2]Pointage!GA34,Feuil1!$A:$B,2,FALSE),"")</f>
        <v/>
      </c>
      <c r="FX40" s="31" t="str">
        <f>IFERROR(VLOOKUP([2]Pointage!GB34,Feuil1!$A:$B,2,FALSE),"")</f>
        <v/>
      </c>
      <c r="FY40" s="31" t="str">
        <f>IFERROR(VLOOKUP([2]Pointage!GC34,Feuil1!$A:$B,2,FALSE),"")</f>
        <v/>
      </c>
      <c r="FZ40" s="31" t="str">
        <f>IFERROR(VLOOKUP([2]Pointage!GD34,Feuil1!$A:$B,2,FALSE),"")</f>
        <v/>
      </c>
      <c r="GA40" s="31" t="str">
        <f>IFERROR(VLOOKUP([2]Pointage!GE34,Feuil1!$A:$B,2,FALSE),"")</f>
        <v/>
      </c>
      <c r="GB40" s="31" t="str">
        <f>IFERROR(VLOOKUP([2]Pointage!GF34,Feuil1!$A:$B,2,FALSE),"")</f>
        <v/>
      </c>
      <c r="GC40" s="31" t="str">
        <f>IFERROR(VLOOKUP([2]Pointage!GG34,Feuil1!$A:$B,2,FALSE),"")</f>
        <v/>
      </c>
      <c r="GD40" s="82" t="str">
        <f>IFERROR(VLOOKUP([2]Pointage!GH34,Feuil1!$A:$B,2,FALSE),"")</f>
        <v/>
      </c>
      <c r="GE40" s="47" t="str">
        <f>IFERROR(VLOOKUP([2]Pointage!GI34,Feuil1!$A:$B,2,FALSE),"")</f>
        <v/>
      </c>
      <c r="GF40" s="31" t="str">
        <f>IFERROR(VLOOKUP([2]Pointage!GJ34,Feuil1!$A:$B,2,FALSE),"")</f>
        <v/>
      </c>
      <c r="GG40" s="31" t="str">
        <f>IFERROR(VLOOKUP([2]Pointage!GK34,Feuil1!$A:$B,2,FALSE),"")</f>
        <v/>
      </c>
      <c r="GH40" s="31" t="str">
        <f>IFERROR(VLOOKUP([2]Pointage!GL34,Feuil1!$A:$B,2,FALSE),"")</f>
        <v/>
      </c>
      <c r="GI40" s="31" t="str">
        <f>IFERROR(VLOOKUP([2]Pointage!GM34,Feuil1!$A:$B,2,FALSE),"")</f>
        <v/>
      </c>
      <c r="GJ40" s="31" t="str">
        <f>IFERROR(VLOOKUP([2]Pointage!GN34,Feuil1!$A:$B,2,FALSE),"")</f>
        <v/>
      </c>
      <c r="GK40" s="31" t="str">
        <f>IFERROR(VLOOKUP([2]Pointage!GO34,Feuil1!$A:$B,2,FALSE),"")</f>
        <v/>
      </c>
      <c r="GL40" s="31" t="str">
        <f>IFERROR(VLOOKUP([2]Pointage!GP34,Feuil1!$A:$B,2,FALSE),"")</f>
        <v/>
      </c>
      <c r="GM40" s="31" t="str">
        <f>IFERROR(VLOOKUP([2]Pointage!GQ34,Feuil1!$A:$B,2,FALSE),"")</f>
        <v/>
      </c>
      <c r="GN40" s="31" t="str">
        <f>IFERROR(VLOOKUP([2]Pointage!GR34,Feuil1!$A:$B,2,FALSE),"")</f>
        <v/>
      </c>
      <c r="GO40" s="31" t="str">
        <f>IFERROR(VLOOKUP([2]Pointage!GS34,Feuil1!$A:$B,2,FALSE),"")</f>
        <v/>
      </c>
      <c r="GP40" s="31" t="str">
        <f>IFERROR(VLOOKUP([2]Pointage!GT34,Feuil1!$A:$B,2,FALSE),"")</f>
        <v/>
      </c>
      <c r="GQ40" s="31" t="str">
        <f>IFERROR(VLOOKUP([2]Pointage!GU34,Feuil1!$A:$B,2,FALSE),"")</f>
        <v/>
      </c>
      <c r="GR40" s="31" t="str">
        <f>IFERROR(VLOOKUP([2]Pointage!GV34,Feuil1!$A:$B,2,FALSE),"")</f>
        <v/>
      </c>
      <c r="GS40" s="31" t="str">
        <f>IFERROR(VLOOKUP([2]Pointage!GW34,Feuil1!$A:$B,2,FALSE),"")</f>
        <v/>
      </c>
      <c r="GT40" s="31" t="str">
        <f>IFERROR(VLOOKUP([2]Pointage!GX34,Feuil1!$A:$B,2,FALSE),"")</f>
        <v/>
      </c>
      <c r="GU40" s="31" t="str">
        <f>IFERROR(VLOOKUP([2]Pointage!GY34,Feuil1!$A:$B,2,FALSE),"")</f>
        <v/>
      </c>
      <c r="GV40" s="31" t="str">
        <f>IFERROR(VLOOKUP([2]Pointage!GZ34,Feuil1!$A:$B,2,FALSE),"")</f>
        <v/>
      </c>
      <c r="GW40" s="31" t="str">
        <f>IFERROR(VLOOKUP([2]Pointage!HA34,Feuil1!$A:$B,2,FALSE),"")</f>
        <v/>
      </c>
      <c r="GX40" s="31" t="str">
        <f>IFERROR(VLOOKUP([2]Pointage!HB34,Feuil1!$A:$B,2,FALSE),"")</f>
        <v/>
      </c>
      <c r="GY40" s="31" t="str">
        <f>IFERROR(VLOOKUP([2]Pointage!HC34,Feuil1!$A:$B,2,FALSE),"")</f>
        <v/>
      </c>
      <c r="GZ40" s="31" t="str">
        <f>IFERROR(VLOOKUP([2]Pointage!HD34,Feuil1!$A:$B,2,FALSE),"")</f>
        <v/>
      </c>
      <c r="HA40" s="31" t="str">
        <f>IFERROR(VLOOKUP([2]Pointage!HE34,Feuil1!$A:$B,2,FALSE),"")</f>
        <v/>
      </c>
      <c r="HB40" s="31" t="str">
        <f>IFERROR(VLOOKUP([2]Pointage!HF34,Feuil1!$A:$B,2,FALSE),"")</f>
        <v/>
      </c>
      <c r="HC40" s="31" t="str">
        <f>IFERROR(VLOOKUP([2]Pointage!HG34,Feuil1!$A:$B,2,FALSE),"")</f>
        <v/>
      </c>
      <c r="HD40" s="31" t="str">
        <f>IFERROR(VLOOKUP([2]Pointage!HH34,Feuil1!$A:$B,2,FALSE),"")</f>
        <v/>
      </c>
      <c r="HE40" s="31" t="str">
        <f>IFERROR(VLOOKUP([2]Pointage!HI34,Feuil1!$A:$B,2,FALSE),"")</f>
        <v/>
      </c>
      <c r="HF40" s="31" t="str">
        <f>IFERROR(VLOOKUP([2]Pointage!HJ34,Feuil1!$A:$B,2,FALSE),"")</f>
        <v/>
      </c>
      <c r="HG40" s="31" t="str">
        <f>IFERROR(VLOOKUP([2]Pointage!HK34,Feuil1!$A:$B,2,FALSE),"")</f>
        <v/>
      </c>
      <c r="HH40" s="31" t="str">
        <f>IFERROR(VLOOKUP([2]Pointage!HL34,Feuil1!$A:$B,2,FALSE),"")</f>
        <v/>
      </c>
      <c r="HI40" s="82" t="str">
        <f>IFERROR(VLOOKUP([2]Pointage!HM34,Feuil1!$A:$B,2,FALSE),"")</f>
        <v/>
      </c>
      <c r="HJ40" s="47" t="str">
        <f>IFERROR(VLOOKUP([2]Pointage!HN34,Feuil1!$A:$B,2,FALSE),"")</f>
        <v/>
      </c>
      <c r="HK40" s="31" t="str">
        <f>IFERROR(VLOOKUP([2]Pointage!HO34,Feuil1!$A:$B,2,FALSE),"")</f>
        <v/>
      </c>
      <c r="HL40" s="31" t="str">
        <f>IFERROR(VLOOKUP([2]Pointage!HP34,Feuil1!$A:$B,2,FALSE),"")</f>
        <v/>
      </c>
      <c r="HM40" s="31" t="str">
        <f>IFERROR(VLOOKUP([2]Pointage!HQ34,Feuil1!$A:$B,2,FALSE),"")</f>
        <v/>
      </c>
      <c r="HN40" s="31" t="str">
        <f>IFERROR(VLOOKUP([2]Pointage!HR34,Feuil1!$A:$B,2,FALSE),"")</f>
        <v/>
      </c>
      <c r="HO40" s="31" t="str">
        <f>IFERROR(VLOOKUP([2]Pointage!HS34,Feuil1!$A:$B,2,FALSE),"")</f>
        <v/>
      </c>
      <c r="HP40" s="31" t="str">
        <f>IFERROR(VLOOKUP([2]Pointage!HT34,Feuil1!$A:$B,2,FALSE),"")</f>
        <v/>
      </c>
      <c r="HQ40" s="31" t="str">
        <f>IFERROR(VLOOKUP([2]Pointage!HU34,Feuil1!$A:$B,2,FALSE),"")</f>
        <v/>
      </c>
      <c r="HR40" s="31" t="str">
        <f>IFERROR(VLOOKUP([2]Pointage!HV34,Feuil1!$A:$B,2,FALSE),"")</f>
        <v/>
      </c>
      <c r="HS40" s="31" t="str">
        <f>IFERROR(VLOOKUP([2]Pointage!HW34,Feuil1!$A:$B,2,FALSE),"")</f>
        <v/>
      </c>
      <c r="HT40" s="31" t="str">
        <f>IFERROR(VLOOKUP([2]Pointage!HX34,Feuil1!$A:$B,2,FALSE),"")</f>
        <v/>
      </c>
      <c r="HU40" s="31" t="str">
        <f>IFERROR(VLOOKUP([2]Pointage!HY34,Feuil1!$A:$B,2,FALSE),"")</f>
        <v/>
      </c>
      <c r="HV40" s="31" t="str">
        <f>IFERROR(VLOOKUP([2]Pointage!HZ34,Feuil1!$A:$B,2,FALSE),"")</f>
        <v/>
      </c>
      <c r="HW40" s="31" t="str">
        <f>IFERROR(VLOOKUP([2]Pointage!IA34,Feuil1!$A:$B,2,FALSE),"")</f>
        <v/>
      </c>
      <c r="HX40" s="31" t="str">
        <f>IFERROR(VLOOKUP([2]Pointage!IB34,Feuil1!$A:$B,2,FALSE),"")</f>
        <v/>
      </c>
      <c r="HY40" s="31" t="str">
        <f>IFERROR(VLOOKUP([2]Pointage!IC34,Feuil1!$A:$B,2,FALSE),"")</f>
        <v/>
      </c>
      <c r="HZ40" s="31" t="str">
        <f>IFERROR(VLOOKUP([2]Pointage!ID34,Feuil1!$A:$B,2,FALSE),"")</f>
        <v/>
      </c>
      <c r="IA40" s="31" t="str">
        <f>IFERROR(VLOOKUP([2]Pointage!IE34,Feuil1!$A:$B,2,FALSE),"")</f>
        <v/>
      </c>
      <c r="IB40" s="31" t="str">
        <f>IFERROR(VLOOKUP([2]Pointage!IF34,Feuil1!$A:$B,2,FALSE),"")</f>
        <v/>
      </c>
      <c r="IC40" s="31" t="str">
        <f>IFERROR(VLOOKUP([2]Pointage!IG34,Feuil1!$A:$B,2,FALSE),"")</f>
        <v/>
      </c>
      <c r="ID40" s="31" t="str">
        <f>IFERROR(VLOOKUP([2]Pointage!IH34,Feuil1!$A:$B,2,FALSE),"")</f>
        <v/>
      </c>
      <c r="IE40" s="31" t="str">
        <f>IFERROR(VLOOKUP([2]Pointage!II34,Feuil1!$A:$B,2,FALSE),"")</f>
        <v/>
      </c>
      <c r="IF40" s="31" t="str">
        <f>IFERROR(VLOOKUP([2]Pointage!IJ34,Feuil1!$A:$B,2,FALSE),"")</f>
        <v/>
      </c>
      <c r="IG40" s="31" t="str">
        <f>IFERROR(VLOOKUP([2]Pointage!IK34,Feuil1!$A:$B,2,FALSE),"")</f>
        <v/>
      </c>
      <c r="IH40" s="31" t="str">
        <f>IFERROR(VLOOKUP([2]Pointage!IL34,Feuil1!$A:$B,2,FALSE),"")</f>
        <v/>
      </c>
      <c r="II40" s="31" t="str">
        <f>IFERROR(VLOOKUP([2]Pointage!IM34,Feuil1!$A:$B,2,FALSE),"")</f>
        <v/>
      </c>
      <c r="IJ40" s="31" t="str">
        <f>IFERROR(VLOOKUP([2]Pointage!IN34,Feuil1!$A:$B,2,FALSE),"")</f>
        <v>C</v>
      </c>
      <c r="IK40" s="31" t="str">
        <f>IFERROR(VLOOKUP([2]Pointage!IO34,Feuil1!$A:$B,2,FALSE),"")</f>
        <v>C</v>
      </c>
      <c r="IL40" s="31" t="str">
        <f>IFERROR(VLOOKUP([2]Pointage!IP34,Feuil1!$A:$B,2,FALSE),"")</f>
        <v>C</v>
      </c>
      <c r="IM40" s="31" t="str">
        <f>IFERROR(VLOOKUP([2]Pointage!IQ34,Feuil1!$A:$B,2,FALSE),"")</f>
        <v>C</v>
      </c>
      <c r="IN40" s="82" t="str">
        <f>IFERROR(VLOOKUP([2]Pointage!IR34,Feuil1!$A:$B,2,FALSE),"")</f>
        <v>C</v>
      </c>
      <c r="IO40" s="47" t="str">
        <f>IFERROR(VLOOKUP([2]Pointage!IS34,Feuil1!$A:$B,2,FALSE),"")</f>
        <v/>
      </c>
      <c r="IP40" s="31" t="str">
        <f>IFERROR(VLOOKUP([2]Pointage!IT34,Feuil1!$A:$B,2,FALSE),"")</f>
        <v/>
      </c>
      <c r="IQ40" s="31" t="str">
        <f>IFERROR(VLOOKUP([2]Pointage!IU34,Feuil1!$A:$B,2,FALSE),"")</f>
        <v>C</v>
      </c>
      <c r="IR40" s="31" t="str">
        <f>IFERROR(VLOOKUP([2]Pointage!IV34,Feuil1!$A:$B,2,FALSE),"")</f>
        <v>C</v>
      </c>
      <c r="IS40" s="31" t="str">
        <f>IFERROR(VLOOKUP([2]Pointage!IW34,Feuil1!$A:$B,2,FALSE),"")</f>
        <v>C</v>
      </c>
      <c r="IT40" s="31" t="str">
        <f>IFERROR(VLOOKUP([2]Pointage!IX34,Feuil1!$A:$B,2,FALSE),"")</f>
        <v>C</v>
      </c>
      <c r="IU40" s="31" t="str">
        <f>IFERROR(VLOOKUP([2]Pointage!IY34,Feuil1!$A:$B,2,FALSE),"")</f>
        <v>C</v>
      </c>
      <c r="IV40" s="31" t="str">
        <f>IFERROR(VLOOKUP([2]Pointage!IZ34,Feuil1!$A:$B,2,FALSE),"")</f>
        <v/>
      </c>
      <c r="IW40" s="31" t="str">
        <f>IFERROR(VLOOKUP([2]Pointage!JA34,Feuil1!$A:$B,2,FALSE),"")</f>
        <v/>
      </c>
      <c r="IX40" s="31" t="str">
        <f>IFERROR(VLOOKUP([2]Pointage!JB34,Feuil1!$A:$B,2,FALSE),"")</f>
        <v>C</v>
      </c>
      <c r="IY40" s="31" t="str">
        <f>IFERROR(VLOOKUP([2]Pointage!JC34,Feuil1!$A:$B,2,FALSE),"")</f>
        <v>C</v>
      </c>
      <c r="IZ40" s="31" t="str">
        <f>IFERROR(VLOOKUP([2]Pointage!JD34,Feuil1!$A:$B,2,FALSE),"")</f>
        <v>C</v>
      </c>
      <c r="JA40" s="31" t="str">
        <f>IFERROR(VLOOKUP([2]Pointage!JE34,Feuil1!$A:$B,2,FALSE),"")</f>
        <v>C</v>
      </c>
      <c r="JB40" s="31" t="str">
        <f>IFERROR(VLOOKUP([2]Pointage!JF34,Feuil1!$A:$B,2,FALSE),"")</f>
        <v>C</v>
      </c>
      <c r="JC40" s="31" t="str">
        <f>IFERROR(VLOOKUP([2]Pointage!JG34,Feuil1!$A:$B,2,FALSE),"")</f>
        <v/>
      </c>
      <c r="JD40" s="31" t="str">
        <f>IFERROR(VLOOKUP([2]Pointage!JH34,Feuil1!$A:$B,2,FALSE),"")</f>
        <v/>
      </c>
      <c r="JE40" s="31" t="str">
        <f>IFERROR(VLOOKUP([2]Pointage!JI34,Feuil1!$A:$B,2,FALSE),"")</f>
        <v/>
      </c>
      <c r="JF40" s="31" t="str">
        <f>IFERROR(VLOOKUP([2]Pointage!JJ34,Feuil1!$A:$B,2,FALSE),"")</f>
        <v/>
      </c>
      <c r="JG40" s="31" t="str">
        <f>IFERROR(VLOOKUP([2]Pointage!JK34,Feuil1!$A:$B,2,FALSE),"")</f>
        <v/>
      </c>
      <c r="JH40" s="31" t="str">
        <f>IFERROR(VLOOKUP([2]Pointage!JL34,Feuil1!$A:$B,2,FALSE),"")</f>
        <v/>
      </c>
      <c r="JI40" s="31" t="str">
        <f>IFERROR(VLOOKUP([2]Pointage!JM34,Feuil1!$A:$B,2,FALSE),"")</f>
        <v/>
      </c>
      <c r="JJ40" s="31" t="str">
        <f>IFERROR(VLOOKUP([2]Pointage!JN34,Feuil1!$A:$B,2,FALSE),"")</f>
        <v/>
      </c>
      <c r="JK40" s="31" t="str">
        <f>IFERROR(VLOOKUP([2]Pointage!JO34,Feuil1!$A:$B,2,FALSE),"")</f>
        <v/>
      </c>
      <c r="JL40" s="31" t="str">
        <f>IFERROR(VLOOKUP([2]Pointage!JP34,Feuil1!$A:$B,2,FALSE),"")</f>
        <v/>
      </c>
      <c r="JM40" s="31" t="str">
        <f>IFERROR(VLOOKUP([2]Pointage!JQ34,Feuil1!$A:$B,2,FALSE),"")</f>
        <v/>
      </c>
      <c r="JN40" s="31" t="str">
        <f>IFERROR(VLOOKUP([2]Pointage!JR34,Feuil1!$A:$B,2,FALSE),"")</f>
        <v/>
      </c>
      <c r="JO40" s="31" t="str">
        <f>IFERROR(VLOOKUP([2]Pointage!JS34,Feuil1!$A:$B,2,FALSE),"")</f>
        <v/>
      </c>
      <c r="JP40" s="31" t="str">
        <f>IFERROR(VLOOKUP([2]Pointage!JT34,Feuil1!$A:$B,2,FALSE),"")</f>
        <v/>
      </c>
      <c r="JQ40" s="31" t="str">
        <f>IFERROR(VLOOKUP([2]Pointage!JU34,Feuil1!$A:$B,2,FALSE),"")</f>
        <v/>
      </c>
      <c r="JR40" s="82" t="str">
        <f>IFERROR(VLOOKUP([2]Pointage!JV34,Feuil1!$A:$B,2,FALSE),"")</f>
        <v/>
      </c>
      <c r="JS40" s="47" t="str">
        <f>IFERROR(VLOOKUP([2]Pointage!JW34,Feuil1!$A:$B,2,FALSE),"")</f>
        <v/>
      </c>
      <c r="JT40" s="31" t="str">
        <f>IFERROR(VLOOKUP([2]Pointage!JX34,Feuil1!$A:$B,2,FALSE),"")</f>
        <v/>
      </c>
      <c r="JU40" s="31" t="str">
        <f>IFERROR(VLOOKUP([2]Pointage!JY34,Feuil1!$A:$B,2,FALSE),"")</f>
        <v/>
      </c>
      <c r="JV40" s="31" t="str">
        <f>IFERROR(VLOOKUP([2]Pointage!JZ34,Feuil1!$A:$B,2,FALSE),"")</f>
        <v/>
      </c>
      <c r="JW40" s="31" t="str">
        <f>IFERROR(VLOOKUP([2]Pointage!KA34,Feuil1!$A:$B,2,FALSE),"")</f>
        <v/>
      </c>
      <c r="JX40" s="31" t="str">
        <f>IFERROR(VLOOKUP([2]Pointage!KB34,Feuil1!$A:$B,2,FALSE),"")</f>
        <v/>
      </c>
      <c r="JY40" s="31" t="str">
        <f>IFERROR(VLOOKUP([2]Pointage!KC34,Feuil1!$A:$B,2,FALSE),"")</f>
        <v/>
      </c>
      <c r="JZ40" s="31" t="str">
        <f>IFERROR(VLOOKUP([2]Pointage!KD34,Feuil1!$A:$B,2,FALSE),"")</f>
        <v/>
      </c>
      <c r="KA40" s="31" t="str">
        <f>IFERROR(VLOOKUP([2]Pointage!KE34,Feuil1!$A:$B,2,FALSE),"")</f>
        <v/>
      </c>
      <c r="KB40" s="31" t="str">
        <f>IFERROR(VLOOKUP([2]Pointage!KF34,Feuil1!$A:$B,2,FALSE),"")</f>
        <v/>
      </c>
      <c r="KC40" s="31" t="str">
        <f>IFERROR(VLOOKUP([2]Pointage!KG34,Feuil1!$A:$B,2,FALSE),"")</f>
        <v/>
      </c>
      <c r="KD40" s="31" t="str">
        <f>IFERROR(VLOOKUP([2]Pointage!KH34,Feuil1!$A:$B,2,FALSE),"")</f>
        <v/>
      </c>
      <c r="KE40" s="31" t="str">
        <f>IFERROR(VLOOKUP([2]Pointage!KI34,Feuil1!$A:$B,2,FALSE),"")</f>
        <v/>
      </c>
      <c r="KF40" s="31" t="str">
        <f>IFERROR(VLOOKUP([2]Pointage!KJ34,Feuil1!$A:$B,2,FALSE),"")</f>
        <v/>
      </c>
      <c r="KG40" s="31" t="str">
        <f>IFERROR(VLOOKUP([2]Pointage!KK34,Feuil1!$A:$B,2,FALSE),"")</f>
        <v/>
      </c>
      <c r="KH40" s="31" t="str">
        <f>IFERROR(VLOOKUP([2]Pointage!KL34,Feuil1!$A:$B,2,FALSE),"")</f>
        <v/>
      </c>
      <c r="KI40" s="31" t="str">
        <f>IFERROR(VLOOKUP([2]Pointage!KM34,Feuil1!$A:$B,2,FALSE),"")</f>
        <v/>
      </c>
      <c r="KJ40" s="31" t="str">
        <f>IFERROR(VLOOKUP([2]Pointage!KN34,Feuil1!$A:$B,2,FALSE),"")</f>
        <v/>
      </c>
      <c r="KK40" s="31" t="str">
        <f>IFERROR(VLOOKUP([2]Pointage!KO34,Feuil1!$A:$B,2,FALSE),"")</f>
        <v/>
      </c>
      <c r="KL40" s="31" t="str">
        <f>IFERROR(VLOOKUP([2]Pointage!KP34,Feuil1!$A:$B,2,FALSE),"")</f>
        <v/>
      </c>
      <c r="KM40" s="31" t="str">
        <f>IFERROR(VLOOKUP([2]Pointage!KQ34,Feuil1!$A:$B,2,FALSE),"")</f>
        <v/>
      </c>
      <c r="KN40" s="31" t="str">
        <f>IFERROR(VLOOKUP([2]Pointage!KR34,Feuil1!$A:$B,2,FALSE),"")</f>
        <v/>
      </c>
      <c r="KO40" s="31" t="str">
        <f>IFERROR(VLOOKUP([2]Pointage!KS34,Feuil1!$A:$B,2,FALSE),"")</f>
        <v/>
      </c>
      <c r="KP40" s="31" t="str">
        <f>IFERROR(VLOOKUP([2]Pointage!KT34,Feuil1!$A:$B,2,FALSE),"")</f>
        <v/>
      </c>
      <c r="KQ40" s="31" t="str">
        <f>IFERROR(VLOOKUP([2]Pointage!KU34,Feuil1!$A:$B,2,FALSE),"")</f>
        <v/>
      </c>
      <c r="KR40" s="31" t="str">
        <f>IFERROR(VLOOKUP([2]Pointage!KV34,Feuil1!$A:$B,2,FALSE),"")</f>
        <v/>
      </c>
      <c r="KS40" s="31" t="str">
        <f>IFERROR(VLOOKUP([2]Pointage!KW34,Feuil1!$A:$B,2,FALSE),"")</f>
        <v/>
      </c>
      <c r="KT40" s="31" t="str">
        <f>IFERROR(VLOOKUP([2]Pointage!KX34,Feuil1!$A:$B,2,FALSE),"")</f>
        <v/>
      </c>
      <c r="KU40" s="31" t="str">
        <f>IFERROR(VLOOKUP([2]Pointage!KY34,Feuil1!$A:$B,2,FALSE),"")</f>
        <v/>
      </c>
      <c r="KV40" s="31" t="str">
        <f>IFERROR(VLOOKUP([2]Pointage!KZ34,Feuil1!$A:$B,2,FALSE),"")</f>
        <v/>
      </c>
      <c r="KW40" s="82" t="str">
        <f>IFERROR(VLOOKUP([2]Pointage!LA34,Feuil1!$A:$B,2,FALSE),"")</f>
        <v/>
      </c>
      <c r="KX40" s="47" t="str">
        <f>IFERROR(VLOOKUP([2]Pointage!LB34,Feuil1!$A:$B,2,FALSE),"")</f>
        <v/>
      </c>
      <c r="KY40" s="31" t="str">
        <f>IFERROR(VLOOKUP([2]Pointage!LC34,Feuil1!$A:$B,2,FALSE),"")</f>
        <v/>
      </c>
      <c r="KZ40" s="31" t="str">
        <f>IFERROR(VLOOKUP([2]Pointage!LD34,Feuil1!$A:$B,2,FALSE),"")</f>
        <v/>
      </c>
      <c r="LA40" s="31" t="str">
        <f>IFERROR(VLOOKUP([2]Pointage!LE34,Feuil1!$A:$B,2,FALSE),"")</f>
        <v/>
      </c>
      <c r="LB40" s="31" t="str">
        <f>IFERROR(VLOOKUP([2]Pointage!LF34,Feuil1!$A:$B,2,FALSE),"")</f>
        <v/>
      </c>
      <c r="LC40" s="31" t="str">
        <f>IFERROR(VLOOKUP([2]Pointage!LG34,Feuil1!$A:$B,2,FALSE),"")</f>
        <v/>
      </c>
      <c r="LD40" s="31" t="str">
        <f>IFERROR(VLOOKUP([2]Pointage!LH34,Feuil1!$A:$B,2,FALSE),"")</f>
        <v/>
      </c>
      <c r="LE40" s="31" t="str">
        <f>IFERROR(VLOOKUP([2]Pointage!LI34,Feuil1!$A:$B,2,FALSE),"")</f>
        <v/>
      </c>
      <c r="LF40" s="31" t="str">
        <f>IFERROR(VLOOKUP([2]Pointage!LJ34,Feuil1!$A:$B,2,FALSE),"")</f>
        <v/>
      </c>
      <c r="LG40" s="31" t="str">
        <f>IFERROR(VLOOKUP([2]Pointage!LK34,Feuil1!$A:$B,2,FALSE),"")</f>
        <v/>
      </c>
      <c r="LH40" s="31" t="str">
        <f>IFERROR(VLOOKUP([2]Pointage!LL34,Feuil1!$A:$B,2,FALSE),"")</f>
        <v/>
      </c>
      <c r="LI40" s="31" t="str">
        <f>IFERROR(VLOOKUP([2]Pointage!LM34,Feuil1!$A:$B,2,FALSE),"")</f>
        <v/>
      </c>
      <c r="LJ40" s="31" t="str">
        <f>IFERROR(VLOOKUP([2]Pointage!LN34,Feuil1!$A:$B,2,FALSE),"")</f>
        <v/>
      </c>
      <c r="LK40" s="31" t="str">
        <f>IFERROR(VLOOKUP([2]Pointage!LO34,Feuil1!$A:$B,2,FALSE),"")</f>
        <v/>
      </c>
      <c r="LL40" s="31" t="str">
        <f>IFERROR(VLOOKUP([2]Pointage!LP34,Feuil1!$A:$B,2,FALSE),"")</f>
        <v/>
      </c>
      <c r="LM40" s="31" t="str">
        <f>IFERROR(VLOOKUP([2]Pointage!LQ34,Feuil1!$A:$B,2,FALSE),"")</f>
        <v/>
      </c>
      <c r="LN40" s="31" t="str">
        <f>IFERROR(VLOOKUP([2]Pointage!LR34,Feuil1!$A:$B,2,FALSE),"")</f>
        <v/>
      </c>
      <c r="LO40" s="31" t="str">
        <f>IFERROR(VLOOKUP([2]Pointage!LS34,Feuil1!$A:$B,2,FALSE),"")</f>
        <v/>
      </c>
      <c r="LP40" s="31" t="str">
        <f>IFERROR(VLOOKUP([2]Pointage!LT34,Feuil1!$A:$B,2,FALSE),"")</f>
        <v/>
      </c>
      <c r="LQ40" s="31" t="str">
        <f>IFERROR(VLOOKUP([2]Pointage!LU34,Feuil1!$A:$B,2,FALSE),"")</f>
        <v/>
      </c>
      <c r="LR40" s="31" t="str">
        <f>IFERROR(VLOOKUP([2]Pointage!LV34,Feuil1!$A:$B,2,FALSE),"")</f>
        <v/>
      </c>
      <c r="LS40" s="31" t="str">
        <f>IFERROR(VLOOKUP([2]Pointage!LW34,Feuil1!$A:$B,2,FALSE),"")</f>
        <v/>
      </c>
      <c r="LT40" s="31" t="str">
        <f>IFERROR(VLOOKUP([2]Pointage!LX34,Feuil1!$A:$B,2,FALSE),"")</f>
        <v/>
      </c>
      <c r="LU40" s="31" t="str">
        <f>IFERROR(VLOOKUP([2]Pointage!LY34,Feuil1!$A:$B,2,FALSE),"")</f>
        <v/>
      </c>
      <c r="LV40" s="31" t="str">
        <f>IFERROR(VLOOKUP([2]Pointage!LZ34,Feuil1!$A:$B,2,FALSE),"")</f>
        <v/>
      </c>
      <c r="LW40" s="31" t="str">
        <f>IFERROR(VLOOKUP([2]Pointage!MA34,Feuil1!$A:$B,2,FALSE),"")</f>
        <v/>
      </c>
      <c r="LX40" s="31" t="str">
        <f>IFERROR(VLOOKUP([2]Pointage!MB34,Feuil1!$A:$B,2,FALSE),"")</f>
        <v/>
      </c>
      <c r="LY40" s="31" t="str">
        <f>IFERROR(VLOOKUP([2]Pointage!MC34,Feuil1!$A:$B,2,FALSE),"")</f>
        <v/>
      </c>
      <c r="LZ40" s="31" t="str">
        <f>IFERROR(VLOOKUP([2]Pointage!MD34,Feuil1!$A:$B,2,FALSE),"")</f>
        <v/>
      </c>
      <c r="MA40" s="82" t="str">
        <f>IFERROR(VLOOKUP([2]Pointage!ME34,Feuil1!$A:$B,2,FALSE),"")</f>
        <v/>
      </c>
      <c r="MB40" s="47" t="str">
        <f>IFERROR(VLOOKUP([2]Pointage!MF34,Feuil1!$A:$B,2,FALSE),"")</f>
        <v/>
      </c>
      <c r="MC40" s="31" t="str">
        <f>IFERROR(VLOOKUP([2]Pointage!MG34,Feuil1!$A:$B,2,FALSE),"")</f>
        <v/>
      </c>
      <c r="MD40" s="31" t="str">
        <f>IFERROR(VLOOKUP([2]Pointage!MH34,Feuil1!$A:$B,2,FALSE),"")</f>
        <v/>
      </c>
      <c r="ME40" s="31" t="str">
        <f>IFERROR(VLOOKUP([2]Pointage!MI34,Feuil1!$A:$B,2,FALSE),"")</f>
        <v/>
      </c>
      <c r="MF40" s="31" t="str">
        <f>IFERROR(VLOOKUP([2]Pointage!MJ34,Feuil1!$A:$B,2,FALSE),"")</f>
        <v/>
      </c>
      <c r="MG40" s="31" t="str">
        <f>IFERROR(VLOOKUP([2]Pointage!MK34,Feuil1!$A:$B,2,FALSE),"")</f>
        <v/>
      </c>
      <c r="MH40" s="31" t="str">
        <f>IFERROR(VLOOKUP([2]Pointage!ML34,Feuil1!$A:$B,2,FALSE),"")</f>
        <v/>
      </c>
      <c r="MI40" s="31" t="str">
        <f>IFERROR(VLOOKUP([2]Pointage!MM34,Feuil1!$A:$B,2,FALSE),"")</f>
        <v/>
      </c>
      <c r="MJ40" s="31" t="str">
        <f>IFERROR(VLOOKUP([2]Pointage!MN34,Feuil1!$A:$B,2,FALSE),"")</f>
        <v/>
      </c>
      <c r="MK40" s="31" t="str">
        <f>IFERROR(VLOOKUP([2]Pointage!MO34,Feuil1!$A:$B,2,FALSE),"")</f>
        <v/>
      </c>
      <c r="ML40" s="31" t="str">
        <f>IFERROR(VLOOKUP([2]Pointage!MP34,Feuil1!$A:$B,2,FALSE),"")</f>
        <v/>
      </c>
      <c r="MM40" s="31" t="str">
        <f>IFERROR(VLOOKUP([2]Pointage!MQ34,Feuil1!$A:$B,2,FALSE),"")</f>
        <v/>
      </c>
      <c r="MN40" s="31" t="str">
        <f>IFERROR(VLOOKUP([2]Pointage!MR34,Feuil1!$A:$B,2,FALSE),"")</f>
        <v/>
      </c>
      <c r="MO40" s="31" t="str">
        <f>IFERROR(VLOOKUP([2]Pointage!MS34,Feuil1!$A:$B,2,FALSE),"")</f>
        <v/>
      </c>
      <c r="MP40" s="31" t="str">
        <f>IFERROR(VLOOKUP([2]Pointage!MT34,Feuil1!$A:$B,2,FALSE),"")</f>
        <v/>
      </c>
      <c r="MQ40" s="31" t="str">
        <f>IFERROR(VLOOKUP([2]Pointage!MU34,Feuil1!$A:$B,2,FALSE),"")</f>
        <v/>
      </c>
      <c r="MR40" s="31" t="str">
        <f>IFERROR(VLOOKUP([2]Pointage!MV34,Feuil1!$A:$B,2,FALSE),"")</f>
        <v/>
      </c>
      <c r="MS40" s="31" t="str">
        <f>IFERROR(VLOOKUP([2]Pointage!MW34,Feuil1!$A:$B,2,FALSE),"")</f>
        <v/>
      </c>
      <c r="MT40" s="31" t="str">
        <f>IFERROR(VLOOKUP([2]Pointage!MX34,Feuil1!$A:$B,2,FALSE),"")</f>
        <v/>
      </c>
      <c r="MU40" s="31" t="str">
        <f>IFERROR(VLOOKUP([2]Pointage!MY34,Feuil1!$A:$B,2,FALSE),"")</f>
        <v/>
      </c>
      <c r="MV40" s="31" t="str">
        <f>IFERROR(VLOOKUP([2]Pointage!MZ34,Feuil1!$A:$B,2,FALSE),"")</f>
        <v/>
      </c>
      <c r="MW40" s="31" t="str">
        <f>IFERROR(VLOOKUP([2]Pointage!NA34,Feuil1!$A:$B,2,FALSE),"")</f>
        <v/>
      </c>
      <c r="MX40" s="31" t="str">
        <f>IFERROR(VLOOKUP([2]Pointage!NB34,Feuil1!$A:$B,2,FALSE),"")</f>
        <v/>
      </c>
      <c r="MY40" s="31" t="str">
        <f>IFERROR(VLOOKUP([2]Pointage!NC34,Feuil1!$A:$B,2,FALSE),"")</f>
        <v/>
      </c>
      <c r="MZ40" s="31" t="str">
        <f>IFERROR(VLOOKUP([2]Pointage!ND34,Feuil1!$A:$B,2,FALSE),"")</f>
        <v/>
      </c>
      <c r="NA40" s="31" t="str">
        <f>IFERROR(VLOOKUP([2]Pointage!NE34,Feuil1!$A:$B,2,FALSE),"")</f>
        <v/>
      </c>
      <c r="NB40" s="31" t="str">
        <f>IFERROR(VLOOKUP([2]Pointage!NF34,Feuil1!$A:$B,2,FALSE),"")</f>
        <v/>
      </c>
      <c r="NC40" s="31" t="str">
        <f>IFERROR(VLOOKUP([2]Pointage!NG34,Feuil1!$A:$B,2,FALSE),"")</f>
        <v/>
      </c>
      <c r="ND40" s="31" t="str">
        <f>IFERROR(VLOOKUP([2]Pointage!NH34,Feuil1!$A:$B,2,FALSE),"")</f>
        <v/>
      </c>
      <c r="NE40" s="31" t="str">
        <f>IFERROR(VLOOKUP([2]Pointage!NI34,Feuil1!$A:$B,2,FALSE),"")</f>
        <v/>
      </c>
      <c r="NF40" s="48" t="str">
        <f>IFERROR(VLOOKUP([2]Pointage!NJ34,Feuil1!$A:$B,2,FALSE),"")</f>
        <v/>
      </c>
      <c r="NG40" s="52">
        <f>COUNTIF(Global!F40:NF40,"RTT")+(COUNTIF(Global!F40:NF40,"dRTT")/2)</f>
        <v>0</v>
      </c>
      <c r="NH40" s="42">
        <f>COUNTIF(Global!F40:NF40,"C")+(COUNTIF(Global!F40:NF40,"DC")/2)</f>
        <v>27</v>
      </c>
      <c r="NI40" s="42">
        <f>COUNTIF(Global!F40:NF40,"M")</f>
        <v>0</v>
      </c>
      <c r="NJ40" s="42">
        <f>COUNTIF(Global!G40:NG40,"AT")</f>
        <v>0</v>
      </c>
      <c r="NK40" s="42">
        <f>COUNTIF(Global!F40:NF40,"RD")</f>
        <v>0</v>
      </c>
      <c r="NL40" s="42">
        <f>COUNTIF(Global!F40:NF40,"RC")+(COUNTIF(Global!F40:NF40,"dRC")/2)</f>
        <v>0</v>
      </c>
      <c r="NM40" s="68">
        <f t="shared" ca="1" si="0"/>
        <v>4.0273972602739727</v>
      </c>
      <c r="NT40" s="33"/>
      <c r="NU40" s="33"/>
      <c r="NV40" s="28"/>
      <c r="NW40" s="28"/>
      <c r="NX40" s="29">
        <f>COUNTIF(F40:NF40,"C")++(COUNTIF(Global!F40:NF40,"DC")/2)</f>
        <v>27</v>
      </c>
      <c r="NY40" s="29"/>
      <c r="NZ40" s="29"/>
      <c r="OA40" s="29"/>
      <c r="OB40" s="29">
        <f>COUNTIF(Global!F40:NF40,"M")</f>
        <v>0</v>
      </c>
      <c r="OC40" s="30">
        <f t="shared" si="1"/>
        <v>-27</v>
      </c>
      <c r="OD40" s="30"/>
    </row>
    <row r="41" spans="1:394" ht="30" customHeight="1" x14ac:dyDescent="0.2">
      <c r="A41" s="15" t="s">
        <v>97</v>
      </c>
      <c r="B41" s="22" t="s">
        <v>224</v>
      </c>
      <c r="C41" s="22" t="s">
        <v>225</v>
      </c>
      <c r="D41" s="22" t="s">
        <v>226</v>
      </c>
      <c r="E41" s="44">
        <v>0</v>
      </c>
      <c r="F41" s="47" t="str">
        <f>IFERROR(VLOOKUP([2]Pointage!J35,Feuil1!$A:$B,2,FALSE),"")</f>
        <v/>
      </c>
      <c r="G41" s="31" t="str">
        <f>IFERROR(VLOOKUP([2]Pointage!K35,Feuil1!$A:$B,2,FALSE),"")</f>
        <v/>
      </c>
      <c r="H41" s="31" t="str">
        <f>IFERROR(VLOOKUP([2]Pointage!L35,Feuil1!$A:$B,2,FALSE),"")</f>
        <v/>
      </c>
      <c r="I41" s="31" t="str">
        <f>IFERROR(VLOOKUP([2]Pointage!M35,Feuil1!$A:$B,2,FALSE),"")</f>
        <v/>
      </c>
      <c r="J41" s="31" t="str">
        <f>IFERROR(VLOOKUP([2]Pointage!N35,Feuil1!$A:$B,2,FALSE),"")</f>
        <v/>
      </c>
      <c r="K41" s="31" t="str">
        <f>IFERROR(VLOOKUP([2]Pointage!O35,Feuil1!$A:$B,2,FALSE),"")</f>
        <v/>
      </c>
      <c r="L41" s="31" t="str">
        <f>IFERROR(VLOOKUP([2]Pointage!P35,Feuil1!$A:$B,2,FALSE),"")</f>
        <v/>
      </c>
      <c r="M41" s="31" t="str">
        <f>IFERROR(VLOOKUP([2]Pointage!Q35,Feuil1!$A:$B,2,FALSE),"")</f>
        <v/>
      </c>
      <c r="N41" s="31" t="str">
        <f>IFERROR(VLOOKUP([2]Pointage!R35,Feuil1!$A:$B,2,FALSE),"")</f>
        <v/>
      </c>
      <c r="O41" s="31" t="str">
        <f>IFERROR(VLOOKUP([2]Pointage!S35,Feuil1!$A:$B,2,FALSE),"")</f>
        <v/>
      </c>
      <c r="P41" s="31" t="str">
        <f>IFERROR(VLOOKUP([2]Pointage!T35,Feuil1!$A:$B,2,FALSE),"")</f>
        <v/>
      </c>
      <c r="Q41" s="31" t="str">
        <f>IFERROR(VLOOKUP([2]Pointage!U35,Feuil1!$A:$B,2,FALSE),"")</f>
        <v/>
      </c>
      <c r="R41" s="31" t="str">
        <f>IFERROR(VLOOKUP([2]Pointage!V35,Feuil1!$A:$B,2,FALSE),"")</f>
        <v/>
      </c>
      <c r="S41" s="31" t="str">
        <f>IFERROR(VLOOKUP([2]Pointage!W35,Feuil1!$A:$B,2,FALSE),"")</f>
        <v/>
      </c>
      <c r="T41" s="31" t="str">
        <f>IFERROR(VLOOKUP([2]Pointage!X35,Feuil1!$A:$B,2,FALSE),"")</f>
        <v/>
      </c>
      <c r="U41" s="31" t="str">
        <f>IFERROR(VLOOKUP([2]Pointage!Y35,Feuil1!$A:$B,2,FALSE),"")</f>
        <v/>
      </c>
      <c r="V41" s="31" t="str">
        <f>IFERROR(VLOOKUP([2]Pointage!Z35,Feuil1!$A:$B,2,FALSE),"")</f>
        <v/>
      </c>
      <c r="W41" s="31" t="str">
        <f>IFERROR(VLOOKUP([2]Pointage!AA35,Feuil1!$A:$B,2,FALSE),"")</f>
        <v/>
      </c>
      <c r="X41" s="31" t="str">
        <f>IFERROR(VLOOKUP([2]Pointage!AB35,Feuil1!$A:$B,2,FALSE),"")</f>
        <v/>
      </c>
      <c r="Y41" s="31" t="str">
        <f>IFERROR(VLOOKUP([2]Pointage!AC35,Feuil1!$A:$B,2,FALSE),"")</f>
        <v/>
      </c>
      <c r="Z41" s="31" t="str">
        <f>IFERROR(VLOOKUP([2]Pointage!AD35,Feuil1!$A:$B,2,FALSE),"")</f>
        <v/>
      </c>
      <c r="AA41" s="31" t="str">
        <f>IFERROR(VLOOKUP([2]Pointage!AE35,Feuil1!$A:$B,2,FALSE),"")</f>
        <v/>
      </c>
      <c r="AB41" s="31" t="str">
        <f>IFERROR(VLOOKUP([2]Pointage!AF35,Feuil1!$A:$B,2,FALSE),"")</f>
        <v/>
      </c>
      <c r="AC41" s="31" t="str">
        <f>IFERROR(VLOOKUP([2]Pointage!AG35,Feuil1!$A:$B,2,FALSE),"")</f>
        <v/>
      </c>
      <c r="AD41" s="31" t="str">
        <f>IFERROR(VLOOKUP([2]Pointage!AH35,Feuil1!$A:$B,2,FALSE),"")</f>
        <v/>
      </c>
      <c r="AE41" s="31" t="str">
        <f>IFERROR(VLOOKUP([2]Pointage!AI35,Feuil1!$A:$B,2,FALSE),"")</f>
        <v/>
      </c>
      <c r="AF41" s="31" t="str">
        <f>IFERROR(VLOOKUP([2]Pointage!AJ35,Feuil1!$A:$B,2,FALSE),"")</f>
        <v/>
      </c>
      <c r="AG41" s="31" t="str">
        <f>IFERROR(VLOOKUP([2]Pointage!AK35,Feuil1!$A:$B,2,FALSE),"")</f>
        <v/>
      </c>
      <c r="AH41" s="31" t="str">
        <f>IFERROR(VLOOKUP([2]Pointage!AL35,Feuil1!$A:$B,2,FALSE),"")</f>
        <v/>
      </c>
      <c r="AI41" s="31" t="str">
        <f>IFERROR(VLOOKUP([2]Pointage!AM35,Feuil1!$A:$B,2,FALSE),"")</f>
        <v/>
      </c>
      <c r="AJ41" s="82" t="str">
        <f>IFERROR(VLOOKUP([2]Pointage!AN35,Feuil1!$A:$B,2,FALSE),"")</f>
        <v/>
      </c>
      <c r="AK41" s="47" t="str">
        <f>IFERROR(VLOOKUP([2]Pointage!AO35,Feuil1!$A:$B,2,FALSE),"")</f>
        <v/>
      </c>
      <c r="AL41" s="31" t="str">
        <f>IFERROR(VLOOKUP([2]Pointage!AP35,Feuil1!$A:$B,2,FALSE),"")</f>
        <v/>
      </c>
      <c r="AM41" s="31" t="str">
        <f>IFERROR(VLOOKUP([2]Pointage!AQ35,Feuil1!$A:$B,2,FALSE),"")</f>
        <v/>
      </c>
      <c r="AN41" s="31" t="str">
        <f>IFERROR(VLOOKUP([2]Pointage!AR35,Feuil1!$A:$B,2,FALSE),"")</f>
        <v/>
      </c>
      <c r="AO41" s="31" t="str">
        <f>IFERROR(VLOOKUP([2]Pointage!AS35,Feuil1!$A:$B,2,FALSE),"")</f>
        <v/>
      </c>
      <c r="AP41" s="31" t="str">
        <f>IFERROR(VLOOKUP([2]Pointage!AT35,Feuil1!$A:$B,2,FALSE),"")</f>
        <v/>
      </c>
      <c r="AQ41" s="31" t="str">
        <f>IFERROR(VLOOKUP([2]Pointage!AU35,Feuil1!$A:$B,2,FALSE),"")</f>
        <v/>
      </c>
      <c r="AR41" s="31" t="str">
        <f>IFERROR(VLOOKUP([2]Pointage!AV35,Feuil1!$A:$B,2,FALSE),"")</f>
        <v/>
      </c>
      <c r="AS41" s="31" t="str">
        <f>IFERROR(VLOOKUP([2]Pointage!AW35,Feuil1!$A:$B,2,FALSE),"")</f>
        <v/>
      </c>
      <c r="AT41" s="31" t="str">
        <f>IFERROR(VLOOKUP([2]Pointage!AX35,Feuil1!$A:$B,2,FALSE),"")</f>
        <v/>
      </c>
      <c r="AU41" s="31" t="str">
        <f>IFERROR(VLOOKUP([2]Pointage!AY35,Feuil1!$A:$B,2,FALSE),"")</f>
        <v/>
      </c>
      <c r="AV41" s="31" t="str">
        <f>IFERROR(VLOOKUP([2]Pointage!AZ35,Feuil1!$A:$B,2,FALSE),"")</f>
        <v/>
      </c>
      <c r="AW41" s="31" t="str">
        <f>IFERROR(VLOOKUP([2]Pointage!BA35,Feuil1!$A:$B,2,FALSE),"")</f>
        <v/>
      </c>
      <c r="AX41" s="31" t="str">
        <f>IFERROR(VLOOKUP([2]Pointage!BB35,Feuil1!$A:$B,2,FALSE),"")</f>
        <v/>
      </c>
      <c r="AY41" s="31" t="str">
        <f>IFERROR(VLOOKUP([2]Pointage!BC35,Feuil1!$A:$B,2,FALSE),"")</f>
        <v/>
      </c>
      <c r="AZ41" s="31" t="str">
        <f>IFERROR(VLOOKUP([2]Pointage!BD35,Feuil1!$A:$B,2,FALSE),"")</f>
        <v/>
      </c>
      <c r="BA41" s="31" t="str">
        <f>IFERROR(VLOOKUP([2]Pointage!BE35,Feuil1!$A:$B,2,FALSE),"")</f>
        <v/>
      </c>
      <c r="BB41" s="31" t="str">
        <f>IFERROR(VLOOKUP([2]Pointage!BF35,Feuil1!$A:$B,2,FALSE),"")</f>
        <v/>
      </c>
      <c r="BC41" s="31" t="str">
        <f>IFERROR(VLOOKUP([2]Pointage!BG35,Feuil1!$A:$B,2,FALSE),"")</f>
        <v/>
      </c>
      <c r="BD41" s="31" t="str">
        <f>IFERROR(VLOOKUP([2]Pointage!BH35,Feuil1!$A:$B,2,FALSE),"")</f>
        <v/>
      </c>
      <c r="BE41" s="31" t="str">
        <f>IFERROR(VLOOKUP([2]Pointage!BI35,Feuil1!$A:$B,2,FALSE),"")</f>
        <v/>
      </c>
      <c r="BF41" s="31" t="str">
        <f>IFERROR(VLOOKUP([2]Pointage!BJ35,Feuil1!$A:$B,2,FALSE),"")</f>
        <v/>
      </c>
      <c r="BG41" s="31" t="str">
        <f>IFERROR(VLOOKUP([2]Pointage!BK35,Feuil1!$A:$B,2,FALSE),"")</f>
        <v/>
      </c>
      <c r="BH41" s="31" t="str">
        <f>IFERROR(VLOOKUP([2]Pointage!BL35,Feuil1!$A:$B,2,FALSE),"")</f>
        <v/>
      </c>
      <c r="BI41" s="31" t="str">
        <f>IFERROR(VLOOKUP([2]Pointage!BM35,Feuil1!$A:$B,2,FALSE),"")</f>
        <v/>
      </c>
      <c r="BJ41" s="31" t="str">
        <f>IFERROR(VLOOKUP([2]Pointage!BN35,Feuil1!$A:$B,2,FALSE),"")</f>
        <v/>
      </c>
      <c r="BK41" s="31" t="str">
        <f>IFERROR(VLOOKUP([2]Pointage!BO35,Feuil1!$A:$B,2,FALSE),"")</f>
        <v/>
      </c>
      <c r="BL41" s="82" t="str">
        <f>IFERROR(VLOOKUP([2]Pointage!BP35,Feuil1!$A:$B,2,FALSE),"")</f>
        <v/>
      </c>
      <c r="BM41" s="47" t="str">
        <f>IFERROR(VLOOKUP([2]Pointage!BQ35,Feuil1!$A:$B,2,FALSE),"")</f>
        <v/>
      </c>
      <c r="BN41" s="31" t="str">
        <f>IFERROR(VLOOKUP([2]Pointage!BR35,Feuil1!$A:$B,2,FALSE),"")</f>
        <v/>
      </c>
      <c r="BO41" s="31" t="str">
        <f>IFERROR(VLOOKUP([2]Pointage!BS35,Feuil1!$A:$B,2,FALSE),"")</f>
        <v/>
      </c>
      <c r="BP41" s="31" t="str">
        <f>IFERROR(VLOOKUP([2]Pointage!BT35,Feuil1!$A:$B,2,FALSE),"")</f>
        <v/>
      </c>
      <c r="BQ41" s="31" t="str">
        <f>IFERROR(VLOOKUP([2]Pointage!BU35,Feuil1!$A:$B,2,FALSE),"")</f>
        <v/>
      </c>
      <c r="BR41" s="31" t="str">
        <f>IFERROR(VLOOKUP([2]Pointage!BV35,Feuil1!$A:$B,2,FALSE),"")</f>
        <v/>
      </c>
      <c r="BS41" s="31" t="str">
        <f>IFERROR(VLOOKUP([2]Pointage!BW35,Feuil1!$A:$B,2,FALSE),"")</f>
        <v/>
      </c>
      <c r="BT41" s="31" t="str">
        <f>IFERROR(VLOOKUP([2]Pointage!BX35,Feuil1!$A:$B,2,FALSE),"")</f>
        <v/>
      </c>
      <c r="BU41" s="31" t="str">
        <f>IFERROR(VLOOKUP([2]Pointage!BY35,Feuil1!$A:$B,2,FALSE),"")</f>
        <v/>
      </c>
      <c r="BV41" s="31" t="str">
        <f>IFERROR(VLOOKUP([2]Pointage!BZ35,Feuil1!$A:$B,2,FALSE),"")</f>
        <v/>
      </c>
      <c r="BW41" s="31" t="str">
        <f>IFERROR(VLOOKUP([2]Pointage!CA35,Feuil1!$A:$B,2,FALSE),"")</f>
        <v/>
      </c>
      <c r="BX41" s="31" t="str">
        <f>IFERROR(VLOOKUP([2]Pointage!CB35,Feuil1!$A:$B,2,FALSE),"")</f>
        <v/>
      </c>
      <c r="BY41" s="31" t="str">
        <f>IFERROR(VLOOKUP([2]Pointage!CC35,Feuil1!$A:$B,2,FALSE),"")</f>
        <v/>
      </c>
      <c r="BZ41" s="31" t="str">
        <f>IFERROR(VLOOKUP([2]Pointage!CD35,Feuil1!$A:$B,2,FALSE),"")</f>
        <v/>
      </c>
      <c r="CA41" s="31" t="str">
        <f>IFERROR(VLOOKUP([2]Pointage!CE35,Feuil1!$A:$B,2,FALSE),"")</f>
        <v/>
      </c>
      <c r="CB41" s="31" t="str">
        <f>IFERROR(VLOOKUP([2]Pointage!CF35,Feuil1!$A:$B,2,FALSE),"")</f>
        <v/>
      </c>
      <c r="CC41" s="31" t="str">
        <f>IFERROR(VLOOKUP([2]Pointage!CG35,Feuil1!$A:$B,2,FALSE),"")</f>
        <v/>
      </c>
      <c r="CD41" s="31" t="str">
        <f>IFERROR(VLOOKUP([2]Pointage!CH35,Feuil1!$A:$B,2,FALSE),"")</f>
        <v/>
      </c>
      <c r="CE41" s="31" t="str">
        <f>IFERROR(VLOOKUP([2]Pointage!CI35,Feuil1!$A:$B,2,FALSE),"")</f>
        <v/>
      </c>
      <c r="CF41" s="31" t="str">
        <f>IFERROR(VLOOKUP([2]Pointage!CJ35,Feuil1!$A:$B,2,FALSE),"")</f>
        <v/>
      </c>
      <c r="CG41" s="31" t="str">
        <f>IFERROR(VLOOKUP([2]Pointage!CK35,Feuil1!$A:$B,2,FALSE),"")</f>
        <v/>
      </c>
      <c r="CH41" s="31" t="str">
        <f>IFERROR(VLOOKUP([2]Pointage!CL35,Feuil1!$A:$B,2,FALSE),"")</f>
        <v/>
      </c>
      <c r="CI41" s="31" t="str">
        <f>IFERROR(VLOOKUP([2]Pointage!CM35,Feuil1!$A:$B,2,FALSE),"")</f>
        <v/>
      </c>
      <c r="CJ41" s="31" t="str">
        <f>IFERROR(VLOOKUP([2]Pointage!CN35,Feuil1!$A:$B,2,FALSE),"")</f>
        <v/>
      </c>
      <c r="CK41" s="31" t="str">
        <f>IFERROR(VLOOKUP([2]Pointage!CO35,Feuil1!$A:$B,2,FALSE),"")</f>
        <v/>
      </c>
      <c r="CL41" s="31" t="str">
        <f>IFERROR(VLOOKUP([2]Pointage!CP35,Feuil1!$A:$B,2,FALSE),"")</f>
        <v/>
      </c>
      <c r="CM41" s="31" t="str">
        <f>IFERROR(VLOOKUP([2]Pointage!CQ35,Feuil1!$A:$B,2,FALSE),"")</f>
        <v/>
      </c>
      <c r="CN41" s="31" t="str">
        <f>IFERROR(VLOOKUP([2]Pointage!CR35,Feuil1!$A:$B,2,FALSE),"")</f>
        <v/>
      </c>
      <c r="CO41" s="31" t="str">
        <f>IFERROR(VLOOKUP([2]Pointage!CS35,Feuil1!$A:$B,2,FALSE),"")</f>
        <v/>
      </c>
      <c r="CP41" s="31" t="str">
        <f>IFERROR(VLOOKUP([2]Pointage!CT35,Feuil1!$A:$B,2,FALSE),"")</f>
        <v/>
      </c>
      <c r="CQ41" s="82" t="str">
        <f>IFERROR(VLOOKUP([2]Pointage!CU35,Feuil1!$A:$B,2,FALSE),"")</f>
        <v/>
      </c>
      <c r="CR41" s="47" t="str">
        <f>IFERROR(VLOOKUP([2]Pointage!CV35,Feuil1!$A:$B,2,FALSE),"")</f>
        <v/>
      </c>
      <c r="CS41" s="31" t="str">
        <f>IFERROR(VLOOKUP([2]Pointage!CW35,Feuil1!$A:$B,2,FALSE),"")</f>
        <v/>
      </c>
      <c r="CT41" s="31" t="str">
        <f>IFERROR(VLOOKUP([2]Pointage!CX35,Feuil1!$A:$B,2,FALSE),"")</f>
        <v/>
      </c>
      <c r="CU41" s="31" t="str">
        <f>IFERROR(VLOOKUP([2]Pointage!CY35,Feuil1!$A:$B,2,FALSE),"")</f>
        <v/>
      </c>
      <c r="CV41" s="31" t="str">
        <f>IFERROR(VLOOKUP([2]Pointage!CZ35,Feuil1!$A:$B,2,FALSE),"")</f>
        <v/>
      </c>
      <c r="CW41" s="31" t="str">
        <f>IFERROR(VLOOKUP([2]Pointage!DA35,Feuil1!$A:$B,2,FALSE),"")</f>
        <v/>
      </c>
      <c r="CX41" s="31" t="str">
        <f>IFERROR(VLOOKUP([2]Pointage!DB35,Feuil1!$A:$B,2,FALSE),"")</f>
        <v/>
      </c>
      <c r="CY41" s="31" t="str">
        <f>IFERROR(VLOOKUP([2]Pointage!DC35,Feuil1!$A:$B,2,FALSE),"")</f>
        <v/>
      </c>
      <c r="CZ41" s="31" t="str">
        <f>IFERROR(VLOOKUP([2]Pointage!DD35,Feuil1!$A:$B,2,FALSE),"")</f>
        <v/>
      </c>
      <c r="DA41" s="31" t="str">
        <f>IFERROR(VLOOKUP([2]Pointage!DE35,Feuil1!$A:$B,2,FALSE),"")</f>
        <v/>
      </c>
      <c r="DB41" s="31" t="str">
        <f>IFERROR(VLOOKUP([2]Pointage!DF35,Feuil1!$A:$B,2,FALSE),"")</f>
        <v/>
      </c>
      <c r="DC41" s="31" t="str">
        <f>IFERROR(VLOOKUP([2]Pointage!DG35,Feuil1!$A:$B,2,FALSE),"")</f>
        <v/>
      </c>
      <c r="DD41" s="31" t="str">
        <f>IFERROR(VLOOKUP([2]Pointage!DH35,Feuil1!$A:$B,2,FALSE),"")</f>
        <v/>
      </c>
      <c r="DE41" s="31" t="str">
        <f>IFERROR(VLOOKUP([2]Pointage!DI35,Feuil1!$A:$B,2,FALSE),"")</f>
        <v/>
      </c>
      <c r="DF41" s="31" t="str">
        <f>IFERROR(VLOOKUP([2]Pointage!DJ35,Feuil1!$A:$B,2,FALSE),"")</f>
        <v/>
      </c>
      <c r="DG41" s="31" t="str">
        <f>IFERROR(VLOOKUP([2]Pointage!DK35,Feuil1!$A:$B,2,FALSE),"")</f>
        <v/>
      </c>
      <c r="DH41" s="31" t="str">
        <f>IFERROR(VLOOKUP([2]Pointage!DL35,Feuil1!$A:$B,2,FALSE),"")</f>
        <v/>
      </c>
      <c r="DI41" s="31" t="str">
        <f>IFERROR(VLOOKUP([2]Pointage!DM35,Feuil1!$A:$B,2,FALSE),"")</f>
        <v/>
      </c>
      <c r="DJ41" s="31" t="str">
        <f>IFERROR(VLOOKUP([2]Pointage!DN35,Feuil1!$A:$B,2,FALSE),"")</f>
        <v/>
      </c>
      <c r="DK41" s="31" t="str">
        <f>IFERROR(VLOOKUP([2]Pointage!DO35,Feuil1!$A:$B,2,FALSE),"")</f>
        <v/>
      </c>
      <c r="DL41" s="31" t="str">
        <f>IFERROR(VLOOKUP([2]Pointage!DP35,Feuil1!$A:$B,2,FALSE),"")</f>
        <v/>
      </c>
      <c r="DM41" s="31" t="str">
        <f>IFERROR(VLOOKUP([2]Pointage!DQ35,Feuil1!$A:$B,2,FALSE),"")</f>
        <v/>
      </c>
      <c r="DN41" s="31" t="str">
        <f>IFERROR(VLOOKUP([2]Pointage!DR35,Feuil1!$A:$B,2,FALSE),"")</f>
        <v/>
      </c>
      <c r="DO41" s="31" t="str">
        <f>IFERROR(VLOOKUP([2]Pointage!DS35,Feuil1!$A:$B,2,FALSE),"")</f>
        <v/>
      </c>
      <c r="DP41" s="31" t="str">
        <f>IFERROR(VLOOKUP([2]Pointage!DT35,Feuil1!$A:$B,2,FALSE),"")</f>
        <v/>
      </c>
      <c r="DQ41" s="31" t="str">
        <f>IFERROR(VLOOKUP([2]Pointage!DU35,Feuil1!$A:$B,2,FALSE),"")</f>
        <v/>
      </c>
      <c r="DR41" s="31" t="str">
        <f>IFERROR(VLOOKUP([2]Pointage!DV35,Feuil1!$A:$B,2,FALSE),"")</f>
        <v/>
      </c>
      <c r="DS41" s="31" t="str">
        <f>IFERROR(VLOOKUP([2]Pointage!DW35,Feuil1!$A:$B,2,FALSE),"")</f>
        <v/>
      </c>
      <c r="DT41" s="31" t="str">
        <f>IFERROR(VLOOKUP([2]Pointage!DX35,Feuil1!$A:$B,2,FALSE),"")</f>
        <v/>
      </c>
      <c r="DU41" s="82" t="str">
        <f>IFERROR(VLOOKUP([2]Pointage!DY35,Feuil1!$A:$B,2,FALSE),"")</f>
        <v/>
      </c>
      <c r="DV41" s="47" t="str">
        <f>IFERROR(VLOOKUP([2]Pointage!DZ35,Feuil1!$A:$B,2,FALSE),"")</f>
        <v/>
      </c>
      <c r="DW41" s="31" t="str">
        <f>IFERROR(VLOOKUP([2]Pointage!EA35,Feuil1!$A:$B,2,FALSE),"")</f>
        <v/>
      </c>
      <c r="DX41" s="31" t="str">
        <f>IFERROR(VLOOKUP([2]Pointage!EB35,Feuil1!$A:$B,2,FALSE),"")</f>
        <v/>
      </c>
      <c r="DY41" s="31" t="str">
        <f>IFERROR(VLOOKUP([2]Pointage!EC35,Feuil1!$A:$B,2,FALSE),"")</f>
        <v/>
      </c>
      <c r="DZ41" s="31" t="str">
        <f>IFERROR(VLOOKUP([2]Pointage!ED35,Feuil1!$A:$B,2,FALSE),"")</f>
        <v/>
      </c>
      <c r="EA41" s="31" t="str">
        <f>IFERROR(VLOOKUP([2]Pointage!EE35,Feuil1!$A:$B,2,FALSE),"")</f>
        <v/>
      </c>
      <c r="EB41" s="31" t="str">
        <f>IFERROR(VLOOKUP([2]Pointage!EF35,Feuil1!$A:$B,2,FALSE),"")</f>
        <v/>
      </c>
      <c r="EC41" s="31" t="str">
        <f>IFERROR(VLOOKUP([2]Pointage!EG35,Feuil1!$A:$B,2,FALSE),"")</f>
        <v/>
      </c>
      <c r="ED41" s="31" t="str">
        <f>IFERROR(VLOOKUP([2]Pointage!EH35,Feuil1!$A:$B,2,FALSE),"")</f>
        <v/>
      </c>
      <c r="EE41" s="31" t="str">
        <f>IFERROR(VLOOKUP([2]Pointage!EI35,Feuil1!$A:$B,2,FALSE),"")</f>
        <v/>
      </c>
      <c r="EF41" s="31" t="str">
        <f>IFERROR(VLOOKUP([2]Pointage!EJ35,Feuil1!$A:$B,2,FALSE),"")</f>
        <v/>
      </c>
      <c r="EG41" s="31" t="str">
        <f>IFERROR(VLOOKUP([2]Pointage!EK35,Feuil1!$A:$B,2,FALSE),"")</f>
        <v/>
      </c>
      <c r="EH41" s="31" t="str">
        <f>IFERROR(VLOOKUP([2]Pointage!EL35,Feuil1!$A:$B,2,FALSE),"")</f>
        <v/>
      </c>
      <c r="EI41" s="31" t="str">
        <f>IFERROR(VLOOKUP([2]Pointage!EM35,Feuil1!$A:$B,2,FALSE),"")</f>
        <v>C</v>
      </c>
      <c r="EJ41" s="31" t="str">
        <f>IFERROR(VLOOKUP([2]Pointage!EN35,Feuil1!$A:$B,2,FALSE),"")</f>
        <v>C</v>
      </c>
      <c r="EK41" s="31" t="str">
        <f>IFERROR(VLOOKUP([2]Pointage!EO35,Feuil1!$A:$B,2,FALSE),"")</f>
        <v>C</v>
      </c>
      <c r="EL41" s="31" t="str">
        <f>IFERROR(VLOOKUP([2]Pointage!EP35,Feuil1!$A:$B,2,FALSE),"")</f>
        <v>C</v>
      </c>
      <c r="EM41" s="31" t="str">
        <f>IFERROR(VLOOKUP([2]Pointage!EQ35,Feuil1!$A:$B,2,FALSE),"")</f>
        <v>C</v>
      </c>
      <c r="EN41" s="31" t="str">
        <f>IFERROR(VLOOKUP([2]Pointage!ER35,Feuil1!$A:$B,2,FALSE),"")</f>
        <v/>
      </c>
      <c r="EO41" s="31" t="str">
        <f>IFERROR(VLOOKUP([2]Pointage!ES35,Feuil1!$A:$B,2,FALSE),"")</f>
        <v/>
      </c>
      <c r="EP41" s="31" t="str">
        <f>IFERROR(VLOOKUP([2]Pointage!ET35,Feuil1!$A:$B,2,FALSE),"")</f>
        <v/>
      </c>
      <c r="EQ41" s="31" t="str">
        <f>IFERROR(VLOOKUP([2]Pointage!EU35,Feuil1!$A:$B,2,FALSE),"")</f>
        <v/>
      </c>
      <c r="ER41" s="31" t="str">
        <f>IFERROR(VLOOKUP([2]Pointage!EV35,Feuil1!$A:$B,2,FALSE),"")</f>
        <v/>
      </c>
      <c r="ES41" s="31" t="str">
        <f>IFERROR(VLOOKUP([2]Pointage!EW35,Feuil1!$A:$B,2,FALSE),"")</f>
        <v/>
      </c>
      <c r="ET41" s="31" t="str">
        <f>IFERROR(VLOOKUP([2]Pointage!EX35,Feuil1!$A:$B,2,FALSE),"")</f>
        <v/>
      </c>
      <c r="EU41" s="31" t="str">
        <f>IFERROR(VLOOKUP([2]Pointage!EY35,Feuil1!$A:$B,2,FALSE),"")</f>
        <v/>
      </c>
      <c r="EV41" s="31" t="str">
        <f>IFERROR(VLOOKUP([2]Pointage!EZ35,Feuil1!$A:$B,2,FALSE),"")</f>
        <v/>
      </c>
      <c r="EW41" s="31" t="str">
        <f>IFERROR(VLOOKUP([2]Pointage!FA35,Feuil1!$A:$B,2,FALSE),"")</f>
        <v/>
      </c>
      <c r="EX41" s="31" t="str">
        <f>IFERROR(VLOOKUP([2]Pointage!FB35,Feuil1!$A:$B,2,FALSE),"")</f>
        <v/>
      </c>
      <c r="EY41" s="31" t="str">
        <f>IFERROR(VLOOKUP([2]Pointage!FC35,Feuil1!$A:$B,2,FALSE),"")</f>
        <v/>
      </c>
      <c r="EZ41" s="82" t="str">
        <f>IFERROR(VLOOKUP([2]Pointage!FD35,Feuil1!$A:$B,2,FALSE),"")</f>
        <v/>
      </c>
      <c r="FA41" s="47" t="str">
        <f>IFERROR(VLOOKUP([2]Pointage!FE35,Feuil1!$A:$B,2,FALSE),"")</f>
        <v/>
      </c>
      <c r="FB41" s="31" t="str">
        <f>IFERROR(VLOOKUP([2]Pointage!FF35,Feuil1!$A:$B,2,FALSE),"")</f>
        <v/>
      </c>
      <c r="FC41" s="31" t="str">
        <f>IFERROR(VLOOKUP([2]Pointage!FG35,Feuil1!$A:$B,2,FALSE),"")</f>
        <v/>
      </c>
      <c r="FD41" s="31" t="str">
        <f>IFERROR(VLOOKUP([2]Pointage!FH35,Feuil1!$A:$B,2,FALSE),"")</f>
        <v/>
      </c>
      <c r="FE41" s="31" t="str">
        <f>IFERROR(VLOOKUP([2]Pointage!FI35,Feuil1!$A:$B,2,FALSE),"")</f>
        <v/>
      </c>
      <c r="FF41" s="31" t="str">
        <f>IFERROR(VLOOKUP([2]Pointage!FJ35,Feuil1!$A:$B,2,FALSE),"")</f>
        <v/>
      </c>
      <c r="FG41" s="31" t="str">
        <f>IFERROR(VLOOKUP([2]Pointage!FK35,Feuil1!$A:$B,2,FALSE),"")</f>
        <v/>
      </c>
      <c r="FH41" s="31" t="str">
        <f>IFERROR(VLOOKUP([2]Pointage!FL35,Feuil1!$A:$B,2,FALSE),"")</f>
        <v/>
      </c>
      <c r="FI41" s="31" t="str">
        <f>IFERROR(VLOOKUP([2]Pointage!FM35,Feuil1!$A:$B,2,FALSE),"")</f>
        <v/>
      </c>
      <c r="FJ41" s="31" t="str">
        <f>IFERROR(VLOOKUP([2]Pointage!FN35,Feuil1!$A:$B,2,FALSE),"")</f>
        <v/>
      </c>
      <c r="FK41" s="31" t="str">
        <f>IFERROR(VLOOKUP([2]Pointage!FO35,Feuil1!$A:$B,2,FALSE),"")</f>
        <v/>
      </c>
      <c r="FL41" s="31" t="str">
        <f>IFERROR(VLOOKUP([2]Pointage!FP35,Feuil1!$A:$B,2,FALSE),"")</f>
        <v/>
      </c>
      <c r="FM41" s="31" t="str">
        <f>IFERROR(VLOOKUP([2]Pointage!FQ35,Feuil1!$A:$B,2,FALSE),"")</f>
        <v/>
      </c>
      <c r="FN41" s="31" t="str">
        <f>IFERROR(VLOOKUP([2]Pointage!FR35,Feuil1!$A:$B,2,FALSE),"")</f>
        <v/>
      </c>
      <c r="FO41" s="31" t="str">
        <f>IFERROR(VLOOKUP([2]Pointage!FS35,Feuil1!$A:$B,2,FALSE),"")</f>
        <v/>
      </c>
      <c r="FP41" s="31" t="str">
        <f>IFERROR(VLOOKUP([2]Pointage!FT35,Feuil1!$A:$B,2,FALSE),"")</f>
        <v/>
      </c>
      <c r="FQ41" s="31" t="str">
        <f>IFERROR(VLOOKUP([2]Pointage!FU35,Feuil1!$A:$B,2,FALSE),"")</f>
        <v/>
      </c>
      <c r="FR41" s="31" t="str">
        <f>IFERROR(VLOOKUP([2]Pointage!FV35,Feuil1!$A:$B,2,FALSE),"")</f>
        <v/>
      </c>
      <c r="FS41" s="31" t="str">
        <f>IFERROR(VLOOKUP([2]Pointage!FW35,Feuil1!$A:$B,2,FALSE),"")</f>
        <v/>
      </c>
      <c r="FT41" s="31" t="str">
        <f>IFERROR(VLOOKUP([2]Pointage!FX35,Feuil1!$A:$B,2,FALSE),"")</f>
        <v/>
      </c>
      <c r="FU41" s="31" t="str">
        <f>IFERROR(VLOOKUP([2]Pointage!FY35,Feuil1!$A:$B,2,FALSE),"")</f>
        <v/>
      </c>
      <c r="FV41" s="31" t="str">
        <f>IFERROR(VLOOKUP([2]Pointage!FZ35,Feuil1!$A:$B,2,FALSE),"")</f>
        <v/>
      </c>
      <c r="FW41" s="31" t="str">
        <f>IFERROR(VLOOKUP([2]Pointage!GA35,Feuil1!$A:$B,2,FALSE),"")</f>
        <v/>
      </c>
      <c r="FX41" s="31" t="str">
        <f>IFERROR(VLOOKUP([2]Pointage!GB35,Feuil1!$A:$B,2,FALSE),"")</f>
        <v/>
      </c>
      <c r="FY41" s="31" t="str">
        <f>IFERROR(VLOOKUP([2]Pointage!GC35,Feuil1!$A:$B,2,FALSE),"")</f>
        <v/>
      </c>
      <c r="FZ41" s="31" t="str">
        <f>IFERROR(VLOOKUP([2]Pointage!GD35,Feuil1!$A:$B,2,FALSE),"")</f>
        <v/>
      </c>
      <c r="GA41" s="31" t="str">
        <f>IFERROR(VLOOKUP([2]Pointage!GE35,Feuil1!$A:$B,2,FALSE),"")</f>
        <v/>
      </c>
      <c r="GB41" s="31" t="str">
        <f>IFERROR(VLOOKUP([2]Pointage!GF35,Feuil1!$A:$B,2,FALSE),"")</f>
        <v/>
      </c>
      <c r="GC41" s="31" t="str">
        <f>IFERROR(VLOOKUP([2]Pointage!GG35,Feuil1!$A:$B,2,FALSE),"")</f>
        <v/>
      </c>
      <c r="GD41" s="82" t="str">
        <f>IFERROR(VLOOKUP([2]Pointage!GH35,Feuil1!$A:$B,2,FALSE),"")</f>
        <v/>
      </c>
      <c r="GE41" s="47" t="str">
        <f>IFERROR(VLOOKUP([2]Pointage!GI35,Feuil1!$A:$B,2,FALSE),"")</f>
        <v/>
      </c>
      <c r="GF41" s="31" t="str">
        <f>IFERROR(VLOOKUP([2]Pointage!GJ35,Feuil1!$A:$B,2,FALSE),"")</f>
        <v/>
      </c>
      <c r="GG41" s="31" t="str">
        <f>IFERROR(VLOOKUP([2]Pointage!GK35,Feuil1!$A:$B,2,FALSE),"")</f>
        <v/>
      </c>
      <c r="GH41" s="31" t="str">
        <f>IFERROR(VLOOKUP([2]Pointage!GL35,Feuil1!$A:$B,2,FALSE),"")</f>
        <v/>
      </c>
      <c r="GI41" s="31" t="str">
        <f>IFERROR(VLOOKUP([2]Pointage!GM35,Feuil1!$A:$B,2,FALSE),"")</f>
        <v/>
      </c>
      <c r="GJ41" s="31" t="str">
        <f>IFERROR(VLOOKUP([2]Pointage!GN35,Feuil1!$A:$B,2,FALSE),"")</f>
        <v/>
      </c>
      <c r="GK41" s="31" t="str">
        <f>IFERROR(VLOOKUP([2]Pointage!GO35,Feuil1!$A:$B,2,FALSE),"")</f>
        <v/>
      </c>
      <c r="GL41" s="31" t="str">
        <f>IFERROR(VLOOKUP([2]Pointage!GP35,Feuil1!$A:$B,2,FALSE),"")</f>
        <v/>
      </c>
      <c r="GM41" s="31" t="str">
        <f>IFERROR(VLOOKUP([2]Pointage!GQ35,Feuil1!$A:$B,2,FALSE),"")</f>
        <v/>
      </c>
      <c r="GN41" s="31" t="str">
        <f>IFERROR(VLOOKUP([2]Pointage!GR35,Feuil1!$A:$B,2,FALSE),"")</f>
        <v/>
      </c>
      <c r="GO41" s="31" t="str">
        <f>IFERROR(VLOOKUP([2]Pointage!GS35,Feuil1!$A:$B,2,FALSE),"")</f>
        <v/>
      </c>
      <c r="GP41" s="31" t="str">
        <f>IFERROR(VLOOKUP([2]Pointage!GT35,Feuil1!$A:$B,2,FALSE),"")</f>
        <v/>
      </c>
      <c r="GQ41" s="31" t="str">
        <f>IFERROR(VLOOKUP([2]Pointage!GU35,Feuil1!$A:$B,2,FALSE),"")</f>
        <v/>
      </c>
      <c r="GR41" s="31" t="str">
        <f>IFERROR(VLOOKUP([2]Pointage!GV35,Feuil1!$A:$B,2,FALSE),"")</f>
        <v/>
      </c>
      <c r="GS41" s="31" t="str">
        <f>IFERROR(VLOOKUP([2]Pointage!GW35,Feuil1!$A:$B,2,FALSE),"")</f>
        <v/>
      </c>
      <c r="GT41" s="31" t="str">
        <f>IFERROR(VLOOKUP([2]Pointage!GX35,Feuil1!$A:$B,2,FALSE),"")</f>
        <v/>
      </c>
      <c r="GU41" s="31" t="str">
        <f>IFERROR(VLOOKUP([2]Pointage!GY35,Feuil1!$A:$B,2,FALSE),"")</f>
        <v/>
      </c>
      <c r="GV41" s="31" t="str">
        <f>IFERROR(VLOOKUP([2]Pointage!GZ35,Feuil1!$A:$B,2,FALSE),"")</f>
        <v/>
      </c>
      <c r="GW41" s="31" t="str">
        <f>IFERROR(VLOOKUP([2]Pointage!HA35,Feuil1!$A:$B,2,FALSE),"")</f>
        <v/>
      </c>
      <c r="GX41" s="31" t="str">
        <f>IFERROR(VLOOKUP([2]Pointage!HB35,Feuil1!$A:$B,2,FALSE),"")</f>
        <v/>
      </c>
      <c r="GY41" s="31" t="str">
        <f>IFERROR(VLOOKUP([2]Pointage!HC35,Feuil1!$A:$B,2,FALSE),"")</f>
        <v/>
      </c>
      <c r="GZ41" s="31" t="str">
        <f>IFERROR(VLOOKUP([2]Pointage!HD35,Feuil1!$A:$B,2,FALSE),"")</f>
        <v/>
      </c>
      <c r="HA41" s="31" t="str">
        <f>IFERROR(VLOOKUP([2]Pointage!HE35,Feuil1!$A:$B,2,FALSE),"")</f>
        <v/>
      </c>
      <c r="HB41" s="31" t="str">
        <f>IFERROR(VLOOKUP([2]Pointage!HF35,Feuil1!$A:$B,2,FALSE),"")</f>
        <v/>
      </c>
      <c r="HC41" s="31" t="str">
        <f>IFERROR(VLOOKUP([2]Pointage!HG35,Feuil1!$A:$B,2,FALSE),"")</f>
        <v/>
      </c>
      <c r="HD41" s="31" t="str">
        <f>IFERROR(VLOOKUP([2]Pointage!HH35,Feuil1!$A:$B,2,FALSE),"")</f>
        <v/>
      </c>
      <c r="HE41" s="31" t="str">
        <f>IFERROR(VLOOKUP([2]Pointage!HI35,Feuil1!$A:$B,2,FALSE),"")</f>
        <v/>
      </c>
      <c r="HF41" s="31" t="str">
        <f>IFERROR(VLOOKUP([2]Pointage!HJ35,Feuil1!$A:$B,2,FALSE),"")</f>
        <v/>
      </c>
      <c r="HG41" s="31" t="str">
        <f>IFERROR(VLOOKUP([2]Pointage!HK35,Feuil1!$A:$B,2,FALSE),"")</f>
        <v/>
      </c>
      <c r="HH41" s="31" t="str">
        <f>IFERROR(VLOOKUP([2]Pointage!HL35,Feuil1!$A:$B,2,FALSE),"")</f>
        <v/>
      </c>
      <c r="HI41" s="82" t="str">
        <f>IFERROR(VLOOKUP([2]Pointage!HM35,Feuil1!$A:$B,2,FALSE),"")</f>
        <v/>
      </c>
      <c r="HJ41" s="47" t="str">
        <f>IFERROR(VLOOKUP([2]Pointage!HN35,Feuil1!$A:$B,2,FALSE),"")</f>
        <v/>
      </c>
      <c r="HK41" s="31" t="str">
        <f>IFERROR(VLOOKUP([2]Pointage!HO35,Feuil1!$A:$B,2,FALSE),"")</f>
        <v/>
      </c>
      <c r="HL41" s="31" t="str">
        <f>IFERROR(VLOOKUP([2]Pointage!HP35,Feuil1!$A:$B,2,FALSE),"")</f>
        <v/>
      </c>
      <c r="HM41" s="31" t="str">
        <f>IFERROR(VLOOKUP([2]Pointage!HQ35,Feuil1!$A:$B,2,FALSE),"")</f>
        <v/>
      </c>
      <c r="HN41" s="31" t="str">
        <f>IFERROR(VLOOKUP([2]Pointage!HR35,Feuil1!$A:$B,2,FALSE),"")</f>
        <v/>
      </c>
      <c r="HO41" s="31" t="str">
        <f>IFERROR(VLOOKUP([2]Pointage!HS35,Feuil1!$A:$B,2,FALSE),"")</f>
        <v/>
      </c>
      <c r="HP41" s="31" t="str">
        <f>IFERROR(VLOOKUP([2]Pointage!HT35,Feuil1!$A:$B,2,FALSE),"")</f>
        <v/>
      </c>
      <c r="HQ41" s="31" t="str">
        <f>IFERROR(VLOOKUP([2]Pointage!HU35,Feuil1!$A:$B,2,FALSE),"")</f>
        <v/>
      </c>
      <c r="HR41" s="31" t="str">
        <f>IFERROR(VLOOKUP([2]Pointage!HV35,Feuil1!$A:$B,2,FALSE),"")</f>
        <v/>
      </c>
      <c r="HS41" s="31" t="str">
        <f>IFERROR(VLOOKUP([2]Pointage!HW35,Feuil1!$A:$B,2,FALSE),"")</f>
        <v/>
      </c>
      <c r="HT41" s="31" t="str">
        <f>IFERROR(VLOOKUP([2]Pointage!HX35,Feuil1!$A:$B,2,FALSE),"")</f>
        <v/>
      </c>
      <c r="HU41" s="31" t="str">
        <f>IFERROR(VLOOKUP([2]Pointage!HY35,Feuil1!$A:$B,2,FALSE),"")</f>
        <v/>
      </c>
      <c r="HV41" s="31" t="str">
        <f>IFERROR(VLOOKUP([2]Pointage!HZ35,Feuil1!$A:$B,2,FALSE),"")</f>
        <v/>
      </c>
      <c r="HW41" s="31" t="str">
        <f>IFERROR(VLOOKUP([2]Pointage!IA35,Feuil1!$A:$B,2,FALSE),"")</f>
        <v/>
      </c>
      <c r="HX41" s="31" t="str">
        <f>IFERROR(VLOOKUP([2]Pointage!IB35,Feuil1!$A:$B,2,FALSE),"")</f>
        <v/>
      </c>
      <c r="HY41" s="31" t="str">
        <f>IFERROR(VLOOKUP([2]Pointage!IC35,Feuil1!$A:$B,2,FALSE),"")</f>
        <v/>
      </c>
      <c r="HZ41" s="31" t="str">
        <f>IFERROR(VLOOKUP([2]Pointage!ID35,Feuil1!$A:$B,2,FALSE),"")</f>
        <v/>
      </c>
      <c r="IA41" s="31" t="str">
        <f>IFERROR(VLOOKUP([2]Pointage!IE35,Feuil1!$A:$B,2,FALSE),"")</f>
        <v/>
      </c>
      <c r="IB41" s="31" t="str">
        <f>IFERROR(VLOOKUP([2]Pointage!IF35,Feuil1!$A:$B,2,FALSE),"")</f>
        <v/>
      </c>
      <c r="IC41" s="31" t="str">
        <f>IFERROR(VLOOKUP([2]Pointage!IG35,Feuil1!$A:$B,2,FALSE),"")</f>
        <v/>
      </c>
      <c r="ID41" s="31" t="str">
        <f>IFERROR(VLOOKUP([2]Pointage!IH35,Feuil1!$A:$B,2,FALSE),"")</f>
        <v/>
      </c>
      <c r="IE41" s="31" t="str">
        <f>IFERROR(VLOOKUP([2]Pointage!II35,Feuil1!$A:$B,2,FALSE),"")</f>
        <v/>
      </c>
      <c r="IF41" s="31" t="str">
        <f>IFERROR(VLOOKUP([2]Pointage!IJ35,Feuil1!$A:$B,2,FALSE),"")</f>
        <v/>
      </c>
      <c r="IG41" s="31" t="str">
        <f>IFERROR(VLOOKUP([2]Pointage!IK35,Feuil1!$A:$B,2,FALSE),"")</f>
        <v/>
      </c>
      <c r="IH41" s="31" t="str">
        <f>IFERROR(VLOOKUP([2]Pointage!IL35,Feuil1!$A:$B,2,FALSE),"")</f>
        <v/>
      </c>
      <c r="II41" s="31" t="str">
        <f>IFERROR(VLOOKUP([2]Pointage!IM35,Feuil1!$A:$B,2,FALSE),"")</f>
        <v/>
      </c>
      <c r="IJ41" s="31" t="str">
        <f>IFERROR(VLOOKUP([2]Pointage!IN35,Feuil1!$A:$B,2,FALSE),"")</f>
        <v/>
      </c>
      <c r="IK41" s="31" t="str">
        <f>IFERROR(VLOOKUP([2]Pointage!IO35,Feuil1!$A:$B,2,FALSE),"")</f>
        <v/>
      </c>
      <c r="IL41" s="31" t="str">
        <f>IFERROR(VLOOKUP([2]Pointage!IP35,Feuil1!$A:$B,2,FALSE),"")</f>
        <v/>
      </c>
      <c r="IM41" s="31" t="str">
        <f>IFERROR(VLOOKUP([2]Pointage!IQ35,Feuil1!$A:$B,2,FALSE),"")</f>
        <v/>
      </c>
      <c r="IN41" s="82" t="str">
        <f>IFERROR(VLOOKUP([2]Pointage!IR35,Feuil1!$A:$B,2,FALSE),"")</f>
        <v/>
      </c>
      <c r="IO41" s="47" t="str">
        <f>IFERROR(VLOOKUP([2]Pointage!IS35,Feuil1!$A:$B,2,FALSE),"")</f>
        <v/>
      </c>
      <c r="IP41" s="31" t="str">
        <f>IFERROR(VLOOKUP([2]Pointage!IT35,Feuil1!$A:$B,2,FALSE),"")</f>
        <v/>
      </c>
      <c r="IQ41" s="31" t="str">
        <f>IFERROR(VLOOKUP([2]Pointage!IU35,Feuil1!$A:$B,2,FALSE),"")</f>
        <v/>
      </c>
      <c r="IR41" s="31" t="str">
        <f>IFERROR(VLOOKUP([2]Pointage!IV35,Feuil1!$A:$B,2,FALSE),"")</f>
        <v/>
      </c>
      <c r="IS41" s="31" t="str">
        <f>IFERROR(VLOOKUP([2]Pointage!IW35,Feuil1!$A:$B,2,FALSE),"")</f>
        <v/>
      </c>
      <c r="IT41" s="31" t="str">
        <f>IFERROR(VLOOKUP([2]Pointage!IX35,Feuil1!$A:$B,2,FALSE),"")</f>
        <v/>
      </c>
      <c r="IU41" s="31" t="str">
        <f>IFERROR(VLOOKUP([2]Pointage!IY35,Feuil1!$A:$B,2,FALSE),"")</f>
        <v/>
      </c>
      <c r="IV41" s="31" t="str">
        <f>IFERROR(VLOOKUP([2]Pointage!IZ35,Feuil1!$A:$B,2,FALSE),"")</f>
        <v/>
      </c>
      <c r="IW41" s="31" t="str">
        <f>IFERROR(VLOOKUP([2]Pointage!JA35,Feuil1!$A:$B,2,FALSE),"")</f>
        <v/>
      </c>
      <c r="IX41" s="31" t="str">
        <f>IFERROR(VLOOKUP([2]Pointage!JB35,Feuil1!$A:$B,2,FALSE),"")</f>
        <v/>
      </c>
      <c r="IY41" s="31" t="str">
        <f>IFERROR(VLOOKUP([2]Pointage!JC35,Feuil1!$A:$B,2,FALSE),"")</f>
        <v/>
      </c>
      <c r="IZ41" s="31" t="str">
        <f>IFERROR(VLOOKUP([2]Pointage!JD35,Feuil1!$A:$B,2,FALSE),"")</f>
        <v/>
      </c>
      <c r="JA41" s="31" t="str">
        <f>IFERROR(VLOOKUP([2]Pointage!JE35,Feuil1!$A:$B,2,FALSE),"")</f>
        <v/>
      </c>
      <c r="JB41" s="31" t="str">
        <f>IFERROR(VLOOKUP([2]Pointage!JF35,Feuil1!$A:$B,2,FALSE),"")</f>
        <v/>
      </c>
      <c r="JC41" s="31" t="str">
        <f>IFERROR(VLOOKUP([2]Pointage!JG35,Feuil1!$A:$B,2,FALSE),"")</f>
        <v/>
      </c>
      <c r="JD41" s="31" t="str">
        <f>IFERROR(VLOOKUP([2]Pointage!JH35,Feuil1!$A:$B,2,FALSE),"")</f>
        <v/>
      </c>
      <c r="JE41" s="31" t="str">
        <f>IFERROR(VLOOKUP([2]Pointage!JI35,Feuil1!$A:$B,2,FALSE),"")</f>
        <v/>
      </c>
      <c r="JF41" s="31" t="str">
        <f>IFERROR(VLOOKUP([2]Pointage!JJ35,Feuil1!$A:$B,2,FALSE),"")</f>
        <v/>
      </c>
      <c r="JG41" s="31" t="str">
        <f>IFERROR(VLOOKUP([2]Pointage!JK35,Feuil1!$A:$B,2,FALSE),"")</f>
        <v/>
      </c>
      <c r="JH41" s="31" t="str">
        <f>IFERROR(VLOOKUP([2]Pointage!JL35,Feuil1!$A:$B,2,FALSE),"")</f>
        <v/>
      </c>
      <c r="JI41" s="31" t="str">
        <f>IFERROR(VLOOKUP([2]Pointage!JM35,Feuil1!$A:$B,2,FALSE),"")</f>
        <v/>
      </c>
      <c r="JJ41" s="31" t="str">
        <f>IFERROR(VLOOKUP([2]Pointage!JN35,Feuil1!$A:$B,2,FALSE),"")</f>
        <v/>
      </c>
      <c r="JK41" s="31" t="str">
        <f>IFERROR(VLOOKUP([2]Pointage!JO35,Feuil1!$A:$B,2,FALSE),"")</f>
        <v/>
      </c>
      <c r="JL41" s="31" t="str">
        <f>IFERROR(VLOOKUP([2]Pointage!JP35,Feuil1!$A:$B,2,FALSE),"")</f>
        <v/>
      </c>
      <c r="JM41" s="31" t="str">
        <f>IFERROR(VLOOKUP([2]Pointage!JQ35,Feuil1!$A:$B,2,FALSE),"")</f>
        <v/>
      </c>
      <c r="JN41" s="31" t="str">
        <f>IFERROR(VLOOKUP([2]Pointage!JR35,Feuil1!$A:$B,2,FALSE),"")</f>
        <v/>
      </c>
      <c r="JO41" s="31" t="str">
        <f>IFERROR(VLOOKUP([2]Pointage!JS35,Feuil1!$A:$B,2,FALSE),"")</f>
        <v/>
      </c>
      <c r="JP41" s="31" t="str">
        <f>IFERROR(VLOOKUP([2]Pointage!JT35,Feuil1!$A:$B,2,FALSE),"")</f>
        <v/>
      </c>
      <c r="JQ41" s="31" t="str">
        <f>IFERROR(VLOOKUP([2]Pointage!JU35,Feuil1!$A:$B,2,FALSE),"")</f>
        <v/>
      </c>
      <c r="JR41" s="82" t="str">
        <f>IFERROR(VLOOKUP([2]Pointage!JV35,Feuil1!$A:$B,2,FALSE),"")</f>
        <v/>
      </c>
      <c r="JS41" s="47" t="str">
        <f>IFERROR(VLOOKUP([2]Pointage!JW35,Feuil1!$A:$B,2,FALSE),"")</f>
        <v/>
      </c>
      <c r="JT41" s="31" t="str">
        <f>IFERROR(VLOOKUP([2]Pointage!JX35,Feuil1!$A:$B,2,FALSE),"")</f>
        <v/>
      </c>
      <c r="JU41" s="31" t="str">
        <f>IFERROR(VLOOKUP([2]Pointage!JY35,Feuil1!$A:$B,2,FALSE),"")</f>
        <v/>
      </c>
      <c r="JV41" s="31" t="str">
        <f>IFERROR(VLOOKUP([2]Pointage!JZ35,Feuil1!$A:$B,2,FALSE),"")</f>
        <v/>
      </c>
      <c r="JW41" s="31" t="str">
        <f>IFERROR(VLOOKUP([2]Pointage!KA35,Feuil1!$A:$B,2,FALSE),"")</f>
        <v/>
      </c>
      <c r="JX41" s="31" t="str">
        <f>IFERROR(VLOOKUP([2]Pointage!KB35,Feuil1!$A:$B,2,FALSE),"")</f>
        <v/>
      </c>
      <c r="JY41" s="31" t="str">
        <f>IFERROR(VLOOKUP([2]Pointage!KC35,Feuil1!$A:$B,2,FALSE),"")</f>
        <v/>
      </c>
      <c r="JZ41" s="31" t="str">
        <f>IFERROR(VLOOKUP([2]Pointage!KD35,Feuil1!$A:$B,2,FALSE),"")</f>
        <v/>
      </c>
      <c r="KA41" s="31" t="str">
        <f>IFERROR(VLOOKUP([2]Pointage!KE35,Feuil1!$A:$B,2,FALSE),"")</f>
        <v/>
      </c>
      <c r="KB41" s="31" t="str">
        <f>IFERROR(VLOOKUP([2]Pointage!KF35,Feuil1!$A:$B,2,FALSE),"")</f>
        <v/>
      </c>
      <c r="KC41" s="31" t="str">
        <f>IFERROR(VLOOKUP([2]Pointage!KG35,Feuil1!$A:$B,2,FALSE),"")</f>
        <v/>
      </c>
      <c r="KD41" s="31" t="str">
        <f>IFERROR(VLOOKUP([2]Pointage!KH35,Feuil1!$A:$B,2,FALSE),"")</f>
        <v/>
      </c>
      <c r="KE41" s="31" t="str">
        <f>IFERROR(VLOOKUP([2]Pointage!KI35,Feuil1!$A:$B,2,FALSE),"")</f>
        <v/>
      </c>
      <c r="KF41" s="31" t="str">
        <f>IFERROR(VLOOKUP([2]Pointage!KJ35,Feuil1!$A:$B,2,FALSE),"")</f>
        <v/>
      </c>
      <c r="KG41" s="31" t="str">
        <f>IFERROR(VLOOKUP([2]Pointage!KK35,Feuil1!$A:$B,2,FALSE),"")</f>
        <v/>
      </c>
      <c r="KH41" s="31" t="str">
        <f>IFERROR(VLOOKUP([2]Pointage!KL35,Feuil1!$A:$B,2,FALSE),"")</f>
        <v/>
      </c>
      <c r="KI41" s="31" t="str">
        <f>IFERROR(VLOOKUP([2]Pointage!KM35,Feuil1!$A:$B,2,FALSE),"")</f>
        <v/>
      </c>
      <c r="KJ41" s="31" t="str">
        <f>IFERROR(VLOOKUP([2]Pointage!KN35,Feuil1!$A:$B,2,FALSE),"")</f>
        <v/>
      </c>
      <c r="KK41" s="31" t="str">
        <f>IFERROR(VLOOKUP([2]Pointage!KO35,Feuil1!$A:$B,2,FALSE),"")</f>
        <v/>
      </c>
      <c r="KL41" s="31" t="str">
        <f>IFERROR(VLOOKUP([2]Pointage!KP35,Feuil1!$A:$B,2,FALSE),"")</f>
        <v/>
      </c>
      <c r="KM41" s="31" t="str">
        <f>IFERROR(VLOOKUP([2]Pointage!KQ35,Feuil1!$A:$B,2,FALSE),"")</f>
        <v/>
      </c>
      <c r="KN41" s="31" t="str">
        <f>IFERROR(VLOOKUP([2]Pointage!KR35,Feuil1!$A:$B,2,FALSE),"")</f>
        <v/>
      </c>
      <c r="KO41" s="31" t="str">
        <f>IFERROR(VLOOKUP([2]Pointage!KS35,Feuil1!$A:$B,2,FALSE),"")</f>
        <v/>
      </c>
      <c r="KP41" s="31" t="str">
        <f>IFERROR(VLOOKUP([2]Pointage!KT35,Feuil1!$A:$B,2,FALSE),"")</f>
        <v/>
      </c>
      <c r="KQ41" s="31" t="str">
        <f>IFERROR(VLOOKUP([2]Pointage!KU35,Feuil1!$A:$B,2,FALSE),"")</f>
        <v/>
      </c>
      <c r="KR41" s="31" t="str">
        <f>IFERROR(VLOOKUP([2]Pointage!KV35,Feuil1!$A:$B,2,FALSE),"")</f>
        <v/>
      </c>
      <c r="KS41" s="31" t="str">
        <f>IFERROR(VLOOKUP([2]Pointage!KW35,Feuil1!$A:$B,2,FALSE),"")</f>
        <v/>
      </c>
      <c r="KT41" s="31" t="str">
        <f>IFERROR(VLOOKUP([2]Pointage!KX35,Feuil1!$A:$B,2,FALSE),"")</f>
        <v/>
      </c>
      <c r="KU41" s="31" t="str">
        <f>IFERROR(VLOOKUP([2]Pointage!KY35,Feuil1!$A:$B,2,FALSE),"")</f>
        <v/>
      </c>
      <c r="KV41" s="31" t="str">
        <f>IFERROR(VLOOKUP([2]Pointage!KZ35,Feuil1!$A:$B,2,FALSE),"")</f>
        <v/>
      </c>
      <c r="KW41" s="82" t="str">
        <f>IFERROR(VLOOKUP([2]Pointage!LA35,Feuil1!$A:$B,2,FALSE),"")</f>
        <v/>
      </c>
      <c r="KX41" s="47" t="str">
        <f>IFERROR(VLOOKUP([2]Pointage!LB35,Feuil1!$A:$B,2,FALSE),"")</f>
        <v/>
      </c>
      <c r="KY41" s="31" t="str">
        <f>IFERROR(VLOOKUP([2]Pointage!LC35,Feuil1!$A:$B,2,FALSE),"")</f>
        <v/>
      </c>
      <c r="KZ41" s="31" t="str">
        <f>IFERROR(VLOOKUP([2]Pointage!LD35,Feuil1!$A:$B,2,FALSE),"")</f>
        <v/>
      </c>
      <c r="LA41" s="31" t="str">
        <f>IFERROR(VLOOKUP([2]Pointage!LE35,Feuil1!$A:$B,2,FALSE),"")</f>
        <v/>
      </c>
      <c r="LB41" s="31" t="str">
        <f>IFERROR(VLOOKUP([2]Pointage!LF35,Feuil1!$A:$B,2,FALSE),"")</f>
        <v/>
      </c>
      <c r="LC41" s="31" t="str">
        <f>IFERROR(VLOOKUP([2]Pointage!LG35,Feuil1!$A:$B,2,FALSE),"")</f>
        <v/>
      </c>
      <c r="LD41" s="31" t="str">
        <f>IFERROR(VLOOKUP([2]Pointage!LH35,Feuil1!$A:$B,2,FALSE),"")</f>
        <v/>
      </c>
      <c r="LE41" s="31" t="str">
        <f>IFERROR(VLOOKUP([2]Pointage!LI35,Feuil1!$A:$B,2,FALSE),"")</f>
        <v/>
      </c>
      <c r="LF41" s="31" t="str">
        <f>IFERROR(VLOOKUP([2]Pointage!LJ35,Feuil1!$A:$B,2,FALSE),"")</f>
        <v/>
      </c>
      <c r="LG41" s="31" t="str">
        <f>IFERROR(VLOOKUP([2]Pointage!LK35,Feuil1!$A:$B,2,FALSE),"")</f>
        <v/>
      </c>
      <c r="LH41" s="31" t="str">
        <f>IFERROR(VLOOKUP([2]Pointage!LL35,Feuil1!$A:$B,2,FALSE),"")</f>
        <v/>
      </c>
      <c r="LI41" s="31" t="str">
        <f>IFERROR(VLOOKUP([2]Pointage!LM35,Feuil1!$A:$B,2,FALSE),"")</f>
        <v/>
      </c>
      <c r="LJ41" s="31" t="str">
        <f>IFERROR(VLOOKUP([2]Pointage!LN35,Feuil1!$A:$B,2,FALSE),"")</f>
        <v/>
      </c>
      <c r="LK41" s="31" t="str">
        <f>IFERROR(VLOOKUP([2]Pointage!LO35,Feuil1!$A:$B,2,FALSE),"")</f>
        <v/>
      </c>
      <c r="LL41" s="31" t="str">
        <f>IFERROR(VLOOKUP([2]Pointage!LP35,Feuil1!$A:$B,2,FALSE),"")</f>
        <v/>
      </c>
      <c r="LM41" s="31" t="str">
        <f>IFERROR(VLOOKUP([2]Pointage!LQ35,Feuil1!$A:$B,2,FALSE),"")</f>
        <v/>
      </c>
      <c r="LN41" s="31" t="str">
        <f>IFERROR(VLOOKUP([2]Pointage!LR35,Feuil1!$A:$B,2,FALSE),"")</f>
        <v/>
      </c>
      <c r="LO41" s="31" t="str">
        <f>IFERROR(VLOOKUP([2]Pointage!LS35,Feuil1!$A:$B,2,FALSE),"")</f>
        <v/>
      </c>
      <c r="LP41" s="31" t="str">
        <f>IFERROR(VLOOKUP([2]Pointage!LT35,Feuil1!$A:$B,2,FALSE),"")</f>
        <v/>
      </c>
      <c r="LQ41" s="31" t="str">
        <f>IFERROR(VLOOKUP([2]Pointage!LU35,Feuil1!$A:$B,2,FALSE),"")</f>
        <v/>
      </c>
      <c r="LR41" s="31" t="str">
        <f>IFERROR(VLOOKUP([2]Pointage!LV35,Feuil1!$A:$B,2,FALSE),"")</f>
        <v/>
      </c>
      <c r="LS41" s="31" t="str">
        <f>IFERROR(VLOOKUP([2]Pointage!LW35,Feuil1!$A:$B,2,FALSE),"")</f>
        <v/>
      </c>
      <c r="LT41" s="31" t="str">
        <f>IFERROR(VLOOKUP([2]Pointage!LX35,Feuil1!$A:$B,2,FALSE),"")</f>
        <v/>
      </c>
      <c r="LU41" s="31" t="str">
        <f>IFERROR(VLOOKUP([2]Pointage!LY35,Feuil1!$A:$B,2,FALSE),"")</f>
        <v/>
      </c>
      <c r="LV41" s="31" t="str">
        <f>IFERROR(VLOOKUP([2]Pointage!LZ35,Feuil1!$A:$B,2,FALSE),"")</f>
        <v/>
      </c>
      <c r="LW41" s="31" t="str">
        <f>IFERROR(VLOOKUP([2]Pointage!MA35,Feuil1!$A:$B,2,FALSE),"")</f>
        <v/>
      </c>
      <c r="LX41" s="31" t="str">
        <f>IFERROR(VLOOKUP([2]Pointage!MB35,Feuil1!$A:$B,2,FALSE),"")</f>
        <v/>
      </c>
      <c r="LY41" s="31" t="str">
        <f>IFERROR(VLOOKUP([2]Pointage!MC35,Feuil1!$A:$B,2,FALSE),"")</f>
        <v/>
      </c>
      <c r="LZ41" s="31" t="str">
        <f>IFERROR(VLOOKUP([2]Pointage!MD35,Feuil1!$A:$B,2,FALSE),"")</f>
        <v/>
      </c>
      <c r="MA41" s="82" t="str">
        <f>IFERROR(VLOOKUP([2]Pointage!ME35,Feuil1!$A:$B,2,FALSE),"")</f>
        <v/>
      </c>
      <c r="MB41" s="47" t="str">
        <f>IFERROR(VLOOKUP([2]Pointage!MF35,Feuil1!$A:$B,2,FALSE),"")</f>
        <v/>
      </c>
      <c r="MC41" s="31" t="str">
        <f>IFERROR(VLOOKUP([2]Pointage!MG35,Feuil1!$A:$B,2,FALSE),"")</f>
        <v/>
      </c>
      <c r="MD41" s="31" t="str">
        <f>IFERROR(VLOOKUP([2]Pointage!MH35,Feuil1!$A:$B,2,FALSE),"")</f>
        <v/>
      </c>
      <c r="ME41" s="31" t="str">
        <f>IFERROR(VLOOKUP([2]Pointage!MI35,Feuil1!$A:$B,2,FALSE),"")</f>
        <v/>
      </c>
      <c r="MF41" s="31" t="str">
        <f>IFERROR(VLOOKUP([2]Pointage!MJ35,Feuil1!$A:$B,2,FALSE),"")</f>
        <v/>
      </c>
      <c r="MG41" s="31" t="str">
        <f>IFERROR(VLOOKUP([2]Pointage!MK35,Feuil1!$A:$B,2,FALSE),"")</f>
        <v/>
      </c>
      <c r="MH41" s="31" t="str">
        <f>IFERROR(VLOOKUP([2]Pointage!ML35,Feuil1!$A:$B,2,FALSE),"")</f>
        <v/>
      </c>
      <c r="MI41" s="31" t="str">
        <f>IFERROR(VLOOKUP([2]Pointage!MM35,Feuil1!$A:$B,2,FALSE),"")</f>
        <v/>
      </c>
      <c r="MJ41" s="31" t="str">
        <f>IFERROR(VLOOKUP([2]Pointage!MN35,Feuil1!$A:$B,2,FALSE),"")</f>
        <v/>
      </c>
      <c r="MK41" s="31" t="str">
        <f>IFERROR(VLOOKUP([2]Pointage!MO35,Feuil1!$A:$B,2,FALSE),"")</f>
        <v/>
      </c>
      <c r="ML41" s="31" t="str">
        <f>IFERROR(VLOOKUP([2]Pointage!MP35,Feuil1!$A:$B,2,FALSE),"")</f>
        <v/>
      </c>
      <c r="MM41" s="31" t="str">
        <f>IFERROR(VLOOKUP([2]Pointage!MQ35,Feuil1!$A:$B,2,FALSE),"")</f>
        <v/>
      </c>
      <c r="MN41" s="31" t="str">
        <f>IFERROR(VLOOKUP([2]Pointage!MR35,Feuil1!$A:$B,2,FALSE),"")</f>
        <v/>
      </c>
      <c r="MO41" s="31" t="str">
        <f>IFERROR(VLOOKUP([2]Pointage!MS35,Feuil1!$A:$B,2,FALSE),"")</f>
        <v/>
      </c>
      <c r="MP41" s="31" t="str">
        <f>IFERROR(VLOOKUP([2]Pointage!MT35,Feuil1!$A:$B,2,FALSE),"")</f>
        <v/>
      </c>
      <c r="MQ41" s="31" t="str">
        <f>IFERROR(VLOOKUP([2]Pointage!MU35,Feuil1!$A:$B,2,FALSE),"")</f>
        <v/>
      </c>
      <c r="MR41" s="31" t="str">
        <f>IFERROR(VLOOKUP([2]Pointage!MV35,Feuil1!$A:$B,2,FALSE),"")</f>
        <v/>
      </c>
      <c r="MS41" s="31" t="str">
        <f>IFERROR(VLOOKUP([2]Pointage!MW35,Feuil1!$A:$B,2,FALSE),"")</f>
        <v/>
      </c>
      <c r="MT41" s="31" t="str">
        <f>IFERROR(VLOOKUP([2]Pointage!MX35,Feuil1!$A:$B,2,FALSE),"")</f>
        <v/>
      </c>
      <c r="MU41" s="31" t="str">
        <f>IFERROR(VLOOKUP([2]Pointage!MY35,Feuil1!$A:$B,2,FALSE),"")</f>
        <v/>
      </c>
      <c r="MV41" s="31" t="str">
        <f>IFERROR(VLOOKUP([2]Pointage!MZ35,Feuil1!$A:$B,2,FALSE),"")</f>
        <v/>
      </c>
      <c r="MW41" s="31" t="str">
        <f>IFERROR(VLOOKUP([2]Pointage!NA35,Feuil1!$A:$B,2,FALSE),"")</f>
        <v/>
      </c>
      <c r="MX41" s="31" t="str">
        <f>IFERROR(VLOOKUP([2]Pointage!NB35,Feuil1!$A:$B,2,FALSE),"")</f>
        <v/>
      </c>
      <c r="MY41" s="31" t="str">
        <f>IFERROR(VLOOKUP([2]Pointage!NC35,Feuil1!$A:$B,2,FALSE),"")</f>
        <v/>
      </c>
      <c r="MZ41" s="31" t="str">
        <f>IFERROR(VLOOKUP([2]Pointage!ND35,Feuil1!$A:$B,2,FALSE),"")</f>
        <v/>
      </c>
      <c r="NA41" s="31" t="str">
        <f>IFERROR(VLOOKUP([2]Pointage!NE35,Feuil1!$A:$B,2,FALSE),"")</f>
        <v/>
      </c>
      <c r="NB41" s="31" t="str">
        <f>IFERROR(VLOOKUP([2]Pointage!NF35,Feuil1!$A:$B,2,FALSE),"")</f>
        <v/>
      </c>
      <c r="NC41" s="31" t="str">
        <f>IFERROR(VLOOKUP([2]Pointage!NG35,Feuil1!$A:$B,2,FALSE),"")</f>
        <v/>
      </c>
      <c r="ND41" s="31" t="str">
        <f>IFERROR(VLOOKUP([2]Pointage!NH35,Feuil1!$A:$B,2,FALSE),"")</f>
        <v/>
      </c>
      <c r="NE41" s="31" t="str">
        <f>IFERROR(VLOOKUP([2]Pointage!NI35,Feuil1!$A:$B,2,FALSE),"")</f>
        <v/>
      </c>
      <c r="NF41" s="48" t="str">
        <f>IFERROR(VLOOKUP([2]Pointage!NJ35,Feuil1!$A:$B,2,FALSE),"")</f>
        <v/>
      </c>
      <c r="NG41" s="52">
        <f>COUNTIF(Global!F41:NF41,"RTT")+(COUNTIF(Global!F41:NF41,"dRTT")/2)</f>
        <v>0</v>
      </c>
      <c r="NH41" s="42">
        <f>COUNTIF(Global!F41:NF41,"C")+(COUNTIF(Global!F41:NF41,"DC")/2)</f>
        <v>5</v>
      </c>
      <c r="NI41" s="42">
        <f>COUNTIF(Global!F41:NF41,"M")</f>
        <v>0</v>
      </c>
      <c r="NJ41" s="42">
        <f>COUNTIF(Global!G41:NG41,"AT")</f>
        <v>0</v>
      </c>
      <c r="NK41" s="42">
        <f>COUNTIF(Global!F41:NF41,"RD")</f>
        <v>0</v>
      </c>
      <c r="NL41" s="42">
        <f>COUNTIF(Global!F41:NF41,"RC")+(COUNTIF(Global!F41:NF41,"dRC")/2)</f>
        <v>0</v>
      </c>
      <c r="NM41" s="68">
        <f t="shared" ca="1" si="0"/>
        <v>4.0273972602739727</v>
      </c>
      <c r="NT41" s="33"/>
      <c r="NU41" s="33"/>
      <c r="NV41" s="28"/>
      <c r="NW41" s="28"/>
      <c r="NX41" s="29">
        <f>COUNTIF(F41:NF41,"C")++(COUNTIF(Global!F41:NF41,"DC")/2)</f>
        <v>5</v>
      </c>
      <c r="NY41" s="29"/>
      <c r="NZ41" s="29"/>
      <c r="OA41" s="29"/>
      <c r="OB41" s="29">
        <f>COUNTIF(Global!F41:NF41,"M")</f>
        <v>0</v>
      </c>
      <c r="OC41" s="30">
        <f t="shared" si="1"/>
        <v>-5</v>
      </c>
      <c r="OD41" s="30"/>
    </row>
    <row r="42" spans="1:394" ht="30" customHeight="1" x14ac:dyDescent="0.2">
      <c r="A42" s="13" t="s">
        <v>98</v>
      </c>
      <c r="B42" s="22" t="s">
        <v>227</v>
      </c>
      <c r="C42" s="22" t="s">
        <v>228</v>
      </c>
      <c r="D42" s="22" t="s">
        <v>229</v>
      </c>
      <c r="E42" s="44">
        <v>0</v>
      </c>
      <c r="F42" s="47" t="str">
        <f>IFERROR(VLOOKUP([2]Pointage!J36,Feuil1!$A:$B,2,FALSE),"")</f>
        <v/>
      </c>
      <c r="G42" s="31" t="str">
        <f>IFERROR(VLOOKUP([2]Pointage!K36,Feuil1!$A:$B,2,FALSE),"")</f>
        <v/>
      </c>
      <c r="H42" s="31" t="str">
        <f>IFERROR(VLOOKUP([2]Pointage!L36,Feuil1!$A:$B,2,FALSE),"")</f>
        <v/>
      </c>
      <c r="I42" s="31" t="str">
        <f>IFERROR(VLOOKUP([2]Pointage!M36,Feuil1!$A:$B,2,FALSE),"")</f>
        <v/>
      </c>
      <c r="J42" s="31" t="str">
        <f>IFERROR(VLOOKUP([2]Pointage!N36,Feuil1!$A:$B,2,FALSE),"")</f>
        <v/>
      </c>
      <c r="K42" s="31" t="str">
        <f>IFERROR(VLOOKUP([2]Pointage!O36,Feuil1!$A:$B,2,FALSE),"")</f>
        <v/>
      </c>
      <c r="L42" s="31" t="str">
        <f>IFERROR(VLOOKUP([2]Pointage!P36,Feuil1!$A:$B,2,FALSE),"")</f>
        <v/>
      </c>
      <c r="M42" s="31" t="str">
        <f>IFERROR(VLOOKUP([2]Pointage!Q36,Feuil1!$A:$B,2,FALSE),"")</f>
        <v/>
      </c>
      <c r="N42" s="31" t="str">
        <f>IFERROR(VLOOKUP([2]Pointage!R36,Feuil1!$A:$B,2,FALSE),"")</f>
        <v/>
      </c>
      <c r="O42" s="31" t="str">
        <f>IFERROR(VLOOKUP([2]Pointage!S36,Feuil1!$A:$B,2,FALSE),"")</f>
        <v/>
      </c>
      <c r="P42" s="31" t="str">
        <f>IFERROR(VLOOKUP([2]Pointage!T36,Feuil1!$A:$B,2,FALSE),"")</f>
        <v/>
      </c>
      <c r="Q42" s="31" t="str">
        <f>IFERROR(VLOOKUP([2]Pointage!U36,Feuil1!$A:$B,2,FALSE),"")</f>
        <v/>
      </c>
      <c r="R42" s="31" t="str">
        <f>IFERROR(VLOOKUP([2]Pointage!V36,Feuil1!$A:$B,2,FALSE),"")</f>
        <v/>
      </c>
      <c r="S42" s="31" t="str">
        <f>IFERROR(VLOOKUP([2]Pointage!W36,Feuil1!$A:$B,2,FALSE),"")</f>
        <v/>
      </c>
      <c r="T42" s="31" t="str">
        <f>IFERROR(VLOOKUP([2]Pointage!X36,Feuil1!$A:$B,2,FALSE),"")</f>
        <v/>
      </c>
      <c r="U42" s="31" t="str">
        <f>IFERROR(VLOOKUP([2]Pointage!Y36,Feuil1!$A:$B,2,FALSE),"")</f>
        <v/>
      </c>
      <c r="V42" s="31" t="str">
        <f>IFERROR(VLOOKUP([2]Pointage!Z36,Feuil1!$A:$B,2,FALSE),"")</f>
        <v/>
      </c>
      <c r="W42" s="31" t="str">
        <f>IFERROR(VLOOKUP([2]Pointage!AA36,Feuil1!$A:$B,2,FALSE),"")</f>
        <v/>
      </c>
      <c r="X42" s="31" t="str">
        <f>IFERROR(VLOOKUP([2]Pointage!AB36,Feuil1!$A:$B,2,FALSE),"")</f>
        <v/>
      </c>
      <c r="Y42" s="31" t="str">
        <f>IFERROR(VLOOKUP([2]Pointage!AC36,Feuil1!$A:$B,2,FALSE),"")</f>
        <v/>
      </c>
      <c r="Z42" s="31" t="str">
        <f>IFERROR(VLOOKUP([2]Pointage!AD36,Feuil1!$A:$B,2,FALSE),"")</f>
        <v/>
      </c>
      <c r="AA42" s="31" t="str">
        <f>IFERROR(VLOOKUP([2]Pointage!AE36,Feuil1!$A:$B,2,FALSE),"")</f>
        <v/>
      </c>
      <c r="AB42" s="31" t="str">
        <f>IFERROR(VLOOKUP([2]Pointage!AF36,Feuil1!$A:$B,2,FALSE),"")</f>
        <v/>
      </c>
      <c r="AC42" s="31" t="str">
        <f>IFERROR(VLOOKUP([2]Pointage!AG36,Feuil1!$A:$B,2,FALSE),"")</f>
        <v/>
      </c>
      <c r="AD42" s="31" t="str">
        <f>IFERROR(VLOOKUP([2]Pointage!AH36,Feuil1!$A:$B,2,FALSE),"")</f>
        <v/>
      </c>
      <c r="AE42" s="31" t="str">
        <f>IFERROR(VLOOKUP([2]Pointage!AI36,Feuil1!$A:$B,2,FALSE),"")</f>
        <v/>
      </c>
      <c r="AF42" s="31" t="str">
        <f>IFERROR(VLOOKUP([2]Pointage!AJ36,Feuil1!$A:$B,2,FALSE),"")</f>
        <v/>
      </c>
      <c r="AG42" s="31" t="str">
        <f>IFERROR(VLOOKUP([2]Pointage!AK36,Feuil1!$A:$B,2,FALSE),"")</f>
        <v/>
      </c>
      <c r="AH42" s="31" t="str">
        <f>IFERROR(VLOOKUP([2]Pointage!AL36,Feuil1!$A:$B,2,FALSE),"")</f>
        <v/>
      </c>
      <c r="AI42" s="31" t="str">
        <f>IFERROR(VLOOKUP([2]Pointage!AM36,Feuil1!$A:$B,2,FALSE),"")</f>
        <v/>
      </c>
      <c r="AJ42" s="82" t="str">
        <f>IFERROR(VLOOKUP([2]Pointage!AN36,Feuil1!$A:$B,2,FALSE),"")</f>
        <v/>
      </c>
      <c r="AK42" s="47" t="str">
        <f>IFERROR(VLOOKUP([2]Pointage!AO36,Feuil1!$A:$B,2,FALSE),"")</f>
        <v/>
      </c>
      <c r="AL42" s="31" t="str">
        <f>IFERROR(VLOOKUP([2]Pointage!AP36,Feuil1!$A:$B,2,FALSE),"")</f>
        <v/>
      </c>
      <c r="AM42" s="31" t="str">
        <f>IFERROR(VLOOKUP([2]Pointage!AQ36,Feuil1!$A:$B,2,FALSE),"")</f>
        <v/>
      </c>
      <c r="AN42" s="31" t="str">
        <f>IFERROR(VLOOKUP([2]Pointage!AR36,Feuil1!$A:$B,2,FALSE),"")</f>
        <v/>
      </c>
      <c r="AO42" s="31" t="str">
        <f>IFERROR(VLOOKUP([2]Pointage!AS36,Feuil1!$A:$B,2,FALSE),"")</f>
        <v/>
      </c>
      <c r="AP42" s="31" t="str">
        <f>IFERROR(VLOOKUP([2]Pointage!AT36,Feuil1!$A:$B,2,FALSE),"")</f>
        <v/>
      </c>
      <c r="AQ42" s="31" t="str">
        <f>IFERROR(VLOOKUP([2]Pointage!AU36,Feuil1!$A:$B,2,FALSE),"")</f>
        <v/>
      </c>
      <c r="AR42" s="31" t="str">
        <f>IFERROR(VLOOKUP([2]Pointage!AV36,Feuil1!$A:$B,2,FALSE),"")</f>
        <v/>
      </c>
      <c r="AS42" s="31" t="str">
        <f>IFERROR(VLOOKUP([2]Pointage!AW36,Feuil1!$A:$B,2,FALSE),"")</f>
        <v/>
      </c>
      <c r="AT42" s="31" t="str">
        <f>IFERROR(VLOOKUP([2]Pointage!AX36,Feuil1!$A:$B,2,FALSE),"")</f>
        <v/>
      </c>
      <c r="AU42" s="31" t="str">
        <f>IFERROR(VLOOKUP([2]Pointage!AY36,Feuil1!$A:$B,2,FALSE),"")</f>
        <v/>
      </c>
      <c r="AV42" s="31" t="str">
        <f>IFERROR(VLOOKUP([2]Pointage!AZ36,Feuil1!$A:$B,2,FALSE),"")</f>
        <v/>
      </c>
      <c r="AW42" s="31" t="str">
        <f>IFERROR(VLOOKUP([2]Pointage!BA36,Feuil1!$A:$B,2,FALSE),"")</f>
        <v/>
      </c>
      <c r="AX42" s="31" t="str">
        <f>IFERROR(VLOOKUP([2]Pointage!BB36,Feuil1!$A:$B,2,FALSE),"")</f>
        <v/>
      </c>
      <c r="AY42" s="31" t="str">
        <f>IFERROR(VLOOKUP([2]Pointage!BC36,Feuil1!$A:$B,2,FALSE),"")</f>
        <v/>
      </c>
      <c r="AZ42" s="31" t="str">
        <f>IFERROR(VLOOKUP([2]Pointage!BD36,Feuil1!$A:$B,2,FALSE),"")</f>
        <v/>
      </c>
      <c r="BA42" s="31" t="str">
        <f>IFERROR(VLOOKUP([2]Pointage!BE36,Feuil1!$A:$B,2,FALSE),"")</f>
        <v/>
      </c>
      <c r="BB42" s="31" t="str">
        <f>IFERROR(VLOOKUP([2]Pointage!BF36,Feuil1!$A:$B,2,FALSE),"")</f>
        <v/>
      </c>
      <c r="BC42" s="31" t="str">
        <f>IFERROR(VLOOKUP([2]Pointage!BG36,Feuil1!$A:$B,2,FALSE),"")</f>
        <v/>
      </c>
      <c r="BD42" s="31" t="str">
        <f>IFERROR(VLOOKUP([2]Pointage!BH36,Feuil1!$A:$B,2,FALSE),"")</f>
        <v/>
      </c>
      <c r="BE42" s="31" t="str">
        <f>IFERROR(VLOOKUP([2]Pointage!BI36,Feuil1!$A:$B,2,FALSE),"")</f>
        <v/>
      </c>
      <c r="BF42" s="31" t="str">
        <f>IFERROR(VLOOKUP([2]Pointage!BJ36,Feuil1!$A:$B,2,FALSE),"")</f>
        <v/>
      </c>
      <c r="BG42" s="31" t="str">
        <f>IFERROR(VLOOKUP([2]Pointage!BK36,Feuil1!$A:$B,2,FALSE),"")</f>
        <v/>
      </c>
      <c r="BH42" s="31" t="str">
        <f>IFERROR(VLOOKUP([2]Pointage!BL36,Feuil1!$A:$B,2,FALSE),"")</f>
        <v/>
      </c>
      <c r="BI42" s="31" t="str">
        <f>IFERROR(VLOOKUP([2]Pointage!BM36,Feuil1!$A:$B,2,FALSE),"")</f>
        <v/>
      </c>
      <c r="BJ42" s="31" t="str">
        <f>IFERROR(VLOOKUP([2]Pointage!BN36,Feuil1!$A:$B,2,FALSE),"")</f>
        <v/>
      </c>
      <c r="BK42" s="31" t="str">
        <f>IFERROR(VLOOKUP([2]Pointage!BO36,Feuil1!$A:$B,2,FALSE),"")</f>
        <v/>
      </c>
      <c r="BL42" s="82" t="str">
        <f>IFERROR(VLOOKUP([2]Pointage!BP36,Feuil1!$A:$B,2,FALSE),"")</f>
        <v/>
      </c>
      <c r="BM42" s="47" t="str">
        <f>IFERROR(VLOOKUP([2]Pointage!BQ36,Feuil1!$A:$B,2,FALSE),"")</f>
        <v/>
      </c>
      <c r="BN42" s="31" t="str">
        <f>IFERROR(VLOOKUP([2]Pointage!BR36,Feuil1!$A:$B,2,FALSE),"")</f>
        <v/>
      </c>
      <c r="BO42" s="31" t="str">
        <f>IFERROR(VLOOKUP([2]Pointage!BS36,Feuil1!$A:$B,2,FALSE),"")</f>
        <v/>
      </c>
      <c r="BP42" s="31" t="str">
        <f>IFERROR(VLOOKUP([2]Pointage!BT36,Feuil1!$A:$B,2,FALSE),"")</f>
        <v/>
      </c>
      <c r="BQ42" s="31" t="str">
        <f>IFERROR(VLOOKUP([2]Pointage!BU36,Feuil1!$A:$B,2,FALSE),"")</f>
        <v/>
      </c>
      <c r="BR42" s="31" t="str">
        <f>IFERROR(VLOOKUP([2]Pointage!BV36,Feuil1!$A:$B,2,FALSE),"")</f>
        <v/>
      </c>
      <c r="BS42" s="31" t="str">
        <f>IFERROR(VLOOKUP([2]Pointage!BW36,Feuil1!$A:$B,2,FALSE),"")</f>
        <v/>
      </c>
      <c r="BT42" s="31" t="str">
        <f>IFERROR(VLOOKUP([2]Pointage!BX36,Feuil1!$A:$B,2,FALSE),"")</f>
        <v/>
      </c>
      <c r="BU42" s="31" t="str">
        <f>IFERROR(VLOOKUP([2]Pointage!BY36,Feuil1!$A:$B,2,FALSE),"")</f>
        <v/>
      </c>
      <c r="BV42" s="31" t="str">
        <f>IFERROR(VLOOKUP([2]Pointage!BZ36,Feuil1!$A:$B,2,FALSE),"")</f>
        <v/>
      </c>
      <c r="BW42" s="31" t="str">
        <f>IFERROR(VLOOKUP([2]Pointage!CA36,Feuil1!$A:$B,2,FALSE),"")</f>
        <v/>
      </c>
      <c r="BX42" s="31" t="str">
        <f>IFERROR(VLOOKUP([2]Pointage!CB36,Feuil1!$A:$B,2,FALSE),"")</f>
        <v/>
      </c>
      <c r="BY42" s="31" t="str">
        <f>IFERROR(VLOOKUP([2]Pointage!CC36,Feuil1!$A:$B,2,FALSE),"")</f>
        <v/>
      </c>
      <c r="BZ42" s="31" t="str">
        <f>IFERROR(VLOOKUP([2]Pointage!CD36,Feuil1!$A:$B,2,FALSE),"")</f>
        <v/>
      </c>
      <c r="CA42" s="31" t="str">
        <f>IFERROR(VLOOKUP([2]Pointage!CE36,Feuil1!$A:$B,2,FALSE),"")</f>
        <v/>
      </c>
      <c r="CB42" s="31" t="str">
        <f>IFERROR(VLOOKUP([2]Pointage!CF36,Feuil1!$A:$B,2,FALSE),"")</f>
        <v/>
      </c>
      <c r="CC42" s="31" t="str">
        <f>IFERROR(VLOOKUP([2]Pointage!CG36,Feuil1!$A:$B,2,FALSE),"")</f>
        <v/>
      </c>
      <c r="CD42" s="31" t="str">
        <f>IFERROR(VLOOKUP([2]Pointage!CH36,Feuil1!$A:$B,2,FALSE),"")</f>
        <v/>
      </c>
      <c r="CE42" s="31" t="str">
        <f>IFERROR(VLOOKUP([2]Pointage!CI36,Feuil1!$A:$B,2,FALSE),"")</f>
        <v/>
      </c>
      <c r="CF42" s="31" t="str">
        <f>IFERROR(VLOOKUP([2]Pointage!CJ36,Feuil1!$A:$B,2,FALSE),"")</f>
        <v/>
      </c>
      <c r="CG42" s="31" t="str">
        <f>IFERROR(VLOOKUP([2]Pointage!CK36,Feuil1!$A:$B,2,FALSE),"")</f>
        <v/>
      </c>
      <c r="CH42" s="31" t="str">
        <f>IFERROR(VLOOKUP([2]Pointage!CL36,Feuil1!$A:$B,2,FALSE),"")</f>
        <v/>
      </c>
      <c r="CI42" s="31" t="str">
        <f>IFERROR(VLOOKUP([2]Pointage!CM36,Feuil1!$A:$B,2,FALSE),"")</f>
        <v/>
      </c>
      <c r="CJ42" s="31" t="str">
        <f>IFERROR(VLOOKUP([2]Pointage!CN36,Feuil1!$A:$B,2,FALSE),"")</f>
        <v/>
      </c>
      <c r="CK42" s="31" t="str">
        <f>IFERROR(VLOOKUP([2]Pointage!CO36,Feuil1!$A:$B,2,FALSE),"")</f>
        <v/>
      </c>
      <c r="CL42" s="31" t="str">
        <f>IFERROR(VLOOKUP([2]Pointage!CP36,Feuil1!$A:$B,2,FALSE),"")</f>
        <v/>
      </c>
      <c r="CM42" s="31" t="str">
        <f>IFERROR(VLOOKUP([2]Pointage!CQ36,Feuil1!$A:$B,2,FALSE),"")</f>
        <v/>
      </c>
      <c r="CN42" s="31" t="str">
        <f>IFERROR(VLOOKUP([2]Pointage!CR36,Feuil1!$A:$B,2,FALSE),"")</f>
        <v/>
      </c>
      <c r="CO42" s="31" t="str">
        <f>IFERROR(VLOOKUP([2]Pointage!CS36,Feuil1!$A:$B,2,FALSE),"")</f>
        <v/>
      </c>
      <c r="CP42" s="31" t="str">
        <f>IFERROR(VLOOKUP([2]Pointage!CT36,Feuil1!$A:$B,2,FALSE),"")</f>
        <v/>
      </c>
      <c r="CQ42" s="82" t="str">
        <f>IFERROR(VLOOKUP([2]Pointage!CU36,Feuil1!$A:$B,2,FALSE),"")</f>
        <v/>
      </c>
      <c r="CR42" s="47" t="str">
        <f>IFERROR(VLOOKUP([2]Pointage!CV36,Feuil1!$A:$B,2,FALSE),"")</f>
        <v/>
      </c>
      <c r="CS42" s="31" t="str">
        <f>IFERROR(VLOOKUP([2]Pointage!CW36,Feuil1!$A:$B,2,FALSE),"")</f>
        <v/>
      </c>
      <c r="CT42" s="31" t="str">
        <f>IFERROR(VLOOKUP([2]Pointage!CX36,Feuil1!$A:$B,2,FALSE),"")</f>
        <v/>
      </c>
      <c r="CU42" s="31" t="str">
        <f>IFERROR(VLOOKUP([2]Pointage!CY36,Feuil1!$A:$B,2,FALSE),"")</f>
        <v/>
      </c>
      <c r="CV42" s="31" t="str">
        <f>IFERROR(VLOOKUP([2]Pointage!CZ36,Feuil1!$A:$B,2,FALSE),"")</f>
        <v/>
      </c>
      <c r="CW42" s="31" t="str">
        <f>IFERROR(VLOOKUP([2]Pointage!DA36,Feuil1!$A:$B,2,FALSE),"")</f>
        <v/>
      </c>
      <c r="CX42" s="31" t="str">
        <f>IFERROR(VLOOKUP([2]Pointage!DB36,Feuil1!$A:$B,2,FALSE),"")</f>
        <v/>
      </c>
      <c r="CY42" s="31" t="str">
        <f>IFERROR(VLOOKUP([2]Pointage!DC36,Feuil1!$A:$B,2,FALSE),"")</f>
        <v/>
      </c>
      <c r="CZ42" s="31" t="str">
        <f>IFERROR(VLOOKUP([2]Pointage!DD36,Feuil1!$A:$B,2,FALSE),"")</f>
        <v/>
      </c>
      <c r="DA42" s="31" t="str">
        <f>IFERROR(VLOOKUP([2]Pointage!DE36,Feuil1!$A:$B,2,FALSE),"")</f>
        <v/>
      </c>
      <c r="DB42" s="31" t="str">
        <f>IFERROR(VLOOKUP([2]Pointage!DF36,Feuil1!$A:$B,2,FALSE),"")</f>
        <v/>
      </c>
      <c r="DC42" s="31" t="str">
        <f>IFERROR(VLOOKUP([2]Pointage!DG36,Feuil1!$A:$B,2,FALSE),"")</f>
        <v/>
      </c>
      <c r="DD42" s="31" t="str">
        <f>IFERROR(VLOOKUP([2]Pointage!DH36,Feuil1!$A:$B,2,FALSE),"")</f>
        <v/>
      </c>
      <c r="DE42" s="31" t="str">
        <f>IFERROR(VLOOKUP([2]Pointage!DI36,Feuil1!$A:$B,2,FALSE),"")</f>
        <v/>
      </c>
      <c r="DF42" s="31" t="str">
        <f>IFERROR(VLOOKUP([2]Pointage!DJ36,Feuil1!$A:$B,2,FALSE),"")</f>
        <v/>
      </c>
      <c r="DG42" s="31" t="str">
        <f>IFERROR(VLOOKUP([2]Pointage!DK36,Feuil1!$A:$B,2,FALSE),"")</f>
        <v/>
      </c>
      <c r="DH42" s="31" t="str">
        <f>IFERROR(VLOOKUP([2]Pointage!DL36,Feuil1!$A:$B,2,FALSE),"")</f>
        <v/>
      </c>
      <c r="DI42" s="31" t="str">
        <f>IFERROR(VLOOKUP([2]Pointage!DM36,Feuil1!$A:$B,2,FALSE),"")</f>
        <v/>
      </c>
      <c r="DJ42" s="31" t="str">
        <f>IFERROR(VLOOKUP([2]Pointage!DN36,Feuil1!$A:$B,2,FALSE),"")</f>
        <v/>
      </c>
      <c r="DK42" s="31" t="str">
        <f>IFERROR(VLOOKUP([2]Pointage!DO36,Feuil1!$A:$B,2,FALSE),"")</f>
        <v/>
      </c>
      <c r="DL42" s="31" t="str">
        <f>IFERROR(VLOOKUP([2]Pointage!DP36,Feuil1!$A:$B,2,FALSE),"")</f>
        <v/>
      </c>
      <c r="DM42" s="31" t="str">
        <f>IFERROR(VLOOKUP([2]Pointage!DQ36,Feuil1!$A:$B,2,FALSE),"")</f>
        <v/>
      </c>
      <c r="DN42" s="31" t="str">
        <f>IFERROR(VLOOKUP([2]Pointage!DR36,Feuil1!$A:$B,2,FALSE),"")</f>
        <v/>
      </c>
      <c r="DO42" s="31" t="str">
        <f>IFERROR(VLOOKUP([2]Pointage!DS36,Feuil1!$A:$B,2,FALSE),"")</f>
        <v/>
      </c>
      <c r="DP42" s="31" t="str">
        <f>IFERROR(VLOOKUP([2]Pointage!DT36,Feuil1!$A:$B,2,FALSE),"")</f>
        <v/>
      </c>
      <c r="DQ42" s="31" t="str">
        <f>IFERROR(VLOOKUP([2]Pointage!DU36,Feuil1!$A:$B,2,FALSE),"")</f>
        <v/>
      </c>
      <c r="DR42" s="31" t="str">
        <f>IFERROR(VLOOKUP([2]Pointage!DV36,Feuil1!$A:$B,2,FALSE),"")</f>
        <v/>
      </c>
      <c r="DS42" s="31" t="str">
        <f>IFERROR(VLOOKUP([2]Pointage!DW36,Feuil1!$A:$B,2,FALSE),"")</f>
        <v/>
      </c>
      <c r="DT42" s="31" t="str">
        <f>IFERROR(VLOOKUP([2]Pointage!DX36,Feuil1!$A:$B,2,FALSE),"")</f>
        <v/>
      </c>
      <c r="DU42" s="82" t="str">
        <f>IFERROR(VLOOKUP([2]Pointage!DY36,Feuil1!$A:$B,2,FALSE),"")</f>
        <v/>
      </c>
      <c r="DV42" s="47" t="str">
        <f>IFERROR(VLOOKUP([2]Pointage!DZ36,Feuil1!$A:$B,2,FALSE),"")</f>
        <v/>
      </c>
      <c r="DW42" s="31" t="str">
        <f>IFERROR(VLOOKUP([2]Pointage!EA36,Feuil1!$A:$B,2,FALSE),"")</f>
        <v/>
      </c>
      <c r="DX42" s="31" t="str">
        <f>IFERROR(VLOOKUP([2]Pointage!EB36,Feuil1!$A:$B,2,FALSE),"")</f>
        <v/>
      </c>
      <c r="DY42" s="31" t="str">
        <f>IFERROR(VLOOKUP([2]Pointage!EC36,Feuil1!$A:$B,2,FALSE),"")</f>
        <v/>
      </c>
      <c r="DZ42" s="31" t="str">
        <f>IFERROR(VLOOKUP([2]Pointage!ED36,Feuil1!$A:$B,2,FALSE),"")</f>
        <v/>
      </c>
      <c r="EA42" s="31" t="str">
        <f>IFERROR(VLOOKUP([2]Pointage!EE36,Feuil1!$A:$B,2,FALSE),"")</f>
        <v/>
      </c>
      <c r="EB42" s="31" t="str">
        <f>IFERROR(VLOOKUP([2]Pointage!EF36,Feuil1!$A:$B,2,FALSE),"")</f>
        <v/>
      </c>
      <c r="EC42" s="31" t="str">
        <f>IFERROR(VLOOKUP([2]Pointage!EG36,Feuil1!$A:$B,2,FALSE),"")</f>
        <v/>
      </c>
      <c r="ED42" s="31" t="str">
        <f>IFERROR(VLOOKUP([2]Pointage!EH36,Feuil1!$A:$B,2,FALSE),"")</f>
        <v/>
      </c>
      <c r="EE42" s="31" t="str">
        <f>IFERROR(VLOOKUP([2]Pointage!EI36,Feuil1!$A:$B,2,FALSE),"")</f>
        <v/>
      </c>
      <c r="EF42" s="31" t="str">
        <f>IFERROR(VLOOKUP([2]Pointage!EJ36,Feuil1!$A:$B,2,FALSE),"")</f>
        <v/>
      </c>
      <c r="EG42" s="31" t="str">
        <f>IFERROR(VLOOKUP([2]Pointage!EK36,Feuil1!$A:$B,2,FALSE),"")</f>
        <v/>
      </c>
      <c r="EH42" s="31" t="str">
        <f>IFERROR(VLOOKUP([2]Pointage!EL36,Feuil1!$A:$B,2,FALSE),"")</f>
        <v/>
      </c>
      <c r="EI42" s="31" t="str">
        <f>IFERROR(VLOOKUP([2]Pointage!EM36,Feuil1!$A:$B,2,FALSE),"")</f>
        <v/>
      </c>
      <c r="EJ42" s="31" t="str">
        <f>IFERROR(VLOOKUP([2]Pointage!EN36,Feuil1!$A:$B,2,FALSE),"")</f>
        <v/>
      </c>
      <c r="EK42" s="31" t="str">
        <f>IFERROR(VLOOKUP([2]Pointage!EO36,Feuil1!$A:$B,2,FALSE),"")</f>
        <v/>
      </c>
      <c r="EL42" s="31" t="str">
        <f>IFERROR(VLOOKUP([2]Pointage!EP36,Feuil1!$A:$B,2,FALSE),"")</f>
        <v/>
      </c>
      <c r="EM42" s="31" t="str">
        <f>IFERROR(VLOOKUP([2]Pointage!EQ36,Feuil1!$A:$B,2,FALSE),"")</f>
        <v/>
      </c>
      <c r="EN42" s="31" t="str">
        <f>IFERROR(VLOOKUP([2]Pointage!ER36,Feuil1!$A:$B,2,FALSE),"")</f>
        <v/>
      </c>
      <c r="EO42" s="31" t="str">
        <f>IFERROR(VLOOKUP([2]Pointage!ES36,Feuil1!$A:$B,2,FALSE),"")</f>
        <v/>
      </c>
      <c r="EP42" s="31" t="str">
        <f>IFERROR(VLOOKUP([2]Pointage!ET36,Feuil1!$A:$B,2,FALSE),"")</f>
        <v/>
      </c>
      <c r="EQ42" s="31" t="str">
        <f>IFERROR(VLOOKUP([2]Pointage!EU36,Feuil1!$A:$B,2,FALSE),"")</f>
        <v/>
      </c>
      <c r="ER42" s="31" t="str">
        <f>IFERROR(VLOOKUP([2]Pointage!EV36,Feuil1!$A:$B,2,FALSE),"")</f>
        <v/>
      </c>
      <c r="ES42" s="31" t="str">
        <f>IFERROR(VLOOKUP([2]Pointage!EW36,Feuil1!$A:$B,2,FALSE),"")</f>
        <v/>
      </c>
      <c r="ET42" s="31" t="str">
        <f>IFERROR(VLOOKUP([2]Pointage!EX36,Feuil1!$A:$B,2,FALSE),"")</f>
        <v/>
      </c>
      <c r="EU42" s="31" t="str">
        <f>IFERROR(VLOOKUP([2]Pointage!EY36,Feuil1!$A:$B,2,FALSE),"")</f>
        <v/>
      </c>
      <c r="EV42" s="31" t="str">
        <f>IFERROR(VLOOKUP([2]Pointage!EZ36,Feuil1!$A:$B,2,FALSE),"")</f>
        <v/>
      </c>
      <c r="EW42" s="31" t="str">
        <f>IFERROR(VLOOKUP([2]Pointage!FA36,Feuil1!$A:$B,2,FALSE),"")</f>
        <v/>
      </c>
      <c r="EX42" s="31" t="str">
        <f>IFERROR(VLOOKUP([2]Pointage!FB36,Feuil1!$A:$B,2,FALSE),"")</f>
        <v/>
      </c>
      <c r="EY42" s="31" t="str">
        <f>IFERROR(VLOOKUP([2]Pointage!FC36,Feuil1!$A:$B,2,FALSE),"")</f>
        <v/>
      </c>
      <c r="EZ42" s="82" t="str">
        <f>IFERROR(VLOOKUP([2]Pointage!FD36,Feuil1!$A:$B,2,FALSE),"")</f>
        <v/>
      </c>
      <c r="FA42" s="47" t="str">
        <f>IFERROR(VLOOKUP([2]Pointage!FE36,Feuil1!$A:$B,2,FALSE),"")</f>
        <v/>
      </c>
      <c r="FB42" s="31" t="str">
        <f>IFERROR(VLOOKUP([2]Pointage!FF36,Feuil1!$A:$B,2,FALSE),"")</f>
        <v/>
      </c>
      <c r="FC42" s="31" t="str">
        <f>IFERROR(VLOOKUP([2]Pointage!FG36,Feuil1!$A:$B,2,FALSE),"")</f>
        <v/>
      </c>
      <c r="FD42" s="31" t="str">
        <f>IFERROR(VLOOKUP([2]Pointage!FH36,Feuil1!$A:$B,2,FALSE),"")</f>
        <v/>
      </c>
      <c r="FE42" s="31" t="str">
        <f>IFERROR(VLOOKUP([2]Pointage!FI36,Feuil1!$A:$B,2,FALSE),"")</f>
        <v/>
      </c>
      <c r="FF42" s="31" t="str">
        <f>IFERROR(VLOOKUP([2]Pointage!FJ36,Feuil1!$A:$B,2,FALSE),"")</f>
        <v/>
      </c>
      <c r="FG42" s="31" t="str">
        <f>IFERROR(VLOOKUP([2]Pointage!FK36,Feuil1!$A:$B,2,FALSE),"")</f>
        <v/>
      </c>
      <c r="FH42" s="31" t="str">
        <f>IFERROR(VLOOKUP([2]Pointage!FL36,Feuil1!$A:$B,2,FALSE),"")</f>
        <v/>
      </c>
      <c r="FI42" s="31" t="str">
        <f>IFERROR(VLOOKUP([2]Pointage!FM36,Feuil1!$A:$B,2,FALSE),"")</f>
        <v/>
      </c>
      <c r="FJ42" s="31" t="str">
        <f>IFERROR(VLOOKUP([2]Pointage!FN36,Feuil1!$A:$B,2,FALSE),"")</f>
        <v/>
      </c>
      <c r="FK42" s="31" t="str">
        <f>IFERROR(VLOOKUP([2]Pointage!FO36,Feuil1!$A:$B,2,FALSE),"")</f>
        <v/>
      </c>
      <c r="FL42" s="31" t="str">
        <f>IFERROR(VLOOKUP([2]Pointage!FP36,Feuil1!$A:$B,2,FALSE),"")</f>
        <v/>
      </c>
      <c r="FM42" s="31" t="str">
        <f>IFERROR(VLOOKUP([2]Pointage!FQ36,Feuil1!$A:$B,2,FALSE),"")</f>
        <v/>
      </c>
      <c r="FN42" s="31" t="str">
        <f>IFERROR(VLOOKUP([2]Pointage!FR36,Feuil1!$A:$B,2,FALSE),"")</f>
        <v/>
      </c>
      <c r="FO42" s="31" t="str">
        <f>IFERROR(VLOOKUP([2]Pointage!FS36,Feuil1!$A:$B,2,FALSE),"")</f>
        <v/>
      </c>
      <c r="FP42" s="31" t="str">
        <f>IFERROR(VLOOKUP([2]Pointage!FT36,Feuil1!$A:$B,2,FALSE),"")</f>
        <v/>
      </c>
      <c r="FQ42" s="31" t="str">
        <f>IFERROR(VLOOKUP([2]Pointage!FU36,Feuil1!$A:$B,2,FALSE),"")</f>
        <v/>
      </c>
      <c r="FR42" s="31" t="str">
        <f>IFERROR(VLOOKUP([2]Pointage!FV36,Feuil1!$A:$B,2,FALSE),"")</f>
        <v>C</v>
      </c>
      <c r="FS42" s="31" t="str">
        <f>IFERROR(VLOOKUP([2]Pointage!FW36,Feuil1!$A:$B,2,FALSE),"")</f>
        <v>C</v>
      </c>
      <c r="FT42" s="31" t="str">
        <f>IFERROR(VLOOKUP([2]Pointage!FX36,Feuil1!$A:$B,2,FALSE),"")</f>
        <v>C</v>
      </c>
      <c r="FU42" s="31" t="str">
        <f>IFERROR(VLOOKUP([2]Pointage!FY36,Feuil1!$A:$B,2,FALSE),"")</f>
        <v>C</v>
      </c>
      <c r="FV42" s="31" t="str">
        <f>IFERROR(VLOOKUP([2]Pointage!FZ36,Feuil1!$A:$B,2,FALSE),"")</f>
        <v>C</v>
      </c>
      <c r="FW42" s="31" t="str">
        <f>IFERROR(VLOOKUP([2]Pointage!GA36,Feuil1!$A:$B,2,FALSE),"")</f>
        <v/>
      </c>
      <c r="FX42" s="31" t="str">
        <f>IFERROR(VLOOKUP([2]Pointage!GB36,Feuil1!$A:$B,2,FALSE),"")</f>
        <v/>
      </c>
      <c r="FY42" s="31" t="str">
        <f>IFERROR(VLOOKUP([2]Pointage!GC36,Feuil1!$A:$B,2,FALSE),"")</f>
        <v>C</v>
      </c>
      <c r="FZ42" s="31" t="str">
        <f>IFERROR(VLOOKUP([2]Pointage!GD36,Feuil1!$A:$B,2,FALSE),"")</f>
        <v>C</v>
      </c>
      <c r="GA42" s="31" t="str">
        <f>IFERROR(VLOOKUP([2]Pointage!GE36,Feuil1!$A:$B,2,FALSE),"")</f>
        <v>C</v>
      </c>
      <c r="GB42" s="31" t="str">
        <f>IFERROR(VLOOKUP([2]Pointage!GF36,Feuil1!$A:$B,2,FALSE),"")</f>
        <v>C</v>
      </c>
      <c r="GC42" s="31" t="str">
        <f>IFERROR(VLOOKUP([2]Pointage!GG36,Feuil1!$A:$B,2,FALSE),"")</f>
        <v>C</v>
      </c>
      <c r="GD42" s="82" t="str">
        <f>IFERROR(VLOOKUP([2]Pointage!GH36,Feuil1!$A:$B,2,FALSE),"")</f>
        <v/>
      </c>
      <c r="GE42" s="47" t="str">
        <f>IFERROR(VLOOKUP([2]Pointage!GI36,Feuil1!$A:$B,2,FALSE),"")</f>
        <v/>
      </c>
      <c r="GF42" s="31" t="str">
        <f>IFERROR(VLOOKUP([2]Pointage!GJ36,Feuil1!$A:$B,2,FALSE),"")</f>
        <v/>
      </c>
      <c r="GG42" s="31" t="str">
        <f>IFERROR(VLOOKUP([2]Pointage!GK36,Feuil1!$A:$B,2,FALSE),"")</f>
        <v/>
      </c>
      <c r="GH42" s="31" t="str">
        <f>IFERROR(VLOOKUP([2]Pointage!GL36,Feuil1!$A:$B,2,FALSE),"")</f>
        <v/>
      </c>
      <c r="GI42" s="31" t="str">
        <f>IFERROR(VLOOKUP([2]Pointage!GM36,Feuil1!$A:$B,2,FALSE),"")</f>
        <v/>
      </c>
      <c r="GJ42" s="31" t="str">
        <f>IFERROR(VLOOKUP([2]Pointage!GN36,Feuil1!$A:$B,2,FALSE),"")</f>
        <v/>
      </c>
      <c r="GK42" s="31" t="str">
        <f>IFERROR(VLOOKUP([2]Pointage!GO36,Feuil1!$A:$B,2,FALSE),"")</f>
        <v/>
      </c>
      <c r="GL42" s="31" t="str">
        <f>IFERROR(VLOOKUP([2]Pointage!GP36,Feuil1!$A:$B,2,FALSE),"")</f>
        <v/>
      </c>
      <c r="GM42" s="31" t="str">
        <f>IFERROR(VLOOKUP([2]Pointage!GQ36,Feuil1!$A:$B,2,FALSE),"")</f>
        <v/>
      </c>
      <c r="GN42" s="31" t="str">
        <f>IFERROR(VLOOKUP([2]Pointage!GR36,Feuil1!$A:$B,2,FALSE),"")</f>
        <v/>
      </c>
      <c r="GO42" s="31" t="str">
        <f>IFERROR(VLOOKUP([2]Pointage!GS36,Feuil1!$A:$B,2,FALSE),"")</f>
        <v/>
      </c>
      <c r="GP42" s="31" t="str">
        <f>IFERROR(VLOOKUP([2]Pointage!GT36,Feuil1!$A:$B,2,FALSE),"")</f>
        <v/>
      </c>
      <c r="GQ42" s="31" t="str">
        <f>IFERROR(VLOOKUP([2]Pointage!GU36,Feuil1!$A:$B,2,FALSE),"")</f>
        <v/>
      </c>
      <c r="GR42" s="31" t="str">
        <f>IFERROR(VLOOKUP([2]Pointage!GV36,Feuil1!$A:$B,2,FALSE),"")</f>
        <v/>
      </c>
      <c r="GS42" s="31" t="str">
        <f>IFERROR(VLOOKUP([2]Pointage!GW36,Feuil1!$A:$B,2,FALSE),"")</f>
        <v/>
      </c>
      <c r="GT42" s="31" t="str">
        <f>IFERROR(VLOOKUP([2]Pointage!GX36,Feuil1!$A:$B,2,FALSE),"")</f>
        <v/>
      </c>
      <c r="GU42" s="31" t="str">
        <f>IFERROR(VLOOKUP([2]Pointage!GY36,Feuil1!$A:$B,2,FALSE),"")</f>
        <v/>
      </c>
      <c r="GV42" s="31" t="str">
        <f>IFERROR(VLOOKUP([2]Pointage!GZ36,Feuil1!$A:$B,2,FALSE),"")</f>
        <v/>
      </c>
      <c r="GW42" s="31" t="str">
        <f>IFERROR(VLOOKUP([2]Pointage!HA36,Feuil1!$A:$B,2,FALSE),"")</f>
        <v/>
      </c>
      <c r="GX42" s="31" t="str">
        <f>IFERROR(VLOOKUP([2]Pointage!HB36,Feuil1!$A:$B,2,FALSE),"")</f>
        <v/>
      </c>
      <c r="GY42" s="31" t="str">
        <f>IFERROR(VLOOKUP([2]Pointage!HC36,Feuil1!$A:$B,2,FALSE),"")</f>
        <v/>
      </c>
      <c r="GZ42" s="31" t="str">
        <f>IFERROR(VLOOKUP([2]Pointage!HD36,Feuil1!$A:$B,2,FALSE),"")</f>
        <v/>
      </c>
      <c r="HA42" s="31" t="str">
        <f>IFERROR(VLOOKUP([2]Pointage!HE36,Feuil1!$A:$B,2,FALSE),"")</f>
        <v/>
      </c>
      <c r="HB42" s="31" t="str">
        <f>IFERROR(VLOOKUP([2]Pointage!HF36,Feuil1!$A:$B,2,FALSE),"")</f>
        <v/>
      </c>
      <c r="HC42" s="31" t="str">
        <f>IFERROR(VLOOKUP([2]Pointage!HG36,Feuil1!$A:$B,2,FALSE),"")</f>
        <v/>
      </c>
      <c r="HD42" s="31" t="str">
        <f>IFERROR(VLOOKUP([2]Pointage!HH36,Feuil1!$A:$B,2,FALSE),"")</f>
        <v/>
      </c>
      <c r="HE42" s="31" t="str">
        <f>IFERROR(VLOOKUP([2]Pointage!HI36,Feuil1!$A:$B,2,FALSE),"")</f>
        <v/>
      </c>
      <c r="HF42" s="31" t="str">
        <f>IFERROR(VLOOKUP([2]Pointage!HJ36,Feuil1!$A:$B,2,FALSE),"")</f>
        <v/>
      </c>
      <c r="HG42" s="31" t="str">
        <f>IFERROR(VLOOKUP([2]Pointage!HK36,Feuil1!$A:$B,2,FALSE),"")</f>
        <v/>
      </c>
      <c r="HH42" s="31" t="str">
        <f>IFERROR(VLOOKUP([2]Pointage!HL36,Feuil1!$A:$B,2,FALSE),"")</f>
        <v/>
      </c>
      <c r="HI42" s="82" t="str">
        <f>IFERROR(VLOOKUP([2]Pointage!HM36,Feuil1!$A:$B,2,FALSE),"")</f>
        <v/>
      </c>
      <c r="HJ42" s="47" t="str">
        <f>IFERROR(VLOOKUP([2]Pointage!HN36,Feuil1!$A:$B,2,FALSE),"")</f>
        <v/>
      </c>
      <c r="HK42" s="31" t="str">
        <f>IFERROR(VLOOKUP([2]Pointage!HO36,Feuil1!$A:$B,2,FALSE),"")</f>
        <v/>
      </c>
      <c r="HL42" s="31" t="str">
        <f>IFERROR(VLOOKUP([2]Pointage!HP36,Feuil1!$A:$B,2,FALSE),"")</f>
        <v/>
      </c>
      <c r="HM42" s="31" t="str">
        <f>IFERROR(VLOOKUP([2]Pointage!HQ36,Feuil1!$A:$B,2,FALSE),"")</f>
        <v/>
      </c>
      <c r="HN42" s="31" t="str">
        <f>IFERROR(VLOOKUP([2]Pointage!HR36,Feuil1!$A:$B,2,FALSE),"")</f>
        <v/>
      </c>
      <c r="HO42" s="31" t="str">
        <f>IFERROR(VLOOKUP([2]Pointage!HS36,Feuil1!$A:$B,2,FALSE),"")</f>
        <v/>
      </c>
      <c r="HP42" s="31" t="str">
        <f>IFERROR(VLOOKUP([2]Pointage!HT36,Feuil1!$A:$B,2,FALSE),"")</f>
        <v/>
      </c>
      <c r="HQ42" s="31" t="str">
        <f>IFERROR(VLOOKUP([2]Pointage!HU36,Feuil1!$A:$B,2,FALSE),"")</f>
        <v/>
      </c>
      <c r="HR42" s="31" t="str">
        <f>IFERROR(VLOOKUP([2]Pointage!HV36,Feuil1!$A:$B,2,FALSE),"")</f>
        <v/>
      </c>
      <c r="HS42" s="31" t="str">
        <f>IFERROR(VLOOKUP([2]Pointage!HW36,Feuil1!$A:$B,2,FALSE),"")</f>
        <v/>
      </c>
      <c r="HT42" s="31" t="str">
        <f>IFERROR(VLOOKUP([2]Pointage!HX36,Feuil1!$A:$B,2,FALSE),"")</f>
        <v/>
      </c>
      <c r="HU42" s="31" t="str">
        <f>IFERROR(VLOOKUP([2]Pointage!HY36,Feuil1!$A:$B,2,FALSE),"")</f>
        <v/>
      </c>
      <c r="HV42" s="31" t="str">
        <f>IFERROR(VLOOKUP([2]Pointage!HZ36,Feuil1!$A:$B,2,FALSE),"")</f>
        <v/>
      </c>
      <c r="HW42" s="31" t="str">
        <f>IFERROR(VLOOKUP([2]Pointage!IA36,Feuil1!$A:$B,2,FALSE),"")</f>
        <v/>
      </c>
      <c r="HX42" s="31" t="str">
        <f>IFERROR(VLOOKUP([2]Pointage!IB36,Feuil1!$A:$B,2,FALSE),"")</f>
        <v/>
      </c>
      <c r="HY42" s="31" t="str">
        <f>IFERROR(VLOOKUP([2]Pointage!IC36,Feuil1!$A:$B,2,FALSE),"")</f>
        <v/>
      </c>
      <c r="HZ42" s="31" t="str">
        <f>IFERROR(VLOOKUP([2]Pointage!ID36,Feuil1!$A:$B,2,FALSE),"")</f>
        <v/>
      </c>
      <c r="IA42" s="31" t="str">
        <f>IFERROR(VLOOKUP([2]Pointage!IE36,Feuil1!$A:$B,2,FALSE),"")</f>
        <v/>
      </c>
      <c r="IB42" s="31" t="str">
        <f>IFERROR(VLOOKUP([2]Pointage!IF36,Feuil1!$A:$B,2,FALSE),"")</f>
        <v/>
      </c>
      <c r="IC42" s="31" t="str">
        <f>IFERROR(VLOOKUP([2]Pointage!IG36,Feuil1!$A:$B,2,FALSE),"")</f>
        <v/>
      </c>
      <c r="ID42" s="31" t="str">
        <f>IFERROR(VLOOKUP([2]Pointage!IH36,Feuil1!$A:$B,2,FALSE),"")</f>
        <v/>
      </c>
      <c r="IE42" s="31" t="str">
        <f>IFERROR(VLOOKUP([2]Pointage!II36,Feuil1!$A:$B,2,FALSE),"")</f>
        <v/>
      </c>
      <c r="IF42" s="31" t="str">
        <f>IFERROR(VLOOKUP([2]Pointage!IJ36,Feuil1!$A:$B,2,FALSE),"")</f>
        <v/>
      </c>
      <c r="IG42" s="31" t="str">
        <f>IFERROR(VLOOKUP([2]Pointage!IK36,Feuil1!$A:$B,2,FALSE),"")</f>
        <v/>
      </c>
      <c r="IH42" s="31" t="str">
        <f>IFERROR(VLOOKUP([2]Pointage!IL36,Feuil1!$A:$B,2,FALSE),"")</f>
        <v/>
      </c>
      <c r="II42" s="31" t="str">
        <f>IFERROR(VLOOKUP([2]Pointage!IM36,Feuil1!$A:$B,2,FALSE),"")</f>
        <v/>
      </c>
      <c r="IJ42" s="31" t="str">
        <f>IFERROR(VLOOKUP([2]Pointage!IN36,Feuil1!$A:$B,2,FALSE),"")</f>
        <v/>
      </c>
      <c r="IK42" s="31" t="str">
        <f>IFERROR(VLOOKUP([2]Pointage!IO36,Feuil1!$A:$B,2,FALSE),"")</f>
        <v/>
      </c>
      <c r="IL42" s="31" t="str">
        <f>IFERROR(VLOOKUP([2]Pointage!IP36,Feuil1!$A:$B,2,FALSE),"")</f>
        <v/>
      </c>
      <c r="IM42" s="31" t="str">
        <f>IFERROR(VLOOKUP([2]Pointage!IQ36,Feuil1!$A:$B,2,FALSE),"")</f>
        <v/>
      </c>
      <c r="IN42" s="82" t="str">
        <f>IFERROR(VLOOKUP([2]Pointage!IR36,Feuil1!$A:$B,2,FALSE),"")</f>
        <v/>
      </c>
      <c r="IO42" s="47" t="str">
        <f>IFERROR(VLOOKUP([2]Pointage!IS36,Feuil1!$A:$B,2,FALSE),"")</f>
        <v/>
      </c>
      <c r="IP42" s="31" t="str">
        <f>IFERROR(VLOOKUP([2]Pointage!IT36,Feuil1!$A:$B,2,FALSE),"")</f>
        <v/>
      </c>
      <c r="IQ42" s="31" t="str">
        <f>IFERROR(VLOOKUP([2]Pointage!IU36,Feuil1!$A:$B,2,FALSE),"")</f>
        <v/>
      </c>
      <c r="IR42" s="31" t="str">
        <f>IFERROR(VLOOKUP([2]Pointage!IV36,Feuil1!$A:$B,2,FALSE),"")</f>
        <v/>
      </c>
      <c r="IS42" s="31" t="str">
        <f>IFERROR(VLOOKUP([2]Pointage!IW36,Feuil1!$A:$B,2,FALSE),"")</f>
        <v/>
      </c>
      <c r="IT42" s="31" t="str">
        <f>IFERROR(VLOOKUP([2]Pointage!IX36,Feuil1!$A:$B,2,FALSE),"")</f>
        <v/>
      </c>
      <c r="IU42" s="31" t="str">
        <f>IFERROR(VLOOKUP([2]Pointage!IY36,Feuil1!$A:$B,2,FALSE),"")</f>
        <v/>
      </c>
      <c r="IV42" s="31" t="str">
        <f>IFERROR(VLOOKUP([2]Pointage!IZ36,Feuil1!$A:$B,2,FALSE),"")</f>
        <v/>
      </c>
      <c r="IW42" s="31" t="str">
        <f>IFERROR(VLOOKUP([2]Pointage!JA36,Feuil1!$A:$B,2,FALSE),"")</f>
        <v/>
      </c>
      <c r="IX42" s="31" t="str">
        <f>IFERROR(VLOOKUP([2]Pointage!JB36,Feuil1!$A:$B,2,FALSE),"")</f>
        <v/>
      </c>
      <c r="IY42" s="31" t="str">
        <f>IFERROR(VLOOKUP([2]Pointage!JC36,Feuil1!$A:$B,2,FALSE),"")</f>
        <v/>
      </c>
      <c r="IZ42" s="31" t="str">
        <f>IFERROR(VLOOKUP([2]Pointage!JD36,Feuil1!$A:$B,2,FALSE),"")</f>
        <v/>
      </c>
      <c r="JA42" s="31" t="str">
        <f>IFERROR(VLOOKUP([2]Pointage!JE36,Feuil1!$A:$B,2,FALSE),"")</f>
        <v/>
      </c>
      <c r="JB42" s="31" t="str">
        <f>IFERROR(VLOOKUP([2]Pointage!JF36,Feuil1!$A:$B,2,FALSE),"")</f>
        <v/>
      </c>
      <c r="JC42" s="31" t="str">
        <f>IFERROR(VLOOKUP([2]Pointage!JG36,Feuil1!$A:$B,2,FALSE),"")</f>
        <v/>
      </c>
      <c r="JD42" s="31" t="str">
        <f>IFERROR(VLOOKUP([2]Pointage!JH36,Feuil1!$A:$B,2,FALSE),"")</f>
        <v/>
      </c>
      <c r="JE42" s="31" t="str">
        <f>IFERROR(VLOOKUP([2]Pointage!JI36,Feuil1!$A:$B,2,FALSE),"")</f>
        <v/>
      </c>
      <c r="JF42" s="31" t="str">
        <f>IFERROR(VLOOKUP([2]Pointage!JJ36,Feuil1!$A:$B,2,FALSE),"")</f>
        <v/>
      </c>
      <c r="JG42" s="31" t="str">
        <f>IFERROR(VLOOKUP([2]Pointage!JK36,Feuil1!$A:$B,2,FALSE),"")</f>
        <v/>
      </c>
      <c r="JH42" s="31" t="str">
        <f>IFERROR(VLOOKUP([2]Pointage!JL36,Feuil1!$A:$B,2,FALSE),"")</f>
        <v/>
      </c>
      <c r="JI42" s="31" t="str">
        <f>IFERROR(VLOOKUP([2]Pointage!JM36,Feuil1!$A:$B,2,FALSE),"")</f>
        <v/>
      </c>
      <c r="JJ42" s="31" t="str">
        <f>IFERROR(VLOOKUP([2]Pointage!JN36,Feuil1!$A:$B,2,FALSE),"")</f>
        <v/>
      </c>
      <c r="JK42" s="31" t="str">
        <f>IFERROR(VLOOKUP([2]Pointage!JO36,Feuil1!$A:$B,2,FALSE),"")</f>
        <v/>
      </c>
      <c r="JL42" s="31" t="str">
        <f>IFERROR(VLOOKUP([2]Pointage!JP36,Feuil1!$A:$B,2,FALSE),"")</f>
        <v/>
      </c>
      <c r="JM42" s="31" t="str">
        <f>IFERROR(VLOOKUP([2]Pointage!JQ36,Feuil1!$A:$B,2,FALSE),"")</f>
        <v/>
      </c>
      <c r="JN42" s="31" t="str">
        <f>IFERROR(VLOOKUP([2]Pointage!JR36,Feuil1!$A:$B,2,FALSE),"")</f>
        <v/>
      </c>
      <c r="JO42" s="31" t="str">
        <f>IFERROR(VLOOKUP([2]Pointage!JS36,Feuil1!$A:$B,2,FALSE),"")</f>
        <v/>
      </c>
      <c r="JP42" s="31" t="str">
        <f>IFERROR(VLOOKUP([2]Pointage!JT36,Feuil1!$A:$B,2,FALSE),"")</f>
        <v/>
      </c>
      <c r="JQ42" s="31" t="str">
        <f>IFERROR(VLOOKUP([2]Pointage!JU36,Feuil1!$A:$B,2,FALSE),"")</f>
        <v/>
      </c>
      <c r="JR42" s="82" t="str">
        <f>IFERROR(VLOOKUP([2]Pointage!JV36,Feuil1!$A:$B,2,FALSE),"")</f>
        <v/>
      </c>
      <c r="JS42" s="47" t="str">
        <f>IFERROR(VLOOKUP([2]Pointage!JW36,Feuil1!$A:$B,2,FALSE),"")</f>
        <v/>
      </c>
      <c r="JT42" s="31" t="str">
        <f>IFERROR(VLOOKUP([2]Pointage!JX36,Feuil1!$A:$B,2,FALSE),"")</f>
        <v/>
      </c>
      <c r="JU42" s="31" t="str">
        <f>IFERROR(VLOOKUP([2]Pointage!JY36,Feuil1!$A:$B,2,FALSE),"")</f>
        <v/>
      </c>
      <c r="JV42" s="31" t="str">
        <f>IFERROR(VLOOKUP([2]Pointage!JZ36,Feuil1!$A:$B,2,FALSE),"")</f>
        <v/>
      </c>
      <c r="JW42" s="31" t="str">
        <f>IFERROR(VLOOKUP([2]Pointage!KA36,Feuil1!$A:$B,2,FALSE),"")</f>
        <v/>
      </c>
      <c r="JX42" s="31" t="str">
        <f>IFERROR(VLOOKUP([2]Pointage!KB36,Feuil1!$A:$B,2,FALSE),"")</f>
        <v/>
      </c>
      <c r="JY42" s="31" t="str">
        <f>IFERROR(VLOOKUP([2]Pointage!KC36,Feuil1!$A:$B,2,FALSE),"")</f>
        <v/>
      </c>
      <c r="JZ42" s="31" t="str">
        <f>IFERROR(VLOOKUP([2]Pointage!KD36,Feuil1!$A:$B,2,FALSE),"")</f>
        <v/>
      </c>
      <c r="KA42" s="31" t="str">
        <f>IFERROR(VLOOKUP([2]Pointage!KE36,Feuil1!$A:$B,2,FALSE),"")</f>
        <v/>
      </c>
      <c r="KB42" s="31" t="str">
        <f>IFERROR(VLOOKUP([2]Pointage!KF36,Feuil1!$A:$B,2,FALSE),"")</f>
        <v/>
      </c>
      <c r="KC42" s="31" t="str">
        <f>IFERROR(VLOOKUP([2]Pointage!KG36,Feuil1!$A:$B,2,FALSE),"")</f>
        <v/>
      </c>
      <c r="KD42" s="31" t="str">
        <f>IFERROR(VLOOKUP([2]Pointage!KH36,Feuil1!$A:$B,2,FALSE),"")</f>
        <v/>
      </c>
      <c r="KE42" s="31" t="str">
        <f>IFERROR(VLOOKUP([2]Pointage!KI36,Feuil1!$A:$B,2,FALSE),"")</f>
        <v/>
      </c>
      <c r="KF42" s="31" t="str">
        <f>IFERROR(VLOOKUP([2]Pointage!KJ36,Feuil1!$A:$B,2,FALSE),"")</f>
        <v/>
      </c>
      <c r="KG42" s="31" t="str">
        <f>IFERROR(VLOOKUP([2]Pointage!KK36,Feuil1!$A:$B,2,FALSE),"")</f>
        <v/>
      </c>
      <c r="KH42" s="31" t="str">
        <f>IFERROR(VLOOKUP([2]Pointage!KL36,Feuil1!$A:$B,2,FALSE),"")</f>
        <v/>
      </c>
      <c r="KI42" s="31" t="str">
        <f>IFERROR(VLOOKUP([2]Pointage!KM36,Feuil1!$A:$B,2,FALSE),"")</f>
        <v/>
      </c>
      <c r="KJ42" s="31" t="str">
        <f>IFERROR(VLOOKUP([2]Pointage!KN36,Feuil1!$A:$B,2,FALSE),"")</f>
        <v/>
      </c>
      <c r="KK42" s="31" t="str">
        <f>IFERROR(VLOOKUP([2]Pointage!KO36,Feuil1!$A:$B,2,FALSE),"")</f>
        <v/>
      </c>
      <c r="KL42" s="31" t="str">
        <f>IFERROR(VLOOKUP([2]Pointage!KP36,Feuil1!$A:$B,2,FALSE),"")</f>
        <v/>
      </c>
      <c r="KM42" s="31" t="str">
        <f>IFERROR(VLOOKUP([2]Pointage!KQ36,Feuil1!$A:$B,2,FALSE),"")</f>
        <v/>
      </c>
      <c r="KN42" s="31" t="str">
        <f>IFERROR(VLOOKUP([2]Pointage!KR36,Feuil1!$A:$B,2,FALSE),"")</f>
        <v/>
      </c>
      <c r="KO42" s="31" t="str">
        <f>IFERROR(VLOOKUP([2]Pointage!KS36,Feuil1!$A:$B,2,FALSE),"")</f>
        <v/>
      </c>
      <c r="KP42" s="31" t="str">
        <f>IFERROR(VLOOKUP([2]Pointage!KT36,Feuil1!$A:$B,2,FALSE),"")</f>
        <v/>
      </c>
      <c r="KQ42" s="31" t="str">
        <f>IFERROR(VLOOKUP([2]Pointage!KU36,Feuil1!$A:$B,2,FALSE),"")</f>
        <v/>
      </c>
      <c r="KR42" s="31" t="str">
        <f>IFERROR(VLOOKUP([2]Pointage!KV36,Feuil1!$A:$B,2,FALSE),"")</f>
        <v/>
      </c>
      <c r="KS42" s="31" t="str">
        <f>IFERROR(VLOOKUP([2]Pointage!KW36,Feuil1!$A:$B,2,FALSE),"")</f>
        <v/>
      </c>
      <c r="KT42" s="31" t="str">
        <f>IFERROR(VLOOKUP([2]Pointage!KX36,Feuil1!$A:$B,2,FALSE),"")</f>
        <v/>
      </c>
      <c r="KU42" s="31" t="str">
        <f>IFERROR(VLOOKUP([2]Pointage!KY36,Feuil1!$A:$B,2,FALSE),"")</f>
        <v/>
      </c>
      <c r="KV42" s="31" t="str">
        <f>IFERROR(VLOOKUP([2]Pointage!KZ36,Feuil1!$A:$B,2,FALSE),"")</f>
        <v/>
      </c>
      <c r="KW42" s="82" t="str">
        <f>IFERROR(VLOOKUP([2]Pointage!LA36,Feuil1!$A:$B,2,FALSE),"")</f>
        <v/>
      </c>
      <c r="KX42" s="47" t="str">
        <f>IFERROR(VLOOKUP([2]Pointage!LB36,Feuil1!$A:$B,2,FALSE),"")</f>
        <v/>
      </c>
      <c r="KY42" s="31" t="str">
        <f>IFERROR(VLOOKUP([2]Pointage!LC36,Feuil1!$A:$B,2,FALSE),"")</f>
        <v/>
      </c>
      <c r="KZ42" s="31" t="str">
        <f>IFERROR(VLOOKUP([2]Pointage!LD36,Feuil1!$A:$B,2,FALSE),"")</f>
        <v/>
      </c>
      <c r="LA42" s="31" t="str">
        <f>IFERROR(VLOOKUP([2]Pointage!LE36,Feuil1!$A:$B,2,FALSE),"")</f>
        <v/>
      </c>
      <c r="LB42" s="31" t="str">
        <f>IFERROR(VLOOKUP([2]Pointage!LF36,Feuil1!$A:$B,2,FALSE),"")</f>
        <v/>
      </c>
      <c r="LC42" s="31" t="str">
        <f>IFERROR(VLOOKUP([2]Pointage!LG36,Feuil1!$A:$B,2,FALSE),"")</f>
        <v/>
      </c>
      <c r="LD42" s="31" t="str">
        <f>IFERROR(VLOOKUP([2]Pointage!LH36,Feuil1!$A:$B,2,FALSE),"")</f>
        <v/>
      </c>
      <c r="LE42" s="31" t="str">
        <f>IFERROR(VLOOKUP([2]Pointage!LI36,Feuil1!$A:$B,2,FALSE),"")</f>
        <v/>
      </c>
      <c r="LF42" s="31" t="str">
        <f>IFERROR(VLOOKUP([2]Pointage!LJ36,Feuil1!$A:$B,2,FALSE),"")</f>
        <v/>
      </c>
      <c r="LG42" s="31" t="str">
        <f>IFERROR(VLOOKUP([2]Pointage!LK36,Feuil1!$A:$B,2,FALSE),"")</f>
        <v/>
      </c>
      <c r="LH42" s="31" t="str">
        <f>IFERROR(VLOOKUP([2]Pointage!LL36,Feuil1!$A:$B,2,FALSE),"")</f>
        <v/>
      </c>
      <c r="LI42" s="31" t="str">
        <f>IFERROR(VLOOKUP([2]Pointage!LM36,Feuil1!$A:$B,2,FALSE),"")</f>
        <v/>
      </c>
      <c r="LJ42" s="31" t="str">
        <f>IFERROR(VLOOKUP([2]Pointage!LN36,Feuil1!$A:$B,2,FALSE),"")</f>
        <v/>
      </c>
      <c r="LK42" s="31" t="str">
        <f>IFERROR(VLOOKUP([2]Pointage!LO36,Feuil1!$A:$B,2,FALSE),"")</f>
        <v/>
      </c>
      <c r="LL42" s="31" t="str">
        <f>IFERROR(VLOOKUP([2]Pointage!LP36,Feuil1!$A:$B,2,FALSE),"")</f>
        <v/>
      </c>
      <c r="LM42" s="31" t="str">
        <f>IFERROR(VLOOKUP([2]Pointage!LQ36,Feuil1!$A:$B,2,FALSE),"")</f>
        <v/>
      </c>
      <c r="LN42" s="31" t="str">
        <f>IFERROR(VLOOKUP([2]Pointage!LR36,Feuil1!$A:$B,2,FALSE),"")</f>
        <v/>
      </c>
      <c r="LO42" s="31" t="str">
        <f>IFERROR(VLOOKUP([2]Pointage!LS36,Feuil1!$A:$B,2,FALSE),"")</f>
        <v/>
      </c>
      <c r="LP42" s="31" t="str">
        <f>IFERROR(VLOOKUP([2]Pointage!LT36,Feuil1!$A:$B,2,FALSE),"")</f>
        <v/>
      </c>
      <c r="LQ42" s="31" t="str">
        <f>IFERROR(VLOOKUP([2]Pointage!LU36,Feuil1!$A:$B,2,FALSE),"")</f>
        <v/>
      </c>
      <c r="LR42" s="31" t="str">
        <f>IFERROR(VLOOKUP([2]Pointage!LV36,Feuil1!$A:$B,2,FALSE),"")</f>
        <v/>
      </c>
      <c r="LS42" s="31" t="str">
        <f>IFERROR(VLOOKUP([2]Pointage!LW36,Feuil1!$A:$B,2,FALSE),"")</f>
        <v/>
      </c>
      <c r="LT42" s="31" t="str">
        <f>IFERROR(VLOOKUP([2]Pointage!LX36,Feuil1!$A:$B,2,FALSE),"")</f>
        <v/>
      </c>
      <c r="LU42" s="31" t="str">
        <f>IFERROR(VLOOKUP([2]Pointage!LY36,Feuil1!$A:$B,2,FALSE),"")</f>
        <v/>
      </c>
      <c r="LV42" s="31" t="str">
        <f>IFERROR(VLOOKUP([2]Pointage!LZ36,Feuil1!$A:$B,2,FALSE),"")</f>
        <v/>
      </c>
      <c r="LW42" s="31" t="str">
        <f>IFERROR(VLOOKUP([2]Pointage!MA36,Feuil1!$A:$B,2,FALSE),"")</f>
        <v/>
      </c>
      <c r="LX42" s="31" t="str">
        <f>IFERROR(VLOOKUP([2]Pointage!MB36,Feuil1!$A:$B,2,FALSE),"")</f>
        <v/>
      </c>
      <c r="LY42" s="31" t="str">
        <f>IFERROR(VLOOKUP([2]Pointage!MC36,Feuil1!$A:$B,2,FALSE),"")</f>
        <v/>
      </c>
      <c r="LZ42" s="31" t="str">
        <f>IFERROR(VLOOKUP([2]Pointage!MD36,Feuil1!$A:$B,2,FALSE),"")</f>
        <v/>
      </c>
      <c r="MA42" s="82" t="str">
        <f>IFERROR(VLOOKUP([2]Pointage!ME36,Feuil1!$A:$B,2,FALSE),"")</f>
        <v/>
      </c>
      <c r="MB42" s="47" t="str">
        <f>IFERROR(VLOOKUP([2]Pointage!MF36,Feuil1!$A:$B,2,FALSE),"")</f>
        <v/>
      </c>
      <c r="MC42" s="31" t="str">
        <f>IFERROR(VLOOKUP([2]Pointage!MG36,Feuil1!$A:$B,2,FALSE),"")</f>
        <v/>
      </c>
      <c r="MD42" s="31" t="str">
        <f>IFERROR(VLOOKUP([2]Pointage!MH36,Feuil1!$A:$B,2,FALSE),"")</f>
        <v/>
      </c>
      <c r="ME42" s="31" t="str">
        <f>IFERROR(VLOOKUP([2]Pointage!MI36,Feuil1!$A:$B,2,FALSE),"")</f>
        <v/>
      </c>
      <c r="MF42" s="31" t="str">
        <f>IFERROR(VLOOKUP([2]Pointage!MJ36,Feuil1!$A:$B,2,FALSE),"")</f>
        <v/>
      </c>
      <c r="MG42" s="31" t="str">
        <f>IFERROR(VLOOKUP([2]Pointage!MK36,Feuil1!$A:$B,2,FALSE),"")</f>
        <v/>
      </c>
      <c r="MH42" s="31" t="str">
        <f>IFERROR(VLOOKUP([2]Pointage!ML36,Feuil1!$A:$B,2,FALSE),"")</f>
        <v/>
      </c>
      <c r="MI42" s="31" t="str">
        <f>IFERROR(VLOOKUP([2]Pointage!MM36,Feuil1!$A:$B,2,FALSE),"")</f>
        <v/>
      </c>
      <c r="MJ42" s="31" t="str">
        <f>IFERROR(VLOOKUP([2]Pointage!MN36,Feuil1!$A:$B,2,FALSE),"")</f>
        <v/>
      </c>
      <c r="MK42" s="31" t="str">
        <f>IFERROR(VLOOKUP([2]Pointage!MO36,Feuil1!$A:$B,2,FALSE),"")</f>
        <v/>
      </c>
      <c r="ML42" s="31" t="str">
        <f>IFERROR(VLOOKUP([2]Pointage!MP36,Feuil1!$A:$B,2,FALSE),"")</f>
        <v/>
      </c>
      <c r="MM42" s="31" t="str">
        <f>IFERROR(VLOOKUP([2]Pointage!MQ36,Feuil1!$A:$B,2,FALSE),"")</f>
        <v/>
      </c>
      <c r="MN42" s="31" t="str">
        <f>IFERROR(VLOOKUP([2]Pointage!MR36,Feuil1!$A:$B,2,FALSE),"")</f>
        <v/>
      </c>
      <c r="MO42" s="31" t="str">
        <f>IFERROR(VLOOKUP([2]Pointage!MS36,Feuil1!$A:$B,2,FALSE),"")</f>
        <v/>
      </c>
      <c r="MP42" s="31" t="str">
        <f>IFERROR(VLOOKUP([2]Pointage!MT36,Feuil1!$A:$B,2,FALSE),"")</f>
        <v/>
      </c>
      <c r="MQ42" s="31" t="str">
        <f>IFERROR(VLOOKUP([2]Pointage!MU36,Feuil1!$A:$B,2,FALSE),"")</f>
        <v/>
      </c>
      <c r="MR42" s="31" t="str">
        <f>IFERROR(VLOOKUP([2]Pointage!MV36,Feuil1!$A:$B,2,FALSE),"")</f>
        <v/>
      </c>
      <c r="MS42" s="31" t="str">
        <f>IFERROR(VLOOKUP([2]Pointage!MW36,Feuil1!$A:$B,2,FALSE),"")</f>
        <v/>
      </c>
      <c r="MT42" s="31" t="str">
        <f>IFERROR(VLOOKUP([2]Pointage!MX36,Feuil1!$A:$B,2,FALSE),"")</f>
        <v/>
      </c>
      <c r="MU42" s="31" t="str">
        <f>IFERROR(VLOOKUP([2]Pointage!MY36,Feuil1!$A:$B,2,FALSE),"")</f>
        <v/>
      </c>
      <c r="MV42" s="31" t="str">
        <f>IFERROR(VLOOKUP([2]Pointage!MZ36,Feuil1!$A:$B,2,FALSE),"")</f>
        <v/>
      </c>
      <c r="MW42" s="31" t="str">
        <f>IFERROR(VLOOKUP([2]Pointage!NA36,Feuil1!$A:$B,2,FALSE),"")</f>
        <v/>
      </c>
      <c r="MX42" s="31" t="str">
        <f>IFERROR(VLOOKUP([2]Pointage!NB36,Feuil1!$A:$B,2,FALSE),"")</f>
        <v/>
      </c>
      <c r="MY42" s="31" t="str">
        <f>IFERROR(VLOOKUP([2]Pointage!NC36,Feuil1!$A:$B,2,FALSE),"")</f>
        <v/>
      </c>
      <c r="MZ42" s="31" t="str">
        <f>IFERROR(VLOOKUP([2]Pointage!ND36,Feuil1!$A:$B,2,FALSE),"")</f>
        <v/>
      </c>
      <c r="NA42" s="31" t="str">
        <f>IFERROR(VLOOKUP([2]Pointage!NE36,Feuil1!$A:$B,2,FALSE),"")</f>
        <v/>
      </c>
      <c r="NB42" s="31" t="str">
        <f>IFERROR(VLOOKUP([2]Pointage!NF36,Feuil1!$A:$B,2,FALSE),"")</f>
        <v/>
      </c>
      <c r="NC42" s="31" t="str">
        <f>IFERROR(VLOOKUP([2]Pointage!NG36,Feuil1!$A:$B,2,FALSE),"")</f>
        <v/>
      </c>
      <c r="ND42" s="31" t="str">
        <f>IFERROR(VLOOKUP([2]Pointage!NH36,Feuil1!$A:$B,2,FALSE),"")</f>
        <v/>
      </c>
      <c r="NE42" s="31" t="str">
        <f>IFERROR(VLOOKUP([2]Pointage!NI36,Feuil1!$A:$B,2,FALSE),"")</f>
        <v/>
      </c>
      <c r="NF42" s="48" t="str">
        <f>IFERROR(VLOOKUP([2]Pointage!NJ36,Feuil1!$A:$B,2,FALSE),"")</f>
        <v/>
      </c>
      <c r="NG42" s="52">
        <f>COUNTIF(Global!F42:NF42,"RTT")+(COUNTIF(Global!F42:NF42,"dRTT")/2)</f>
        <v>0</v>
      </c>
      <c r="NH42" s="42">
        <f>COUNTIF(Global!F42:NF42,"C")+(COUNTIF(Global!F42:NF42,"DC")/2)</f>
        <v>10</v>
      </c>
      <c r="NI42" s="42">
        <f>COUNTIF(Global!F42:NF42,"M")</f>
        <v>0</v>
      </c>
      <c r="NJ42" s="42">
        <f>COUNTIF(Global!G42:NG42,"AT")</f>
        <v>0</v>
      </c>
      <c r="NK42" s="42">
        <f>COUNTIF(Global!F42:NF42,"RD")</f>
        <v>0</v>
      </c>
      <c r="NL42" s="42">
        <f>COUNTIF(Global!F42:NF42,"RC")+(COUNTIF(Global!F42:NF42,"dRC")/2)</f>
        <v>0</v>
      </c>
      <c r="NM42" s="68">
        <f t="shared" ca="1" si="0"/>
        <v>4.0273972602739727</v>
      </c>
      <c r="NT42" s="33"/>
      <c r="NU42" s="33"/>
      <c r="NV42" s="28"/>
      <c r="NW42" s="28"/>
      <c r="NX42" s="29">
        <f>COUNTIF(F42:NF42,"C")++(COUNTIF(Global!F42:NF42,"DC")/2)</f>
        <v>10</v>
      </c>
      <c r="NY42" s="29"/>
      <c r="NZ42" s="29"/>
      <c r="OA42" s="29"/>
      <c r="OB42" s="29">
        <f>COUNTIF(Global!F42:NF42,"M")</f>
        <v>0</v>
      </c>
      <c r="OC42" s="30">
        <f t="shared" si="1"/>
        <v>-10</v>
      </c>
      <c r="OD42" s="30"/>
    </row>
    <row r="43" spans="1:394" ht="30" customHeight="1" x14ac:dyDescent="0.2">
      <c r="A43" s="15" t="s">
        <v>99</v>
      </c>
      <c r="B43" s="22" t="s">
        <v>230</v>
      </c>
      <c r="C43" s="22" t="s">
        <v>231</v>
      </c>
      <c r="D43" s="22" t="s">
        <v>232</v>
      </c>
      <c r="E43" s="44">
        <v>0</v>
      </c>
      <c r="F43" s="47" t="str">
        <f>IFERROR(VLOOKUP([2]Pointage!J37,Feuil1!$A:$B,2,FALSE),"")</f>
        <v/>
      </c>
      <c r="G43" s="31" t="str">
        <f>IFERROR(VLOOKUP([2]Pointage!K37,Feuil1!$A:$B,2,FALSE),"")</f>
        <v>M</v>
      </c>
      <c r="H43" s="31" t="str">
        <f>IFERROR(VLOOKUP([2]Pointage!L37,Feuil1!$A:$B,2,FALSE),"")</f>
        <v>M</v>
      </c>
      <c r="I43" s="31" t="str">
        <f>IFERROR(VLOOKUP([2]Pointage!M37,Feuil1!$A:$B,2,FALSE),"")</f>
        <v>M</v>
      </c>
      <c r="J43" s="31" t="str">
        <f>IFERROR(VLOOKUP([2]Pointage!N37,Feuil1!$A:$B,2,FALSE),"")</f>
        <v>M</v>
      </c>
      <c r="K43" s="31" t="str">
        <f>IFERROR(VLOOKUP([2]Pointage!O37,Feuil1!$A:$B,2,FALSE),"")</f>
        <v>M</v>
      </c>
      <c r="L43" s="31" t="str">
        <f>IFERROR(VLOOKUP([2]Pointage!P37,Feuil1!$A:$B,2,FALSE),"")</f>
        <v>M</v>
      </c>
      <c r="M43" s="31" t="str">
        <f>IFERROR(VLOOKUP([2]Pointage!Q37,Feuil1!$A:$B,2,FALSE),"")</f>
        <v>M</v>
      </c>
      <c r="N43" s="31" t="str">
        <f>IFERROR(VLOOKUP([2]Pointage!R37,Feuil1!$A:$B,2,FALSE),"")</f>
        <v>M</v>
      </c>
      <c r="O43" s="31" t="str">
        <f>IFERROR(VLOOKUP([2]Pointage!S37,Feuil1!$A:$B,2,FALSE),"")</f>
        <v/>
      </c>
      <c r="P43" s="31" t="str">
        <f>IFERROR(VLOOKUP([2]Pointage!T37,Feuil1!$A:$B,2,FALSE),"")</f>
        <v/>
      </c>
      <c r="Q43" s="31" t="str">
        <f>IFERROR(VLOOKUP([2]Pointage!U37,Feuil1!$A:$B,2,FALSE),"")</f>
        <v/>
      </c>
      <c r="R43" s="31" t="str">
        <f>IFERROR(VLOOKUP([2]Pointage!V37,Feuil1!$A:$B,2,FALSE),"")</f>
        <v/>
      </c>
      <c r="S43" s="31" t="str">
        <f>IFERROR(VLOOKUP([2]Pointage!W37,Feuil1!$A:$B,2,FALSE),"")</f>
        <v/>
      </c>
      <c r="T43" s="31" t="str">
        <f>IFERROR(VLOOKUP([2]Pointage!X37,Feuil1!$A:$B,2,FALSE),"")</f>
        <v/>
      </c>
      <c r="U43" s="31" t="str">
        <f>IFERROR(VLOOKUP([2]Pointage!Y37,Feuil1!$A:$B,2,FALSE),"")</f>
        <v/>
      </c>
      <c r="V43" s="31" t="str">
        <f>IFERROR(VLOOKUP([2]Pointage!Z37,Feuil1!$A:$B,2,FALSE),"")</f>
        <v/>
      </c>
      <c r="W43" s="31" t="str">
        <f>IFERROR(VLOOKUP([2]Pointage!AA37,Feuil1!$A:$B,2,FALSE),"")</f>
        <v/>
      </c>
      <c r="X43" s="31" t="str">
        <f>IFERROR(VLOOKUP([2]Pointage!AB37,Feuil1!$A:$B,2,FALSE),"")</f>
        <v/>
      </c>
      <c r="Y43" s="31" t="str">
        <f>IFERROR(VLOOKUP([2]Pointage!AC37,Feuil1!$A:$B,2,FALSE),"")</f>
        <v/>
      </c>
      <c r="Z43" s="31" t="str">
        <f>IFERROR(VLOOKUP([2]Pointage!AD37,Feuil1!$A:$B,2,FALSE),"")</f>
        <v/>
      </c>
      <c r="AA43" s="31" t="str">
        <f>IFERROR(VLOOKUP([2]Pointage!AE37,Feuil1!$A:$B,2,FALSE),"")</f>
        <v/>
      </c>
      <c r="AB43" s="31" t="str">
        <f>IFERROR(VLOOKUP([2]Pointage!AF37,Feuil1!$A:$B,2,FALSE),"")</f>
        <v/>
      </c>
      <c r="AC43" s="31" t="str">
        <f>IFERROR(VLOOKUP([2]Pointage!AG37,Feuil1!$A:$B,2,FALSE),"")</f>
        <v/>
      </c>
      <c r="AD43" s="31" t="str">
        <f>IFERROR(VLOOKUP([2]Pointage!AH37,Feuil1!$A:$B,2,FALSE),"")</f>
        <v/>
      </c>
      <c r="AE43" s="31" t="str">
        <f>IFERROR(VLOOKUP([2]Pointage!AI37,Feuil1!$A:$B,2,FALSE),"")</f>
        <v/>
      </c>
      <c r="AF43" s="31" t="str">
        <f>IFERROR(VLOOKUP([2]Pointage!AJ37,Feuil1!$A:$B,2,FALSE),"")</f>
        <v/>
      </c>
      <c r="AG43" s="31" t="str">
        <f>IFERROR(VLOOKUP([2]Pointage!AK37,Feuil1!$A:$B,2,FALSE),"")</f>
        <v/>
      </c>
      <c r="AH43" s="31" t="str">
        <f>IFERROR(VLOOKUP([2]Pointage!AL37,Feuil1!$A:$B,2,FALSE),"")</f>
        <v/>
      </c>
      <c r="AI43" s="31" t="str">
        <f>IFERROR(VLOOKUP([2]Pointage!AM37,Feuil1!$A:$B,2,FALSE),"")</f>
        <v/>
      </c>
      <c r="AJ43" s="82" t="str">
        <f>IFERROR(VLOOKUP([2]Pointage!AN37,Feuil1!$A:$B,2,FALSE),"")</f>
        <v>M</v>
      </c>
      <c r="AK43" s="47" t="str">
        <f>IFERROR(VLOOKUP([2]Pointage!AO37,Feuil1!$A:$B,2,FALSE),"")</f>
        <v>M</v>
      </c>
      <c r="AL43" s="31" t="str">
        <f>IFERROR(VLOOKUP([2]Pointage!AP37,Feuil1!$A:$B,2,FALSE),"")</f>
        <v>M</v>
      </c>
      <c r="AM43" s="31" t="str">
        <f>IFERROR(VLOOKUP([2]Pointage!AQ37,Feuil1!$A:$B,2,FALSE),"")</f>
        <v>M</v>
      </c>
      <c r="AN43" s="31" t="str">
        <f>IFERROR(VLOOKUP([2]Pointage!AR37,Feuil1!$A:$B,2,FALSE),"")</f>
        <v>M</v>
      </c>
      <c r="AO43" s="31" t="str">
        <f>IFERROR(VLOOKUP([2]Pointage!AS37,Feuil1!$A:$B,2,FALSE),"")</f>
        <v/>
      </c>
      <c r="AP43" s="31" t="str">
        <f>IFERROR(VLOOKUP([2]Pointage!AT37,Feuil1!$A:$B,2,FALSE),"")</f>
        <v/>
      </c>
      <c r="AQ43" s="31" t="str">
        <f>IFERROR(VLOOKUP([2]Pointage!AU37,Feuil1!$A:$B,2,FALSE),"")</f>
        <v/>
      </c>
      <c r="AR43" s="31" t="str">
        <f>IFERROR(VLOOKUP([2]Pointage!AV37,Feuil1!$A:$B,2,FALSE),"")</f>
        <v/>
      </c>
      <c r="AS43" s="31" t="str">
        <f>IFERROR(VLOOKUP([2]Pointage!AW37,Feuil1!$A:$B,2,FALSE),"")</f>
        <v/>
      </c>
      <c r="AT43" s="31" t="str">
        <f>IFERROR(VLOOKUP([2]Pointage!AX37,Feuil1!$A:$B,2,FALSE),"")</f>
        <v/>
      </c>
      <c r="AU43" s="31" t="str">
        <f>IFERROR(VLOOKUP([2]Pointage!AY37,Feuil1!$A:$B,2,FALSE),"")</f>
        <v/>
      </c>
      <c r="AV43" s="31" t="str">
        <f>IFERROR(VLOOKUP([2]Pointage!AZ37,Feuil1!$A:$B,2,FALSE),"")</f>
        <v/>
      </c>
      <c r="AW43" s="31" t="str">
        <f>IFERROR(VLOOKUP([2]Pointage!BA37,Feuil1!$A:$B,2,FALSE),"")</f>
        <v/>
      </c>
      <c r="AX43" s="31" t="str">
        <f>IFERROR(VLOOKUP([2]Pointage!BB37,Feuil1!$A:$B,2,FALSE),"")</f>
        <v/>
      </c>
      <c r="AY43" s="31" t="str">
        <f>IFERROR(VLOOKUP([2]Pointage!BC37,Feuil1!$A:$B,2,FALSE),"")</f>
        <v/>
      </c>
      <c r="AZ43" s="31" t="str">
        <f>IFERROR(VLOOKUP([2]Pointage!BD37,Feuil1!$A:$B,2,FALSE),"")</f>
        <v/>
      </c>
      <c r="BA43" s="31" t="str">
        <f>IFERROR(VLOOKUP([2]Pointage!BE37,Feuil1!$A:$B,2,FALSE),"")</f>
        <v/>
      </c>
      <c r="BB43" s="31" t="str">
        <f>IFERROR(VLOOKUP([2]Pointage!BF37,Feuil1!$A:$B,2,FALSE),"")</f>
        <v/>
      </c>
      <c r="BC43" s="31" t="str">
        <f>IFERROR(VLOOKUP([2]Pointage!BG37,Feuil1!$A:$B,2,FALSE),"")</f>
        <v/>
      </c>
      <c r="BD43" s="31" t="str">
        <f>IFERROR(VLOOKUP([2]Pointage!BH37,Feuil1!$A:$B,2,FALSE),"")</f>
        <v/>
      </c>
      <c r="BE43" s="31" t="str">
        <f>IFERROR(VLOOKUP([2]Pointage!BI37,Feuil1!$A:$B,2,FALSE),"")</f>
        <v/>
      </c>
      <c r="BF43" s="31" t="str">
        <f>IFERROR(VLOOKUP([2]Pointage!BJ37,Feuil1!$A:$B,2,FALSE),"")</f>
        <v/>
      </c>
      <c r="BG43" s="31" t="str">
        <f>IFERROR(VLOOKUP([2]Pointage!BK37,Feuil1!$A:$B,2,FALSE),"")</f>
        <v/>
      </c>
      <c r="BH43" s="31" t="str">
        <f>IFERROR(VLOOKUP([2]Pointage!BL37,Feuil1!$A:$B,2,FALSE),"")</f>
        <v/>
      </c>
      <c r="BI43" s="31" t="str">
        <f>IFERROR(VLOOKUP([2]Pointage!BM37,Feuil1!$A:$B,2,FALSE),"")</f>
        <v/>
      </c>
      <c r="BJ43" s="31" t="str">
        <f>IFERROR(VLOOKUP([2]Pointage!BN37,Feuil1!$A:$B,2,FALSE),"")</f>
        <v/>
      </c>
      <c r="BK43" s="31" t="str">
        <f>IFERROR(VLOOKUP([2]Pointage!BO37,Feuil1!$A:$B,2,FALSE),"")</f>
        <v/>
      </c>
      <c r="BL43" s="82" t="str">
        <f>IFERROR(VLOOKUP([2]Pointage!BP37,Feuil1!$A:$B,2,FALSE),"")</f>
        <v/>
      </c>
      <c r="BM43" s="47" t="str">
        <f>IFERROR(VLOOKUP([2]Pointage!BQ37,Feuil1!$A:$B,2,FALSE),"")</f>
        <v/>
      </c>
      <c r="BN43" s="31" t="str">
        <f>IFERROR(VLOOKUP([2]Pointage!BR37,Feuil1!$A:$B,2,FALSE),"")</f>
        <v/>
      </c>
      <c r="BO43" s="31" t="str">
        <f>IFERROR(VLOOKUP([2]Pointage!BS37,Feuil1!$A:$B,2,FALSE),"")</f>
        <v/>
      </c>
      <c r="BP43" s="31" t="str">
        <f>IFERROR(VLOOKUP([2]Pointage!BT37,Feuil1!$A:$B,2,FALSE),"")</f>
        <v/>
      </c>
      <c r="BQ43" s="31" t="str">
        <f>IFERROR(VLOOKUP([2]Pointage!BU37,Feuil1!$A:$B,2,FALSE),"")</f>
        <v/>
      </c>
      <c r="BR43" s="31" t="str">
        <f>IFERROR(VLOOKUP([2]Pointage!BV37,Feuil1!$A:$B,2,FALSE),"")</f>
        <v>M</v>
      </c>
      <c r="BS43" s="31" t="str">
        <f>IFERROR(VLOOKUP([2]Pointage!BW37,Feuil1!$A:$B,2,FALSE),"")</f>
        <v>M</v>
      </c>
      <c r="BT43" s="31" t="str">
        <f>IFERROR(VLOOKUP([2]Pointage!BX37,Feuil1!$A:$B,2,FALSE),"")</f>
        <v>M</v>
      </c>
      <c r="BU43" s="31" t="str">
        <f>IFERROR(VLOOKUP([2]Pointage!BY37,Feuil1!$A:$B,2,FALSE),"")</f>
        <v>M</v>
      </c>
      <c r="BV43" s="31" t="str">
        <f>IFERROR(VLOOKUP([2]Pointage!BZ37,Feuil1!$A:$B,2,FALSE),"")</f>
        <v>M</v>
      </c>
      <c r="BW43" s="31" t="str">
        <f>IFERROR(VLOOKUP([2]Pointage!CA37,Feuil1!$A:$B,2,FALSE),"")</f>
        <v>M</v>
      </c>
      <c r="BX43" s="31" t="str">
        <f>IFERROR(VLOOKUP([2]Pointage!CB37,Feuil1!$A:$B,2,FALSE),"")</f>
        <v>M</v>
      </c>
      <c r="BY43" s="31" t="str">
        <f>IFERROR(VLOOKUP([2]Pointage!CC37,Feuil1!$A:$B,2,FALSE),"")</f>
        <v>M</v>
      </c>
      <c r="BZ43" s="31" t="str">
        <f>IFERROR(VLOOKUP([2]Pointage!CD37,Feuil1!$A:$B,2,FALSE),"")</f>
        <v>M</v>
      </c>
      <c r="CA43" s="31" t="str">
        <f>IFERROR(VLOOKUP([2]Pointage!CE37,Feuil1!$A:$B,2,FALSE),"")</f>
        <v>M</v>
      </c>
      <c r="CB43" s="31" t="str">
        <f>IFERROR(VLOOKUP([2]Pointage!CF37,Feuil1!$A:$B,2,FALSE),"")</f>
        <v/>
      </c>
      <c r="CC43" s="31" t="str">
        <f>IFERROR(VLOOKUP([2]Pointage!CG37,Feuil1!$A:$B,2,FALSE),"")</f>
        <v/>
      </c>
      <c r="CD43" s="31" t="str">
        <f>IFERROR(VLOOKUP([2]Pointage!CH37,Feuil1!$A:$B,2,FALSE),"")</f>
        <v/>
      </c>
      <c r="CE43" s="31" t="str">
        <f>IFERROR(VLOOKUP([2]Pointage!CI37,Feuil1!$A:$B,2,FALSE),"")</f>
        <v/>
      </c>
      <c r="CF43" s="31" t="str">
        <f>IFERROR(VLOOKUP([2]Pointage!CJ37,Feuil1!$A:$B,2,FALSE),"")</f>
        <v/>
      </c>
      <c r="CG43" s="31" t="str">
        <f>IFERROR(VLOOKUP([2]Pointage!CK37,Feuil1!$A:$B,2,FALSE),"")</f>
        <v/>
      </c>
      <c r="CH43" s="31" t="str">
        <f>IFERROR(VLOOKUP([2]Pointage!CL37,Feuil1!$A:$B,2,FALSE),"")</f>
        <v/>
      </c>
      <c r="CI43" s="31" t="str">
        <f>IFERROR(VLOOKUP([2]Pointage!CM37,Feuil1!$A:$B,2,FALSE),"")</f>
        <v/>
      </c>
      <c r="CJ43" s="31" t="str">
        <f>IFERROR(VLOOKUP([2]Pointage!CN37,Feuil1!$A:$B,2,FALSE),"")</f>
        <v/>
      </c>
      <c r="CK43" s="31" t="str">
        <f>IFERROR(VLOOKUP([2]Pointage!CO37,Feuil1!$A:$B,2,FALSE),"")</f>
        <v/>
      </c>
      <c r="CL43" s="31" t="str">
        <f>IFERROR(VLOOKUP([2]Pointage!CP37,Feuil1!$A:$B,2,FALSE),"")</f>
        <v/>
      </c>
      <c r="CM43" s="31" t="str">
        <f>IFERROR(VLOOKUP([2]Pointage!CQ37,Feuil1!$A:$B,2,FALSE),"")</f>
        <v/>
      </c>
      <c r="CN43" s="31" t="str">
        <f>IFERROR(VLOOKUP([2]Pointage!CR37,Feuil1!$A:$B,2,FALSE),"")</f>
        <v/>
      </c>
      <c r="CO43" s="31" t="str">
        <f>IFERROR(VLOOKUP([2]Pointage!CS37,Feuil1!$A:$B,2,FALSE),"")</f>
        <v/>
      </c>
      <c r="CP43" s="31" t="str">
        <f>IFERROR(VLOOKUP([2]Pointage!CT37,Feuil1!$A:$B,2,FALSE),"")</f>
        <v/>
      </c>
      <c r="CQ43" s="82" t="str">
        <f>IFERROR(VLOOKUP([2]Pointage!CU37,Feuil1!$A:$B,2,FALSE),"")</f>
        <v/>
      </c>
      <c r="CR43" s="47" t="str">
        <f>IFERROR(VLOOKUP([2]Pointage!CV37,Feuil1!$A:$B,2,FALSE),"")</f>
        <v/>
      </c>
      <c r="CS43" s="31" t="str">
        <f>IFERROR(VLOOKUP([2]Pointage!CW37,Feuil1!$A:$B,2,FALSE),"")</f>
        <v/>
      </c>
      <c r="CT43" s="31" t="str">
        <f>IFERROR(VLOOKUP([2]Pointage!CX37,Feuil1!$A:$B,2,FALSE),"")</f>
        <v/>
      </c>
      <c r="CU43" s="31" t="str">
        <f>IFERROR(VLOOKUP([2]Pointage!CY37,Feuil1!$A:$B,2,FALSE),"")</f>
        <v/>
      </c>
      <c r="CV43" s="31" t="str">
        <f>IFERROR(VLOOKUP([2]Pointage!CZ37,Feuil1!$A:$B,2,FALSE),"")</f>
        <v/>
      </c>
      <c r="CW43" s="31" t="str">
        <f>IFERROR(VLOOKUP([2]Pointage!DA37,Feuil1!$A:$B,2,FALSE),"")</f>
        <v/>
      </c>
      <c r="CX43" s="31" t="str">
        <f>IFERROR(VLOOKUP([2]Pointage!DB37,Feuil1!$A:$B,2,FALSE),"")</f>
        <v/>
      </c>
      <c r="CY43" s="31" t="str">
        <f>IFERROR(VLOOKUP([2]Pointage!DC37,Feuil1!$A:$B,2,FALSE),"")</f>
        <v/>
      </c>
      <c r="CZ43" s="31" t="str">
        <f>IFERROR(VLOOKUP([2]Pointage!DD37,Feuil1!$A:$B,2,FALSE),"")</f>
        <v/>
      </c>
      <c r="DA43" s="31" t="str">
        <f>IFERROR(VLOOKUP([2]Pointage!DE37,Feuil1!$A:$B,2,FALSE),"")</f>
        <v>C</v>
      </c>
      <c r="DB43" s="31" t="str">
        <f>IFERROR(VLOOKUP([2]Pointage!DF37,Feuil1!$A:$B,2,FALSE),"")</f>
        <v>M</v>
      </c>
      <c r="DC43" s="31" t="str">
        <f>IFERROR(VLOOKUP([2]Pointage!DG37,Feuil1!$A:$B,2,FALSE),"")</f>
        <v>M</v>
      </c>
      <c r="DD43" s="31" t="str">
        <f>IFERROR(VLOOKUP([2]Pointage!DH37,Feuil1!$A:$B,2,FALSE),"")</f>
        <v>M</v>
      </c>
      <c r="DE43" s="31" t="str">
        <f>IFERROR(VLOOKUP([2]Pointage!DI37,Feuil1!$A:$B,2,FALSE),"")</f>
        <v>M</v>
      </c>
      <c r="DF43" s="31" t="str">
        <f>IFERROR(VLOOKUP([2]Pointage!DJ37,Feuil1!$A:$B,2,FALSE),"")</f>
        <v>M</v>
      </c>
      <c r="DG43" s="31" t="str">
        <f>IFERROR(VLOOKUP([2]Pointage!DK37,Feuil1!$A:$B,2,FALSE),"")</f>
        <v>M</v>
      </c>
      <c r="DH43" s="31" t="str">
        <f>IFERROR(VLOOKUP([2]Pointage!DL37,Feuil1!$A:$B,2,FALSE),"")</f>
        <v>M</v>
      </c>
      <c r="DI43" s="31" t="str">
        <f>IFERROR(VLOOKUP([2]Pointage!DM37,Feuil1!$A:$B,2,FALSE),"")</f>
        <v>M</v>
      </c>
      <c r="DJ43" s="31" t="str">
        <f>IFERROR(VLOOKUP([2]Pointage!DN37,Feuil1!$A:$B,2,FALSE),"")</f>
        <v>M</v>
      </c>
      <c r="DK43" s="31" t="str">
        <f>IFERROR(VLOOKUP([2]Pointage!DO37,Feuil1!$A:$B,2,FALSE),"")</f>
        <v>M</v>
      </c>
      <c r="DL43" s="31" t="str">
        <f>IFERROR(VLOOKUP([2]Pointage!DP37,Feuil1!$A:$B,2,FALSE),"")</f>
        <v>M</v>
      </c>
      <c r="DM43" s="31" t="str">
        <f>IFERROR(VLOOKUP([2]Pointage!DQ37,Feuil1!$A:$B,2,FALSE),"")</f>
        <v>M</v>
      </c>
      <c r="DN43" s="31" t="str">
        <f>IFERROR(VLOOKUP([2]Pointage!DR37,Feuil1!$A:$B,2,FALSE),"")</f>
        <v>M</v>
      </c>
      <c r="DO43" s="31" t="str">
        <f>IFERROR(VLOOKUP([2]Pointage!DS37,Feuil1!$A:$B,2,FALSE),"")</f>
        <v/>
      </c>
      <c r="DP43" s="31" t="str">
        <f>IFERROR(VLOOKUP([2]Pointage!DT37,Feuil1!$A:$B,2,FALSE),"")</f>
        <v/>
      </c>
      <c r="DQ43" s="31" t="str">
        <f>IFERROR(VLOOKUP([2]Pointage!DU37,Feuil1!$A:$B,2,FALSE),"")</f>
        <v/>
      </c>
      <c r="DR43" s="31" t="str">
        <f>IFERROR(VLOOKUP([2]Pointage!DV37,Feuil1!$A:$B,2,FALSE),"")</f>
        <v>M</v>
      </c>
      <c r="DS43" s="31" t="str">
        <f>IFERROR(VLOOKUP([2]Pointage!DW37,Feuil1!$A:$B,2,FALSE),"")</f>
        <v>M</v>
      </c>
      <c r="DT43" s="31" t="str">
        <f>IFERROR(VLOOKUP([2]Pointage!DX37,Feuil1!$A:$B,2,FALSE),"")</f>
        <v>M</v>
      </c>
      <c r="DU43" s="82" t="str">
        <f>IFERROR(VLOOKUP([2]Pointage!DY37,Feuil1!$A:$B,2,FALSE),"")</f>
        <v>M</v>
      </c>
      <c r="DV43" s="47" t="str">
        <f>IFERROR(VLOOKUP([2]Pointage!DZ37,Feuil1!$A:$B,2,FALSE),"")</f>
        <v>M</v>
      </c>
      <c r="DW43" s="31" t="str">
        <f>IFERROR(VLOOKUP([2]Pointage!EA37,Feuil1!$A:$B,2,FALSE),"")</f>
        <v>M</v>
      </c>
      <c r="DX43" s="31" t="str">
        <f>IFERROR(VLOOKUP([2]Pointage!EB37,Feuil1!$A:$B,2,FALSE),"")</f>
        <v>M</v>
      </c>
      <c r="DY43" s="31" t="str">
        <f>IFERROR(VLOOKUP([2]Pointage!EC37,Feuil1!$A:$B,2,FALSE),"")</f>
        <v>M</v>
      </c>
      <c r="DZ43" s="31" t="str">
        <f>IFERROR(VLOOKUP([2]Pointage!ED37,Feuil1!$A:$B,2,FALSE),"")</f>
        <v>M</v>
      </c>
      <c r="EA43" s="31" t="str">
        <f>IFERROR(VLOOKUP([2]Pointage!EE37,Feuil1!$A:$B,2,FALSE),"")</f>
        <v>M</v>
      </c>
      <c r="EB43" s="31" t="str">
        <f>IFERROR(VLOOKUP([2]Pointage!EF37,Feuil1!$A:$B,2,FALSE),"")</f>
        <v>M</v>
      </c>
      <c r="EC43" s="31" t="str">
        <f>IFERROR(VLOOKUP([2]Pointage!EG37,Feuil1!$A:$B,2,FALSE),"")</f>
        <v>M</v>
      </c>
      <c r="ED43" s="31" t="str">
        <f>IFERROR(VLOOKUP([2]Pointage!EH37,Feuil1!$A:$B,2,FALSE),"")</f>
        <v>M</v>
      </c>
      <c r="EE43" s="31" t="str">
        <f>IFERROR(VLOOKUP([2]Pointage!EI37,Feuil1!$A:$B,2,FALSE),"")</f>
        <v>M</v>
      </c>
      <c r="EF43" s="31" t="str">
        <f>IFERROR(VLOOKUP([2]Pointage!EJ37,Feuil1!$A:$B,2,FALSE),"")</f>
        <v/>
      </c>
      <c r="EG43" s="31" t="str">
        <f>IFERROR(VLOOKUP([2]Pointage!EK37,Feuil1!$A:$B,2,FALSE),"")</f>
        <v/>
      </c>
      <c r="EH43" s="31" t="str">
        <f>IFERROR(VLOOKUP([2]Pointage!EL37,Feuil1!$A:$B,2,FALSE),"")</f>
        <v/>
      </c>
      <c r="EI43" s="31" t="str">
        <f>IFERROR(VLOOKUP([2]Pointage!EM37,Feuil1!$A:$B,2,FALSE),"")</f>
        <v/>
      </c>
      <c r="EJ43" s="31" t="str">
        <f>IFERROR(VLOOKUP([2]Pointage!EN37,Feuil1!$A:$B,2,FALSE),"")</f>
        <v/>
      </c>
      <c r="EK43" s="31" t="str">
        <f>IFERROR(VLOOKUP([2]Pointage!EO37,Feuil1!$A:$B,2,FALSE),"")</f>
        <v/>
      </c>
      <c r="EL43" s="31" t="str">
        <f>IFERROR(VLOOKUP([2]Pointage!EP37,Feuil1!$A:$B,2,FALSE),"")</f>
        <v/>
      </c>
      <c r="EM43" s="31" t="str">
        <f>IFERROR(VLOOKUP([2]Pointage!EQ37,Feuil1!$A:$B,2,FALSE),"")</f>
        <v/>
      </c>
      <c r="EN43" s="31" t="str">
        <f>IFERROR(VLOOKUP([2]Pointage!ER37,Feuil1!$A:$B,2,FALSE),"")</f>
        <v/>
      </c>
      <c r="EO43" s="31" t="str">
        <f>IFERROR(VLOOKUP([2]Pointage!ES37,Feuil1!$A:$B,2,FALSE),"")</f>
        <v/>
      </c>
      <c r="EP43" s="31" t="str">
        <f>IFERROR(VLOOKUP([2]Pointage!ET37,Feuil1!$A:$B,2,FALSE),"")</f>
        <v/>
      </c>
      <c r="EQ43" s="31" t="str">
        <f>IFERROR(VLOOKUP([2]Pointage!EU37,Feuil1!$A:$B,2,FALSE),"")</f>
        <v/>
      </c>
      <c r="ER43" s="31" t="str">
        <f>IFERROR(VLOOKUP([2]Pointage!EV37,Feuil1!$A:$B,2,FALSE),"")</f>
        <v/>
      </c>
      <c r="ES43" s="31" t="str">
        <f>IFERROR(VLOOKUP([2]Pointage!EW37,Feuil1!$A:$B,2,FALSE),"")</f>
        <v/>
      </c>
      <c r="ET43" s="31" t="str">
        <f>IFERROR(VLOOKUP([2]Pointage!EX37,Feuil1!$A:$B,2,FALSE),"")</f>
        <v/>
      </c>
      <c r="EU43" s="31" t="str">
        <f>IFERROR(VLOOKUP([2]Pointage!EY37,Feuil1!$A:$B,2,FALSE),"")</f>
        <v/>
      </c>
      <c r="EV43" s="31" t="str">
        <f>IFERROR(VLOOKUP([2]Pointage!EZ37,Feuil1!$A:$B,2,FALSE),"")</f>
        <v/>
      </c>
      <c r="EW43" s="31" t="str">
        <f>IFERROR(VLOOKUP([2]Pointage!FA37,Feuil1!$A:$B,2,FALSE),"")</f>
        <v/>
      </c>
      <c r="EX43" s="31" t="str">
        <f>IFERROR(VLOOKUP([2]Pointage!FB37,Feuil1!$A:$B,2,FALSE),"")</f>
        <v/>
      </c>
      <c r="EY43" s="31" t="str">
        <f>IFERROR(VLOOKUP([2]Pointage!FC37,Feuil1!$A:$B,2,FALSE),"")</f>
        <v/>
      </c>
      <c r="EZ43" s="82" t="str">
        <f>IFERROR(VLOOKUP([2]Pointage!FD37,Feuil1!$A:$B,2,FALSE),"")</f>
        <v/>
      </c>
      <c r="FA43" s="47" t="str">
        <f>IFERROR(VLOOKUP([2]Pointage!FE37,Feuil1!$A:$B,2,FALSE),"")</f>
        <v>C</v>
      </c>
      <c r="FB43" s="31" t="str">
        <f>IFERROR(VLOOKUP([2]Pointage!FF37,Feuil1!$A:$B,2,FALSE),"")</f>
        <v/>
      </c>
      <c r="FC43" s="31" t="str">
        <f>IFERROR(VLOOKUP([2]Pointage!FG37,Feuil1!$A:$B,2,FALSE),"")</f>
        <v/>
      </c>
      <c r="FD43" s="31" t="str">
        <f>IFERROR(VLOOKUP([2]Pointage!FH37,Feuil1!$A:$B,2,FALSE),"")</f>
        <v/>
      </c>
      <c r="FE43" s="31" t="str">
        <f>IFERROR(VLOOKUP([2]Pointage!FI37,Feuil1!$A:$B,2,FALSE),"")</f>
        <v/>
      </c>
      <c r="FF43" s="31" t="str">
        <f>IFERROR(VLOOKUP([2]Pointage!FJ37,Feuil1!$A:$B,2,FALSE),"")</f>
        <v/>
      </c>
      <c r="FG43" s="31" t="str">
        <f>IFERROR(VLOOKUP([2]Pointage!FK37,Feuil1!$A:$B,2,FALSE),"")</f>
        <v/>
      </c>
      <c r="FH43" s="31" t="str">
        <f>IFERROR(VLOOKUP([2]Pointage!FL37,Feuil1!$A:$B,2,FALSE),"")</f>
        <v/>
      </c>
      <c r="FI43" s="31" t="str">
        <f>IFERROR(VLOOKUP([2]Pointage!FM37,Feuil1!$A:$B,2,FALSE),"")</f>
        <v/>
      </c>
      <c r="FJ43" s="31" t="str">
        <f>IFERROR(VLOOKUP([2]Pointage!FN37,Feuil1!$A:$B,2,FALSE),"")</f>
        <v/>
      </c>
      <c r="FK43" s="31" t="str">
        <f>IFERROR(VLOOKUP([2]Pointage!FO37,Feuil1!$A:$B,2,FALSE),"")</f>
        <v/>
      </c>
      <c r="FL43" s="31" t="str">
        <f>IFERROR(VLOOKUP([2]Pointage!FP37,Feuil1!$A:$B,2,FALSE),"")</f>
        <v/>
      </c>
      <c r="FM43" s="31" t="str">
        <f>IFERROR(VLOOKUP([2]Pointage!FQ37,Feuil1!$A:$B,2,FALSE),"")</f>
        <v/>
      </c>
      <c r="FN43" s="31" t="str">
        <f>IFERROR(VLOOKUP([2]Pointage!FR37,Feuil1!$A:$B,2,FALSE),"")</f>
        <v/>
      </c>
      <c r="FO43" s="31" t="str">
        <f>IFERROR(VLOOKUP([2]Pointage!FS37,Feuil1!$A:$B,2,FALSE),"")</f>
        <v/>
      </c>
      <c r="FP43" s="31" t="str">
        <f>IFERROR(VLOOKUP([2]Pointage!FT37,Feuil1!$A:$B,2,FALSE),"")</f>
        <v/>
      </c>
      <c r="FQ43" s="31" t="str">
        <f>IFERROR(VLOOKUP([2]Pointage!FU37,Feuil1!$A:$B,2,FALSE),"")</f>
        <v/>
      </c>
      <c r="FR43" s="31" t="str">
        <f>IFERROR(VLOOKUP([2]Pointage!FV37,Feuil1!$A:$B,2,FALSE),"")</f>
        <v/>
      </c>
      <c r="FS43" s="31" t="str">
        <f>IFERROR(VLOOKUP([2]Pointage!FW37,Feuil1!$A:$B,2,FALSE),"")</f>
        <v/>
      </c>
      <c r="FT43" s="31" t="str">
        <f>IFERROR(VLOOKUP([2]Pointage!FX37,Feuil1!$A:$B,2,FALSE),"")</f>
        <v/>
      </c>
      <c r="FU43" s="31" t="str">
        <f>IFERROR(VLOOKUP([2]Pointage!FY37,Feuil1!$A:$B,2,FALSE),"")</f>
        <v/>
      </c>
      <c r="FV43" s="31" t="str">
        <f>IFERROR(VLOOKUP([2]Pointage!FZ37,Feuil1!$A:$B,2,FALSE),"")</f>
        <v/>
      </c>
      <c r="FW43" s="31" t="str">
        <f>IFERROR(VLOOKUP([2]Pointage!GA37,Feuil1!$A:$B,2,FALSE),"")</f>
        <v/>
      </c>
      <c r="FX43" s="31" t="str">
        <f>IFERROR(VLOOKUP([2]Pointage!GB37,Feuil1!$A:$B,2,FALSE),"")</f>
        <v/>
      </c>
      <c r="FY43" s="31" t="str">
        <f>IFERROR(VLOOKUP([2]Pointage!GC37,Feuil1!$A:$B,2,FALSE),"")</f>
        <v/>
      </c>
      <c r="FZ43" s="31" t="str">
        <f>IFERROR(VLOOKUP([2]Pointage!GD37,Feuil1!$A:$B,2,FALSE),"")</f>
        <v/>
      </c>
      <c r="GA43" s="31" t="str">
        <f>IFERROR(VLOOKUP([2]Pointage!GE37,Feuil1!$A:$B,2,FALSE),"")</f>
        <v/>
      </c>
      <c r="GB43" s="31" t="str">
        <f>IFERROR(VLOOKUP([2]Pointage!GF37,Feuil1!$A:$B,2,FALSE),"")</f>
        <v/>
      </c>
      <c r="GC43" s="31" t="str">
        <f>IFERROR(VLOOKUP([2]Pointage!GG37,Feuil1!$A:$B,2,FALSE),"")</f>
        <v/>
      </c>
      <c r="GD43" s="82" t="str">
        <f>IFERROR(VLOOKUP([2]Pointage!GH37,Feuil1!$A:$B,2,FALSE),"")</f>
        <v/>
      </c>
      <c r="GE43" s="47" t="str">
        <f>IFERROR(VLOOKUP([2]Pointage!GI37,Feuil1!$A:$B,2,FALSE),"")</f>
        <v/>
      </c>
      <c r="GF43" s="31" t="str">
        <f>IFERROR(VLOOKUP([2]Pointage!GJ37,Feuil1!$A:$B,2,FALSE),"")</f>
        <v/>
      </c>
      <c r="GG43" s="31" t="str">
        <f>IFERROR(VLOOKUP([2]Pointage!GK37,Feuil1!$A:$B,2,FALSE),"")</f>
        <v/>
      </c>
      <c r="GH43" s="31" t="str">
        <f>IFERROR(VLOOKUP([2]Pointage!GL37,Feuil1!$A:$B,2,FALSE),"")</f>
        <v/>
      </c>
      <c r="GI43" s="31" t="str">
        <f>IFERROR(VLOOKUP([2]Pointage!GM37,Feuil1!$A:$B,2,FALSE),"")</f>
        <v/>
      </c>
      <c r="GJ43" s="31" t="str">
        <f>IFERROR(VLOOKUP([2]Pointage!GN37,Feuil1!$A:$B,2,FALSE),"")</f>
        <v/>
      </c>
      <c r="GK43" s="31" t="str">
        <f>IFERROR(VLOOKUP([2]Pointage!GO37,Feuil1!$A:$B,2,FALSE),"")</f>
        <v/>
      </c>
      <c r="GL43" s="31" t="str">
        <f>IFERROR(VLOOKUP([2]Pointage!GP37,Feuil1!$A:$B,2,FALSE),"")</f>
        <v/>
      </c>
      <c r="GM43" s="31" t="str">
        <f>IFERROR(VLOOKUP([2]Pointage!GQ37,Feuil1!$A:$B,2,FALSE),"")</f>
        <v/>
      </c>
      <c r="GN43" s="31" t="str">
        <f>IFERROR(VLOOKUP([2]Pointage!GR37,Feuil1!$A:$B,2,FALSE),"")</f>
        <v/>
      </c>
      <c r="GO43" s="31" t="str">
        <f>IFERROR(VLOOKUP([2]Pointage!GS37,Feuil1!$A:$B,2,FALSE),"")</f>
        <v/>
      </c>
      <c r="GP43" s="31" t="str">
        <f>IFERROR(VLOOKUP([2]Pointage!GT37,Feuil1!$A:$B,2,FALSE),"")</f>
        <v/>
      </c>
      <c r="GQ43" s="31" t="str">
        <f>IFERROR(VLOOKUP([2]Pointage!GU37,Feuil1!$A:$B,2,FALSE),"")</f>
        <v/>
      </c>
      <c r="GR43" s="31" t="str">
        <f>IFERROR(VLOOKUP([2]Pointage!GV37,Feuil1!$A:$B,2,FALSE),"")</f>
        <v/>
      </c>
      <c r="GS43" s="31" t="str">
        <f>IFERROR(VLOOKUP([2]Pointage!GW37,Feuil1!$A:$B,2,FALSE),"")</f>
        <v/>
      </c>
      <c r="GT43" s="31" t="str">
        <f>IFERROR(VLOOKUP([2]Pointage!GX37,Feuil1!$A:$B,2,FALSE),"")</f>
        <v/>
      </c>
      <c r="GU43" s="31" t="str">
        <f>IFERROR(VLOOKUP([2]Pointage!GY37,Feuil1!$A:$B,2,FALSE),"")</f>
        <v/>
      </c>
      <c r="GV43" s="31" t="str">
        <f>IFERROR(VLOOKUP([2]Pointage!GZ37,Feuil1!$A:$B,2,FALSE),"")</f>
        <v/>
      </c>
      <c r="GW43" s="31" t="str">
        <f>IFERROR(VLOOKUP([2]Pointage!HA37,Feuil1!$A:$B,2,FALSE),"")</f>
        <v/>
      </c>
      <c r="GX43" s="31" t="str">
        <f>IFERROR(VLOOKUP([2]Pointage!HB37,Feuil1!$A:$B,2,FALSE),"")</f>
        <v/>
      </c>
      <c r="GY43" s="31" t="str">
        <f>IFERROR(VLOOKUP([2]Pointage!HC37,Feuil1!$A:$B,2,FALSE),"")</f>
        <v/>
      </c>
      <c r="GZ43" s="31" t="str">
        <f>IFERROR(VLOOKUP([2]Pointage!HD37,Feuil1!$A:$B,2,FALSE),"")</f>
        <v/>
      </c>
      <c r="HA43" s="31" t="str">
        <f>IFERROR(VLOOKUP([2]Pointage!HE37,Feuil1!$A:$B,2,FALSE),"")</f>
        <v/>
      </c>
      <c r="HB43" s="31" t="str">
        <f>IFERROR(VLOOKUP([2]Pointage!HF37,Feuil1!$A:$B,2,FALSE),"")</f>
        <v/>
      </c>
      <c r="HC43" s="31" t="str">
        <f>IFERROR(VLOOKUP([2]Pointage!HG37,Feuil1!$A:$B,2,FALSE),"")</f>
        <v/>
      </c>
      <c r="HD43" s="31" t="str">
        <f>IFERROR(VLOOKUP([2]Pointage!HH37,Feuil1!$A:$B,2,FALSE),"")</f>
        <v/>
      </c>
      <c r="HE43" s="31" t="str">
        <f>IFERROR(VLOOKUP([2]Pointage!HI37,Feuil1!$A:$B,2,FALSE),"")</f>
        <v/>
      </c>
      <c r="HF43" s="31" t="str">
        <f>IFERROR(VLOOKUP([2]Pointage!HJ37,Feuil1!$A:$B,2,FALSE),"")</f>
        <v/>
      </c>
      <c r="HG43" s="31" t="str">
        <f>IFERROR(VLOOKUP([2]Pointage!HK37,Feuil1!$A:$B,2,FALSE),"")</f>
        <v/>
      </c>
      <c r="HH43" s="31" t="str">
        <f>IFERROR(VLOOKUP([2]Pointage!HL37,Feuil1!$A:$B,2,FALSE),"")</f>
        <v/>
      </c>
      <c r="HI43" s="82" t="str">
        <f>IFERROR(VLOOKUP([2]Pointage!HM37,Feuil1!$A:$B,2,FALSE),"")</f>
        <v/>
      </c>
      <c r="HJ43" s="47" t="str">
        <f>IFERROR(VLOOKUP([2]Pointage!HN37,Feuil1!$A:$B,2,FALSE),"")</f>
        <v/>
      </c>
      <c r="HK43" s="31" t="str">
        <f>IFERROR(VLOOKUP([2]Pointage!HO37,Feuil1!$A:$B,2,FALSE),"")</f>
        <v/>
      </c>
      <c r="HL43" s="31" t="str">
        <f>IFERROR(VLOOKUP([2]Pointage!HP37,Feuil1!$A:$B,2,FALSE),"")</f>
        <v/>
      </c>
      <c r="HM43" s="31" t="str">
        <f>IFERROR(VLOOKUP([2]Pointage!HQ37,Feuil1!$A:$B,2,FALSE),"")</f>
        <v/>
      </c>
      <c r="HN43" s="31" t="str">
        <f>IFERROR(VLOOKUP([2]Pointage!HR37,Feuil1!$A:$B,2,FALSE),"")</f>
        <v/>
      </c>
      <c r="HO43" s="31" t="str">
        <f>IFERROR(VLOOKUP([2]Pointage!HS37,Feuil1!$A:$B,2,FALSE),"")</f>
        <v/>
      </c>
      <c r="HP43" s="31" t="str">
        <f>IFERROR(VLOOKUP([2]Pointage!HT37,Feuil1!$A:$B,2,FALSE),"")</f>
        <v/>
      </c>
      <c r="HQ43" s="31" t="str">
        <f>IFERROR(VLOOKUP([2]Pointage!HU37,Feuil1!$A:$B,2,FALSE),"")</f>
        <v/>
      </c>
      <c r="HR43" s="31" t="str">
        <f>IFERROR(VLOOKUP([2]Pointage!HV37,Feuil1!$A:$B,2,FALSE),"")</f>
        <v/>
      </c>
      <c r="HS43" s="31" t="str">
        <f>IFERROR(VLOOKUP([2]Pointage!HW37,Feuil1!$A:$B,2,FALSE),"")</f>
        <v/>
      </c>
      <c r="HT43" s="31" t="str">
        <f>IFERROR(VLOOKUP([2]Pointage!HX37,Feuil1!$A:$B,2,FALSE),"")</f>
        <v/>
      </c>
      <c r="HU43" s="31" t="str">
        <f>IFERROR(VLOOKUP([2]Pointage!HY37,Feuil1!$A:$B,2,FALSE),"")</f>
        <v/>
      </c>
      <c r="HV43" s="31" t="str">
        <f>IFERROR(VLOOKUP([2]Pointage!HZ37,Feuil1!$A:$B,2,FALSE),"")</f>
        <v/>
      </c>
      <c r="HW43" s="31" t="str">
        <f>IFERROR(VLOOKUP([2]Pointage!IA37,Feuil1!$A:$B,2,FALSE),"")</f>
        <v/>
      </c>
      <c r="HX43" s="31" t="str">
        <f>IFERROR(VLOOKUP([2]Pointage!IB37,Feuil1!$A:$B,2,FALSE),"")</f>
        <v/>
      </c>
      <c r="HY43" s="31" t="str">
        <f>IFERROR(VLOOKUP([2]Pointage!IC37,Feuil1!$A:$B,2,FALSE),"")</f>
        <v/>
      </c>
      <c r="HZ43" s="31" t="str">
        <f>IFERROR(VLOOKUP([2]Pointage!ID37,Feuil1!$A:$B,2,FALSE),"")</f>
        <v/>
      </c>
      <c r="IA43" s="31" t="str">
        <f>IFERROR(VLOOKUP([2]Pointage!IE37,Feuil1!$A:$B,2,FALSE),"")</f>
        <v/>
      </c>
      <c r="IB43" s="31" t="str">
        <f>IFERROR(VLOOKUP([2]Pointage!IF37,Feuil1!$A:$B,2,FALSE),"")</f>
        <v/>
      </c>
      <c r="IC43" s="31" t="str">
        <f>IFERROR(VLOOKUP([2]Pointage!IG37,Feuil1!$A:$B,2,FALSE),"")</f>
        <v/>
      </c>
      <c r="ID43" s="31" t="str">
        <f>IFERROR(VLOOKUP([2]Pointage!IH37,Feuil1!$A:$B,2,FALSE),"")</f>
        <v/>
      </c>
      <c r="IE43" s="31" t="str">
        <f>IFERROR(VLOOKUP([2]Pointage!II37,Feuil1!$A:$B,2,FALSE),"")</f>
        <v/>
      </c>
      <c r="IF43" s="31" t="str">
        <f>IFERROR(VLOOKUP([2]Pointage!IJ37,Feuil1!$A:$B,2,FALSE),"")</f>
        <v/>
      </c>
      <c r="IG43" s="31" t="str">
        <f>IFERROR(VLOOKUP([2]Pointage!IK37,Feuil1!$A:$B,2,FALSE),"")</f>
        <v/>
      </c>
      <c r="IH43" s="31" t="str">
        <f>IFERROR(VLOOKUP([2]Pointage!IL37,Feuil1!$A:$B,2,FALSE),"")</f>
        <v/>
      </c>
      <c r="II43" s="31" t="str">
        <f>IFERROR(VLOOKUP([2]Pointage!IM37,Feuil1!$A:$B,2,FALSE),"")</f>
        <v/>
      </c>
      <c r="IJ43" s="31" t="str">
        <f>IFERROR(VLOOKUP([2]Pointage!IN37,Feuil1!$A:$B,2,FALSE),"")</f>
        <v>C</v>
      </c>
      <c r="IK43" s="31" t="str">
        <f>IFERROR(VLOOKUP([2]Pointage!IO37,Feuil1!$A:$B,2,FALSE),"")</f>
        <v>C</v>
      </c>
      <c r="IL43" s="31" t="str">
        <f>IFERROR(VLOOKUP([2]Pointage!IP37,Feuil1!$A:$B,2,FALSE),"")</f>
        <v>C</v>
      </c>
      <c r="IM43" s="31" t="str">
        <f>IFERROR(VLOOKUP([2]Pointage!IQ37,Feuil1!$A:$B,2,FALSE),"")</f>
        <v>C</v>
      </c>
      <c r="IN43" s="82" t="str">
        <f>IFERROR(VLOOKUP([2]Pointage!IR37,Feuil1!$A:$B,2,FALSE),"")</f>
        <v>C</v>
      </c>
      <c r="IO43" s="47" t="str">
        <f>IFERROR(VLOOKUP([2]Pointage!IS37,Feuil1!$A:$B,2,FALSE),"")</f>
        <v/>
      </c>
      <c r="IP43" s="31" t="str">
        <f>IFERROR(VLOOKUP([2]Pointage!IT37,Feuil1!$A:$B,2,FALSE),"")</f>
        <v/>
      </c>
      <c r="IQ43" s="31" t="str">
        <f>IFERROR(VLOOKUP([2]Pointage!IU37,Feuil1!$A:$B,2,FALSE),"")</f>
        <v>C</v>
      </c>
      <c r="IR43" s="31" t="str">
        <f>IFERROR(VLOOKUP([2]Pointage!IV37,Feuil1!$A:$B,2,FALSE),"")</f>
        <v>C</v>
      </c>
      <c r="IS43" s="31" t="str">
        <f>IFERROR(VLOOKUP([2]Pointage!IW37,Feuil1!$A:$B,2,FALSE),"")</f>
        <v>C</v>
      </c>
      <c r="IT43" s="31" t="str">
        <f>IFERROR(VLOOKUP([2]Pointage!IX37,Feuil1!$A:$B,2,FALSE),"")</f>
        <v>C</v>
      </c>
      <c r="IU43" s="31" t="str">
        <f>IFERROR(VLOOKUP([2]Pointage!IY37,Feuil1!$A:$B,2,FALSE),"")</f>
        <v>C</v>
      </c>
      <c r="IV43" s="31" t="str">
        <f>IFERROR(VLOOKUP([2]Pointage!IZ37,Feuil1!$A:$B,2,FALSE),"")</f>
        <v/>
      </c>
      <c r="IW43" s="31" t="str">
        <f>IFERROR(VLOOKUP([2]Pointage!JA37,Feuil1!$A:$B,2,FALSE),"")</f>
        <v/>
      </c>
      <c r="IX43" s="31" t="str">
        <f>IFERROR(VLOOKUP([2]Pointage!JB37,Feuil1!$A:$B,2,FALSE),"")</f>
        <v>C</v>
      </c>
      <c r="IY43" s="31" t="str">
        <f>IFERROR(VLOOKUP([2]Pointage!JC37,Feuil1!$A:$B,2,FALSE),"")</f>
        <v>C</v>
      </c>
      <c r="IZ43" s="31" t="str">
        <f>IFERROR(VLOOKUP([2]Pointage!JD37,Feuil1!$A:$B,2,FALSE),"")</f>
        <v>C</v>
      </c>
      <c r="JA43" s="31" t="str">
        <f>IFERROR(VLOOKUP([2]Pointage!JE37,Feuil1!$A:$B,2,FALSE),"")</f>
        <v>C</v>
      </c>
      <c r="JB43" s="31" t="str">
        <f>IFERROR(VLOOKUP([2]Pointage!JF37,Feuil1!$A:$B,2,FALSE),"")</f>
        <v>C</v>
      </c>
      <c r="JC43" s="31" t="str">
        <f>IFERROR(VLOOKUP([2]Pointage!JG37,Feuil1!$A:$B,2,FALSE),"")</f>
        <v/>
      </c>
      <c r="JD43" s="31" t="str">
        <f>IFERROR(VLOOKUP([2]Pointage!JH37,Feuil1!$A:$B,2,FALSE),"")</f>
        <v/>
      </c>
      <c r="JE43" s="31" t="str">
        <f>IFERROR(VLOOKUP([2]Pointage!JI37,Feuil1!$A:$B,2,FALSE),"")</f>
        <v/>
      </c>
      <c r="JF43" s="31" t="str">
        <f>IFERROR(VLOOKUP([2]Pointage!JJ37,Feuil1!$A:$B,2,FALSE),"")</f>
        <v/>
      </c>
      <c r="JG43" s="31" t="str">
        <f>IFERROR(VLOOKUP([2]Pointage!JK37,Feuil1!$A:$B,2,FALSE),"")</f>
        <v/>
      </c>
      <c r="JH43" s="31" t="str">
        <f>IFERROR(VLOOKUP([2]Pointage!JL37,Feuil1!$A:$B,2,FALSE),"")</f>
        <v/>
      </c>
      <c r="JI43" s="31" t="str">
        <f>IFERROR(VLOOKUP([2]Pointage!JM37,Feuil1!$A:$B,2,FALSE),"")</f>
        <v/>
      </c>
      <c r="JJ43" s="31" t="str">
        <f>IFERROR(VLOOKUP([2]Pointage!JN37,Feuil1!$A:$B,2,FALSE),"")</f>
        <v/>
      </c>
      <c r="JK43" s="31" t="str">
        <f>IFERROR(VLOOKUP([2]Pointage!JO37,Feuil1!$A:$B,2,FALSE),"")</f>
        <v/>
      </c>
      <c r="JL43" s="31" t="str">
        <f>IFERROR(VLOOKUP([2]Pointage!JP37,Feuil1!$A:$B,2,FALSE),"")</f>
        <v/>
      </c>
      <c r="JM43" s="31" t="str">
        <f>IFERROR(VLOOKUP([2]Pointage!JQ37,Feuil1!$A:$B,2,FALSE),"")</f>
        <v/>
      </c>
      <c r="JN43" s="31" t="str">
        <f>IFERROR(VLOOKUP([2]Pointage!JR37,Feuil1!$A:$B,2,FALSE),"")</f>
        <v/>
      </c>
      <c r="JO43" s="31" t="str">
        <f>IFERROR(VLOOKUP([2]Pointage!JS37,Feuil1!$A:$B,2,FALSE),"")</f>
        <v/>
      </c>
      <c r="JP43" s="31" t="str">
        <f>IFERROR(VLOOKUP([2]Pointage!JT37,Feuil1!$A:$B,2,FALSE),"")</f>
        <v/>
      </c>
      <c r="JQ43" s="31" t="str">
        <f>IFERROR(VLOOKUP([2]Pointage!JU37,Feuil1!$A:$B,2,FALSE),"")</f>
        <v/>
      </c>
      <c r="JR43" s="82" t="str">
        <f>IFERROR(VLOOKUP([2]Pointage!JV37,Feuil1!$A:$B,2,FALSE),"")</f>
        <v/>
      </c>
      <c r="JS43" s="47" t="str">
        <f>IFERROR(VLOOKUP([2]Pointage!JW37,Feuil1!$A:$B,2,FALSE),"")</f>
        <v/>
      </c>
      <c r="JT43" s="31" t="str">
        <f>IFERROR(VLOOKUP([2]Pointage!JX37,Feuil1!$A:$B,2,FALSE),"")</f>
        <v/>
      </c>
      <c r="JU43" s="31" t="str">
        <f>IFERROR(VLOOKUP([2]Pointage!JY37,Feuil1!$A:$B,2,FALSE),"")</f>
        <v/>
      </c>
      <c r="JV43" s="31" t="str">
        <f>IFERROR(VLOOKUP([2]Pointage!JZ37,Feuil1!$A:$B,2,FALSE),"")</f>
        <v/>
      </c>
      <c r="JW43" s="31" t="str">
        <f>IFERROR(VLOOKUP([2]Pointage!KA37,Feuil1!$A:$B,2,FALSE),"")</f>
        <v/>
      </c>
      <c r="JX43" s="31" t="str">
        <f>IFERROR(VLOOKUP([2]Pointage!KB37,Feuil1!$A:$B,2,FALSE),"")</f>
        <v/>
      </c>
      <c r="JY43" s="31" t="str">
        <f>IFERROR(VLOOKUP([2]Pointage!KC37,Feuil1!$A:$B,2,FALSE),"")</f>
        <v/>
      </c>
      <c r="JZ43" s="31" t="str">
        <f>IFERROR(VLOOKUP([2]Pointage!KD37,Feuil1!$A:$B,2,FALSE),"")</f>
        <v/>
      </c>
      <c r="KA43" s="31" t="str">
        <f>IFERROR(VLOOKUP([2]Pointage!KE37,Feuil1!$A:$B,2,FALSE),"")</f>
        <v/>
      </c>
      <c r="KB43" s="31" t="str">
        <f>IFERROR(VLOOKUP([2]Pointage!KF37,Feuil1!$A:$B,2,FALSE),"")</f>
        <v/>
      </c>
      <c r="KC43" s="31" t="str">
        <f>IFERROR(VLOOKUP([2]Pointage!KG37,Feuil1!$A:$B,2,FALSE),"")</f>
        <v/>
      </c>
      <c r="KD43" s="31" t="str">
        <f>IFERROR(VLOOKUP([2]Pointage!KH37,Feuil1!$A:$B,2,FALSE),"")</f>
        <v/>
      </c>
      <c r="KE43" s="31" t="str">
        <f>IFERROR(VLOOKUP([2]Pointage!KI37,Feuil1!$A:$B,2,FALSE),"")</f>
        <v/>
      </c>
      <c r="KF43" s="31" t="str">
        <f>IFERROR(VLOOKUP([2]Pointage!KJ37,Feuil1!$A:$B,2,FALSE),"")</f>
        <v/>
      </c>
      <c r="KG43" s="31" t="str">
        <f>IFERROR(VLOOKUP([2]Pointage!KK37,Feuil1!$A:$B,2,FALSE),"")</f>
        <v/>
      </c>
      <c r="KH43" s="31" t="str">
        <f>IFERROR(VLOOKUP([2]Pointage!KL37,Feuil1!$A:$B,2,FALSE),"")</f>
        <v/>
      </c>
      <c r="KI43" s="31" t="str">
        <f>IFERROR(VLOOKUP([2]Pointage!KM37,Feuil1!$A:$B,2,FALSE),"")</f>
        <v/>
      </c>
      <c r="KJ43" s="31" t="str">
        <f>IFERROR(VLOOKUP([2]Pointage!KN37,Feuil1!$A:$B,2,FALSE),"")</f>
        <v/>
      </c>
      <c r="KK43" s="31" t="str">
        <f>IFERROR(VLOOKUP([2]Pointage!KO37,Feuil1!$A:$B,2,FALSE),"")</f>
        <v/>
      </c>
      <c r="KL43" s="31" t="str">
        <f>IFERROR(VLOOKUP([2]Pointage!KP37,Feuil1!$A:$B,2,FALSE),"")</f>
        <v/>
      </c>
      <c r="KM43" s="31" t="str">
        <f>IFERROR(VLOOKUP([2]Pointage!KQ37,Feuil1!$A:$B,2,FALSE),"")</f>
        <v/>
      </c>
      <c r="KN43" s="31" t="str">
        <f>IFERROR(VLOOKUP([2]Pointage!KR37,Feuil1!$A:$B,2,FALSE),"")</f>
        <v/>
      </c>
      <c r="KO43" s="31" t="str">
        <f>IFERROR(VLOOKUP([2]Pointage!KS37,Feuil1!$A:$B,2,FALSE),"")</f>
        <v/>
      </c>
      <c r="KP43" s="31" t="str">
        <f>IFERROR(VLOOKUP([2]Pointage!KT37,Feuil1!$A:$B,2,FALSE),"")</f>
        <v/>
      </c>
      <c r="KQ43" s="31" t="str">
        <f>IFERROR(VLOOKUP([2]Pointage!KU37,Feuil1!$A:$B,2,FALSE),"")</f>
        <v/>
      </c>
      <c r="KR43" s="31" t="str">
        <f>IFERROR(VLOOKUP([2]Pointage!KV37,Feuil1!$A:$B,2,FALSE),"")</f>
        <v/>
      </c>
      <c r="KS43" s="31" t="str">
        <f>IFERROR(VLOOKUP([2]Pointage!KW37,Feuil1!$A:$B,2,FALSE),"")</f>
        <v/>
      </c>
      <c r="KT43" s="31" t="str">
        <f>IFERROR(VLOOKUP([2]Pointage!KX37,Feuil1!$A:$B,2,FALSE),"")</f>
        <v/>
      </c>
      <c r="KU43" s="31" t="str">
        <f>IFERROR(VLOOKUP([2]Pointage!KY37,Feuil1!$A:$B,2,FALSE),"")</f>
        <v/>
      </c>
      <c r="KV43" s="31" t="str">
        <f>IFERROR(VLOOKUP([2]Pointage!KZ37,Feuil1!$A:$B,2,FALSE),"")</f>
        <v/>
      </c>
      <c r="KW43" s="82" t="str">
        <f>IFERROR(VLOOKUP([2]Pointage!LA37,Feuil1!$A:$B,2,FALSE),"")</f>
        <v/>
      </c>
      <c r="KX43" s="47" t="str">
        <f>IFERROR(VLOOKUP([2]Pointage!LB37,Feuil1!$A:$B,2,FALSE),"")</f>
        <v/>
      </c>
      <c r="KY43" s="31" t="str">
        <f>IFERROR(VLOOKUP([2]Pointage!LC37,Feuil1!$A:$B,2,FALSE),"")</f>
        <v/>
      </c>
      <c r="KZ43" s="31" t="str">
        <f>IFERROR(VLOOKUP([2]Pointage!LD37,Feuil1!$A:$B,2,FALSE),"")</f>
        <v/>
      </c>
      <c r="LA43" s="31" t="str">
        <f>IFERROR(VLOOKUP([2]Pointage!LE37,Feuil1!$A:$B,2,FALSE),"")</f>
        <v/>
      </c>
      <c r="LB43" s="31" t="str">
        <f>IFERROR(VLOOKUP([2]Pointage!LF37,Feuil1!$A:$B,2,FALSE),"")</f>
        <v/>
      </c>
      <c r="LC43" s="31" t="str">
        <f>IFERROR(VLOOKUP([2]Pointage!LG37,Feuil1!$A:$B,2,FALSE),"")</f>
        <v/>
      </c>
      <c r="LD43" s="31" t="str">
        <f>IFERROR(VLOOKUP([2]Pointage!LH37,Feuil1!$A:$B,2,FALSE),"")</f>
        <v/>
      </c>
      <c r="LE43" s="31" t="str">
        <f>IFERROR(VLOOKUP([2]Pointage!LI37,Feuil1!$A:$B,2,FALSE),"")</f>
        <v/>
      </c>
      <c r="LF43" s="31" t="str">
        <f>IFERROR(VLOOKUP([2]Pointage!LJ37,Feuil1!$A:$B,2,FALSE),"")</f>
        <v/>
      </c>
      <c r="LG43" s="31" t="str">
        <f>IFERROR(VLOOKUP([2]Pointage!LK37,Feuil1!$A:$B,2,FALSE),"")</f>
        <v/>
      </c>
      <c r="LH43" s="31" t="str">
        <f>IFERROR(VLOOKUP([2]Pointage!LL37,Feuil1!$A:$B,2,FALSE),"")</f>
        <v/>
      </c>
      <c r="LI43" s="31" t="str">
        <f>IFERROR(VLOOKUP([2]Pointage!LM37,Feuil1!$A:$B,2,FALSE),"")</f>
        <v/>
      </c>
      <c r="LJ43" s="31" t="str">
        <f>IFERROR(VLOOKUP([2]Pointage!LN37,Feuil1!$A:$B,2,FALSE),"")</f>
        <v/>
      </c>
      <c r="LK43" s="31" t="str">
        <f>IFERROR(VLOOKUP([2]Pointage!LO37,Feuil1!$A:$B,2,FALSE),"")</f>
        <v/>
      </c>
      <c r="LL43" s="31" t="str">
        <f>IFERROR(VLOOKUP([2]Pointage!LP37,Feuil1!$A:$B,2,FALSE),"")</f>
        <v/>
      </c>
      <c r="LM43" s="31" t="str">
        <f>IFERROR(VLOOKUP([2]Pointage!LQ37,Feuil1!$A:$B,2,FALSE),"")</f>
        <v/>
      </c>
      <c r="LN43" s="31" t="str">
        <f>IFERROR(VLOOKUP([2]Pointage!LR37,Feuil1!$A:$B,2,FALSE),"")</f>
        <v/>
      </c>
      <c r="LO43" s="31" t="str">
        <f>IFERROR(VLOOKUP([2]Pointage!LS37,Feuil1!$A:$B,2,FALSE),"")</f>
        <v/>
      </c>
      <c r="LP43" s="31" t="str">
        <f>IFERROR(VLOOKUP([2]Pointage!LT37,Feuil1!$A:$B,2,FALSE),"")</f>
        <v/>
      </c>
      <c r="LQ43" s="31" t="str">
        <f>IFERROR(VLOOKUP([2]Pointage!LU37,Feuil1!$A:$B,2,FALSE),"")</f>
        <v/>
      </c>
      <c r="LR43" s="31" t="str">
        <f>IFERROR(VLOOKUP([2]Pointage!LV37,Feuil1!$A:$B,2,FALSE),"")</f>
        <v/>
      </c>
      <c r="LS43" s="31" t="str">
        <f>IFERROR(VLOOKUP([2]Pointage!LW37,Feuil1!$A:$B,2,FALSE),"")</f>
        <v/>
      </c>
      <c r="LT43" s="31" t="str">
        <f>IFERROR(VLOOKUP([2]Pointage!LX37,Feuil1!$A:$B,2,FALSE),"")</f>
        <v/>
      </c>
      <c r="LU43" s="31" t="str">
        <f>IFERROR(VLOOKUP([2]Pointage!LY37,Feuil1!$A:$B,2,FALSE),"")</f>
        <v/>
      </c>
      <c r="LV43" s="31" t="str">
        <f>IFERROR(VLOOKUP([2]Pointage!LZ37,Feuil1!$A:$B,2,FALSE),"")</f>
        <v/>
      </c>
      <c r="LW43" s="31" t="str">
        <f>IFERROR(VLOOKUP([2]Pointage!MA37,Feuil1!$A:$B,2,FALSE),"")</f>
        <v/>
      </c>
      <c r="LX43" s="31" t="str">
        <f>IFERROR(VLOOKUP([2]Pointage!MB37,Feuil1!$A:$B,2,FALSE),"")</f>
        <v/>
      </c>
      <c r="LY43" s="31" t="str">
        <f>IFERROR(VLOOKUP([2]Pointage!MC37,Feuil1!$A:$B,2,FALSE),"")</f>
        <v/>
      </c>
      <c r="LZ43" s="31" t="str">
        <f>IFERROR(VLOOKUP([2]Pointage!MD37,Feuil1!$A:$B,2,FALSE),"")</f>
        <v/>
      </c>
      <c r="MA43" s="82" t="str">
        <f>IFERROR(VLOOKUP([2]Pointage!ME37,Feuil1!$A:$B,2,FALSE),"")</f>
        <v/>
      </c>
      <c r="MB43" s="47" t="str">
        <f>IFERROR(VLOOKUP([2]Pointage!MF37,Feuil1!$A:$B,2,FALSE),"")</f>
        <v/>
      </c>
      <c r="MC43" s="31" t="str">
        <f>IFERROR(VLOOKUP([2]Pointage!MG37,Feuil1!$A:$B,2,FALSE),"")</f>
        <v/>
      </c>
      <c r="MD43" s="31" t="str">
        <f>IFERROR(VLOOKUP([2]Pointage!MH37,Feuil1!$A:$B,2,FALSE),"")</f>
        <v/>
      </c>
      <c r="ME43" s="31" t="str">
        <f>IFERROR(VLOOKUP([2]Pointage!MI37,Feuil1!$A:$B,2,FALSE),"")</f>
        <v/>
      </c>
      <c r="MF43" s="31" t="str">
        <f>IFERROR(VLOOKUP([2]Pointage!MJ37,Feuil1!$A:$B,2,FALSE),"")</f>
        <v/>
      </c>
      <c r="MG43" s="31" t="str">
        <f>IFERROR(VLOOKUP([2]Pointage!MK37,Feuil1!$A:$B,2,FALSE),"")</f>
        <v/>
      </c>
      <c r="MH43" s="31" t="str">
        <f>IFERROR(VLOOKUP([2]Pointage!ML37,Feuil1!$A:$B,2,FALSE),"")</f>
        <v/>
      </c>
      <c r="MI43" s="31" t="str">
        <f>IFERROR(VLOOKUP([2]Pointage!MM37,Feuil1!$A:$B,2,FALSE),"")</f>
        <v/>
      </c>
      <c r="MJ43" s="31" t="str">
        <f>IFERROR(VLOOKUP([2]Pointage!MN37,Feuil1!$A:$B,2,FALSE),"")</f>
        <v/>
      </c>
      <c r="MK43" s="31" t="str">
        <f>IFERROR(VLOOKUP([2]Pointage!MO37,Feuil1!$A:$B,2,FALSE),"")</f>
        <v/>
      </c>
      <c r="ML43" s="31" t="str">
        <f>IFERROR(VLOOKUP([2]Pointage!MP37,Feuil1!$A:$B,2,FALSE),"")</f>
        <v/>
      </c>
      <c r="MM43" s="31" t="str">
        <f>IFERROR(VLOOKUP([2]Pointage!MQ37,Feuil1!$A:$B,2,FALSE),"")</f>
        <v/>
      </c>
      <c r="MN43" s="31" t="str">
        <f>IFERROR(VLOOKUP([2]Pointage!MR37,Feuil1!$A:$B,2,FALSE),"")</f>
        <v/>
      </c>
      <c r="MO43" s="31" t="str">
        <f>IFERROR(VLOOKUP([2]Pointage!MS37,Feuil1!$A:$B,2,FALSE),"")</f>
        <v/>
      </c>
      <c r="MP43" s="31" t="str">
        <f>IFERROR(VLOOKUP([2]Pointage!MT37,Feuil1!$A:$B,2,FALSE),"")</f>
        <v/>
      </c>
      <c r="MQ43" s="31" t="str">
        <f>IFERROR(VLOOKUP([2]Pointage!MU37,Feuil1!$A:$B,2,FALSE),"")</f>
        <v/>
      </c>
      <c r="MR43" s="31" t="str">
        <f>IFERROR(VLOOKUP([2]Pointage!MV37,Feuil1!$A:$B,2,FALSE),"")</f>
        <v/>
      </c>
      <c r="MS43" s="31" t="str">
        <f>IFERROR(VLOOKUP([2]Pointage!MW37,Feuil1!$A:$B,2,FALSE),"")</f>
        <v/>
      </c>
      <c r="MT43" s="31" t="str">
        <f>IFERROR(VLOOKUP([2]Pointage!MX37,Feuil1!$A:$B,2,FALSE),"")</f>
        <v/>
      </c>
      <c r="MU43" s="31" t="str">
        <f>IFERROR(VLOOKUP([2]Pointage!MY37,Feuil1!$A:$B,2,FALSE),"")</f>
        <v/>
      </c>
      <c r="MV43" s="31" t="str">
        <f>IFERROR(VLOOKUP([2]Pointage!MZ37,Feuil1!$A:$B,2,FALSE),"")</f>
        <v/>
      </c>
      <c r="MW43" s="31" t="str">
        <f>IFERROR(VLOOKUP([2]Pointage!NA37,Feuil1!$A:$B,2,FALSE),"")</f>
        <v/>
      </c>
      <c r="MX43" s="31" t="str">
        <f>IFERROR(VLOOKUP([2]Pointage!NB37,Feuil1!$A:$B,2,FALSE),"")</f>
        <v/>
      </c>
      <c r="MY43" s="31" t="str">
        <f>IFERROR(VLOOKUP([2]Pointage!NC37,Feuil1!$A:$B,2,FALSE),"")</f>
        <v/>
      </c>
      <c r="MZ43" s="31" t="str">
        <f>IFERROR(VLOOKUP([2]Pointage!ND37,Feuil1!$A:$B,2,FALSE),"")</f>
        <v/>
      </c>
      <c r="NA43" s="31" t="str">
        <f>IFERROR(VLOOKUP([2]Pointage!NE37,Feuil1!$A:$B,2,FALSE),"")</f>
        <v/>
      </c>
      <c r="NB43" s="31" t="str">
        <f>IFERROR(VLOOKUP([2]Pointage!NF37,Feuil1!$A:$B,2,FALSE),"")</f>
        <v/>
      </c>
      <c r="NC43" s="31" t="str">
        <f>IFERROR(VLOOKUP([2]Pointage!NG37,Feuil1!$A:$B,2,FALSE),"")</f>
        <v/>
      </c>
      <c r="ND43" s="31" t="str">
        <f>IFERROR(VLOOKUP([2]Pointage!NH37,Feuil1!$A:$B,2,FALSE),"")</f>
        <v/>
      </c>
      <c r="NE43" s="31" t="str">
        <f>IFERROR(VLOOKUP([2]Pointage!NI37,Feuil1!$A:$B,2,FALSE),"")</f>
        <v/>
      </c>
      <c r="NF43" s="48" t="str">
        <f>IFERROR(VLOOKUP([2]Pointage!NJ37,Feuil1!$A:$B,2,FALSE),"")</f>
        <v/>
      </c>
      <c r="NG43" s="52">
        <f>COUNTIF(Global!F43:NF43,"RTT")+(COUNTIF(Global!F43:NF43,"dRTT")/2)</f>
        <v>0</v>
      </c>
      <c r="NH43" s="42">
        <f>COUNTIF(Global!F43:NF43,"C")+(COUNTIF(Global!F43:NF43,"DC")/2)</f>
        <v>17</v>
      </c>
      <c r="NI43" s="42">
        <f>COUNTIF(Global!F43:NF43,"M")</f>
        <v>50</v>
      </c>
      <c r="NJ43" s="42">
        <f>COUNTIF(Global!G43:NG43,"AT")</f>
        <v>0</v>
      </c>
      <c r="NK43" s="42">
        <f>COUNTIF(Global!F43:NF43,"RD")</f>
        <v>0</v>
      </c>
      <c r="NL43" s="42">
        <f>COUNTIF(Global!F43:NF43,"RC")+(COUNTIF(Global!F43:NF43,"dRC")/2)</f>
        <v>0</v>
      </c>
      <c r="NM43" s="68">
        <f t="shared" ca="1" si="0"/>
        <v>2.6575342465753429</v>
      </c>
      <c r="NT43" s="33"/>
      <c r="NU43" s="33"/>
      <c r="NV43" s="28"/>
      <c r="NW43" s="28"/>
      <c r="NX43" s="29">
        <f>COUNTIF(F43:NF43,"C")++(COUNTIF(Global!F43:NF43,"DC")/2)</f>
        <v>17</v>
      </c>
      <c r="NY43" s="29"/>
      <c r="NZ43" s="29"/>
      <c r="OA43" s="29"/>
      <c r="OB43" s="29">
        <f>COUNTIF(Global!F43:NF43,"M")</f>
        <v>50</v>
      </c>
      <c r="OC43" s="30">
        <f t="shared" si="1"/>
        <v>-17</v>
      </c>
      <c r="OD43" s="30"/>
    </row>
    <row r="44" spans="1:394" ht="30" customHeight="1" x14ac:dyDescent="0.2">
      <c r="A44" s="15" t="s">
        <v>100</v>
      </c>
      <c r="B44" s="22" t="s">
        <v>233</v>
      </c>
      <c r="C44" s="22" t="s">
        <v>234</v>
      </c>
      <c r="D44" s="22" t="s">
        <v>235</v>
      </c>
      <c r="E44" s="44">
        <v>0</v>
      </c>
      <c r="F44" s="47" t="str">
        <f>IFERROR(VLOOKUP([2]Pointage!J38,Feuil1!$A:$B,2,FALSE),"")</f>
        <v>M</v>
      </c>
      <c r="G44" s="31" t="str">
        <f>IFERROR(VLOOKUP([2]Pointage!K38,Feuil1!$A:$B,2,FALSE),"")</f>
        <v>M</v>
      </c>
      <c r="H44" s="31" t="str">
        <f>IFERROR(VLOOKUP([2]Pointage!L38,Feuil1!$A:$B,2,FALSE),"")</f>
        <v>M</v>
      </c>
      <c r="I44" s="31" t="str">
        <f>IFERROR(VLOOKUP([2]Pointage!M38,Feuil1!$A:$B,2,FALSE),"")</f>
        <v>M</v>
      </c>
      <c r="J44" s="31" t="str">
        <f>IFERROR(VLOOKUP([2]Pointage!N38,Feuil1!$A:$B,2,FALSE),"")</f>
        <v>M</v>
      </c>
      <c r="K44" s="31" t="str">
        <f>IFERROR(VLOOKUP([2]Pointage!O38,Feuil1!$A:$B,2,FALSE),"")</f>
        <v>M</v>
      </c>
      <c r="L44" s="31" t="str">
        <f>IFERROR(VLOOKUP([2]Pointage!P38,Feuil1!$A:$B,2,FALSE),"")</f>
        <v>M</v>
      </c>
      <c r="M44" s="31" t="str">
        <f>IFERROR(VLOOKUP([2]Pointage!Q38,Feuil1!$A:$B,2,FALSE),"")</f>
        <v>M</v>
      </c>
      <c r="N44" s="31" t="str">
        <f>IFERROR(VLOOKUP([2]Pointage!R38,Feuil1!$A:$B,2,FALSE),"")</f>
        <v>M</v>
      </c>
      <c r="O44" s="31" t="str">
        <f>IFERROR(VLOOKUP([2]Pointage!S38,Feuil1!$A:$B,2,FALSE),"")</f>
        <v>M</v>
      </c>
      <c r="P44" s="31" t="str">
        <f>IFERROR(VLOOKUP([2]Pointage!T38,Feuil1!$A:$B,2,FALSE),"")</f>
        <v>M</v>
      </c>
      <c r="Q44" s="31" t="str">
        <f>IFERROR(VLOOKUP([2]Pointage!U38,Feuil1!$A:$B,2,FALSE),"")</f>
        <v>M</v>
      </c>
      <c r="R44" s="31" t="str">
        <f>IFERROR(VLOOKUP([2]Pointage!V38,Feuil1!$A:$B,2,FALSE),"")</f>
        <v>M</v>
      </c>
      <c r="S44" s="31" t="str">
        <f>IFERROR(VLOOKUP([2]Pointage!W38,Feuil1!$A:$B,2,FALSE),"")</f>
        <v>M</v>
      </c>
      <c r="T44" s="31" t="str">
        <f>IFERROR(VLOOKUP([2]Pointage!X38,Feuil1!$A:$B,2,FALSE),"")</f>
        <v>M</v>
      </c>
      <c r="U44" s="31" t="str">
        <f>IFERROR(VLOOKUP([2]Pointage!Y38,Feuil1!$A:$B,2,FALSE),"")</f>
        <v>M</v>
      </c>
      <c r="V44" s="31" t="str">
        <f>IFERROR(VLOOKUP([2]Pointage!Z38,Feuil1!$A:$B,2,FALSE),"")</f>
        <v>M</v>
      </c>
      <c r="W44" s="31" t="str">
        <f>IFERROR(VLOOKUP([2]Pointage!AA38,Feuil1!$A:$B,2,FALSE),"")</f>
        <v>M</v>
      </c>
      <c r="X44" s="31" t="str">
        <f>IFERROR(VLOOKUP([2]Pointage!AB38,Feuil1!$A:$B,2,FALSE),"")</f>
        <v>M</v>
      </c>
      <c r="Y44" s="31" t="str">
        <f>IFERROR(VLOOKUP([2]Pointage!AC38,Feuil1!$A:$B,2,FALSE),"")</f>
        <v>M</v>
      </c>
      <c r="Z44" s="31" t="str">
        <f>IFERROR(VLOOKUP([2]Pointage!AD38,Feuil1!$A:$B,2,FALSE),"")</f>
        <v>M</v>
      </c>
      <c r="AA44" s="31" t="str">
        <f>IFERROR(VLOOKUP([2]Pointage!AE38,Feuil1!$A:$B,2,FALSE),"")</f>
        <v>M</v>
      </c>
      <c r="AB44" s="31" t="str">
        <f>IFERROR(VLOOKUP([2]Pointage!AF38,Feuil1!$A:$B,2,FALSE),"")</f>
        <v>M</v>
      </c>
      <c r="AC44" s="31" t="str">
        <f>IFERROR(VLOOKUP([2]Pointage!AG38,Feuil1!$A:$B,2,FALSE),"")</f>
        <v>M</v>
      </c>
      <c r="AD44" s="31" t="str">
        <f>IFERROR(VLOOKUP([2]Pointage!AH38,Feuil1!$A:$B,2,FALSE),"")</f>
        <v>M</v>
      </c>
      <c r="AE44" s="31" t="str">
        <f>IFERROR(VLOOKUP([2]Pointage!AI38,Feuil1!$A:$B,2,FALSE),"")</f>
        <v>M</v>
      </c>
      <c r="AF44" s="31" t="str">
        <f>IFERROR(VLOOKUP([2]Pointage!AJ38,Feuil1!$A:$B,2,FALSE),"")</f>
        <v>M</v>
      </c>
      <c r="AG44" s="31" t="str">
        <f>IFERROR(VLOOKUP([2]Pointage!AK38,Feuil1!$A:$B,2,FALSE),"")</f>
        <v>M</v>
      </c>
      <c r="AH44" s="31" t="str">
        <f>IFERROR(VLOOKUP([2]Pointage!AL38,Feuil1!$A:$B,2,FALSE),"")</f>
        <v>M</v>
      </c>
      <c r="AI44" s="31" t="str">
        <f>IFERROR(VLOOKUP([2]Pointage!AM38,Feuil1!$A:$B,2,FALSE),"")</f>
        <v>M</v>
      </c>
      <c r="AJ44" s="82" t="str">
        <f>IFERROR(VLOOKUP([2]Pointage!AN38,Feuil1!$A:$B,2,FALSE),"")</f>
        <v>M</v>
      </c>
      <c r="AK44" s="47" t="str">
        <f>IFERROR(VLOOKUP([2]Pointage!AO38,Feuil1!$A:$B,2,FALSE),"")</f>
        <v>M</v>
      </c>
      <c r="AL44" s="31" t="str">
        <f>IFERROR(VLOOKUP([2]Pointage!AP38,Feuil1!$A:$B,2,FALSE),"")</f>
        <v>M</v>
      </c>
      <c r="AM44" s="31" t="str">
        <f>IFERROR(VLOOKUP([2]Pointage!AQ38,Feuil1!$A:$B,2,FALSE),"")</f>
        <v>M</v>
      </c>
      <c r="AN44" s="31" t="str">
        <f>IFERROR(VLOOKUP([2]Pointage!AR38,Feuil1!$A:$B,2,FALSE),"")</f>
        <v>M</v>
      </c>
      <c r="AO44" s="31" t="str">
        <f>IFERROR(VLOOKUP([2]Pointage!AS38,Feuil1!$A:$B,2,FALSE),"")</f>
        <v>M</v>
      </c>
      <c r="AP44" s="31" t="str">
        <f>IFERROR(VLOOKUP([2]Pointage!AT38,Feuil1!$A:$B,2,FALSE),"")</f>
        <v>M</v>
      </c>
      <c r="AQ44" s="31" t="str">
        <f>IFERROR(VLOOKUP([2]Pointage!AU38,Feuil1!$A:$B,2,FALSE),"")</f>
        <v>M</v>
      </c>
      <c r="AR44" s="31" t="str">
        <f>IFERROR(VLOOKUP([2]Pointage!AV38,Feuil1!$A:$B,2,FALSE),"")</f>
        <v>M</v>
      </c>
      <c r="AS44" s="31" t="str">
        <f>IFERROR(VLOOKUP([2]Pointage!AW38,Feuil1!$A:$B,2,FALSE),"")</f>
        <v>M</v>
      </c>
      <c r="AT44" s="31" t="str">
        <f>IFERROR(VLOOKUP([2]Pointage!AX38,Feuil1!$A:$B,2,FALSE),"")</f>
        <v>M</v>
      </c>
      <c r="AU44" s="31" t="str">
        <f>IFERROR(VLOOKUP([2]Pointage!AY38,Feuil1!$A:$B,2,FALSE),"")</f>
        <v>M</v>
      </c>
      <c r="AV44" s="31" t="str">
        <f>IFERROR(VLOOKUP([2]Pointage!AZ38,Feuil1!$A:$B,2,FALSE),"")</f>
        <v>M</v>
      </c>
      <c r="AW44" s="31" t="str">
        <f>IFERROR(VLOOKUP([2]Pointage!BA38,Feuil1!$A:$B,2,FALSE),"")</f>
        <v>M</v>
      </c>
      <c r="AX44" s="31" t="str">
        <f>IFERROR(VLOOKUP([2]Pointage!BB38,Feuil1!$A:$B,2,FALSE),"")</f>
        <v>M</v>
      </c>
      <c r="AY44" s="31" t="str">
        <f>IFERROR(VLOOKUP([2]Pointage!BC38,Feuil1!$A:$B,2,FALSE),"")</f>
        <v>M</v>
      </c>
      <c r="AZ44" s="31" t="str">
        <f>IFERROR(VLOOKUP([2]Pointage!BD38,Feuil1!$A:$B,2,FALSE),"")</f>
        <v>M</v>
      </c>
      <c r="BA44" s="31" t="str">
        <f>IFERROR(VLOOKUP([2]Pointage!BE38,Feuil1!$A:$B,2,FALSE),"")</f>
        <v>M</v>
      </c>
      <c r="BB44" s="31" t="str">
        <f>IFERROR(VLOOKUP([2]Pointage!BF38,Feuil1!$A:$B,2,FALSE),"")</f>
        <v>M</v>
      </c>
      <c r="BC44" s="31" t="str">
        <f>IFERROR(VLOOKUP([2]Pointage!BG38,Feuil1!$A:$B,2,FALSE),"")</f>
        <v>M</v>
      </c>
      <c r="BD44" s="31" t="str">
        <f>IFERROR(VLOOKUP([2]Pointage!BH38,Feuil1!$A:$B,2,FALSE),"")</f>
        <v>M</v>
      </c>
      <c r="BE44" s="31" t="str">
        <f>IFERROR(VLOOKUP([2]Pointage!BI38,Feuil1!$A:$B,2,FALSE),"")</f>
        <v>M</v>
      </c>
      <c r="BF44" s="31" t="str">
        <f>IFERROR(VLOOKUP([2]Pointage!BJ38,Feuil1!$A:$B,2,FALSE),"")</f>
        <v>M</v>
      </c>
      <c r="BG44" s="31" t="str">
        <f>IFERROR(VLOOKUP([2]Pointage!BK38,Feuil1!$A:$B,2,FALSE),"")</f>
        <v>M</v>
      </c>
      <c r="BH44" s="31" t="str">
        <f>IFERROR(VLOOKUP([2]Pointage!BL38,Feuil1!$A:$B,2,FALSE),"")</f>
        <v>M</v>
      </c>
      <c r="BI44" s="31" t="str">
        <f>IFERROR(VLOOKUP([2]Pointage!BM38,Feuil1!$A:$B,2,FALSE),"")</f>
        <v>M</v>
      </c>
      <c r="BJ44" s="31" t="str">
        <f>IFERROR(VLOOKUP([2]Pointage!BN38,Feuil1!$A:$B,2,FALSE),"")</f>
        <v>M</v>
      </c>
      <c r="BK44" s="31" t="str">
        <f>IFERROR(VLOOKUP([2]Pointage!BO38,Feuil1!$A:$B,2,FALSE),"")</f>
        <v>M</v>
      </c>
      <c r="BL44" s="82" t="str">
        <f>IFERROR(VLOOKUP([2]Pointage!BP38,Feuil1!$A:$B,2,FALSE),"")</f>
        <v>M</v>
      </c>
      <c r="BM44" s="47" t="str">
        <f>IFERROR(VLOOKUP([2]Pointage!BQ38,Feuil1!$A:$B,2,FALSE),"")</f>
        <v>M</v>
      </c>
      <c r="BN44" s="31" t="str">
        <f>IFERROR(VLOOKUP([2]Pointage!BR38,Feuil1!$A:$B,2,FALSE),"")</f>
        <v>M</v>
      </c>
      <c r="BO44" s="31" t="str">
        <f>IFERROR(VLOOKUP([2]Pointage!BS38,Feuil1!$A:$B,2,FALSE),"")</f>
        <v>M</v>
      </c>
      <c r="BP44" s="31" t="str">
        <f>IFERROR(VLOOKUP([2]Pointage!BT38,Feuil1!$A:$B,2,FALSE),"")</f>
        <v>M</v>
      </c>
      <c r="BQ44" s="31" t="str">
        <f>IFERROR(VLOOKUP([2]Pointage!BU38,Feuil1!$A:$B,2,FALSE),"")</f>
        <v>M</v>
      </c>
      <c r="BR44" s="31" t="str">
        <f>IFERROR(VLOOKUP([2]Pointage!BV38,Feuil1!$A:$B,2,FALSE),"")</f>
        <v>M</v>
      </c>
      <c r="BS44" s="31" t="str">
        <f>IFERROR(VLOOKUP([2]Pointage!BW38,Feuil1!$A:$B,2,FALSE),"")</f>
        <v>M</v>
      </c>
      <c r="BT44" s="31" t="str">
        <f>IFERROR(VLOOKUP([2]Pointage!BX38,Feuil1!$A:$B,2,FALSE),"")</f>
        <v>M</v>
      </c>
      <c r="BU44" s="31" t="str">
        <f>IFERROR(VLOOKUP([2]Pointage!BY38,Feuil1!$A:$B,2,FALSE),"")</f>
        <v>M</v>
      </c>
      <c r="BV44" s="31" t="str">
        <f>IFERROR(VLOOKUP([2]Pointage!BZ38,Feuil1!$A:$B,2,FALSE),"")</f>
        <v>M</v>
      </c>
      <c r="BW44" s="31" t="str">
        <f>IFERROR(VLOOKUP([2]Pointage!CA38,Feuil1!$A:$B,2,FALSE),"")</f>
        <v>M</v>
      </c>
      <c r="BX44" s="31" t="str">
        <f>IFERROR(VLOOKUP([2]Pointage!CB38,Feuil1!$A:$B,2,FALSE),"")</f>
        <v>M</v>
      </c>
      <c r="BY44" s="31" t="str">
        <f>IFERROR(VLOOKUP([2]Pointage!CC38,Feuil1!$A:$B,2,FALSE),"")</f>
        <v>M</v>
      </c>
      <c r="BZ44" s="31" t="str">
        <f>IFERROR(VLOOKUP([2]Pointage!CD38,Feuil1!$A:$B,2,FALSE),"")</f>
        <v>M</v>
      </c>
      <c r="CA44" s="31" t="str">
        <f>IFERROR(VLOOKUP([2]Pointage!CE38,Feuil1!$A:$B,2,FALSE),"")</f>
        <v>M</v>
      </c>
      <c r="CB44" s="31" t="str">
        <f>IFERROR(VLOOKUP([2]Pointage!CF38,Feuil1!$A:$B,2,FALSE),"")</f>
        <v>M</v>
      </c>
      <c r="CC44" s="31" t="str">
        <f>IFERROR(VLOOKUP([2]Pointage!CG38,Feuil1!$A:$B,2,FALSE),"")</f>
        <v>M</v>
      </c>
      <c r="CD44" s="31" t="str">
        <f>IFERROR(VLOOKUP([2]Pointage!CH38,Feuil1!$A:$B,2,FALSE),"")</f>
        <v>M</v>
      </c>
      <c r="CE44" s="31" t="str">
        <f>IFERROR(VLOOKUP([2]Pointage!CI38,Feuil1!$A:$B,2,FALSE),"")</f>
        <v>M</v>
      </c>
      <c r="CF44" s="31" t="str">
        <f>IFERROR(VLOOKUP([2]Pointage!CJ38,Feuil1!$A:$B,2,FALSE),"")</f>
        <v>M</v>
      </c>
      <c r="CG44" s="31" t="str">
        <f>IFERROR(VLOOKUP([2]Pointage!CK38,Feuil1!$A:$B,2,FALSE),"")</f>
        <v>M</v>
      </c>
      <c r="CH44" s="31" t="str">
        <f>IFERROR(VLOOKUP([2]Pointage!CL38,Feuil1!$A:$B,2,FALSE),"")</f>
        <v>M</v>
      </c>
      <c r="CI44" s="31" t="str">
        <f>IFERROR(VLOOKUP([2]Pointage!CM38,Feuil1!$A:$B,2,FALSE),"")</f>
        <v>M</v>
      </c>
      <c r="CJ44" s="31" t="str">
        <f>IFERROR(VLOOKUP([2]Pointage!CN38,Feuil1!$A:$B,2,FALSE),"")</f>
        <v>M</v>
      </c>
      <c r="CK44" s="31" t="str">
        <f>IFERROR(VLOOKUP([2]Pointage!CO38,Feuil1!$A:$B,2,FALSE),"")</f>
        <v>M</v>
      </c>
      <c r="CL44" s="31" t="str">
        <f>IFERROR(VLOOKUP([2]Pointage!CP38,Feuil1!$A:$B,2,FALSE),"")</f>
        <v>M</v>
      </c>
      <c r="CM44" s="31" t="str">
        <f>IFERROR(VLOOKUP([2]Pointage!CQ38,Feuil1!$A:$B,2,FALSE),"")</f>
        <v>M</v>
      </c>
      <c r="CN44" s="31" t="str">
        <f>IFERROR(VLOOKUP([2]Pointage!CR38,Feuil1!$A:$B,2,FALSE),"")</f>
        <v>M</v>
      </c>
      <c r="CO44" s="31" t="str">
        <f>IFERROR(VLOOKUP([2]Pointage!CS38,Feuil1!$A:$B,2,FALSE),"")</f>
        <v>M</v>
      </c>
      <c r="CP44" s="31" t="str">
        <f>IFERROR(VLOOKUP([2]Pointage!CT38,Feuil1!$A:$B,2,FALSE),"")</f>
        <v>M</v>
      </c>
      <c r="CQ44" s="82" t="str">
        <f>IFERROR(VLOOKUP([2]Pointage!CU38,Feuil1!$A:$B,2,FALSE),"")</f>
        <v>M</v>
      </c>
      <c r="CR44" s="47" t="str">
        <f>IFERROR(VLOOKUP([2]Pointage!CV38,Feuil1!$A:$B,2,FALSE),"")</f>
        <v>M</v>
      </c>
      <c r="CS44" s="31" t="str">
        <f>IFERROR(VLOOKUP([2]Pointage!CW38,Feuil1!$A:$B,2,FALSE),"")</f>
        <v>M</v>
      </c>
      <c r="CT44" s="31" t="str">
        <f>IFERROR(VLOOKUP([2]Pointage!CX38,Feuil1!$A:$B,2,FALSE),"")</f>
        <v>M</v>
      </c>
      <c r="CU44" s="31" t="str">
        <f>IFERROR(VLOOKUP([2]Pointage!CY38,Feuil1!$A:$B,2,FALSE),"")</f>
        <v>M</v>
      </c>
      <c r="CV44" s="31" t="str">
        <f>IFERROR(VLOOKUP([2]Pointage!CZ38,Feuil1!$A:$B,2,FALSE),"")</f>
        <v>M</v>
      </c>
      <c r="CW44" s="31" t="str">
        <f>IFERROR(VLOOKUP([2]Pointage!DA38,Feuil1!$A:$B,2,FALSE),"")</f>
        <v>M</v>
      </c>
      <c r="CX44" s="31" t="str">
        <f>IFERROR(VLOOKUP([2]Pointage!DB38,Feuil1!$A:$B,2,FALSE),"")</f>
        <v>M</v>
      </c>
      <c r="CY44" s="31" t="str">
        <f>IFERROR(VLOOKUP([2]Pointage!DC38,Feuil1!$A:$B,2,FALSE),"")</f>
        <v>M</v>
      </c>
      <c r="CZ44" s="31" t="str">
        <f>IFERROR(VLOOKUP([2]Pointage!DD38,Feuil1!$A:$B,2,FALSE),"")</f>
        <v>M</v>
      </c>
      <c r="DA44" s="31" t="str">
        <f>IFERROR(VLOOKUP([2]Pointage!DE38,Feuil1!$A:$B,2,FALSE),"")</f>
        <v>M</v>
      </c>
      <c r="DB44" s="31" t="str">
        <f>IFERROR(VLOOKUP([2]Pointage!DF38,Feuil1!$A:$B,2,FALSE),"")</f>
        <v>M</v>
      </c>
      <c r="DC44" s="31" t="str">
        <f>IFERROR(VLOOKUP([2]Pointage!DG38,Feuil1!$A:$B,2,FALSE),"")</f>
        <v>M</v>
      </c>
      <c r="DD44" s="31" t="str">
        <f>IFERROR(VLOOKUP([2]Pointage!DH38,Feuil1!$A:$B,2,FALSE),"")</f>
        <v>M</v>
      </c>
      <c r="DE44" s="31" t="str">
        <f>IFERROR(VLOOKUP([2]Pointage!DI38,Feuil1!$A:$B,2,FALSE),"")</f>
        <v>M</v>
      </c>
      <c r="DF44" s="31" t="str">
        <f>IFERROR(VLOOKUP([2]Pointage!DJ38,Feuil1!$A:$B,2,FALSE),"")</f>
        <v>M</v>
      </c>
      <c r="DG44" s="31" t="str">
        <f>IFERROR(VLOOKUP([2]Pointage!DK38,Feuil1!$A:$B,2,FALSE),"")</f>
        <v>M</v>
      </c>
      <c r="DH44" s="31" t="str">
        <f>IFERROR(VLOOKUP([2]Pointage!DL38,Feuil1!$A:$B,2,FALSE),"")</f>
        <v>M</v>
      </c>
      <c r="DI44" s="31" t="str">
        <f>IFERROR(VLOOKUP([2]Pointage!DM38,Feuil1!$A:$B,2,FALSE),"")</f>
        <v>M</v>
      </c>
      <c r="DJ44" s="31" t="str">
        <f>IFERROR(VLOOKUP([2]Pointage!DN38,Feuil1!$A:$B,2,FALSE),"")</f>
        <v>M</v>
      </c>
      <c r="DK44" s="31" t="str">
        <f>IFERROR(VLOOKUP([2]Pointage!DO38,Feuil1!$A:$B,2,FALSE),"")</f>
        <v>M</v>
      </c>
      <c r="DL44" s="31" t="str">
        <f>IFERROR(VLOOKUP([2]Pointage!DP38,Feuil1!$A:$B,2,FALSE),"")</f>
        <v>M</v>
      </c>
      <c r="DM44" s="31" t="str">
        <f>IFERROR(VLOOKUP([2]Pointage!DQ38,Feuil1!$A:$B,2,FALSE),"")</f>
        <v>M</v>
      </c>
      <c r="DN44" s="31" t="str">
        <f>IFERROR(VLOOKUP([2]Pointage!DR38,Feuil1!$A:$B,2,FALSE),"")</f>
        <v>M</v>
      </c>
      <c r="DO44" s="31" t="str">
        <f>IFERROR(VLOOKUP([2]Pointage!DS38,Feuil1!$A:$B,2,FALSE),"")</f>
        <v>M</v>
      </c>
      <c r="DP44" s="31" t="str">
        <f>IFERROR(VLOOKUP([2]Pointage!DT38,Feuil1!$A:$B,2,FALSE),"")</f>
        <v>M</v>
      </c>
      <c r="DQ44" s="31" t="str">
        <f>IFERROR(VLOOKUP([2]Pointage!DU38,Feuil1!$A:$B,2,FALSE),"")</f>
        <v>M</v>
      </c>
      <c r="DR44" s="31" t="str">
        <f>IFERROR(VLOOKUP([2]Pointage!DV38,Feuil1!$A:$B,2,FALSE),"")</f>
        <v>M</v>
      </c>
      <c r="DS44" s="31" t="str">
        <f>IFERROR(VLOOKUP([2]Pointage!DW38,Feuil1!$A:$B,2,FALSE),"")</f>
        <v>M</v>
      </c>
      <c r="DT44" s="31" t="str">
        <f>IFERROR(VLOOKUP([2]Pointage!DX38,Feuil1!$A:$B,2,FALSE),"")</f>
        <v>M</v>
      </c>
      <c r="DU44" s="82" t="str">
        <f>IFERROR(VLOOKUP([2]Pointage!DY38,Feuil1!$A:$B,2,FALSE),"")</f>
        <v>M</v>
      </c>
      <c r="DV44" s="47" t="str">
        <f>IFERROR(VLOOKUP([2]Pointage!DZ38,Feuil1!$A:$B,2,FALSE),"")</f>
        <v>M</v>
      </c>
      <c r="DW44" s="31" t="str">
        <f>IFERROR(VLOOKUP([2]Pointage!EA38,Feuil1!$A:$B,2,FALSE),"")</f>
        <v>M</v>
      </c>
      <c r="DX44" s="31" t="str">
        <f>IFERROR(VLOOKUP([2]Pointage!EB38,Feuil1!$A:$B,2,FALSE),"")</f>
        <v>M</v>
      </c>
      <c r="DY44" s="31" t="str">
        <f>IFERROR(VLOOKUP([2]Pointage!EC38,Feuil1!$A:$B,2,FALSE),"")</f>
        <v>M</v>
      </c>
      <c r="DZ44" s="31" t="str">
        <f>IFERROR(VLOOKUP([2]Pointage!ED38,Feuil1!$A:$B,2,FALSE),"")</f>
        <v>M</v>
      </c>
      <c r="EA44" s="31" t="str">
        <f>IFERROR(VLOOKUP([2]Pointage!EE38,Feuil1!$A:$B,2,FALSE),"")</f>
        <v>M</v>
      </c>
      <c r="EB44" s="31" t="str">
        <f>IFERROR(VLOOKUP([2]Pointage!EF38,Feuil1!$A:$B,2,FALSE),"")</f>
        <v>M</v>
      </c>
      <c r="EC44" s="31" t="str">
        <f>IFERROR(VLOOKUP([2]Pointage!EG38,Feuil1!$A:$B,2,FALSE),"")</f>
        <v>M</v>
      </c>
      <c r="ED44" s="31" t="str">
        <f>IFERROR(VLOOKUP([2]Pointage!EH38,Feuil1!$A:$B,2,FALSE),"")</f>
        <v>M</v>
      </c>
      <c r="EE44" s="31" t="str">
        <f>IFERROR(VLOOKUP([2]Pointage!EI38,Feuil1!$A:$B,2,FALSE),"")</f>
        <v>M</v>
      </c>
      <c r="EF44" s="31" t="str">
        <f>IFERROR(VLOOKUP([2]Pointage!EJ38,Feuil1!$A:$B,2,FALSE),"")</f>
        <v>M</v>
      </c>
      <c r="EG44" s="31" t="str">
        <f>IFERROR(VLOOKUP([2]Pointage!EK38,Feuil1!$A:$B,2,FALSE),"")</f>
        <v>M</v>
      </c>
      <c r="EH44" s="31" t="str">
        <f>IFERROR(VLOOKUP([2]Pointage!EL38,Feuil1!$A:$B,2,FALSE),"")</f>
        <v>M</v>
      </c>
      <c r="EI44" s="31" t="str">
        <f>IFERROR(VLOOKUP([2]Pointage!EM38,Feuil1!$A:$B,2,FALSE),"")</f>
        <v>M</v>
      </c>
      <c r="EJ44" s="31" t="str">
        <f>IFERROR(VLOOKUP([2]Pointage!EN38,Feuil1!$A:$B,2,FALSE),"")</f>
        <v>M</v>
      </c>
      <c r="EK44" s="31" t="str">
        <f>IFERROR(VLOOKUP([2]Pointage!EO38,Feuil1!$A:$B,2,FALSE),"")</f>
        <v>M</v>
      </c>
      <c r="EL44" s="31" t="str">
        <f>IFERROR(VLOOKUP([2]Pointage!EP38,Feuil1!$A:$B,2,FALSE),"")</f>
        <v>M</v>
      </c>
      <c r="EM44" s="31" t="str">
        <f>IFERROR(VLOOKUP([2]Pointage!EQ38,Feuil1!$A:$B,2,FALSE),"")</f>
        <v>M</v>
      </c>
      <c r="EN44" s="31" t="str">
        <f>IFERROR(VLOOKUP([2]Pointage!ER38,Feuil1!$A:$B,2,FALSE),"")</f>
        <v>M</v>
      </c>
      <c r="EO44" s="31" t="str">
        <f>IFERROR(VLOOKUP([2]Pointage!ES38,Feuil1!$A:$B,2,FALSE),"")</f>
        <v>M</v>
      </c>
      <c r="EP44" s="31" t="str">
        <f>IFERROR(VLOOKUP([2]Pointage!ET38,Feuil1!$A:$B,2,FALSE),"")</f>
        <v>M</v>
      </c>
      <c r="EQ44" s="31" t="str">
        <f>IFERROR(VLOOKUP([2]Pointage!EU38,Feuil1!$A:$B,2,FALSE),"")</f>
        <v>M</v>
      </c>
      <c r="ER44" s="31" t="str">
        <f>IFERROR(VLOOKUP([2]Pointage!EV38,Feuil1!$A:$B,2,FALSE),"")</f>
        <v>M</v>
      </c>
      <c r="ES44" s="31" t="str">
        <f>IFERROR(VLOOKUP([2]Pointage!EW38,Feuil1!$A:$B,2,FALSE),"")</f>
        <v>M</v>
      </c>
      <c r="ET44" s="31" t="str">
        <f>IFERROR(VLOOKUP([2]Pointage!EX38,Feuil1!$A:$B,2,FALSE),"")</f>
        <v>M</v>
      </c>
      <c r="EU44" s="31" t="str">
        <f>IFERROR(VLOOKUP([2]Pointage!EY38,Feuil1!$A:$B,2,FALSE),"")</f>
        <v>M</v>
      </c>
      <c r="EV44" s="31" t="str">
        <f>IFERROR(VLOOKUP([2]Pointage!EZ38,Feuil1!$A:$B,2,FALSE),"")</f>
        <v>M</v>
      </c>
      <c r="EW44" s="31" t="str">
        <f>IFERROR(VLOOKUP([2]Pointage!FA38,Feuil1!$A:$B,2,FALSE),"")</f>
        <v>M</v>
      </c>
      <c r="EX44" s="31" t="str">
        <f>IFERROR(VLOOKUP([2]Pointage!FB38,Feuil1!$A:$B,2,FALSE),"")</f>
        <v>M</v>
      </c>
      <c r="EY44" s="31" t="str">
        <f>IFERROR(VLOOKUP([2]Pointage!FC38,Feuil1!$A:$B,2,FALSE),"")</f>
        <v>M</v>
      </c>
      <c r="EZ44" s="82" t="str">
        <f>IFERROR(VLOOKUP([2]Pointage!FD38,Feuil1!$A:$B,2,FALSE),"")</f>
        <v>M</v>
      </c>
      <c r="FA44" s="47" t="str">
        <f>IFERROR(VLOOKUP([2]Pointage!FE38,Feuil1!$A:$B,2,FALSE),"")</f>
        <v>M</v>
      </c>
      <c r="FB44" s="31" t="str">
        <f>IFERROR(VLOOKUP([2]Pointage!FF38,Feuil1!$A:$B,2,FALSE),"")</f>
        <v>M</v>
      </c>
      <c r="FC44" s="31" t="str">
        <f>IFERROR(VLOOKUP([2]Pointage!FG38,Feuil1!$A:$B,2,FALSE),"")</f>
        <v>M</v>
      </c>
      <c r="FD44" s="31" t="str">
        <f>IFERROR(VLOOKUP([2]Pointage!FH38,Feuil1!$A:$B,2,FALSE),"")</f>
        <v>M</v>
      </c>
      <c r="FE44" s="31" t="str">
        <f>IFERROR(VLOOKUP([2]Pointage!FI38,Feuil1!$A:$B,2,FALSE),"")</f>
        <v>M</v>
      </c>
      <c r="FF44" s="31" t="str">
        <f>IFERROR(VLOOKUP([2]Pointage!FJ38,Feuil1!$A:$B,2,FALSE),"")</f>
        <v>M</v>
      </c>
      <c r="FG44" s="31" t="str">
        <f>IFERROR(VLOOKUP([2]Pointage!FK38,Feuil1!$A:$B,2,FALSE),"")</f>
        <v>M</v>
      </c>
      <c r="FH44" s="31" t="str">
        <f>IFERROR(VLOOKUP([2]Pointage!FL38,Feuil1!$A:$B,2,FALSE),"")</f>
        <v>M</v>
      </c>
      <c r="FI44" s="31" t="str">
        <f>IFERROR(VLOOKUP([2]Pointage!FM38,Feuil1!$A:$B,2,FALSE),"")</f>
        <v>M</v>
      </c>
      <c r="FJ44" s="31" t="str">
        <f>IFERROR(VLOOKUP([2]Pointage!FN38,Feuil1!$A:$B,2,FALSE),"")</f>
        <v>M</v>
      </c>
      <c r="FK44" s="31" t="str">
        <f>IFERROR(VLOOKUP([2]Pointage!FO38,Feuil1!$A:$B,2,FALSE),"")</f>
        <v>M</v>
      </c>
      <c r="FL44" s="31" t="str">
        <f>IFERROR(VLOOKUP([2]Pointage!FP38,Feuil1!$A:$B,2,FALSE),"")</f>
        <v>M</v>
      </c>
      <c r="FM44" s="31" t="str">
        <f>IFERROR(VLOOKUP([2]Pointage!FQ38,Feuil1!$A:$B,2,FALSE),"")</f>
        <v>M</v>
      </c>
      <c r="FN44" s="31" t="str">
        <f>IFERROR(VLOOKUP([2]Pointage!FR38,Feuil1!$A:$B,2,FALSE),"")</f>
        <v>M</v>
      </c>
      <c r="FO44" s="31" t="str">
        <f>IFERROR(VLOOKUP([2]Pointage!FS38,Feuil1!$A:$B,2,FALSE),"")</f>
        <v>M</v>
      </c>
      <c r="FP44" s="31" t="str">
        <f>IFERROR(VLOOKUP([2]Pointage!FT38,Feuil1!$A:$B,2,FALSE),"")</f>
        <v>M</v>
      </c>
      <c r="FQ44" s="31" t="str">
        <f>IFERROR(VLOOKUP([2]Pointage!FU38,Feuil1!$A:$B,2,FALSE),"")</f>
        <v>M</v>
      </c>
      <c r="FR44" s="31" t="str">
        <f>IFERROR(VLOOKUP([2]Pointage!FV38,Feuil1!$A:$B,2,FALSE),"")</f>
        <v>M</v>
      </c>
      <c r="FS44" s="31" t="str">
        <f>IFERROR(VLOOKUP([2]Pointage!FW38,Feuil1!$A:$B,2,FALSE),"")</f>
        <v>M</v>
      </c>
      <c r="FT44" s="31" t="str">
        <f>IFERROR(VLOOKUP([2]Pointage!FX38,Feuil1!$A:$B,2,FALSE),"")</f>
        <v>M</v>
      </c>
      <c r="FU44" s="31" t="str">
        <f>IFERROR(VLOOKUP([2]Pointage!FY38,Feuil1!$A:$B,2,FALSE),"")</f>
        <v>M</v>
      </c>
      <c r="FV44" s="31" t="str">
        <f>IFERROR(VLOOKUP([2]Pointage!FZ38,Feuil1!$A:$B,2,FALSE),"")</f>
        <v>M</v>
      </c>
      <c r="FW44" s="31" t="str">
        <f>IFERROR(VLOOKUP([2]Pointage!GA38,Feuil1!$A:$B,2,FALSE),"")</f>
        <v>M</v>
      </c>
      <c r="FX44" s="31" t="str">
        <f>IFERROR(VLOOKUP([2]Pointage!GB38,Feuil1!$A:$B,2,FALSE),"")</f>
        <v>M</v>
      </c>
      <c r="FY44" s="31" t="str">
        <f>IFERROR(VLOOKUP([2]Pointage!GC38,Feuil1!$A:$B,2,FALSE),"")</f>
        <v>M</v>
      </c>
      <c r="FZ44" s="31" t="str">
        <f>IFERROR(VLOOKUP([2]Pointage!GD38,Feuil1!$A:$B,2,FALSE),"")</f>
        <v>M</v>
      </c>
      <c r="GA44" s="31" t="str">
        <f>IFERROR(VLOOKUP([2]Pointage!GE38,Feuil1!$A:$B,2,FALSE),"")</f>
        <v>M</v>
      </c>
      <c r="GB44" s="31" t="str">
        <f>IFERROR(VLOOKUP([2]Pointage!GF38,Feuil1!$A:$B,2,FALSE),"")</f>
        <v>M</v>
      </c>
      <c r="GC44" s="31" t="str">
        <f>IFERROR(VLOOKUP([2]Pointage!GG38,Feuil1!$A:$B,2,FALSE),"")</f>
        <v>M</v>
      </c>
      <c r="GD44" s="82" t="str">
        <f>IFERROR(VLOOKUP([2]Pointage!GH38,Feuil1!$A:$B,2,FALSE),"")</f>
        <v/>
      </c>
      <c r="GE44" s="47" t="str">
        <f>IFERROR(VLOOKUP([2]Pointage!GI38,Feuil1!$A:$B,2,FALSE),"")</f>
        <v/>
      </c>
      <c r="GF44" s="31" t="str">
        <f>IFERROR(VLOOKUP([2]Pointage!GJ38,Feuil1!$A:$B,2,FALSE),"")</f>
        <v/>
      </c>
      <c r="GG44" s="31" t="str">
        <f>IFERROR(VLOOKUP([2]Pointage!GK38,Feuil1!$A:$B,2,FALSE),"")</f>
        <v/>
      </c>
      <c r="GH44" s="31" t="str">
        <f>IFERROR(VLOOKUP([2]Pointage!GL38,Feuil1!$A:$B,2,FALSE),"")</f>
        <v/>
      </c>
      <c r="GI44" s="31" t="str">
        <f>IFERROR(VLOOKUP([2]Pointage!GM38,Feuil1!$A:$B,2,FALSE),"")</f>
        <v/>
      </c>
      <c r="GJ44" s="31" t="str">
        <f>IFERROR(VLOOKUP([2]Pointage!GN38,Feuil1!$A:$B,2,FALSE),"")</f>
        <v/>
      </c>
      <c r="GK44" s="31" t="str">
        <f>IFERROR(VLOOKUP([2]Pointage!GO38,Feuil1!$A:$B,2,FALSE),"")</f>
        <v/>
      </c>
      <c r="GL44" s="31" t="str">
        <f>IFERROR(VLOOKUP([2]Pointage!GP38,Feuil1!$A:$B,2,FALSE),"")</f>
        <v/>
      </c>
      <c r="GM44" s="31" t="str">
        <f>IFERROR(VLOOKUP([2]Pointage!GQ38,Feuil1!$A:$B,2,FALSE),"")</f>
        <v/>
      </c>
      <c r="GN44" s="31" t="str">
        <f>IFERROR(VLOOKUP([2]Pointage!GR38,Feuil1!$A:$B,2,FALSE),"")</f>
        <v/>
      </c>
      <c r="GO44" s="31" t="str">
        <f>IFERROR(VLOOKUP([2]Pointage!GS38,Feuil1!$A:$B,2,FALSE),"")</f>
        <v/>
      </c>
      <c r="GP44" s="31" t="str">
        <f>IFERROR(VLOOKUP([2]Pointage!GT38,Feuil1!$A:$B,2,FALSE),"")</f>
        <v/>
      </c>
      <c r="GQ44" s="31" t="str">
        <f>IFERROR(VLOOKUP([2]Pointage!GU38,Feuil1!$A:$B,2,FALSE),"")</f>
        <v/>
      </c>
      <c r="GR44" s="31" t="str">
        <f>IFERROR(VLOOKUP([2]Pointage!GV38,Feuil1!$A:$B,2,FALSE),"")</f>
        <v/>
      </c>
      <c r="GS44" s="31" t="str">
        <f>IFERROR(VLOOKUP([2]Pointage!GW38,Feuil1!$A:$B,2,FALSE),"")</f>
        <v/>
      </c>
      <c r="GT44" s="31" t="str">
        <f>IFERROR(VLOOKUP([2]Pointage!GX38,Feuil1!$A:$B,2,FALSE),"")</f>
        <v/>
      </c>
      <c r="GU44" s="31" t="str">
        <f>IFERROR(VLOOKUP([2]Pointage!GY38,Feuil1!$A:$B,2,FALSE),"")</f>
        <v/>
      </c>
      <c r="GV44" s="31" t="str">
        <f>IFERROR(VLOOKUP([2]Pointage!GZ38,Feuil1!$A:$B,2,FALSE),"")</f>
        <v/>
      </c>
      <c r="GW44" s="31" t="str">
        <f>IFERROR(VLOOKUP([2]Pointage!HA38,Feuil1!$A:$B,2,FALSE),"")</f>
        <v/>
      </c>
      <c r="GX44" s="31" t="str">
        <f>IFERROR(VLOOKUP([2]Pointage!HB38,Feuil1!$A:$B,2,FALSE),"")</f>
        <v/>
      </c>
      <c r="GY44" s="31" t="str">
        <f>IFERROR(VLOOKUP([2]Pointage!HC38,Feuil1!$A:$B,2,FALSE),"")</f>
        <v/>
      </c>
      <c r="GZ44" s="31" t="str">
        <f>IFERROR(VLOOKUP([2]Pointage!HD38,Feuil1!$A:$B,2,FALSE),"")</f>
        <v/>
      </c>
      <c r="HA44" s="31" t="str">
        <f>IFERROR(VLOOKUP([2]Pointage!HE38,Feuil1!$A:$B,2,FALSE),"")</f>
        <v/>
      </c>
      <c r="HB44" s="31" t="str">
        <f>IFERROR(VLOOKUP([2]Pointage!HF38,Feuil1!$A:$B,2,FALSE),"")</f>
        <v/>
      </c>
      <c r="HC44" s="31" t="str">
        <f>IFERROR(VLOOKUP([2]Pointage!HG38,Feuil1!$A:$B,2,FALSE),"")</f>
        <v/>
      </c>
      <c r="HD44" s="31" t="str">
        <f>IFERROR(VLOOKUP([2]Pointage!HH38,Feuil1!$A:$B,2,FALSE),"")</f>
        <v/>
      </c>
      <c r="HE44" s="31" t="str">
        <f>IFERROR(VLOOKUP([2]Pointage!HI38,Feuil1!$A:$B,2,FALSE),"")</f>
        <v/>
      </c>
      <c r="HF44" s="31" t="str">
        <f>IFERROR(VLOOKUP([2]Pointage!HJ38,Feuil1!$A:$B,2,FALSE),"")</f>
        <v/>
      </c>
      <c r="HG44" s="31" t="str">
        <f>IFERROR(VLOOKUP([2]Pointage!HK38,Feuil1!$A:$B,2,FALSE),"")</f>
        <v/>
      </c>
      <c r="HH44" s="31" t="str">
        <f>IFERROR(VLOOKUP([2]Pointage!HL38,Feuil1!$A:$B,2,FALSE),"")</f>
        <v/>
      </c>
      <c r="HI44" s="82" t="str">
        <f>IFERROR(VLOOKUP([2]Pointage!HM38,Feuil1!$A:$B,2,FALSE),"")</f>
        <v/>
      </c>
      <c r="HJ44" s="47" t="str">
        <f>IFERROR(VLOOKUP([2]Pointage!HN38,Feuil1!$A:$B,2,FALSE),"")</f>
        <v/>
      </c>
      <c r="HK44" s="31" t="str">
        <f>IFERROR(VLOOKUP([2]Pointage!HO38,Feuil1!$A:$B,2,FALSE),"")</f>
        <v/>
      </c>
      <c r="HL44" s="31" t="str">
        <f>IFERROR(VLOOKUP([2]Pointage!HP38,Feuil1!$A:$B,2,FALSE),"")</f>
        <v/>
      </c>
      <c r="HM44" s="31" t="str">
        <f>IFERROR(VLOOKUP([2]Pointage!HQ38,Feuil1!$A:$B,2,FALSE),"")</f>
        <v/>
      </c>
      <c r="HN44" s="31" t="str">
        <f>IFERROR(VLOOKUP([2]Pointage!HR38,Feuil1!$A:$B,2,FALSE),"")</f>
        <v/>
      </c>
      <c r="HO44" s="31" t="str">
        <f>IFERROR(VLOOKUP([2]Pointage!HS38,Feuil1!$A:$B,2,FALSE),"")</f>
        <v/>
      </c>
      <c r="HP44" s="31" t="str">
        <f>IFERROR(VLOOKUP([2]Pointage!HT38,Feuil1!$A:$B,2,FALSE),"")</f>
        <v/>
      </c>
      <c r="HQ44" s="31" t="str">
        <f>IFERROR(VLOOKUP([2]Pointage!HU38,Feuil1!$A:$B,2,FALSE),"")</f>
        <v/>
      </c>
      <c r="HR44" s="31" t="str">
        <f>IFERROR(VLOOKUP([2]Pointage!HV38,Feuil1!$A:$B,2,FALSE),"")</f>
        <v/>
      </c>
      <c r="HS44" s="31" t="str">
        <f>IFERROR(VLOOKUP([2]Pointage!HW38,Feuil1!$A:$B,2,FALSE),"")</f>
        <v/>
      </c>
      <c r="HT44" s="31" t="str">
        <f>IFERROR(VLOOKUP([2]Pointage!HX38,Feuil1!$A:$B,2,FALSE),"")</f>
        <v/>
      </c>
      <c r="HU44" s="31" t="str">
        <f>IFERROR(VLOOKUP([2]Pointage!HY38,Feuil1!$A:$B,2,FALSE),"")</f>
        <v/>
      </c>
      <c r="HV44" s="31" t="str">
        <f>IFERROR(VLOOKUP([2]Pointage!HZ38,Feuil1!$A:$B,2,FALSE),"")</f>
        <v/>
      </c>
      <c r="HW44" s="31" t="str">
        <f>IFERROR(VLOOKUP([2]Pointage!IA38,Feuil1!$A:$B,2,FALSE),"")</f>
        <v/>
      </c>
      <c r="HX44" s="31" t="str">
        <f>IFERROR(VLOOKUP([2]Pointage!IB38,Feuil1!$A:$B,2,FALSE),"")</f>
        <v/>
      </c>
      <c r="HY44" s="31" t="str">
        <f>IFERROR(VLOOKUP([2]Pointage!IC38,Feuil1!$A:$B,2,FALSE),"")</f>
        <v/>
      </c>
      <c r="HZ44" s="31" t="str">
        <f>IFERROR(VLOOKUP([2]Pointage!ID38,Feuil1!$A:$B,2,FALSE),"")</f>
        <v/>
      </c>
      <c r="IA44" s="31" t="str">
        <f>IFERROR(VLOOKUP([2]Pointage!IE38,Feuil1!$A:$B,2,FALSE),"")</f>
        <v/>
      </c>
      <c r="IB44" s="31" t="str">
        <f>IFERROR(VLOOKUP([2]Pointage!IF38,Feuil1!$A:$B,2,FALSE),"")</f>
        <v/>
      </c>
      <c r="IC44" s="31" t="str">
        <f>IFERROR(VLOOKUP([2]Pointage!IG38,Feuil1!$A:$B,2,FALSE),"")</f>
        <v/>
      </c>
      <c r="ID44" s="31" t="str">
        <f>IFERROR(VLOOKUP([2]Pointage!IH38,Feuil1!$A:$B,2,FALSE),"")</f>
        <v/>
      </c>
      <c r="IE44" s="31" t="str">
        <f>IFERROR(VLOOKUP([2]Pointage!II38,Feuil1!$A:$B,2,FALSE),"")</f>
        <v/>
      </c>
      <c r="IF44" s="31" t="str">
        <f>IFERROR(VLOOKUP([2]Pointage!IJ38,Feuil1!$A:$B,2,FALSE),"")</f>
        <v/>
      </c>
      <c r="IG44" s="31" t="str">
        <f>IFERROR(VLOOKUP([2]Pointage!IK38,Feuil1!$A:$B,2,FALSE),"")</f>
        <v/>
      </c>
      <c r="IH44" s="31" t="str">
        <f>IFERROR(VLOOKUP([2]Pointage!IL38,Feuil1!$A:$B,2,FALSE),"")</f>
        <v/>
      </c>
      <c r="II44" s="31" t="str">
        <f>IFERROR(VLOOKUP([2]Pointage!IM38,Feuil1!$A:$B,2,FALSE),"")</f>
        <v/>
      </c>
      <c r="IJ44" s="31" t="str">
        <f>IFERROR(VLOOKUP([2]Pointage!IN38,Feuil1!$A:$B,2,FALSE),"")</f>
        <v/>
      </c>
      <c r="IK44" s="31" t="str">
        <f>IFERROR(VLOOKUP([2]Pointage!IO38,Feuil1!$A:$B,2,FALSE),"")</f>
        <v/>
      </c>
      <c r="IL44" s="31" t="str">
        <f>IFERROR(VLOOKUP([2]Pointage!IP38,Feuil1!$A:$B,2,FALSE),"")</f>
        <v/>
      </c>
      <c r="IM44" s="31" t="str">
        <f>IFERROR(VLOOKUP([2]Pointage!IQ38,Feuil1!$A:$B,2,FALSE),"")</f>
        <v/>
      </c>
      <c r="IN44" s="82" t="str">
        <f>IFERROR(VLOOKUP([2]Pointage!IR38,Feuil1!$A:$B,2,FALSE),"")</f>
        <v/>
      </c>
      <c r="IO44" s="47" t="str">
        <f>IFERROR(VLOOKUP([2]Pointage!IS38,Feuil1!$A:$B,2,FALSE),"")</f>
        <v/>
      </c>
      <c r="IP44" s="31" t="str">
        <f>IFERROR(VLOOKUP([2]Pointage!IT38,Feuil1!$A:$B,2,FALSE),"")</f>
        <v/>
      </c>
      <c r="IQ44" s="31" t="str">
        <f>IFERROR(VLOOKUP([2]Pointage!IU38,Feuil1!$A:$B,2,FALSE),"")</f>
        <v/>
      </c>
      <c r="IR44" s="31" t="str">
        <f>IFERROR(VLOOKUP([2]Pointage!IV38,Feuil1!$A:$B,2,FALSE),"")</f>
        <v/>
      </c>
      <c r="IS44" s="31" t="str">
        <f>IFERROR(VLOOKUP([2]Pointage!IW38,Feuil1!$A:$B,2,FALSE),"")</f>
        <v/>
      </c>
      <c r="IT44" s="31" t="str">
        <f>IFERROR(VLOOKUP([2]Pointage!IX38,Feuil1!$A:$B,2,FALSE),"")</f>
        <v/>
      </c>
      <c r="IU44" s="31" t="str">
        <f>IFERROR(VLOOKUP([2]Pointage!IY38,Feuil1!$A:$B,2,FALSE),"")</f>
        <v/>
      </c>
      <c r="IV44" s="31" t="str">
        <f>IFERROR(VLOOKUP([2]Pointage!IZ38,Feuil1!$A:$B,2,FALSE),"")</f>
        <v/>
      </c>
      <c r="IW44" s="31" t="str">
        <f>IFERROR(VLOOKUP([2]Pointage!JA38,Feuil1!$A:$B,2,FALSE),"")</f>
        <v/>
      </c>
      <c r="IX44" s="31" t="str">
        <f>IFERROR(VLOOKUP([2]Pointage!JB38,Feuil1!$A:$B,2,FALSE),"")</f>
        <v/>
      </c>
      <c r="IY44" s="31" t="str">
        <f>IFERROR(VLOOKUP([2]Pointage!JC38,Feuil1!$A:$B,2,FALSE),"")</f>
        <v/>
      </c>
      <c r="IZ44" s="31" t="str">
        <f>IFERROR(VLOOKUP([2]Pointage!JD38,Feuil1!$A:$B,2,FALSE),"")</f>
        <v/>
      </c>
      <c r="JA44" s="31" t="str">
        <f>IFERROR(VLOOKUP([2]Pointage!JE38,Feuil1!$A:$B,2,FALSE),"")</f>
        <v/>
      </c>
      <c r="JB44" s="31" t="str">
        <f>IFERROR(VLOOKUP([2]Pointage!JF38,Feuil1!$A:$B,2,FALSE),"")</f>
        <v/>
      </c>
      <c r="JC44" s="31" t="str">
        <f>IFERROR(VLOOKUP([2]Pointage!JG38,Feuil1!$A:$B,2,FALSE),"")</f>
        <v/>
      </c>
      <c r="JD44" s="31" t="str">
        <f>IFERROR(VLOOKUP([2]Pointage!JH38,Feuil1!$A:$B,2,FALSE),"")</f>
        <v/>
      </c>
      <c r="JE44" s="31" t="str">
        <f>IFERROR(VLOOKUP([2]Pointage!JI38,Feuil1!$A:$B,2,FALSE),"")</f>
        <v/>
      </c>
      <c r="JF44" s="31" t="str">
        <f>IFERROR(VLOOKUP([2]Pointage!JJ38,Feuil1!$A:$B,2,FALSE),"")</f>
        <v/>
      </c>
      <c r="JG44" s="31" t="str">
        <f>IFERROR(VLOOKUP([2]Pointage!JK38,Feuil1!$A:$B,2,FALSE),"")</f>
        <v/>
      </c>
      <c r="JH44" s="31" t="str">
        <f>IFERROR(VLOOKUP([2]Pointage!JL38,Feuil1!$A:$B,2,FALSE),"")</f>
        <v/>
      </c>
      <c r="JI44" s="31" t="str">
        <f>IFERROR(VLOOKUP([2]Pointage!JM38,Feuil1!$A:$B,2,FALSE),"")</f>
        <v/>
      </c>
      <c r="JJ44" s="31" t="str">
        <f>IFERROR(VLOOKUP([2]Pointage!JN38,Feuil1!$A:$B,2,FALSE),"")</f>
        <v/>
      </c>
      <c r="JK44" s="31" t="str">
        <f>IFERROR(VLOOKUP([2]Pointage!JO38,Feuil1!$A:$B,2,FALSE),"")</f>
        <v/>
      </c>
      <c r="JL44" s="31" t="str">
        <f>IFERROR(VLOOKUP([2]Pointage!JP38,Feuil1!$A:$B,2,FALSE),"")</f>
        <v/>
      </c>
      <c r="JM44" s="31" t="str">
        <f>IFERROR(VLOOKUP([2]Pointage!JQ38,Feuil1!$A:$B,2,FALSE),"")</f>
        <v/>
      </c>
      <c r="JN44" s="31" t="str">
        <f>IFERROR(VLOOKUP([2]Pointage!JR38,Feuil1!$A:$B,2,FALSE),"")</f>
        <v/>
      </c>
      <c r="JO44" s="31" t="str">
        <f>IFERROR(VLOOKUP([2]Pointage!JS38,Feuil1!$A:$B,2,FALSE),"")</f>
        <v/>
      </c>
      <c r="JP44" s="31" t="str">
        <f>IFERROR(VLOOKUP([2]Pointage!JT38,Feuil1!$A:$B,2,FALSE),"")</f>
        <v/>
      </c>
      <c r="JQ44" s="31" t="str">
        <f>IFERROR(VLOOKUP([2]Pointage!JU38,Feuil1!$A:$B,2,FALSE),"")</f>
        <v/>
      </c>
      <c r="JR44" s="82" t="str">
        <f>IFERROR(VLOOKUP([2]Pointage!JV38,Feuil1!$A:$B,2,FALSE),"")</f>
        <v/>
      </c>
      <c r="JS44" s="47" t="str">
        <f>IFERROR(VLOOKUP([2]Pointage!JW38,Feuil1!$A:$B,2,FALSE),"")</f>
        <v/>
      </c>
      <c r="JT44" s="31" t="str">
        <f>IFERROR(VLOOKUP([2]Pointage!JX38,Feuil1!$A:$B,2,FALSE),"")</f>
        <v/>
      </c>
      <c r="JU44" s="31" t="str">
        <f>IFERROR(VLOOKUP([2]Pointage!JY38,Feuil1!$A:$B,2,FALSE),"")</f>
        <v/>
      </c>
      <c r="JV44" s="31" t="str">
        <f>IFERROR(VLOOKUP([2]Pointage!JZ38,Feuil1!$A:$B,2,FALSE),"")</f>
        <v/>
      </c>
      <c r="JW44" s="31" t="str">
        <f>IFERROR(VLOOKUP([2]Pointage!KA38,Feuil1!$A:$B,2,FALSE),"")</f>
        <v/>
      </c>
      <c r="JX44" s="31" t="str">
        <f>IFERROR(VLOOKUP([2]Pointage!KB38,Feuil1!$A:$B,2,FALSE),"")</f>
        <v/>
      </c>
      <c r="JY44" s="31" t="str">
        <f>IFERROR(VLOOKUP([2]Pointage!KC38,Feuil1!$A:$B,2,FALSE),"")</f>
        <v/>
      </c>
      <c r="JZ44" s="31" t="str">
        <f>IFERROR(VLOOKUP([2]Pointage!KD38,Feuil1!$A:$B,2,FALSE),"")</f>
        <v/>
      </c>
      <c r="KA44" s="31" t="str">
        <f>IFERROR(VLOOKUP([2]Pointage!KE38,Feuil1!$A:$B,2,FALSE),"")</f>
        <v/>
      </c>
      <c r="KB44" s="31" t="str">
        <f>IFERROR(VLOOKUP([2]Pointage!KF38,Feuil1!$A:$B,2,FALSE),"")</f>
        <v/>
      </c>
      <c r="KC44" s="31" t="str">
        <f>IFERROR(VLOOKUP([2]Pointage!KG38,Feuil1!$A:$B,2,FALSE),"")</f>
        <v/>
      </c>
      <c r="KD44" s="31" t="str">
        <f>IFERROR(VLOOKUP([2]Pointage!KH38,Feuil1!$A:$B,2,FALSE),"")</f>
        <v/>
      </c>
      <c r="KE44" s="31" t="str">
        <f>IFERROR(VLOOKUP([2]Pointage!KI38,Feuil1!$A:$B,2,FALSE),"")</f>
        <v/>
      </c>
      <c r="KF44" s="31" t="str">
        <f>IFERROR(VLOOKUP([2]Pointage!KJ38,Feuil1!$A:$B,2,FALSE),"")</f>
        <v/>
      </c>
      <c r="KG44" s="31" t="str">
        <f>IFERROR(VLOOKUP([2]Pointage!KK38,Feuil1!$A:$B,2,FALSE),"")</f>
        <v/>
      </c>
      <c r="KH44" s="31" t="str">
        <f>IFERROR(VLOOKUP([2]Pointage!KL38,Feuil1!$A:$B,2,FALSE),"")</f>
        <v/>
      </c>
      <c r="KI44" s="31" t="str">
        <f>IFERROR(VLOOKUP([2]Pointage!KM38,Feuil1!$A:$B,2,FALSE),"")</f>
        <v/>
      </c>
      <c r="KJ44" s="31" t="str">
        <f>IFERROR(VLOOKUP([2]Pointage!KN38,Feuil1!$A:$B,2,FALSE),"")</f>
        <v/>
      </c>
      <c r="KK44" s="31" t="str">
        <f>IFERROR(VLOOKUP([2]Pointage!KO38,Feuil1!$A:$B,2,FALSE),"")</f>
        <v/>
      </c>
      <c r="KL44" s="31" t="str">
        <f>IFERROR(VLOOKUP([2]Pointage!KP38,Feuil1!$A:$B,2,FALSE),"")</f>
        <v/>
      </c>
      <c r="KM44" s="31" t="str">
        <f>IFERROR(VLOOKUP([2]Pointage!KQ38,Feuil1!$A:$B,2,FALSE),"")</f>
        <v/>
      </c>
      <c r="KN44" s="31" t="str">
        <f>IFERROR(VLOOKUP([2]Pointage!KR38,Feuil1!$A:$B,2,FALSE),"")</f>
        <v/>
      </c>
      <c r="KO44" s="31" t="str">
        <f>IFERROR(VLOOKUP([2]Pointage!KS38,Feuil1!$A:$B,2,FALSE),"")</f>
        <v/>
      </c>
      <c r="KP44" s="31" t="str">
        <f>IFERROR(VLOOKUP([2]Pointage!KT38,Feuil1!$A:$B,2,FALSE),"")</f>
        <v/>
      </c>
      <c r="KQ44" s="31" t="str">
        <f>IFERROR(VLOOKUP([2]Pointage!KU38,Feuil1!$A:$B,2,FALSE),"")</f>
        <v/>
      </c>
      <c r="KR44" s="31" t="str">
        <f>IFERROR(VLOOKUP([2]Pointage!KV38,Feuil1!$A:$B,2,FALSE),"")</f>
        <v/>
      </c>
      <c r="KS44" s="31" t="str">
        <f>IFERROR(VLOOKUP([2]Pointage!KW38,Feuil1!$A:$B,2,FALSE),"")</f>
        <v/>
      </c>
      <c r="KT44" s="31" t="str">
        <f>IFERROR(VLOOKUP([2]Pointage!KX38,Feuil1!$A:$B,2,FALSE),"")</f>
        <v/>
      </c>
      <c r="KU44" s="31" t="str">
        <f>IFERROR(VLOOKUP([2]Pointage!KY38,Feuil1!$A:$B,2,FALSE),"")</f>
        <v/>
      </c>
      <c r="KV44" s="31" t="str">
        <f>IFERROR(VLOOKUP([2]Pointage!KZ38,Feuil1!$A:$B,2,FALSE),"")</f>
        <v/>
      </c>
      <c r="KW44" s="82" t="str">
        <f>IFERROR(VLOOKUP([2]Pointage!LA38,Feuil1!$A:$B,2,FALSE),"")</f>
        <v/>
      </c>
      <c r="KX44" s="47" t="str">
        <f>IFERROR(VLOOKUP([2]Pointage!LB38,Feuil1!$A:$B,2,FALSE),"")</f>
        <v/>
      </c>
      <c r="KY44" s="31" t="str">
        <f>IFERROR(VLOOKUP([2]Pointage!LC38,Feuil1!$A:$B,2,FALSE),"")</f>
        <v/>
      </c>
      <c r="KZ44" s="31" t="str">
        <f>IFERROR(VLOOKUP([2]Pointage!LD38,Feuil1!$A:$B,2,FALSE),"")</f>
        <v/>
      </c>
      <c r="LA44" s="31" t="str">
        <f>IFERROR(VLOOKUP([2]Pointage!LE38,Feuil1!$A:$B,2,FALSE),"")</f>
        <v/>
      </c>
      <c r="LB44" s="31" t="str">
        <f>IFERROR(VLOOKUP([2]Pointage!LF38,Feuil1!$A:$B,2,FALSE),"")</f>
        <v/>
      </c>
      <c r="LC44" s="31" t="str">
        <f>IFERROR(VLOOKUP([2]Pointage!LG38,Feuil1!$A:$B,2,FALSE),"")</f>
        <v/>
      </c>
      <c r="LD44" s="31" t="str">
        <f>IFERROR(VLOOKUP([2]Pointage!LH38,Feuil1!$A:$B,2,FALSE),"")</f>
        <v/>
      </c>
      <c r="LE44" s="31" t="str">
        <f>IFERROR(VLOOKUP([2]Pointage!LI38,Feuil1!$A:$B,2,FALSE),"")</f>
        <v/>
      </c>
      <c r="LF44" s="31" t="str">
        <f>IFERROR(VLOOKUP([2]Pointage!LJ38,Feuil1!$A:$B,2,FALSE),"")</f>
        <v/>
      </c>
      <c r="LG44" s="31" t="str">
        <f>IFERROR(VLOOKUP([2]Pointage!LK38,Feuil1!$A:$B,2,FALSE),"")</f>
        <v/>
      </c>
      <c r="LH44" s="31" t="str">
        <f>IFERROR(VLOOKUP([2]Pointage!LL38,Feuil1!$A:$B,2,FALSE),"")</f>
        <v/>
      </c>
      <c r="LI44" s="31" t="str">
        <f>IFERROR(VLOOKUP([2]Pointage!LM38,Feuil1!$A:$B,2,FALSE),"")</f>
        <v/>
      </c>
      <c r="LJ44" s="31" t="str">
        <f>IFERROR(VLOOKUP([2]Pointage!LN38,Feuil1!$A:$B,2,FALSE),"")</f>
        <v/>
      </c>
      <c r="LK44" s="31" t="str">
        <f>IFERROR(VLOOKUP([2]Pointage!LO38,Feuil1!$A:$B,2,FALSE),"")</f>
        <v/>
      </c>
      <c r="LL44" s="31" t="str">
        <f>IFERROR(VLOOKUP([2]Pointage!LP38,Feuil1!$A:$B,2,FALSE),"")</f>
        <v/>
      </c>
      <c r="LM44" s="31" t="str">
        <f>IFERROR(VLOOKUP([2]Pointage!LQ38,Feuil1!$A:$B,2,FALSE),"")</f>
        <v/>
      </c>
      <c r="LN44" s="31" t="str">
        <f>IFERROR(VLOOKUP([2]Pointage!LR38,Feuil1!$A:$B,2,FALSE),"")</f>
        <v/>
      </c>
      <c r="LO44" s="31" t="str">
        <f>IFERROR(VLOOKUP([2]Pointage!LS38,Feuil1!$A:$B,2,FALSE),"")</f>
        <v/>
      </c>
      <c r="LP44" s="31" t="str">
        <f>IFERROR(VLOOKUP([2]Pointage!LT38,Feuil1!$A:$B,2,FALSE),"")</f>
        <v/>
      </c>
      <c r="LQ44" s="31" t="str">
        <f>IFERROR(VLOOKUP([2]Pointage!LU38,Feuil1!$A:$B,2,FALSE),"")</f>
        <v/>
      </c>
      <c r="LR44" s="31" t="str">
        <f>IFERROR(VLOOKUP([2]Pointage!LV38,Feuil1!$A:$B,2,FALSE),"")</f>
        <v/>
      </c>
      <c r="LS44" s="31" t="str">
        <f>IFERROR(VLOOKUP([2]Pointage!LW38,Feuil1!$A:$B,2,FALSE),"")</f>
        <v/>
      </c>
      <c r="LT44" s="31" t="str">
        <f>IFERROR(VLOOKUP([2]Pointage!LX38,Feuil1!$A:$B,2,FALSE),"")</f>
        <v/>
      </c>
      <c r="LU44" s="31" t="str">
        <f>IFERROR(VLOOKUP([2]Pointage!LY38,Feuil1!$A:$B,2,FALSE),"")</f>
        <v/>
      </c>
      <c r="LV44" s="31" t="str">
        <f>IFERROR(VLOOKUP([2]Pointage!LZ38,Feuil1!$A:$B,2,FALSE),"")</f>
        <v/>
      </c>
      <c r="LW44" s="31" t="str">
        <f>IFERROR(VLOOKUP([2]Pointage!MA38,Feuil1!$A:$B,2,FALSE),"")</f>
        <v/>
      </c>
      <c r="LX44" s="31" t="str">
        <f>IFERROR(VLOOKUP([2]Pointage!MB38,Feuil1!$A:$B,2,FALSE),"")</f>
        <v/>
      </c>
      <c r="LY44" s="31" t="str">
        <f>IFERROR(VLOOKUP([2]Pointage!MC38,Feuil1!$A:$B,2,FALSE),"")</f>
        <v/>
      </c>
      <c r="LZ44" s="31" t="str">
        <f>IFERROR(VLOOKUP([2]Pointage!MD38,Feuil1!$A:$B,2,FALSE),"")</f>
        <v/>
      </c>
      <c r="MA44" s="82" t="str">
        <f>IFERROR(VLOOKUP([2]Pointage!ME38,Feuil1!$A:$B,2,FALSE),"")</f>
        <v/>
      </c>
      <c r="MB44" s="47" t="str">
        <f>IFERROR(VLOOKUP([2]Pointage!MF38,Feuil1!$A:$B,2,FALSE),"")</f>
        <v/>
      </c>
      <c r="MC44" s="31" t="str">
        <f>IFERROR(VLOOKUP([2]Pointage!MG38,Feuil1!$A:$B,2,FALSE),"")</f>
        <v/>
      </c>
      <c r="MD44" s="31" t="str">
        <f>IFERROR(VLOOKUP([2]Pointage!MH38,Feuil1!$A:$B,2,FALSE),"")</f>
        <v/>
      </c>
      <c r="ME44" s="31" t="str">
        <f>IFERROR(VLOOKUP([2]Pointage!MI38,Feuil1!$A:$B,2,FALSE),"")</f>
        <v/>
      </c>
      <c r="MF44" s="31" t="str">
        <f>IFERROR(VLOOKUP([2]Pointage!MJ38,Feuil1!$A:$B,2,FALSE),"")</f>
        <v/>
      </c>
      <c r="MG44" s="31" t="str">
        <f>IFERROR(VLOOKUP([2]Pointage!MK38,Feuil1!$A:$B,2,FALSE),"")</f>
        <v/>
      </c>
      <c r="MH44" s="31" t="str">
        <f>IFERROR(VLOOKUP([2]Pointage!ML38,Feuil1!$A:$B,2,FALSE),"")</f>
        <v/>
      </c>
      <c r="MI44" s="31" t="str">
        <f>IFERROR(VLOOKUP([2]Pointage!MM38,Feuil1!$A:$B,2,FALSE),"")</f>
        <v/>
      </c>
      <c r="MJ44" s="31" t="str">
        <f>IFERROR(VLOOKUP([2]Pointage!MN38,Feuil1!$A:$B,2,FALSE),"")</f>
        <v/>
      </c>
      <c r="MK44" s="31" t="str">
        <f>IFERROR(VLOOKUP([2]Pointage!MO38,Feuil1!$A:$B,2,FALSE),"")</f>
        <v/>
      </c>
      <c r="ML44" s="31" t="str">
        <f>IFERROR(VLOOKUP([2]Pointage!MP38,Feuil1!$A:$B,2,FALSE),"")</f>
        <v/>
      </c>
      <c r="MM44" s="31" t="str">
        <f>IFERROR(VLOOKUP([2]Pointage!MQ38,Feuil1!$A:$B,2,FALSE),"")</f>
        <v/>
      </c>
      <c r="MN44" s="31" t="str">
        <f>IFERROR(VLOOKUP([2]Pointage!MR38,Feuil1!$A:$B,2,FALSE),"")</f>
        <v/>
      </c>
      <c r="MO44" s="31" t="str">
        <f>IFERROR(VLOOKUP([2]Pointage!MS38,Feuil1!$A:$B,2,FALSE),"")</f>
        <v/>
      </c>
      <c r="MP44" s="31" t="str">
        <f>IFERROR(VLOOKUP([2]Pointage!MT38,Feuil1!$A:$B,2,FALSE),"")</f>
        <v/>
      </c>
      <c r="MQ44" s="31" t="str">
        <f>IFERROR(VLOOKUP([2]Pointage!MU38,Feuil1!$A:$B,2,FALSE),"")</f>
        <v/>
      </c>
      <c r="MR44" s="31" t="str">
        <f>IFERROR(VLOOKUP([2]Pointage!MV38,Feuil1!$A:$B,2,FALSE),"")</f>
        <v/>
      </c>
      <c r="MS44" s="31" t="str">
        <f>IFERROR(VLOOKUP([2]Pointage!MW38,Feuil1!$A:$B,2,FALSE),"")</f>
        <v/>
      </c>
      <c r="MT44" s="31" t="str">
        <f>IFERROR(VLOOKUP([2]Pointage!MX38,Feuil1!$A:$B,2,FALSE),"")</f>
        <v/>
      </c>
      <c r="MU44" s="31" t="str">
        <f>IFERROR(VLOOKUP([2]Pointage!MY38,Feuil1!$A:$B,2,FALSE),"")</f>
        <v/>
      </c>
      <c r="MV44" s="31" t="str">
        <f>IFERROR(VLOOKUP([2]Pointage!MZ38,Feuil1!$A:$B,2,FALSE),"")</f>
        <v/>
      </c>
      <c r="MW44" s="31" t="str">
        <f>IFERROR(VLOOKUP([2]Pointage!NA38,Feuil1!$A:$B,2,FALSE),"")</f>
        <v/>
      </c>
      <c r="MX44" s="31" t="str">
        <f>IFERROR(VLOOKUP([2]Pointage!NB38,Feuil1!$A:$B,2,FALSE),"")</f>
        <v/>
      </c>
      <c r="MY44" s="31" t="str">
        <f>IFERROR(VLOOKUP([2]Pointage!NC38,Feuil1!$A:$B,2,FALSE),"")</f>
        <v/>
      </c>
      <c r="MZ44" s="31" t="str">
        <f>IFERROR(VLOOKUP([2]Pointage!ND38,Feuil1!$A:$B,2,FALSE),"")</f>
        <v/>
      </c>
      <c r="NA44" s="31" t="str">
        <f>IFERROR(VLOOKUP([2]Pointage!NE38,Feuil1!$A:$B,2,FALSE),"")</f>
        <v/>
      </c>
      <c r="NB44" s="31" t="str">
        <f>IFERROR(VLOOKUP([2]Pointage!NF38,Feuil1!$A:$B,2,FALSE),"")</f>
        <v/>
      </c>
      <c r="NC44" s="31" t="str">
        <f>IFERROR(VLOOKUP([2]Pointage!NG38,Feuil1!$A:$B,2,FALSE),"")</f>
        <v/>
      </c>
      <c r="ND44" s="31" t="str">
        <f>IFERROR(VLOOKUP([2]Pointage!NH38,Feuil1!$A:$B,2,FALSE),"")</f>
        <v/>
      </c>
      <c r="NE44" s="31" t="str">
        <f>IFERROR(VLOOKUP([2]Pointage!NI38,Feuil1!$A:$B,2,FALSE),"")</f>
        <v/>
      </c>
      <c r="NF44" s="48" t="str">
        <f>IFERROR(VLOOKUP([2]Pointage!NJ38,Feuil1!$A:$B,2,FALSE),"")</f>
        <v/>
      </c>
      <c r="NG44" s="52">
        <f>COUNTIF(Global!F44:NF44,"RTT")+(COUNTIF(Global!F44:NF44,"dRTT")/2)</f>
        <v>0</v>
      </c>
      <c r="NH44" s="42">
        <f>COUNTIF(Global!F44:NF44,"C")+(COUNTIF(Global!F44:NF44,"DC")/2)</f>
        <v>0</v>
      </c>
      <c r="NI44" s="42">
        <f>COUNTIF(Global!F44:NF44,"M")</f>
        <v>180</v>
      </c>
      <c r="NJ44" s="42">
        <f>COUNTIF(Global!G44:NG44,"AT")</f>
        <v>0</v>
      </c>
      <c r="NK44" s="42">
        <f>COUNTIF(Global!F44:NF44,"RD")</f>
        <v>0</v>
      </c>
      <c r="NL44" s="42">
        <f>COUNTIF(Global!F44:NF44,"RC")+(COUNTIF(Global!F44:NF44,"dRC")/2)</f>
        <v>0</v>
      </c>
      <c r="NM44" s="68">
        <f t="shared" ca="1" si="0"/>
        <v>-0.90410958904109595</v>
      </c>
      <c r="NT44" s="33"/>
      <c r="NU44" s="33"/>
      <c r="NV44" s="28"/>
      <c r="NW44" s="28"/>
      <c r="NX44" s="29">
        <f>COUNTIF(F44:NF44,"C")++(COUNTIF(Global!F44:NF44,"DC")/2)</f>
        <v>0</v>
      </c>
      <c r="NY44" s="29"/>
      <c r="NZ44" s="29"/>
      <c r="OA44" s="29"/>
      <c r="OB44" s="29">
        <f>COUNTIF(Global!F44:NF44,"M")</f>
        <v>180</v>
      </c>
      <c r="OC44" s="30">
        <f t="shared" si="1"/>
        <v>0</v>
      </c>
      <c r="OD44" s="30"/>
    </row>
    <row r="45" spans="1:394" ht="30" customHeight="1" x14ac:dyDescent="0.2">
      <c r="A45" s="15" t="s">
        <v>101</v>
      </c>
      <c r="B45" s="22" t="s">
        <v>236</v>
      </c>
      <c r="C45" s="22" t="s">
        <v>237</v>
      </c>
      <c r="D45" s="22" t="s">
        <v>238</v>
      </c>
      <c r="E45" s="44">
        <v>0</v>
      </c>
      <c r="F45" s="47" t="str">
        <f>IFERROR(VLOOKUP([2]Pointage!J39,Feuil1!$A:$B,2,FALSE),"")</f>
        <v/>
      </c>
      <c r="G45" s="31" t="str">
        <f>IFERROR(VLOOKUP([2]Pointage!K39,Feuil1!$A:$B,2,FALSE),"")</f>
        <v/>
      </c>
      <c r="H45" s="31" t="str">
        <f>IFERROR(VLOOKUP([2]Pointage!L39,Feuil1!$A:$B,2,FALSE),"")</f>
        <v/>
      </c>
      <c r="I45" s="31" t="str">
        <f>IFERROR(VLOOKUP([2]Pointage!M39,Feuil1!$A:$B,2,FALSE),"")</f>
        <v/>
      </c>
      <c r="J45" s="31" t="str">
        <f>IFERROR(VLOOKUP([2]Pointage!N39,Feuil1!$A:$B,2,FALSE),"")</f>
        <v/>
      </c>
      <c r="K45" s="31" t="str">
        <f>IFERROR(VLOOKUP([2]Pointage!O39,Feuil1!$A:$B,2,FALSE),"")</f>
        <v/>
      </c>
      <c r="L45" s="31" t="str">
        <f>IFERROR(VLOOKUP([2]Pointage!P39,Feuil1!$A:$B,2,FALSE),"")</f>
        <v/>
      </c>
      <c r="M45" s="31" t="str">
        <f>IFERROR(VLOOKUP([2]Pointage!Q39,Feuil1!$A:$B,2,FALSE),"")</f>
        <v/>
      </c>
      <c r="N45" s="31" t="str">
        <f>IFERROR(VLOOKUP([2]Pointage!R39,Feuil1!$A:$B,2,FALSE),"")</f>
        <v/>
      </c>
      <c r="O45" s="31" t="str">
        <f>IFERROR(VLOOKUP([2]Pointage!S39,Feuil1!$A:$B,2,FALSE),"")</f>
        <v/>
      </c>
      <c r="P45" s="31" t="str">
        <f>IFERROR(VLOOKUP([2]Pointage!T39,Feuil1!$A:$B,2,FALSE),"")</f>
        <v/>
      </c>
      <c r="Q45" s="31" t="str">
        <f>IFERROR(VLOOKUP([2]Pointage!U39,Feuil1!$A:$B,2,FALSE),"")</f>
        <v/>
      </c>
      <c r="R45" s="31" t="str">
        <f>IFERROR(VLOOKUP([2]Pointage!V39,Feuil1!$A:$B,2,FALSE),"")</f>
        <v/>
      </c>
      <c r="S45" s="31" t="str">
        <f>IFERROR(VLOOKUP([2]Pointage!W39,Feuil1!$A:$B,2,FALSE),"")</f>
        <v/>
      </c>
      <c r="T45" s="31" t="str">
        <f>IFERROR(VLOOKUP([2]Pointage!X39,Feuil1!$A:$B,2,FALSE),"")</f>
        <v/>
      </c>
      <c r="U45" s="31" t="str">
        <f>IFERROR(VLOOKUP([2]Pointage!Y39,Feuil1!$A:$B,2,FALSE),"")</f>
        <v/>
      </c>
      <c r="V45" s="31" t="str">
        <f>IFERROR(VLOOKUP([2]Pointage!Z39,Feuil1!$A:$B,2,FALSE),"")</f>
        <v/>
      </c>
      <c r="W45" s="31" t="str">
        <f>IFERROR(VLOOKUP([2]Pointage!AA39,Feuil1!$A:$B,2,FALSE),"")</f>
        <v/>
      </c>
      <c r="X45" s="31" t="str">
        <f>IFERROR(VLOOKUP([2]Pointage!AB39,Feuil1!$A:$B,2,FALSE),"")</f>
        <v/>
      </c>
      <c r="Y45" s="31" t="str">
        <f>IFERROR(VLOOKUP([2]Pointage!AC39,Feuil1!$A:$B,2,FALSE),"")</f>
        <v/>
      </c>
      <c r="Z45" s="31" t="str">
        <f>IFERROR(VLOOKUP([2]Pointage!AD39,Feuil1!$A:$B,2,FALSE),"")</f>
        <v/>
      </c>
      <c r="AA45" s="31" t="str">
        <f>IFERROR(VLOOKUP([2]Pointage!AE39,Feuil1!$A:$B,2,FALSE),"")</f>
        <v/>
      </c>
      <c r="AB45" s="31" t="str">
        <f>IFERROR(VLOOKUP([2]Pointage!AF39,Feuil1!$A:$B,2,FALSE),"")</f>
        <v/>
      </c>
      <c r="AC45" s="31" t="str">
        <f>IFERROR(VLOOKUP([2]Pointage!AG39,Feuil1!$A:$B,2,FALSE),"")</f>
        <v/>
      </c>
      <c r="AD45" s="31" t="str">
        <f>IFERROR(VLOOKUP([2]Pointage!AH39,Feuil1!$A:$B,2,FALSE),"")</f>
        <v/>
      </c>
      <c r="AE45" s="31" t="str">
        <f>IFERROR(VLOOKUP([2]Pointage!AI39,Feuil1!$A:$B,2,FALSE),"")</f>
        <v/>
      </c>
      <c r="AF45" s="31" t="str">
        <f>IFERROR(VLOOKUP([2]Pointage!AJ39,Feuil1!$A:$B,2,FALSE),"")</f>
        <v/>
      </c>
      <c r="AG45" s="31" t="str">
        <f>IFERROR(VLOOKUP([2]Pointage!AK39,Feuil1!$A:$B,2,FALSE),"")</f>
        <v/>
      </c>
      <c r="AH45" s="31" t="str">
        <f>IFERROR(VLOOKUP([2]Pointage!AL39,Feuil1!$A:$B,2,FALSE),"")</f>
        <v/>
      </c>
      <c r="AI45" s="31" t="str">
        <f>IFERROR(VLOOKUP([2]Pointage!AM39,Feuil1!$A:$B,2,FALSE),"")</f>
        <v/>
      </c>
      <c r="AJ45" s="82" t="str">
        <f>IFERROR(VLOOKUP([2]Pointage!AN39,Feuil1!$A:$B,2,FALSE),"")</f>
        <v/>
      </c>
      <c r="AK45" s="47" t="str">
        <f>IFERROR(VLOOKUP([2]Pointage!AO39,Feuil1!$A:$B,2,FALSE),"")</f>
        <v/>
      </c>
      <c r="AL45" s="31" t="str">
        <f>IFERROR(VLOOKUP([2]Pointage!AP39,Feuil1!$A:$B,2,FALSE),"")</f>
        <v/>
      </c>
      <c r="AM45" s="31" t="str">
        <f>IFERROR(VLOOKUP([2]Pointage!AQ39,Feuil1!$A:$B,2,FALSE),"")</f>
        <v/>
      </c>
      <c r="AN45" s="31" t="str">
        <f>IFERROR(VLOOKUP([2]Pointage!AR39,Feuil1!$A:$B,2,FALSE),"")</f>
        <v/>
      </c>
      <c r="AO45" s="31" t="str">
        <f>IFERROR(VLOOKUP([2]Pointage!AS39,Feuil1!$A:$B,2,FALSE),"")</f>
        <v/>
      </c>
      <c r="AP45" s="31" t="str">
        <f>IFERROR(VLOOKUP([2]Pointage!AT39,Feuil1!$A:$B,2,FALSE),"")</f>
        <v/>
      </c>
      <c r="AQ45" s="31" t="str">
        <f>IFERROR(VLOOKUP([2]Pointage!AU39,Feuil1!$A:$B,2,FALSE),"")</f>
        <v/>
      </c>
      <c r="AR45" s="31" t="str">
        <f>IFERROR(VLOOKUP([2]Pointage!AV39,Feuil1!$A:$B,2,FALSE),"")</f>
        <v/>
      </c>
      <c r="AS45" s="31" t="str">
        <f>IFERROR(VLOOKUP([2]Pointage!AW39,Feuil1!$A:$B,2,FALSE),"")</f>
        <v/>
      </c>
      <c r="AT45" s="31" t="str">
        <f>IFERROR(VLOOKUP([2]Pointage!AX39,Feuil1!$A:$B,2,FALSE),"")</f>
        <v/>
      </c>
      <c r="AU45" s="31" t="str">
        <f>IFERROR(VLOOKUP([2]Pointage!AY39,Feuil1!$A:$B,2,FALSE),"")</f>
        <v/>
      </c>
      <c r="AV45" s="31" t="str">
        <f>IFERROR(VLOOKUP([2]Pointage!AZ39,Feuil1!$A:$B,2,FALSE),"")</f>
        <v/>
      </c>
      <c r="AW45" s="31" t="str">
        <f>IFERROR(VLOOKUP([2]Pointage!BA39,Feuil1!$A:$B,2,FALSE),"")</f>
        <v/>
      </c>
      <c r="AX45" s="31" t="str">
        <f>IFERROR(VLOOKUP([2]Pointage!BB39,Feuil1!$A:$B,2,FALSE),"")</f>
        <v/>
      </c>
      <c r="AY45" s="31" t="str">
        <f>IFERROR(VLOOKUP([2]Pointage!BC39,Feuil1!$A:$B,2,FALSE),"")</f>
        <v/>
      </c>
      <c r="AZ45" s="31" t="str">
        <f>IFERROR(VLOOKUP([2]Pointage!BD39,Feuil1!$A:$B,2,FALSE),"")</f>
        <v/>
      </c>
      <c r="BA45" s="31" t="str">
        <f>IFERROR(VLOOKUP([2]Pointage!BE39,Feuil1!$A:$B,2,FALSE),"")</f>
        <v/>
      </c>
      <c r="BB45" s="31" t="str">
        <f>IFERROR(VLOOKUP([2]Pointage!BF39,Feuil1!$A:$B,2,FALSE),"")</f>
        <v/>
      </c>
      <c r="BC45" s="31" t="str">
        <f>IFERROR(VLOOKUP([2]Pointage!BG39,Feuil1!$A:$B,2,FALSE),"")</f>
        <v/>
      </c>
      <c r="BD45" s="31" t="str">
        <f>IFERROR(VLOOKUP([2]Pointage!BH39,Feuil1!$A:$B,2,FALSE),"")</f>
        <v/>
      </c>
      <c r="BE45" s="31" t="str">
        <f>IFERROR(VLOOKUP([2]Pointage!BI39,Feuil1!$A:$B,2,FALSE),"")</f>
        <v/>
      </c>
      <c r="BF45" s="31" t="str">
        <f>IFERROR(VLOOKUP([2]Pointage!BJ39,Feuil1!$A:$B,2,FALSE),"")</f>
        <v/>
      </c>
      <c r="BG45" s="31" t="str">
        <f>IFERROR(VLOOKUP([2]Pointage!BK39,Feuil1!$A:$B,2,FALSE),"")</f>
        <v/>
      </c>
      <c r="BH45" s="31" t="str">
        <f>IFERROR(VLOOKUP([2]Pointage!BL39,Feuil1!$A:$B,2,FALSE),"")</f>
        <v/>
      </c>
      <c r="BI45" s="31" t="str">
        <f>IFERROR(VLOOKUP([2]Pointage!BM39,Feuil1!$A:$B,2,FALSE),"")</f>
        <v/>
      </c>
      <c r="BJ45" s="31" t="str">
        <f>IFERROR(VLOOKUP([2]Pointage!BN39,Feuil1!$A:$B,2,FALSE),"")</f>
        <v/>
      </c>
      <c r="BK45" s="31" t="str">
        <f>IFERROR(VLOOKUP([2]Pointage!BO39,Feuil1!$A:$B,2,FALSE),"")</f>
        <v/>
      </c>
      <c r="BL45" s="82" t="str">
        <f>IFERROR(VLOOKUP([2]Pointage!BP39,Feuil1!$A:$B,2,FALSE),"")</f>
        <v/>
      </c>
      <c r="BM45" s="47" t="str">
        <f>IFERROR(VLOOKUP([2]Pointage!BQ39,Feuil1!$A:$B,2,FALSE),"")</f>
        <v/>
      </c>
      <c r="BN45" s="31" t="str">
        <f>IFERROR(VLOOKUP([2]Pointage!BR39,Feuil1!$A:$B,2,FALSE),"")</f>
        <v/>
      </c>
      <c r="BO45" s="31" t="str">
        <f>IFERROR(VLOOKUP([2]Pointage!BS39,Feuil1!$A:$B,2,FALSE),"")</f>
        <v/>
      </c>
      <c r="BP45" s="31" t="str">
        <f>IFERROR(VLOOKUP([2]Pointage!BT39,Feuil1!$A:$B,2,FALSE),"")</f>
        <v/>
      </c>
      <c r="BQ45" s="31" t="str">
        <f>IFERROR(VLOOKUP([2]Pointage!BU39,Feuil1!$A:$B,2,FALSE),"")</f>
        <v/>
      </c>
      <c r="BR45" s="31" t="str">
        <f>IFERROR(VLOOKUP([2]Pointage!BV39,Feuil1!$A:$B,2,FALSE),"")</f>
        <v/>
      </c>
      <c r="BS45" s="31" t="str">
        <f>IFERROR(VLOOKUP([2]Pointage!BW39,Feuil1!$A:$B,2,FALSE),"")</f>
        <v/>
      </c>
      <c r="BT45" s="31" t="str">
        <f>IFERROR(VLOOKUP([2]Pointage!BX39,Feuil1!$A:$B,2,FALSE),"")</f>
        <v/>
      </c>
      <c r="BU45" s="31" t="str">
        <f>IFERROR(VLOOKUP([2]Pointage!BY39,Feuil1!$A:$B,2,FALSE),"")</f>
        <v/>
      </c>
      <c r="BV45" s="31" t="str">
        <f>IFERROR(VLOOKUP([2]Pointage!BZ39,Feuil1!$A:$B,2,FALSE),"")</f>
        <v/>
      </c>
      <c r="BW45" s="31" t="str">
        <f>IFERROR(VLOOKUP([2]Pointage!CA39,Feuil1!$A:$B,2,FALSE),"")</f>
        <v/>
      </c>
      <c r="BX45" s="31" t="str">
        <f>IFERROR(VLOOKUP([2]Pointage!CB39,Feuil1!$A:$B,2,FALSE),"")</f>
        <v/>
      </c>
      <c r="BY45" s="31" t="str">
        <f>IFERROR(VLOOKUP([2]Pointage!CC39,Feuil1!$A:$B,2,FALSE),"")</f>
        <v/>
      </c>
      <c r="BZ45" s="31" t="str">
        <f>IFERROR(VLOOKUP([2]Pointage!CD39,Feuil1!$A:$B,2,FALSE),"")</f>
        <v/>
      </c>
      <c r="CA45" s="31" t="str">
        <f>IFERROR(VLOOKUP([2]Pointage!CE39,Feuil1!$A:$B,2,FALSE),"")</f>
        <v/>
      </c>
      <c r="CB45" s="31" t="str">
        <f>IFERROR(VLOOKUP([2]Pointage!CF39,Feuil1!$A:$B,2,FALSE),"")</f>
        <v/>
      </c>
      <c r="CC45" s="31" t="str">
        <f>IFERROR(VLOOKUP([2]Pointage!CG39,Feuil1!$A:$B,2,FALSE),"")</f>
        <v/>
      </c>
      <c r="CD45" s="31" t="str">
        <f>IFERROR(VLOOKUP([2]Pointage!CH39,Feuil1!$A:$B,2,FALSE),"")</f>
        <v/>
      </c>
      <c r="CE45" s="31" t="str">
        <f>IFERROR(VLOOKUP([2]Pointage!CI39,Feuil1!$A:$B,2,FALSE),"")</f>
        <v/>
      </c>
      <c r="CF45" s="31" t="str">
        <f>IFERROR(VLOOKUP([2]Pointage!CJ39,Feuil1!$A:$B,2,FALSE),"")</f>
        <v/>
      </c>
      <c r="CG45" s="31" t="str">
        <f>IFERROR(VLOOKUP([2]Pointage!CK39,Feuil1!$A:$B,2,FALSE),"")</f>
        <v/>
      </c>
      <c r="CH45" s="31" t="str">
        <f>IFERROR(VLOOKUP([2]Pointage!CL39,Feuil1!$A:$B,2,FALSE),"")</f>
        <v/>
      </c>
      <c r="CI45" s="31" t="str">
        <f>IFERROR(VLOOKUP([2]Pointage!CM39,Feuil1!$A:$B,2,FALSE),"")</f>
        <v/>
      </c>
      <c r="CJ45" s="31" t="str">
        <f>IFERROR(VLOOKUP([2]Pointage!CN39,Feuil1!$A:$B,2,FALSE),"")</f>
        <v/>
      </c>
      <c r="CK45" s="31" t="str">
        <f>IFERROR(VLOOKUP([2]Pointage!CO39,Feuil1!$A:$B,2,FALSE),"")</f>
        <v/>
      </c>
      <c r="CL45" s="31" t="str">
        <f>IFERROR(VLOOKUP([2]Pointage!CP39,Feuil1!$A:$B,2,FALSE),"")</f>
        <v/>
      </c>
      <c r="CM45" s="31" t="str">
        <f>IFERROR(VLOOKUP([2]Pointage!CQ39,Feuil1!$A:$B,2,FALSE),"")</f>
        <v/>
      </c>
      <c r="CN45" s="31" t="str">
        <f>IFERROR(VLOOKUP([2]Pointage!CR39,Feuil1!$A:$B,2,FALSE),"")</f>
        <v>C</v>
      </c>
      <c r="CO45" s="31" t="str">
        <f>IFERROR(VLOOKUP([2]Pointage!CS39,Feuil1!$A:$B,2,FALSE),"")</f>
        <v/>
      </c>
      <c r="CP45" s="31" t="str">
        <f>IFERROR(VLOOKUP([2]Pointage!CT39,Feuil1!$A:$B,2,FALSE),"")</f>
        <v/>
      </c>
      <c r="CQ45" s="82" t="str">
        <f>IFERROR(VLOOKUP([2]Pointage!CU39,Feuil1!$A:$B,2,FALSE),"")</f>
        <v/>
      </c>
      <c r="CR45" s="47" t="str">
        <f>IFERROR(VLOOKUP([2]Pointage!CV39,Feuil1!$A:$B,2,FALSE),"")</f>
        <v/>
      </c>
      <c r="CS45" s="31" t="str">
        <f>IFERROR(VLOOKUP([2]Pointage!CW39,Feuil1!$A:$B,2,FALSE),"")</f>
        <v/>
      </c>
      <c r="CT45" s="31" t="str">
        <f>IFERROR(VLOOKUP([2]Pointage!CX39,Feuil1!$A:$B,2,FALSE),"")</f>
        <v/>
      </c>
      <c r="CU45" s="31" t="str">
        <f>IFERROR(VLOOKUP([2]Pointage!CY39,Feuil1!$A:$B,2,FALSE),"")</f>
        <v/>
      </c>
      <c r="CV45" s="31" t="str">
        <f>IFERROR(VLOOKUP([2]Pointage!CZ39,Feuil1!$A:$B,2,FALSE),"")</f>
        <v/>
      </c>
      <c r="CW45" s="31" t="str">
        <f>IFERROR(VLOOKUP([2]Pointage!DA39,Feuil1!$A:$B,2,FALSE),"")</f>
        <v/>
      </c>
      <c r="CX45" s="31" t="str">
        <f>IFERROR(VLOOKUP([2]Pointage!DB39,Feuil1!$A:$B,2,FALSE),"")</f>
        <v/>
      </c>
      <c r="CY45" s="31" t="str">
        <f>IFERROR(VLOOKUP([2]Pointage!DC39,Feuil1!$A:$B,2,FALSE),"")</f>
        <v/>
      </c>
      <c r="CZ45" s="31" t="str">
        <f>IFERROR(VLOOKUP([2]Pointage!DD39,Feuil1!$A:$B,2,FALSE),"")</f>
        <v/>
      </c>
      <c r="DA45" s="31" t="str">
        <f>IFERROR(VLOOKUP([2]Pointage!DE39,Feuil1!$A:$B,2,FALSE),"")</f>
        <v/>
      </c>
      <c r="DB45" s="31" t="str">
        <f>IFERROR(VLOOKUP([2]Pointage!DF39,Feuil1!$A:$B,2,FALSE),"")</f>
        <v/>
      </c>
      <c r="DC45" s="31" t="str">
        <f>IFERROR(VLOOKUP([2]Pointage!DG39,Feuil1!$A:$B,2,FALSE),"")</f>
        <v/>
      </c>
      <c r="DD45" s="31" t="str">
        <f>IFERROR(VLOOKUP([2]Pointage!DH39,Feuil1!$A:$B,2,FALSE),"")</f>
        <v/>
      </c>
      <c r="DE45" s="31" t="str">
        <f>IFERROR(VLOOKUP([2]Pointage!DI39,Feuil1!$A:$B,2,FALSE),"")</f>
        <v/>
      </c>
      <c r="DF45" s="31" t="str">
        <f>IFERROR(VLOOKUP([2]Pointage!DJ39,Feuil1!$A:$B,2,FALSE),"")</f>
        <v/>
      </c>
      <c r="DG45" s="31" t="str">
        <f>IFERROR(VLOOKUP([2]Pointage!DK39,Feuil1!$A:$B,2,FALSE),"")</f>
        <v>C</v>
      </c>
      <c r="DH45" s="31" t="str">
        <f>IFERROR(VLOOKUP([2]Pointage!DL39,Feuil1!$A:$B,2,FALSE),"")</f>
        <v>C</v>
      </c>
      <c r="DI45" s="31" t="str">
        <f>IFERROR(VLOOKUP([2]Pointage!DM39,Feuil1!$A:$B,2,FALSE),"")</f>
        <v>C</v>
      </c>
      <c r="DJ45" s="31" t="str">
        <f>IFERROR(VLOOKUP([2]Pointage!DN39,Feuil1!$A:$B,2,FALSE),"")</f>
        <v>C</v>
      </c>
      <c r="DK45" s="31" t="str">
        <f>IFERROR(VLOOKUP([2]Pointage!DO39,Feuil1!$A:$B,2,FALSE),"")</f>
        <v>C</v>
      </c>
      <c r="DL45" s="31" t="str">
        <f>IFERROR(VLOOKUP([2]Pointage!DP39,Feuil1!$A:$B,2,FALSE),"")</f>
        <v/>
      </c>
      <c r="DM45" s="31" t="str">
        <f>IFERROR(VLOOKUP([2]Pointage!DQ39,Feuil1!$A:$B,2,FALSE),"")</f>
        <v/>
      </c>
      <c r="DN45" s="31" t="str">
        <f>IFERROR(VLOOKUP([2]Pointage!DR39,Feuil1!$A:$B,2,FALSE),"")</f>
        <v/>
      </c>
      <c r="DO45" s="31" t="str">
        <f>IFERROR(VLOOKUP([2]Pointage!DS39,Feuil1!$A:$B,2,FALSE),"")</f>
        <v/>
      </c>
      <c r="DP45" s="31" t="str">
        <f>IFERROR(VLOOKUP([2]Pointage!DT39,Feuil1!$A:$B,2,FALSE),"")</f>
        <v/>
      </c>
      <c r="DQ45" s="31" t="str">
        <f>IFERROR(VLOOKUP([2]Pointage!DU39,Feuil1!$A:$B,2,FALSE),"")</f>
        <v/>
      </c>
      <c r="DR45" s="31" t="str">
        <f>IFERROR(VLOOKUP([2]Pointage!DV39,Feuil1!$A:$B,2,FALSE),"")</f>
        <v/>
      </c>
      <c r="DS45" s="31" t="str">
        <f>IFERROR(VLOOKUP([2]Pointage!DW39,Feuil1!$A:$B,2,FALSE),"")</f>
        <v/>
      </c>
      <c r="DT45" s="31" t="str">
        <f>IFERROR(VLOOKUP([2]Pointage!DX39,Feuil1!$A:$B,2,FALSE),"")</f>
        <v/>
      </c>
      <c r="DU45" s="82" t="str">
        <f>IFERROR(VLOOKUP([2]Pointage!DY39,Feuil1!$A:$B,2,FALSE),"")</f>
        <v/>
      </c>
      <c r="DV45" s="47" t="str">
        <f>IFERROR(VLOOKUP([2]Pointage!DZ39,Feuil1!$A:$B,2,FALSE),"")</f>
        <v/>
      </c>
      <c r="DW45" s="31" t="str">
        <f>IFERROR(VLOOKUP([2]Pointage!EA39,Feuil1!$A:$B,2,FALSE),"")</f>
        <v/>
      </c>
      <c r="DX45" s="31" t="str">
        <f>IFERROR(VLOOKUP([2]Pointage!EB39,Feuil1!$A:$B,2,FALSE),"")</f>
        <v/>
      </c>
      <c r="DY45" s="31" t="str">
        <f>IFERROR(VLOOKUP([2]Pointage!EC39,Feuil1!$A:$B,2,FALSE),"")</f>
        <v/>
      </c>
      <c r="DZ45" s="31" t="str">
        <f>IFERROR(VLOOKUP([2]Pointage!ED39,Feuil1!$A:$B,2,FALSE),"")</f>
        <v/>
      </c>
      <c r="EA45" s="31" t="str">
        <f>IFERROR(VLOOKUP([2]Pointage!EE39,Feuil1!$A:$B,2,FALSE),"")</f>
        <v/>
      </c>
      <c r="EB45" s="31" t="str">
        <f>IFERROR(VLOOKUP([2]Pointage!EF39,Feuil1!$A:$B,2,FALSE),"")</f>
        <v/>
      </c>
      <c r="EC45" s="31" t="str">
        <f>IFERROR(VLOOKUP([2]Pointage!EG39,Feuil1!$A:$B,2,FALSE),"")</f>
        <v/>
      </c>
      <c r="ED45" s="31" t="str">
        <f>IFERROR(VLOOKUP([2]Pointage!EH39,Feuil1!$A:$B,2,FALSE),"")</f>
        <v/>
      </c>
      <c r="EE45" s="31" t="str">
        <f>IFERROR(VLOOKUP([2]Pointage!EI39,Feuil1!$A:$B,2,FALSE),"")</f>
        <v/>
      </c>
      <c r="EF45" s="31" t="str">
        <f>IFERROR(VLOOKUP([2]Pointage!EJ39,Feuil1!$A:$B,2,FALSE),"")</f>
        <v/>
      </c>
      <c r="EG45" s="31" t="str">
        <f>IFERROR(VLOOKUP([2]Pointage!EK39,Feuil1!$A:$B,2,FALSE),"")</f>
        <v/>
      </c>
      <c r="EH45" s="31" t="str">
        <f>IFERROR(VLOOKUP([2]Pointage!EL39,Feuil1!$A:$B,2,FALSE),"")</f>
        <v/>
      </c>
      <c r="EI45" s="31" t="str">
        <f>IFERROR(VLOOKUP([2]Pointage!EM39,Feuil1!$A:$B,2,FALSE),"")</f>
        <v/>
      </c>
      <c r="EJ45" s="31" t="str">
        <f>IFERROR(VLOOKUP([2]Pointage!EN39,Feuil1!$A:$B,2,FALSE),"")</f>
        <v/>
      </c>
      <c r="EK45" s="31" t="str">
        <f>IFERROR(VLOOKUP([2]Pointage!EO39,Feuil1!$A:$B,2,FALSE),"")</f>
        <v/>
      </c>
      <c r="EL45" s="31" t="str">
        <f>IFERROR(VLOOKUP([2]Pointage!EP39,Feuil1!$A:$B,2,FALSE),"")</f>
        <v/>
      </c>
      <c r="EM45" s="31" t="str">
        <f>IFERROR(VLOOKUP([2]Pointage!EQ39,Feuil1!$A:$B,2,FALSE),"")</f>
        <v/>
      </c>
      <c r="EN45" s="31" t="str">
        <f>IFERROR(VLOOKUP([2]Pointage!ER39,Feuil1!$A:$B,2,FALSE),"")</f>
        <v/>
      </c>
      <c r="EO45" s="31" t="str">
        <f>IFERROR(VLOOKUP([2]Pointage!ES39,Feuil1!$A:$B,2,FALSE),"")</f>
        <v/>
      </c>
      <c r="EP45" s="31" t="str">
        <f>IFERROR(VLOOKUP([2]Pointage!ET39,Feuil1!$A:$B,2,FALSE),"")</f>
        <v/>
      </c>
      <c r="EQ45" s="31" t="str">
        <f>IFERROR(VLOOKUP([2]Pointage!EU39,Feuil1!$A:$B,2,FALSE),"")</f>
        <v/>
      </c>
      <c r="ER45" s="31" t="str">
        <f>IFERROR(VLOOKUP([2]Pointage!EV39,Feuil1!$A:$B,2,FALSE),"")</f>
        <v/>
      </c>
      <c r="ES45" s="31" t="str">
        <f>IFERROR(VLOOKUP([2]Pointage!EW39,Feuil1!$A:$B,2,FALSE),"")</f>
        <v/>
      </c>
      <c r="ET45" s="31" t="str">
        <f>IFERROR(VLOOKUP([2]Pointage!EX39,Feuil1!$A:$B,2,FALSE),"")</f>
        <v/>
      </c>
      <c r="EU45" s="31" t="str">
        <f>IFERROR(VLOOKUP([2]Pointage!EY39,Feuil1!$A:$B,2,FALSE),"")</f>
        <v/>
      </c>
      <c r="EV45" s="31" t="str">
        <f>IFERROR(VLOOKUP([2]Pointage!EZ39,Feuil1!$A:$B,2,FALSE),"")</f>
        <v/>
      </c>
      <c r="EW45" s="31" t="str">
        <f>IFERROR(VLOOKUP([2]Pointage!FA39,Feuil1!$A:$B,2,FALSE),"")</f>
        <v/>
      </c>
      <c r="EX45" s="31" t="str">
        <f>IFERROR(VLOOKUP([2]Pointage!FB39,Feuil1!$A:$B,2,FALSE),"")</f>
        <v/>
      </c>
      <c r="EY45" s="31" t="str">
        <f>IFERROR(VLOOKUP([2]Pointage!FC39,Feuil1!$A:$B,2,FALSE),"")</f>
        <v/>
      </c>
      <c r="EZ45" s="82" t="str">
        <f>IFERROR(VLOOKUP([2]Pointage!FD39,Feuil1!$A:$B,2,FALSE),"")</f>
        <v/>
      </c>
      <c r="FA45" s="47" t="str">
        <f>IFERROR(VLOOKUP([2]Pointage!FE39,Feuil1!$A:$B,2,FALSE),"")</f>
        <v>RTT</v>
      </c>
      <c r="FB45" s="31" t="str">
        <f>IFERROR(VLOOKUP([2]Pointage!FF39,Feuil1!$A:$B,2,FALSE),"")</f>
        <v/>
      </c>
      <c r="FC45" s="31" t="str">
        <f>IFERROR(VLOOKUP([2]Pointage!FG39,Feuil1!$A:$B,2,FALSE),"")</f>
        <v/>
      </c>
      <c r="FD45" s="31" t="str">
        <f>IFERROR(VLOOKUP([2]Pointage!FH39,Feuil1!$A:$B,2,FALSE),"")</f>
        <v/>
      </c>
      <c r="FE45" s="31" t="str">
        <f>IFERROR(VLOOKUP([2]Pointage!FI39,Feuil1!$A:$B,2,FALSE),"")</f>
        <v/>
      </c>
      <c r="FF45" s="31" t="str">
        <f>IFERROR(VLOOKUP([2]Pointage!FJ39,Feuil1!$A:$B,2,FALSE),"")</f>
        <v/>
      </c>
      <c r="FG45" s="31" t="str">
        <f>IFERROR(VLOOKUP([2]Pointage!FK39,Feuil1!$A:$B,2,FALSE),"")</f>
        <v/>
      </c>
      <c r="FH45" s="31" t="str">
        <f>IFERROR(VLOOKUP([2]Pointage!FL39,Feuil1!$A:$B,2,FALSE),"")</f>
        <v/>
      </c>
      <c r="FI45" s="31" t="str">
        <f>IFERROR(VLOOKUP([2]Pointage!FM39,Feuil1!$A:$B,2,FALSE),"")</f>
        <v/>
      </c>
      <c r="FJ45" s="31" t="str">
        <f>IFERROR(VLOOKUP([2]Pointage!FN39,Feuil1!$A:$B,2,FALSE),"")</f>
        <v/>
      </c>
      <c r="FK45" s="31" t="str">
        <f>IFERROR(VLOOKUP([2]Pointage!FO39,Feuil1!$A:$B,2,FALSE),"")</f>
        <v/>
      </c>
      <c r="FL45" s="31" t="str">
        <f>IFERROR(VLOOKUP([2]Pointage!FP39,Feuil1!$A:$B,2,FALSE),"")</f>
        <v/>
      </c>
      <c r="FM45" s="31" t="str">
        <f>IFERROR(VLOOKUP([2]Pointage!FQ39,Feuil1!$A:$B,2,FALSE),"")</f>
        <v/>
      </c>
      <c r="FN45" s="31" t="str">
        <f>IFERROR(VLOOKUP([2]Pointage!FR39,Feuil1!$A:$B,2,FALSE),"")</f>
        <v/>
      </c>
      <c r="FO45" s="31" t="str">
        <f>IFERROR(VLOOKUP([2]Pointage!FS39,Feuil1!$A:$B,2,FALSE),"")</f>
        <v/>
      </c>
      <c r="FP45" s="31" t="str">
        <f>IFERROR(VLOOKUP([2]Pointage!FT39,Feuil1!$A:$B,2,FALSE),"")</f>
        <v/>
      </c>
      <c r="FQ45" s="31" t="str">
        <f>IFERROR(VLOOKUP([2]Pointage!FU39,Feuil1!$A:$B,2,FALSE),"")</f>
        <v/>
      </c>
      <c r="FR45" s="31" t="str">
        <f>IFERROR(VLOOKUP([2]Pointage!FV39,Feuil1!$A:$B,2,FALSE),"")</f>
        <v/>
      </c>
      <c r="FS45" s="31" t="str">
        <f>IFERROR(VLOOKUP([2]Pointage!FW39,Feuil1!$A:$B,2,FALSE),"")</f>
        <v/>
      </c>
      <c r="FT45" s="31" t="str">
        <f>IFERROR(VLOOKUP([2]Pointage!FX39,Feuil1!$A:$B,2,FALSE),"")</f>
        <v/>
      </c>
      <c r="FU45" s="31" t="str">
        <f>IFERROR(VLOOKUP([2]Pointage!FY39,Feuil1!$A:$B,2,FALSE),"")</f>
        <v/>
      </c>
      <c r="FV45" s="31" t="str">
        <f>IFERROR(VLOOKUP([2]Pointage!FZ39,Feuil1!$A:$B,2,FALSE),"")</f>
        <v/>
      </c>
      <c r="FW45" s="31" t="str">
        <f>IFERROR(VLOOKUP([2]Pointage!GA39,Feuil1!$A:$B,2,FALSE),"")</f>
        <v/>
      </c>
      <c r="FX45" s="31" t="str">
        <f>IFERROR(VLOOKUP([2]Pointage!GB39,Feuil1!$A:$B,2,FALSE),"")</f>
        <v/>
      </c>
      <c r="FY45" s="31" t="str">
        <f>IFERROR(VLOOKUP([2]Pointage!GC39,Feuil1!$A:$B,2,FALSE),"")</f>
        <v/>
      </c>
      <c r="FZ45" s="31" t="str">
        <f>IFERROR(VLOOKUP([2]Pointage!GD39,Feuil1!$A:$B,2,FALSE),"")</f>
        <v/>
      </c>
      <c r="GA45" s="31" t="str">
        <f>IFERROR(VLOOKUP([2]Pointage!GE39,Feuil1!$A:$B,2,FALSE),"")</f>
        <v/>
      </c>
      <c r="GB45" s="31" t="str">
        <f>IFERROR(VLOOKUP([2]Pointage!GF39,Feuil1!$A:$B,2,FALSE),"")</f>
        <v/>
      </c>
      <c r="GC45" s="31" t="str">
        <f>IFERROR(VLOOKUP([2]Pointage!GG39,Feuil1!$A:$B,2,FALSE),"")</f>
        <v/>
      </c>
      <c r="GD45" s="82" t="str">
        <f>IFERROR(VLOOKUP([2]Pointage!GH39,Feuil1!$A:$B,2,FALSE),"")</f>
        <v/>
      </c>
      <c r="GE45" s="47" t="str">
        <f>IFERROR(VLOOKUP([2]Pointage!GI39,Feuil1!$A:$B,2,FALSE),"")</f>
        <v/>
      </c>
      <c r="GF45" s="31" t="str">
        <f>IFERROR(VLOOKUP([2]Pointage!GJ39,Feuil1!$A:$B,2,FALSE),"")</f>
        <v/>
      </c>
      <c r="GG45" s="31" t="str">
        <f>IFERROR(VLOOKUP([2]Pointage!GK39,Feuil1!$A:$B,2,FALSE),"")</f>
        <v/>
      </c>
      <c r="GH45" s="31" t="str">
        <f>IFERROR(VLOOKUP([2]Pointage!GL39,Feuil1!$A:$B,2,FALSE),"")</f>
        <v/>
      </c>
      <c r="GI45" s="31" t="str">
        <f>IFERROR(VLOOKUP([2]Pointage!GM39,Feuil1!$A:$B,2,FALSE),"")</f>
        <v/>
      </c>
      <c r="GJ45" s="31" t="str">
        <f>IFERROR(VLOOKUP([2]Pointage!GN39,Feuil1!$A:$B,2,FALSE),"")</f>
        <v/>
      </c>
      <c r="GK45" s="31" t="str">
        <f>IFERROR(VLOOKUP([2]Pointage!GO39,Feuil1!$A:$B,2,FALSE),"")</f>
        <v/>
      </c>
      <c r="GL45" s="31" t="str">
        <f>IFERROR(VLOOKUP([2]Pointage!GP39,Feuil1!$A:$B,2,FALSE),"")</f>
        <v/>
      </c>
      <c r="GM45" s="31" t="str">
        <f>IFERROR(VLOOKUP([2]Pointage!GQ39,Feuil1!$A:$B,2,FALSE),"")</f>
        <v/>
      </c>
      <c r="GN45" s="31" t="str">
        <f>IFERROR(VLOOKUP([2]Pointage!GR39,Feuil1!$A:$B,2,FALSE),"")</f>
        <v/>
      </c>
      <c r="GO45" s="31" t="str">
        <f>IFERROR(VLOOKUP([2]Pointage!GS39,Feuil1!$A:$B,2,FALSE),"")</f>
        <v/>
      </c>
      <c r="GP45" s="31" t="str">
        <f>IFERROR(VLOOKUP([2]Pointage!GT39,Feuil1!$A:$B,2,FALSE),"")</f>
        <v/>
      </c>
      <c r="GQ45" s="31" t="str">
        <f>IFERROR(VLOOKUP([2]Pointage!GU39,Feuil1!$A:$B,2,FALSE),"")</f>
        <v/>
      </c>
      <c r="GR45" s="31" t="str">
        <f>IFERROR(VLOOKUP([2]Pointage!GV39,Feuil1!$A:$B,2,FALSE),"")</f>
        <v/>
      </c>
      <c r="GS45" s="31" t="str">
        <f>IFERROR(VLOOKUP([2]Pointage!GW39,Feuil1!$A:$B,2,FALSE),"")</f>
        <v/>
      </c>
      <c r="GT45" s="31" t="str">
        <f>IFERROR(VLOOKUP([2]Pointage!GX39,Feuil1!$A:$B,2,FALSE),"")</f>
        <v/>
      </c>
      <c r="GU45" s="31" t="str">
        <f>IFERROR(VLOOKUP([2]Pointage!GY39,Feuil1!$A:$B,2,FALSE),"")</f>
        <v/>
      </c>
      <c r="GV45" s="31" t="str">
        <f>IFERROR(VLOOKUP([2]Pointage!GZ39,Feuil1!$A:$B,2,FALSE),"")</f>
        <v/>
      </c>
      <c r="GW45" s="31" t="str">
        <f>IFERROR(VLOOKUP([2]Pointage!HA39,Feuil1!$A:$B,2,FALSE),"")</f>
        <v/>
      </c>
      <c r="GX45" s="31" t="str">
        <f>IFERROR(VLOOKUP([2]Pointage!HB39,Feuil1!$A:$B,2,FALSE),"")</f>
        <v/>
      </c>
      <c r="GY45" s="31" t="str">
        <f>IFERROR(VLOOKUP([2]Pointage!HC39,Feuil1!$A:$B,2,FALSE),"")</f>
        <v/>
      </c>
      <c r="GZ45" s="31" t="str">
        <f>IFERROR(VLOOKUP([2]Pointage!HD39,Feuil1!$A:$B,2,FALSE),"")</f>
        <v/>
      </c>
      <c r="HA45" s="31" t="str">
        <f>IFERROR(VLOOKUP([2]Pointage!HE39,Feuil1!$A:$B,2,FALSE),"")</f>
        <v/>
      </c>
      <c r="HB45" s="31" t="str">
        <f>IFERROR(VLOOKUP([2]Pointage!HF39,Feuil1!$A:$B,2,FALSE),"")</f>
        <v/>
      </c>
      <c r="HC45" s="31" t="str">
        <f>IFERROR(VLOOKUP([2]Pointage!HG39,Feuil1!$A:$B,2,FALSE),"")</f>
        <v/>
      </c>
      <c r="HD45" s="31" t="str">
        <f>IFERROR(VLOOKUP([2]Pointage!HH39,Feuil1!$A:$B,2,FALSE),"")</f>
        <v/>
      </c>
      <c r="HE45" s="31" t="str">
        <f>IFERROR(VLOOKUP([2]Pointage!HI39,Feuil1!$A:$B,2,FALSE),"")</f>
        <v/>
      </c>
      <c r="HF45" s="31" t="str">
        <f>IFERROR(VLOOKUP([2]Pointage!HJ39,Feuil1!$A:$B,2,FALSE),"")</f>
        <v/>
      </c>
      <c r="HG45" s="31" t="str">
        <f>IFERROR(VLOOKUP([2]Pointage!HK39,Feuil1!$A:$B,2,FALSE),"")</f>
        <v/>
      </c>
      <c r="HH45" s="31" t="str">
        <f>IFERROR(VLOOKUP([2]Pointage!HL39,Feuil1!$A:$B,2,FALSE),"")</f>
        <v/>
      </c>
      <c r="HI45" s="82" t="str">
        <f>IFERROR(VLOOKUP([2]Pointage!HM39,Feuil1!$A:$B,2,FALSE),"")</f>
        <v/>
      </c>
      <c r="HJ45" s="47" t="str">
        <f>IFERROR(VLOOKUP([2]Pointage!HN39,Feuil1!$A:$B,2,FALSE),"")</f>
        <v/>
      </c>
      <c r="HK45" s="31" t="str">
        <f>IFERROR(VLOOKUP([2]Pointage!HO39,Feuil1!$A:$B,2,FALSE),"")</f>
        <v/>
      </c>
      <c r="HL45" s="31" t="str">
        <f>IFERROR(VLOOKUP([2]Pointage!HP39,Feuil1!$A:$B,2,FALSE),"")</f>
        <v/>
      </c>
      <c r="HM45" s="31" t="str">
        <f>IFERROR(VLOOKUP([2]Pointage!HQ39,Feuil1!$A:$B,2,FALSE),"")</f>
        <v/>
      </c>
      <c r="HN45" s="31" t="str">
        <f>IFERROR(VLOOKUP([2]Pointage!HR39,Feuil1!$A:$B,2,FALSE),"")</f>
        <v/>
      </c>
      <c r="HO45" s="31" t="str">
        <f>IFERROR(VLOOKUP([2]Pointage!HS39,Feuil1!$A:$B,2,FALSE),"")</f>
        <v/>
      </c>
      <c r="HP45" s="31" t="str">
        <f>IFERROR(VLOOKUP([2]Pointage!HT39,Feuil1!$A:$B,2,FALSE),"")</f>
        <v/>
      </c>
      <c r="HQ45" s="31" t="str">
        <f>IFERROR(VLOOKUP([2]Pointage!HU39,Feuil1!$A:$B,2,FALSE),"")</f>
        <v/>
      </c>
      <c r="HR45" s="31" t="str">
        <f>IFERROR(VLOOKUP([2]Pointage!HV39,Feuil1!$A:$B,2,FALSE),"")</f>
        <v/>
      </c>
      <c r="HS45" s="31" t="str">
        <f>IFERROR(VLOOKUP([2]Pointage!HW39,Feuil1!$A:$B,2,FALSE),"")</f>
        <v/>
      </c>
      <c r="HT45" s="31" t="str">
        <f>IFERROR(VLOOKUP([2]Pointage!HX39,Feuil1!$A:$B,2,FALSE),"")</f>
        <v/>
      </c>
      <c r="HU45" s="31" t="str">
        <f>IFERROR(VLOOKUP([2]Pointage!HY39,Feuil1!$A:$B,2,FALSE),"")</f>
        <v/>
      </c>
      <c r="HV45" s="31" t="str">
        <f>IFERROR(VLOOKUP([2]Pointage!HZ39,Feuil1!$A:$B,2,FALSE),"")</f>
        <v>C</v>
      </c>
      <c r="HW45" s="31" t="str">
        <f>IFERROR(VLOOKUP([2]Pointage!IA39,Feuil1!$A:$B,2,FALSE),"")</f>
        <v>C</v>
      </c>
      <c r="HX45" s="31" t="str">
        <f>IFERROR(VLOOKUP([2]Pointage!IB39,Feuil1!$A:$B,2,FALSE),"")</f>
        <v/>
      </c>
      <c r="HY45" s="31" t="str">
        <f>IFERROR(VLOOKUP([2]Pointage!IC39,Feuil1!$A:$B,2,FALSE),"")</f>
        <v>C</v>
      </c>
      <c r="HZ45" s="31" t="str">
        <f>IFERROR(VLOOKUP([2]Pointage!ID39,Feuil1!$A:$B,2,FALSE),"")</f>
        <v>C</v>
      </c>
      <c r="IA45" s="31" t="str">
        <f>IFERROR(VLOOKUP([2]Pointage!IE39,Feuil1!$A:$B,2,FALSE),"")</f>
        <v/>
      </c>
      <c r="IB45" s="31" t="str">
        <f>IFERROR(VLOOKUP([2]Pointage!IF39,Feuil1!$A:$B,2,FALSE),"")</f>
        <v/>
      </c>
      <c r="IC45" s="31" t="str">
        <f>IFERROR(VLOOKUP([2]Pointage!IG39,Feuil1!$A:$B,2,FALSE),"")</f>
        <v>C</v>
      </c>
      <c r="ID45" s="31" t="str">
        <f>IFERROR(VLOOKUP([2]Pointage!IH39,Feuil1!$A:$B,2,FALSE),"")</f>
        <v>C</v>
      </c>
      <c r="IE45" s="31" t="str">
        <f>IFERROR(VLOOKUP([2]Pointage!II39,Feuil1!$A:$B,2,FALSE),"")</f>
        <v>C</v>
      </c>
      <c r="IF45" s="31" t="str">
        <f>IFERROR(VLOOKUP([2]Pointage!IJ39,Feuil1!$A:$B,2,FALSE),"")</f>
        <v>C</v>
      </c>
      <c r="IG45" s="31" t="str">
        <f>IFERROR(VLOOKUP([2]Pointage!IK39,Feuil1!$A:$B,2,FALSE),"")</f>
        <v>C</v>
      </c>
      <c r="IH45" s="31" t="str">
        <f>IFERROR(VLOOKUP([2]Pointage!IL39,Feuil1!$A:$B,2,FALSE),"")</f>
        <v/>
      </c>
      <c r="II45" s="31" t="str">
        <f>IFERROR(VLOOKUP([2]Pointage!IM39,Feuil1!$A:$B,2,FALSE),"")</f>
        <v/>
      </c>
      <c r="IJ45" s="31" t="str">
        <f>IFERROR(VLOOKUP([2]Pointage!IN39,Feuil1!$A:$B,2,FALSE),"")</f>
        <v/>
      </c>
      <c r="IK45" s="31" t="str">
        <f>IFERROR(VLOOKUP([2]Pointage!IO39,Feuil1!$A:$B,2,FALSE),"")</f>
        <v/>
      </c>
      <c r="IL45" s="31" t="str">
        <f>IFERROR(VLOOKUP([2]Pointage!IP39,Feuil1!$A:$B,2,FALSE),"")</f>
        <v/>
      </c>
      <c r="IM45" s="31" t="str">
        <f>IFERROR(VLOOKUP([2]Pointage!IQ39,Feuil1!$A:$B,2,FALSE),"")</f>
        <v/>
      </c>
      <c r="IN45" s="82" t="str">
        <f>IFERROR(VLOOKUP([2]Pointage!IR39,Feuil1!$A:$B,2,FALSE),"")</f>
        <v/>
      </c>
      <c r="IO45" s="47" t="str">
        <f>IFERROR(VLOOKUP([2]Pointage!IS39,Feuil1!$A:$B,2,FALSE),"")</f>
        <v/>
      </c>
      <c r="IP45" s="31" t="str">
        <f>IFERROR(VLOOKUP([2]Pointage!IT39,Feuil1!$A:$B,2,FALSE),"")</f>
        <v/>
      </c>
      <c r="IQ45" s="31" t="str">
        <f>IFERROR(VLOOKUP([2]Pointage!IU39,Feuil1!$A:$B,2,FALSE),"")</f>
        <v/>
      </c>
      <c r="IR45" s="31" t="str">
        <f>IFERROR(VLOOKUP([2]Pointage!IV39,Feuil1!$A:$B,2,FALSE),"")</f>
        <v/>
      </c>
      <c r="IS45" s="31" t="str">
        <f>IFERROR(VLOOKUP([2]Pointage!IW39,Feuil1!$A:$B,2,FALSE),"")</f>
        <v/>
      </c>
      <c r="IT45" s="31" t="str">
        <f>IFERROR(VLOOKUP([2]Pointage!IX39,Feuil1!$A:$B,2,FALSE),"")</f>
        <v/>
      </c>
      <c r="IU45" s="31" t="str">
        <f>IFERROR(VLOOKUP([2]Pointage!IY39,Feuil1!$A:$B,2,FALSE),"")</f>
        <v/>
      </c>
      <c r="IV45" s="31" t="str">
        <f>IFERROR(VLOOKUP([2]Pointage!IZ39,Feuil1!$A:$B,2,FALSE),"")</f>
        <v/>
      </c>
      <c r="IW45" s="31" t="str">
        <f>IFERROR(VLOOKUP([2]Pointage!JA39,Feuil1!$A:$B,2,FALSE),"")</f>
        <v/>
      </c>
      <c r="IX45" s="31" t="str">
        <f>IFERROR(VLOOKUP([2]Pointage!JB39,Feuil1!$A:$B,2,FALSE),"")</f>
        <v/>
      </c>
      <c r="IY45" s="31" t="str">
        <f>IFERROR(VLOOKUP([2]Pointage!JC39,Feuil1!$A:$B,2,FALSE),"")</f>
        <v/>
      </c>
      <c r="IZ45" s="31" t="str">
        <f>IFERROR(VLOOKUP([2]Pointage!JD39,Feuil1!$A:$B,2,FALSE),"")</f>
        <v/>
      </c>
      <c r="JA45" s="31" t="str">
        <f>IFERROR(VLOOKUP([2]Pointage!JE39,Feuil1!$A:$B,2,FALSE),"")</f>
        <v/>
      </c>
      <c r="JB45" s="31" t="str">
        <f>IFERROR(VLOOKUP([2]Pointage!JF39,Feuil1!$A:$B,2,FALSE),"")</f>
        <v/>
      </c>
      <c r="JC45" s="31" t="str">
        <f>IFERROR(VLOOKUP([2]Pointage!JG39,Feuil1!$A:$B,2,FALSE),"")</f>
        <v/>
      </c>
      <c r="JD45" s="31" t="str">
        <f>IFERROR(VLOOKUP([2]Pointage!JH39,Feuil1!$A:$B,2,FALSE),"")</f>
        <v/>
      </c>
      <c r="JE45" s="31" t="str">
        <f>IFERROR(VLOOKUP([2]Pointage!JI39,Feuil1!$A:$B,2,FALSE),"")</f>
        <v/>
      </c>
      <c r="JF45" s="31" t="str">
        <f>IFERROR(VLOOKUP([2]Pointage!JJ39,Feuil1!$A:$B,2,FALSE),"")</f>
        <v/>
      </c>
      <c r="JG45" s="31" t="str">
        <f>IFERROR(VLOOKUP([2]Pointage!JK39,Feuil1!$A:$B,2,FALSE),"")</f>
        <v/>
      </c>
      <c r="JH45" s="31" t="str">
        <f>IFERROR(VLOOKUP([2]Pointage!JL39,Feuil1!$A:$B,2,FALSE),"")</f>
        <v/>
      </c>
      <c r="JI45" s="31" t="str">
        <f>IFERROR(VLOOKUP([2]Pointage!JM39,Feuil1!$A:$B,2,FALSE),"")</f>
        <v/>
      </c>
      <c r="JJ45" s="31" t="str">
        <f>IFERROR(VLOOKUP([2]Pointage!JN39,Feuil1!$A:$B,2,FALSE),"")</f>
        <v/>
      </c>
      <c r="JK45" s="31" t="str">
        <f>IFERROR(VLOOKUP([2]Pointage!JO39,Feuil1!$A:$B,2,FALSE),"")</f>
        <v/>
      </c>
      <c r="JL45" s="31" t="str">
        <f>IFERROR(VLOOKUP([2]Pointage!JP39,Feuil1!$A:$B,2,FALSE),"")</f>
        <v/>
      </c>
      <c r="JM45" s="31" t="str">
        <f>IFERROR(VLOOKUP([2]Pointage!JQ39,Feuil1!$A:$B,2,FALSE),"")</f>
        <v/>
      </c>
      <c r="JN45" s="31" t="str">
        <f>IFERROR(VLOOKUP([2]Pointage!JR39,Feuil1!$A:$B,2,FALSE),"")</f>
        <v/>
      </c>
      <c r="JO45" s="31" t="str">
        <f>IFERROR(VLOOKUP([2]Pointage!JS39,Feuil1!$A:$B,2,FALSE),"")</f>
        <v/>
      </c>
      <c r="JP45" s="31" t="str">
        <f>IFERROR(VLOOKUP([2]Pointage!JT39,Feuil1!$A:$B,2,FALSE),"")</f>
        <v/>
      </c>
      <c r="JQ45" s="31" t="str">
        <f>IFERROR(VLOOKUP([2]Pointage!JU39,Feuil1!$A:$B,2,FALSE),"")</f>
        <v/>
      </c>
      <c r="JR45" s="82" t="str">
        <f>IFERROR(VLOOKUP([2]Pointage!JV39,Feuil1!$A:$B,2,FALSE),"")</f>
        <v/>
      </c>
      <c r="JS45" s="47" t="str">
        <f>IFERROR(VLOOKUP([2]Pointage!JW39,Feuil1!$A:$B,2,FALSE),"")</f>
        <v/>
      </c>
      <c r="JT45" s="31" t="str">
        <f>IFERROR(VLOOKUP([2]Pointage!JX39,Feuil1!$A:$B,2,FALSE),"")</f>
        <v/>
      </c>
      <c r="JU45" s="31" t="str">
        <f>IFERROR(VLOOKUP([2]Pointage!JY39,Feuil1!$A:$B,2,FALSE),"")</f>
        <v/>
      </c>
      <c r="JV45" s="31" t="str">
        <f>IFERROR(VLOOKUP([2]Pointage!JZ39,Feuil1!$A:$B,2,FALSE),"")</f>
        <v/>
      </c>
      <c r="JW45" s="31" t="str">
        <f>IFERROR(VLOOKUP([2]Pointage!KA39,Feuil1!$A:$B,2,FALSE),"")</f>
        <v/>
      </c>
      <c r="JX45" s="31" t="str">
        <f>IFERROR(VLOOKUP([2]Pointage!KB39,Feuil1!$A:$B,2,FALSE),"")</f>
        <v/>
      </c>
      <c r="JY45" s="31" t="str">
        <f>IFERROR(VLOOKUP([2]Pointage!KC39,Feuil1!$A:$B,2,FALSE),"")</f>
        <v/>
      </c>
      <c r="JZ45" s="31" t="str">
        <f>IFERROR(VLOOKUP([2]Pointage!KD39,Feuil1!$A:$B,2,FALSE),"")</f>
        <v/>
      </c>
      <c r="KA45" s="31" t="str">
        <f>IFERROR(VLOOKUP([2]Pointage!KE39,Feuil1!$A:$B,2,FALSE),"")</f>
        <v/>
      </c>
      <c r="KB45" s="31" t="str">
        <f>IFERROR(VLOOKUP([2]Pointage!KF39,Feuil1!$A:$B,2,FALSE),"")</f>
        <v/>
      </c>
      <c r="KC45" s="31" t="str">
        <f>IFERROR(VLOOKUP([2]Pointage!KG39,Feuil1!$A:$B,2,FALSE),"")</f>
        <v/>
      </c>
      <c r="KD45" s="31" t="str">
        <f>IFERROR(VLOOKUP([2]Pointage!KH39,Feuil1!$A:$B,2,FALSE),"")</f>
        <v/>
      </c>
      <c r="KE45" s="31" t="str">
        <f>IFERROR(VLOOKUP([2]Pointage!KI39,Feuil1!$A:$B,2,FALSE),"")</f>
        <v/>
      </c>
      <c r="KF45" s="31" t="str">
        <f>IFERROR(VLOOKUP([2]Pointage!KJ39,Feuil1!$A:$B,2,FALSE),"")</f>
        <v/>
      </c>
      <c r="KG45" s="31" t="str">
        <f>IFERROR(VLOOKUP([2]Pointage!KK39,Feuil1!$A:$B,2,FALSE),"")</f>
        <v/>
      </c>
      <c r="KH45" s="31" t="str">
        <f>IFERROR(VLOOKUP([2]Pointage!KL39,Feuil1!$A:$B,2,FALSE),"")</f>
        <v/>
      </c>
      <c r="KI45" s="31" t="str">
        <f>IFERROR(VLOOKUP([2]Pointage!KM39,Feuil1!$A:$B,2,FALSE),"")</f>
        <v/>
      </c>
      <c r="KJ45" s="31" t="str">
        <f>IFERROR(VLOOKUP([2]Pointage!KN39,Feuil1!$A:$B,2,FALSE),"")</f>
        <v/>
      </c>
      <c r="KK45" s="31" t="str">
        <f>IFERROR(VLOOKUP([2]Pointage!KO39,Feuil1!$A:$B,2,FALSE),"")</f>
        <v/>
      </c>
      <c r="KL45" s="31" t="str">
        <f>IFERROR(VLOOKUP([2]Pointage!KP39,Feuil1!$A:$B,2,FALSE),"")</f>
        <v/>
      </c>
      <c r="KM45" s="31" t="str">
        <f>IFERROR(VLOOKUP([2]Pointage!KQ39,Feuil1!$A:$B,2,FALSE),"")</f>
        <v/>
      </c>
      <c r="KN45" s="31" t="str">
        <f>IFERROR(VLOOKUP([2]Pointage!KR39,Feuil1!$A:$B,2,FALSE),"")</f>
        <v/>
      </c>
      <c r="KO45" s="31" t="str">
        <f>IFERROR(VLOOKUP([2]Pointage!KS39,Feuil1!$A:$B,2,FALSE),"")</f>
        <v/>
      </c>
      <c r="KP45" s="31" t="str">
        <f>IFERROR(VLOOKUP([2]Pointage!KT39,Feuil1!$A:$B,2,FALSE),"")</f>
        <v/>
      </c>
      <c r="KQ45" s="31" t="str">
        <f>IFERROR(VLOOKUP([2]Pointage!KU39,Feuil1!$A:$B,2,FALSE),"")</f>
        <v/>
      </c>
      <c r="KR45" s="31" t="str">
        <f>IFERROR(VLOOKUP([2]Pointage!KV39,Feuil1!$A:$B,2,FALSE),"")</f>
        <v/>
      </c>
      <c r="KS45" s="31" t="str">
        <f>IFERROR(VLOOKUP([2]Pointage!KW39,Feuil1!$A:$B,2,FALSE),"")</f>
        <v/>
      </c>
      <c r="KT45" s="31" t="str">
        <f>IFERROR(VLOOKUP([2]Pointage!KX39,Feuil1!$A:$B,2,FALSE),"")</f>
        <v/>
      </c>
      <c r="KU45" s="31" t="str">
        <f>IFERROR(VLOOKUP([2]Pointage!KY39,Feuil1!$A:$B,2,FALSE),"")</f>
        <v/>
      </c>
      <c r="KV45" s="31" t="str">
        <f>IFERROR(VLOOKUP([2]Pointage!KZ39,Feuil1!$A:$B,2,FALSE),"")</f>
        <v/>
      </c>
      <c r="KW45" s="82" t="str">
        <f>IFERROR(VLOOKUP([2]Pointage!LA39,Feuil1!$A:$B,2,FALSE),"")</f>
        <v/>
      </c>
      <c r="KX45" s="47" t="str">
        <f>IFERROR(VLOOKUP([2]Pointage!LB39,Feuil1!$A:$B,2,FALSE),"")</f>
        <v/>
      </c>
      <c r="KY45" s="31" t="str">
        <f>IFERROR(VLOOKUP([2]Pointage!LC39,Feuil1!$A:$B,2,FALSE),"")</f>
        <v/>
      </c>
      <c r="KZ45" s="31" t="str">
        <f>IFERROR(VLOOKUP([2]Pointage!LD39,Feuil1!$A:$B,2,FALSE),"")</f>
        <v/>
      </c>
      <c r="LA45" s="31" t="str">
        <f>IFERROR(VLOOKUP([2]Pointage!LE39,Feuil1!$A:$B,2,FALSE),"")</f>
        <v/>
      </c>
      <c r="LB45" s="31" t="str">
        <f>IFERROR(VLOOKUP([2]Pointage!LF39,Feuil1!$A:$B,2,FALSE),"")</f>
        <v/>
      </c>
      <c r="LC45" s="31" t="str">
        <f>IFERROR(VLOOKUP([2]Pointage!LG39,Feuil1!$A:$B,2,FALSE),"")</f>
        <v/>
      </c>
      <c r="LD45" s="31" t="str">
        <f>IFERROR(VLOOKUP([2]Pointage!LH39,Feuil1!$A:$B,2,FALSE),"")</f>
        <v/>
      </c>
      <c r="LE45" s="31" t="str">
        <f>IFERROR(VLOOKUP([2]Pointage!LI39,Feuil1!$A:$B,2,FALSE),"")</f>
        <v/>
      </c>
      <c r="LF45" s="31" t="str">
        <f>IFERROR(VLOOKUP([2]Pointage!LJ39,Feuil1!$A:$B,2,FALSE),"")</f>
        <v/>
      </c>
      <c r="LG45" s="31" t="str">
        <f>IFERROR(VLOOKUP([2]Pointage!LK39,Feuil1!$A:$B,2,FALSE),"")</f>
        <v/>
      </c>
      <c r="LH45" s="31" t="str">
        <f>IFERROR(VLOOKUP([2]Pointage!LL39,Feuil1!$A:$B,2,FALSE),"")</f>
        <v/>
      </c>
      <c r="LI45" s="31" t="str">
        <f>IFERROR(VLOOKUP([2]Pointage!LM39,Feuil1!$A:$B,2,FALSE),"")</f>
        <v/>
      </c>
      <c r="LJ45" s="31" t="str">
        <f>IFERROR(VLOOKUP([2]Pointage!LN39,Feuil1!$A:$B,2,FALSE),"")</f>
        <v/>
      </c>
      <c r="LK45" s="31" t="str">
        <f>IFERROR(VLOOKUP([2]Pointage!LO39,Feuil1!$A:$B,2,FALSE),"")</f>
        <v/>
      </c>
      <c r="LL45" s="31" t="str">
        <f>IFERROR(VLOOKUP([2]Pointage!LP39,Feuil1!$A:$B,2,FALSE),"")</f>
        <v/>
      </c>
      <c r="LM45" s="31" t="str">
        <f>IFERROR(VLOOKUP([2]Pointage!LQ39,Feuil1!$A:$B,2,FALSE),"")</f>
        <v/>
      </c>
      <c r="LN45" s="31" t="str">
        <f>IFERROR(VLOOKUP([2]Pointage!LR39,Feuil1!$A:$B,2,FALSE),"")</f>
        <v/>
      </c>
      <c r="LO45" s="31" t="str">
        <f>IFERROR(VLOOKUP([2]Pointage!LS39,Feuil1!$A:$B,2,FALSE),"")</f>
        <v/>
      </c>
      <c r="LP45" s="31" t="str">
        <f>IFERROR(VLOOKUP([2]Pointage!LT39,Feuil1!$A:$B,2,FALSE),"")</f>
        <v/>
      </c>
      <c r="LQ45" s="31" t="str">
        <f>IFERROR(VLOOKUP([2]Pointage!LU39,Feuil1!$A:$B,2,FALSE),"")</f>
        <v/>
      </c>
      <c r="LR45" s="31" t="str">
        <f>IFERROR(VLOOKUP([2]Pointage!LV39,Feuil1!$A:$B,2,FALSE),"")</f>
        <v/>
      </c>
      <c r="LS45" s="31" t="str">
        <f>IFERROR(VLOOKUP([2]Pointage!LW39,Feuil1!$A:$B,2,FALSE),"")</f>
        <v/>
      </c>
      <c r="LT45" s="31" t="str">
        <f>IFERROR(VLOOKUP([2]Pointage!LX39,Feuil1!$A:$B,2,FALSE),"")</f>
        <v/>
      </c>
      <c r="LU45" s="31" t="str">
        <f>IFERROR(VLOOKUP([2]Pointage!LY39,Feuil1!$A:$B,2,FALSE),"")</f>
        <v/>
      </c>
      <c r="LV45" s="31" t="str">
        <f>IFERROR(VLOOKUP([2]Pointage!LZ39,Feuil1!$A:$B,2,FALSE),"")</f>
        <v/>
      </c>
      <c r="LW45" s="31" t="str">
        <f>IFERROR(VLOOKUP([2]Pointage!MA39,Feuil1!$A:$B,2,FALSE),"")</f>
        <v/>
      </c>
      <c r="LX45" s="31" t="str">
        <f>IFERROR(VLOOKUP([2]Pointage!MB39,Feuil1!$A:$B,2,FALSE),"")</f>
        <v/>
      </c>
      <c r="LY45" s="31" t="str">
        <f>IFERROR(VLOOKUP([2]Pointage!MC39,Feuil1!$A:$B,2,FALSE),"")</f>
        <v/>
      </c>
      <c r="LZ45" s="31" t="str">
        <f>IFERROR(VLOOKUP([2]Pointage!MD39,Feuil1!$A:$B,2,FALSE),"")</f>
        <v/>
      </c>
      <c r="MA45" s="82" t="str">
        <f>IFERROR(VLOOKUP([2]Pointage!ME39,Feuil1!$A:$B,2,FALSE),"")</f>
        <v/>
      </c>
      <c r="MB45" s="47" t="str">
        <f>IFERROR(VLOOKUP([2]Pointage!MF39,Feuil1!$A:$B,2,FALSE),"")</f>
        <v/>
      </c>
      <c r="MC45" s="31" t="str">
        <f>IFERROR(VLOOKUP([2]Pointage!MG39,Feuil1!$A:$B,2,FALSE),"")</f>
        <v/>
      </c>
      <c r="MD45" s="31" t="str">
        <f>IFERROR(VLOOKUP([2]Pointage!MH39,Feuil1!$A:$B,2,FALSE),"")</f>
        <v/>
      </c>
      <c r="ME45" s="31" t="str">
        <f>IFERROR(VLOOKUP([2]Pointage!MI39,Feuil1!$A:$B,2,FALSE),"")</f>
        <v/>
      </c>
      <c r="MF45" s="31" t="str">
        <f>IFERROR(VLOOKUP([2]Pointage!MJ39,Feuil1!$A:$B,2,FALSE),"")</f>
        <v/>
      </c>
      <c r="MG45" s="31" t="str">
        <f>IFERROR(VLOOKUP([2]Pointage!MK39,Feuil1!$A:$B,2,FALSE),"")</f>
        <v/>
      </c>
      <c r="MH45" s="31" t="str">
        <f>IFERROR(VLOOKUP([2]Pointage!ML39,Feuil1!$A:$B,2,FALSE),"")</f>
        <v/>
      </c>
      <c r="MI45" s="31" t="str">
        <f>IFERROR(VLOOKUP([2]Pointage!MM39,Feuil1!$A:$B,2,FALSE),"")</f>
        <v/>
      </c>
      <c r="MJ45" s="31" t="str">
        <f>IFERROR(VLOOKUP([2]Pointage!MN39,Feuil1!$A:$B,2,FALSE),"")</f>
        <v/>
      </c>
      <c r="MK45" s="31" t="str">
        <f>IFERROR(VLOOKUP([2]Pointage!MO39,Feuil1!$A:$B,2,FALSE),"")</f>
        <v/>
      </c>
      <c r="ML45" s="31" t="str">
        <f>IFERROR(VLOOKUP([2]Pointage!MP39,Feuil1!$A:$B,2,FALSE),"")</f>
        <v/>
      </c>
      <c r="MM45" s="31" t="str">
        <f>IFERROR(VLOOKUP([2]Pointage!MQ39,Feuil1!$A:$B,2,FALSE),"")</f>
        <v/>
      </c>
      <c r="MN45" s="31" t="str">
        <f>IFERROR(VLOOKUP([2]Pointage!MR39,Feuil1!$A:$B,2,FALSE),"")</f>
        <v/>
      </c>
      <c r="MO45" s="31" t="str">
        <f>IFERROR(VLOOKUP([2]Pointage!MS39,Feuil1!$A:$B,2,FALSE),"")</f>
        <v/>
      </c>
      <c r="MP45" s="31" t="str">
        <f>IFERROR(VLOOKUP([2]Pointage!MT39,Feuil1!$A:$B,2,FALSE),"")</f>
        <v/>
      </c>
      <c r="MQ45" s="31" t="str">
        <f>IFERROR(VLOOKUP([2]Pointage!MU39,Feuil1!$A:$B,2,FALSE),"")</f>
        <v/>
      </c>
      <c r="MR45" s="31" t="str">
        <f>IFERROR(VLOOKUP([2]Pointage!MV39,Feuil1!$A:$B,2,FALSE),"")</f>
        <v/>
      </c>
      <c r="MS45" s="31" t="str">
        <f>IFERROR(VLOOKUP([2]Pointage!MW39,Feuil1!$A:$B,2,FALSE),"")</f>
        <v/>
      </c>
      <c r="MT45" s="31" t="str">
        <f>IFERROR(VLOOKUP([2]Pointage!MX39,Feuil1!$A:$B,2,FALSE),"")</f>
        <v/>
      </c>
      <c r="MU45" s="31" t="str">
        <f>IFERROR(VLOOKUP([2]Pointage!MY39,Feuil1!$A:$B,2,FALSE),"")</f>
        <v/>
      </c>
      <c r="MV45" s="31" t="str">
        <f>IFERROR(VLOOKUP([2]Pointage!MZ39,Feuil1!$A:$B,2,FALSE),"")</f>
        <v/>
      </c>
      <c r="MW45" s="31" t="str">
        <f>IFERROR(VLOOKUP([2]Pointage!NA39,Feuil1!$A:$B,2,FALSE),"")</f>
        <v/>
      </c>
      <c r="MX45" s="31" t="str">
        <f>IFERROR(VLOOKUP([2]Pointage!NB39,Feuil1!$A:$B,2,FALSE),"")</f>
        <v/>
      </c>
      <c r="MY45" s="31" t="str">
        <f>IFERROR(VLOOKUP([2]Pointage!NC39,Feuil1!$A:$B,2,FALSE),"")</f>
        <v/>
      </c>
      <c r="MZ45" s="31" t="str">
        <f>IFERROR(VLOOKUP([2]Pointage!ND39,Feuil1!$A:$B,2,FALSE),"")</f>
        <v/>
      </c>
      <c r="NA45" s="31" t="str">
        <f>IFERROR(VLOOKUP([2]Pointage!NE39,Feuil1!$A:$B,2,FALSE),"")</f>
        <v/>
      </c>
      <c r="NB45" s="31" t="str">
        <f>IFERROR(VLOOKUP([2]Pointage!NF39,Feuil1!$A:$B,2,FALSE),"")</f>
        <v/>
      </c>
      <c r="NC45" s="31" t="str">
        <f>IFERROR(VLOOKUP([2]Pointage!NG39,Feuil1!$A:$B,2,FALSE),"")</f>
        <v/>
      </c>
      <c r="ND45" s="31" t="str">
        <f>IFERROR(VLOOKUP([2]Pointage!NH39,Feuil1!$A:$B,2,FALSE),"")</f>
        <v/>
      </c>
      <c r="NE45" s="31" t="str">
        <f>IFERROR(VLOOKUP([2]Pointage!NI39,Feuil1!$A:$B,2,FALSE),"")</f>
        <v/>
      </c>
      <c r="NF45" s="48" t="str">
        <f>IFERROR(VLOOKUP([2]Pointage!NJ39,Feuil1!$A:$B,2,FALSE),"")</f>
        <v/>
      </c>
      <c r="NG45" s="52">
        <f>COUNTIF(Global!F45:NF45,"RTT")+(COUNTIF(Global!F45:NF45,"dRTT")/2)</f>
        <v>1</v>
      </c>
      <c r="NH45" s="42">
        <f>COUNTIF(Global!F45:NF45,"C")+(COUNTIF(Global!F45:NF45,"DC")/2)</f>
        <v>15</v>
      </c>
      <c r="NI45" s="42">
        <f>COUNTIF(Global!F45:NF45,"M")</f>
        <v>0</v>
      </c>
      <c r="NJ45" s="42">
        <f>COUNTIF(Global!G45:NG45,"AT")</f>
        <v>0</v>
      </c>
      <c r="NK45" s="42">
        <f>COUNTIF(Global!F45:NF45,"RD")</f>
        <v>0</v>
      </c>
      <c r="NL45" s="42">
        <f>COUNTIF(Global!F45:NF45,"RC")+(COUNTIF(Global!F45:NF45,"dRC")/2)</f>
        <v>0</v>
      </c>
      <c r="NM45" s="68">
        <f t="shared" ca="1" si="0"/>
        <v>4.0273972602739727</v>
      </c>
      <c r="NT45" s="33"/>
      <c r="NU45" s="33"/>
      <c r="NV45" s="28"/>
      <c r="NW45" s="28"/>
      <c r="NX45" s="29">
        <f>COUNTIF(F45:NF45,"C")++(COUNTIF(Global!F45:NF45,"DC")/2)</f>
        <v>15</v>
      </c>
      <c r="NY45" s="29"/>
      <c r="NZ45" s="29"/>
      <c r="OA45" s="29"/>
      <c r="OB45" s="29">
        <f>COUNTIF(Global!F45:NF45,"M")</f>
        <v>0</v>
      </c>
      <c r="OC45" s="30">
        <f t="shared" si="1"/>
        <v>-15</v>
      </c>
      <c r="OD45" s="30"/>
    </row>
    <row r="46" spans="1:394" ht="30" customHeight="1" x14ac:dyDescent="0.2">
      <c r="A46" s="17" t="s">
        <v>102</v>
      </c>
      <c r="B46" s="17" t="s">
        <v>239</v>
      </c>
      <c r="C46" s="17" t="s">
        <v>240</v>
      </c>
      <c r="D46" s="17" t="s">
        <v>241</v>
      </c>
      <c r="E46" s="23">
        <v>0</v>
      </c>
      <c r="F46" s="47" t="str">
        <f>IFERROR(VLOOKUP([2]Pointage!J40,Feuil1!$A:$B,2,FALSE),"")</f>
        <v/>
      </c>
      <c r="G46" s="31" t="str">
        <f>IFERROR(VLOOKUP([2]Pointage!K40,Feuil1!$A:$B,2,FALSE),"")</f>
        <v/>
      </c>
      <c r="H46" s="31" t="str">
        <f>IFERROR(VLOOKUP([2]Pointage!L40,Feuil1!$A:$B,2,FALSE),"")</f>
        <v/>
      </c>
      <c r="I46" s="31" t="str">
        <f>IFERROR(VLOOKUP([2]Pointage!M40,Feuil1!$A:$B,2,FALSE),"")</f>
        <v/>
      </c>
      <c r="J46" s="31" t="str">
        <f>IFERROR(VLOOKUP([2]Pointage!N40,Feuil1!$A:$B,2,FALSE),"")</f>
        <v/>
      </c>
      <c r="K46" s="31" t="str">
        <f>IFERROR(VLOOKUP([2]Pointage!O40,Feuil1!$A:$B,2,FALSE),"")</f>
        <v/>
      </c>
      <c r="L46" s="31" t="str">
        <f>IFERROR(VLOOKUP([2]Pointage!P40,Feuil1!$A:$B,2,FALSE),"")</f>
        <v/>
      </c>
      <c r="M46" s="31" t="str">
        <f>IFERROR(VLOOKUP([2]Pointage!Q40,Feuil1!$A:$B,2,FALSE),"")</f>
        <v/>
      </c>
      <c r="N46" s="31" t="str">
        <f>IFERROR(VLOOKUP([2]Pointage!R40,Feuil1!$A:$B,2,FALSE),"")</f>
        <v>C</v>
      </c>
      <c r="O46" s="31" t="str">
        <f>IFERROR(VLOOKUP([2]Pointage!S40,Feuil1!$A:$B,2,FALSE),"")</f>
        <v>C</v>
      </c>
      <c r="P46" s="31" t="str">
        <f>IFERROR(VLOOKUP([2]Pointage!T40,Feuil1!$A:$B,2,FALSE),"")</f>
        <v>C</v>
      </c>
      <c r="Q46" s="31" t="str">
        <f>IFERROR(VLOOKUP([2]Pointage!U40,Feuil1!$A:$B,2,FALSE),"")</f>
        <v>C</v>
      </c>
      <c r="R46" s="31" t="str">
        <f>IFERROR(VLOOKUP([2]Pointage!V40,Feuil1!$A:$B,2,FALSE),"")</f>
        <v/>
      </c>
      <c r="S46" s="31" t="str">
        <f>IFERROR(VLOOKUP([2]Pointage!W40,Feuil1!$A:$B,2,FALSE),"")</f>
        <v/>
      </c>
      <c r="T46" s="31" t="str">
        <f>IFERROR(VLOOKUP([2]Pointage!X40,Feuil1!$A:$B,2,FALSE),"")</f>
        <v/>
      </c>
      <c r="U46" s="31" t="str">
        <f>IFERROR(VLOOKUP([2]Pointage!Y40,Feuil1!$A:$B,2,FALSE),"")</f>
        <v/>
      </c>
      <c r="V46" s="31" t="str">
        <f>IFERROR(VLOOKUP([2]Pointage!Z40,Feuil1!$A:$B,2,FALSE),"")</f>
        <v/>
      </c>
      <c r="W46" s="31" t="str">
        <f>IFERROR(VLOOKUP([2]Pointage!AA40,Feuil1!$A:$B,2,FALSE),"")</f>
        <v/>
      </c>
      <c r="X46" s="31" t="str">
        <f>IFERROR(VLOOKUP([2]Pointage!AB40,Feuil1!$A:$B,2,FALSE),"")</f>
        <v/>
      </c>
      <c r="Y46" s="31" t="str">
        <f>IFERROR(VLOOKUP([2]Pointage!AC40,Feuil1!$A:$B,2,FALSE),"")</f>
        <v/>
      </c>
      <c r="Z46" s="31" t="str">
        <f>IFERROR(VLOOKUP([2]Pointage!AD40,Feuil1!$A:$B,2,FALSE),"")</f>
        <v/>
      </c>
      <c r="AA46" s="31" t="str">
        <f>IFERROR(VLOOKUP([2]Pointage!AE40,Feuil1!$A:$B,2,FALSE),"")</f>
        <v/>
      </c>
      <c r="AB46" s="31" t="str">
        <f>IFERROR(VLOOKUP([2]Pointage!AF40,Feuil1!$A:$B,2,FALSE),"")</f>
        <v/>
      </c>
      <c r="AC46" s="31" t="str">
        <f>IFERROR(VLOOKUP([2]Pointage!AG40,Feuil1!$A:$B,2,FALSE),"")</f>
        <v/>
      </c>
      <c r="AD46" s="31" t="str">
        <f>IFERROR(VLOOKUP([2]Pointage!AH40,Feuil1!$A:$B,2,FALSE),"")</f>
        <v/>
      </c>
      <c r="AE46" s="31" t="str">
        <f>IFERROR(VLOOKUP([2]Pointage!AI40,Feuil1!$A:$B,2,FALSE),"")</f>
        <v/>
      </c>
      <c r="AF46" s="31" t="str">
        <f>IFERROR(VLOOKUP([2]Pointage!AJ40,Feuil1!$A:$B,2,FALSE),"")</f>
        <v/>
      </c>
      <c r="AG46" s="31" t="str">
        <f>IFERROR(VLOOKUP([2]Pointage!AK40,Feuil1!$A:$B,2,FALSE),"")</f>
        <v/>
      </c>
      <c r="AH46" s="31" t="str">
        <f>IFERROR(VLOOKUP([2]Pointage!AL40,Feuil1!$A:$B,2,FALSE),"")</f>
        <v/>
      </c>
      <c r="AI46" s="31" t="str">
        <f>IFERROR(VLOOKUP([2]Pointage!AM40,Feuil1!$A:$B,2,FALSE),"")</f>
        <v/>
      </c>
      <c r="AJ46" s="82" t="str">
        <f>IFERROR(VLOOKUP([2]Pointage!AN40,Feuil1!$A:$B,2,FALSE),"")</f>
        <v/>
      </c>
      <c r="AK46" s="47" t="str">
        <f>IFERROR(VLOOKUP([2]Pointage!AO40,Feuil1!$A:$B,2,FALSE),"")</f>
        <v/>
      </c>
      <c r="AL46" s="31" t="str">
        <f>IFERROR(VLOOKUP([2]Pointage!AP40,Feuil1!$A:$B,2,FALSE),"")</f>
        <v/>
      </c>
      <c r="AM46" s="31" t="str">
        <f>IFERROR(VLOOKUP([2]Pointage!AQ40,Feuil1!$A:$B,2,FALSE),"")</f>
        <v/>
      </c>
      <c r="AN46" s="31" t="str">
        <f>IFERROR(VLOOKUP([2]Pointage!AR40,Feuil1!$A:$B,2,FALSE),"")</f>
        <v/>
      </c>
      <c r="AO46" s="31" t="str">
        <f>IFERROR(VLOOKUP([2]Pointage!AS40,Feuil1!$A:$B,2,FALSE),"")</f>
        <v/>
      </c>
      <c r="AP46" s="31" t="str">
        <f>IFERROR(VLOOKUP([2]Pointage!AT40,Feuil1!$A:$B,2,FALSE),"")</f>
        <v>C</v>
      </c>
      <c r="AQ46" s="31" t="str">
        <f>IFERROR(VLOOKUP([2]Pointage!AU40,Feuil1!$A:$B,2,FALSE),"")</f>
        <v/>
      </c>
      <c r="AR46" s="31" t="str">
        <f>IFERROR(VLOOKUP([2]Pointage!AV40,Feuil1!$A:$B,2,FALSE),"")</f>
        <v/>
      </c>
      <c r="AS46" s="31" t="str">
        <f>IFERROR(VLOOKUP([2]Pointage!AW40,Feuil1!$A:$B,2,FALSE),"")</f>
        <v/>
      </c>
      <c r="AT46" s="31" t="str">
        <f>IFERROR(VLOOKUP([2]Pointage!AX40,Feuil1!$A:$B,2,FALSE),"")</f>
        <v/>
      </c>
      <c r="AU46" s="31" t="str">
        <f>IFERROR(VLOOKUP([2]Pointage!AY40,Feuil1!$A:$B,2,FALSE),"")</f>
        <v/>
      </c>
      <c r="AV46" s="31" t="str">
        <f>IFERROR(VLOOKUP([2]Pointage!AZ40,Feuil1!$A:$B,2,FALSE),"")</f>
        <v>RTT</v>
      </c>
      <c r="AW46" s="31" t="str">
        <f>IFERROR(VLOOKUP([2]Pointage!BA40,Feuil1!$A:$B,2,FALSE),"")</f>
        <v>RTT</v>
      </c>
      <c r="AX46" s="31" t="str">
        <f>IFERROR(VLOOKUP([2]Pointage!BB40,Feuil1!$A:$B,2,FALSE),"")</f>
        <v>RTT</v>
      </c>
      <c r="AY46" s="31" t="str">
        <f>IFERROR(VLOOKUP([2]Pointage!BC40,Feuil1!$A:$B,2,FALSE),"")</f>
        <v>RTT</v>
      </c>
      <c r="AZ46" s="31" t="str">
        <f>IFERROR(VLOOKUP([2]Pointage!BD40,Feuil1!$A:$B,2,FALSE),"")</f>
        <v>RTT</v>
      </c>
      <c r="BA46" s="31" t="str">
        <f>IFERROR(VLOOKUP([2]Pointage!BE40,Feuil1!$A:$B,2,FALSE),"")</f>
        <v/>
      </c>
      <c r="BB46" s="31" t="str">
        <f>IFERROR(VLOOKUP([2]Pointage!BF40,Feuil1!$A:$B,2,FALSE),"")</f>
        <v/>
      </c>
      <c r="BC46" s="31" t="str">
        <f>IFERROR(VLOOKUP([2]Pointage!BG40,Feuil1!$A:$B,2,FALSE),"")</f>
        <v>C</v>
      </c>
      <c r="BD46" s="31" t="str">
        <f>IFERROR(VLOOKUP([2]Pointage!BH40,Feuil1!$A:$B,2,FALSE),"")</f>
        <v>C</v>
      </c>
      <c r="BE46" s="31" t="str">
        <f>IFERROR(VLOOKUP([2]Pointage!BI40,Feuil1!$A:$B,2,FALSE),"")</f>
        <v>C</v>
      </c>
      <c r="BF46" s="31" t="str">
        <f>IFERROR(VLOOKUP([2]Pointage!BJ40,Feuil1!$A:$B,2,FALSE),"")</f>
        <v>C</v>
      </c>
      <c r="BG46" s="31" t="str">
        <f>IFERROR(VLOOKUP([2]Pointage!BK40,Feuil1!$A:$B,2,FALSE),"")</f>
        <v>C</v>
      </c>
      <c r="BH46" s="31" t="str">
        <f>IFERROR(VLOOKUP([2]Pointage!BL40,Feuil1!$A:$B,2,FALSE),"")</f>
        <v/>
      </c>
      <c r="BI46" s="31" t="str">
        <f>IFERROR(VLOOKUP([2]Pointage!BM40,Feuil1!$A:$B,2,FALSE),"")</f>
        <v/>
      </c>
      <c r="BJ46" s="31" t="str">
        <f>IFERROR(VLOOKUP([2]Pointage!BN40,Feuil1!$A:$B,2,FALSE),"")</f>
        <v>C</v>
      </c>
      <c r="BK46" s="31" t="str">
        <f>IFERROR(VLOOKUP([2]Pointage!BO40,Feuil1!$A:$B,2,FALSE),"")</f>
        <v>C</v>
      </c>
      <c r="BL46" s="82" t="str">
        <f>IFERROR(VLOOKUP([2]Pointage!BP40,Feuil1!$A:$B,2,FALSE),"")</f>
        <v>C</v>
      </c>
      <c r="BM46" s="47" t="str">
        <f>IFERROR(VLOOKUP([2]Pointage!BQ40,Feuil1!$A:$B,2,FALSE),"")</f>
        <v>C</v>
      </c>
      <c r="BN46" s="31" t="str">
        <f>IFERROR(VLOOKUP([2]Pointage!BR40,Feuil1!$A:$B,2,FALSE),"")</f>
        <v>RTT</v>
      </c>
      <c r="BO46" s="31" t="str">
        <f>IFERROR(VLOOKUP([2]Pointage!BS40,Feuil1!$A:$B,2,FALSE),"")</f>
        <v/>
      </c>
      <c r="BP46" s="31" t="str">
        <f>IFERROR(VLOOKUP([2]Pointage!BT40,Feuil1!$A:$B,2,FALSE),"")</f>
        <v/>
      </c>
      <c r="BQ46" s="31" t="str">
        <f>IFERROR(VLOOKUP([2]Pointage!BU40,Feuil1!$A:$B,2,FALSE),"")</f>
        <v/>
      </c>
      <c r="BR46" s="31" t="str">
        <f>IFERROR(VLOOKUP([2]Pointage!BV40,Feuil1!$A:$B,2,FALSE),"")</f>
        <v/>
      </c>
      <c r="BS46" s="31" t="str">
        <f>IFERROR(VLOOKUP([2]Pointage!BW40,Feuil1!$A:$B,2,FALSE),"")</f>
        <v/>
      </c>
      <c r="BT46" s="31" t="str">
        <f>IFERROR(VLOOKUP([2]Pointage!BX40,Feuil1!$A:$B,2,FALSE),"")</f>
        <v>M</v>
      </c>
      <c r="BU46" s="31" t="str">
        <f>IFERROR(VLOOKUP([2]Pointage!BY40,Feuil1!$A:$B,2,FALSE),"")</f>
        <v>M</v>
      </c>
      <c r="BV46" s="31" t="str">
        <f>IFERROR(VLOOKUP([2]Pointage!BZ40,Feuil1!$A:$B,2,FALSE),"")</f>
        <v>M</v>
      </c>
      <c r="BW46" s="31" t="str">
        <f>IFERROR(VLOOKUP([2]Pointage!CA40,Feuil1!$A:$B,2,FALSE),"")</f>
        <v>M</v>
      </c>
      <c r="BX46" s="31" t="str">
        <f>IFERROR(VLOOKUP([2]Pointage!CB40,Feuil1!$A:$B,2,FALSE),"")</f>
        <v>M</v>
      </c>
      <c r="BY46" s="31" t="str">
        <f>IFERROR(VLOOKUP([2]Pointage!CC40,Feuil1!$A:$B,2,FALSE),"")</f>
        <v>M</v>
      </c>
      <c r="BZ46" s="31" t="str">
        <f>IFERROR(VLOOKUP([2]Pointage!CD40,Feuil1!$A:$B,2,FALSE),"")</f>
        <v>M</v>
      </c>
      <c r="CA46" s="31" t="str">
        <f>IFERROR(VLOOKUP([2]Pointage!CE40,Feuil1!$A:$B,2,FALSE),"")</f>
        <v>M</v>
      </c>
      <c r="CB46" s="31" t="str">
        <f>IFERROR(VLOOKUP([2]Pointage!CF40,Feuil1!$A:$B,2,FALSE),"")</f>
        <v>M</v>
      </c>
      <c r="CC46" s="31" t="str">
        <f>IFERROR(VLOOKUP([2]Pointage!CG40,Feuil1!$A:$B,2,FALSE),"")</f>
        <v>M</v>
      </c>
      <c r="CD46" s="31" t="str">
        <f>IFERROR(VLOOKUP([2]Pointage!CH40,Feuil1!$A:$B,2,FALSE),"")</f>
        <v>M</v>
      </c>
      <c r="CE46" s="31" t="str">
        <f>IFERROR(VLOOKUP([2]Pointage!CI40,Feuil1!$A:$B,2,FALSE),"")</f>
        <v>M</v>
      </c>
      <c r="CF46" s="31" t="str">
        <f>IFERROR(VLOOKUP([2]Pointage!CJ40,Feuil1!$A:$B,2,FALSE),"")</f>
        <v>M</v>
      </c>
      <c r="CG46" s="31" t="str">
        <f>IFERROR(VLOOKUP([2]Pointage!CK40,Feuil1!$A:$B,2,FALSE),"")</f>
        <v>M</v>
      </c>
      <c r="CH46" s="31" t="str">
        <f>IFERROR(VLOOKUP([2]Pointage!CL40,Feuil1!$A:$B,2,FALSE),"")</f>
        <v>M</v>
      </c>
      <c r="CI46" s="31" t="str">
        <f>IFERROR(VLOOKUP([2]Pointage!CM40,Feuil1!$A:$B,2,FALSE),"")</f>
        <v>M</v>
      </c>
      <c r="CJ46" s="31" t="str">
        <f>IFERROR(VLOOKUP([2]Pointage!CN40,Feuil1!$A:$B,2,FALSE),"")</f>
        <v>M</v>
      </c>
      <c r="CK46" s="31" t="str">
        <f>IFERROR(VLOOKUP([2]Pointage!CO40,Feuil1!$A:$B,2,FALSE),"")</f>
        <v>M</v>
      </c>
      <c r="CL46" s="31" t="str">
        <f>IFERROR(VLOOKUP([2]Pointage!CP40,Feuil1!$A:$B,2,FALSE),"")</f>
        <v/>
      </c>
      <c r="CM46" s="31" t="str">
        <f>IFERROR(VLOOKUP([2]Pointage!CQ40,Feuil1!$A:$B,2,FALSE),"")</f>
        <v/>
      </c>
      <c r="CN46" s="31" t="str">
        <f>IFERROR(VLOOKUP([2]Pointage!CR40,Feuil1!$A:$B,2,FALSE),"")</f>
        <v/>
      </c>
      <c r="CO46" s="31" t="str">
        <f>IFERROR(VLOOKUP([2]Pointage!CS40,Feuil1!$A:$B,2,FALSE),"")</f>
        <v/>
      </c>
      <c r="CP46" s="31" t="str">
        <f>IFERROR(VLOOKUP([2]Pointage!CT40,Feuil1!$A:$B,2,FALSE),"")</f>
        <v/>
      </c>
      <c r="CQ46" s="82" t="str">
        <f>IFERROR(VLOOKUP([2]Pointage!CU40,Feuil1!$A:$B,2,FALSE),"")</f>
        <v/>
      </c>
      <c r="CR46" s="47" t="str">
        <f>IFERROR(VLOOKUP([2]Pointage!CV40,Feuil1!$A:$B,2,FALSE),"")</f>
        <v/>
      </c>
      <c r="CS46" s="31" t="str">
        <f>IFERROR(VLOOKUP([2]Pointage!CW40,Feuil1!$A:$B,2,FALSE),"")</f>
        <v/>
      </c>
      <c r="CT46" s="31" t="str">
        <f>IFERROR(VLOOKUP([2]Pointage!CX40,Feuil1!$A:$B,2,FALSE),"")</f>
        <v/>
      </c>
      <c r="CU46" s="31" t="str">
        <f>IFERROR(VLOOKUP([2]Pointage!CY40,Feuil1!$A:$B,2,FALSE),"")</f>
        <v/>
      </c>
      <c r="CV46" s="31" t="str">
        <f>IFERROR(VLOOKUP([2]Pointage!CZ40,Feuil1!$A:$B,2,FALSE),"")</f>
        <v/>
      </c>
      <c r="CW46" s="31" t="str">
        <f>IFERROR(VLOOKUP([2]Pointage!DA40,Feuil1!$A:$B,2,FALSE),"")</f>
        <v/>
      </c>
      <c r="CX46" s="31" t="str">
        <f>IFERROR(VLOOKUP([2]Pointage!DB40,Feuil1!$A:$B,2,FALSE),"")</f>
        <v/>
      </c>
      <c r="CY46" s="31" t="str">
        <f>IFERROR(VLOOKUP([2]Pointage!DC40,Feuil1!$A:$B,2,FALSE),"")</f>
        <v/>
      </c>
      <c r="CZ46" s="31" t="str">
        <f>IFERROR(VLOOKUP([2]Pointage!DD40,Feuil1!$A:$B,2,FALSE),"")</f>
        <v/>
      </c>
      <c r="DA46" s="31" t="str">
        <f>IFERROR(VLOOKUP([2]Pointage!DE40,Feuil1!$A:$B,2,FALSE),"")</f>
        <v/>
      </c>
      <c r="DB46" s="31" t="str">
        <f>IFERROR(VLOOKUP([2]Pointage!DF40,Feuil1!$A:$B,2,FALSE),"")</f>
        <v/>
      </c>
      <c r="DC46" s="31" t="str">
        <f>IFERROR(VLOOKUP([2]Pointage!DG40,Feuil1!$A:$B,2,FALSE),"")</f>
        <v/>
      </c>
      <c r="DD46" s="31" t="str">
        <f>IFERROR(VLOOKUP([2]Pointage!DH40,Feuil1!$A:$B,2,FALSE),"")</f>
        <v/>
      </c>
      <c r="DE46" s="31" t="str">
        <f>IFERROR(VLOOKUP([2]Pointage!DI40,Feuil1!$A:$B,2,FALSE),"")</f>
        <v/>
      </c>
      <c r="DF46" s="31" t="str">
        <f>IFERROR(VLOOKUP([2]Pointage!DJ40,Feuil1!$A:$B,2,FALSE),"")</f>
        <v/>
      </c>
      <c r="DG46" s="31" t="str">
        <f>IFERROR(VLOOKUP([2]Pointage!DK40,Feuil1!$A:$B,2,FALSE),"")</f>
        <v/>
      </c>
      <c r="DH46" s="31" t="str">
        <f>IFERROR(VLOOKUP([2]Pointage!DL40,Feuil1!$A:$B,2,FALSE),"")</f>
        <v>C</v>
      </c>
      <c r="DI46" s="31" t="str">
        <f>IFERROR(VLOOKUP([2]Pointage!DM40,Feuil1!$A:$B,2,FALSE),"")</f>
        <v/>
      </c>
      <c r="DJ46" s="31" t="str">
        <f>IFERROR(VLOOKUP([2]Pointage!DN40,Feuil1!$A:$B,2,FALSE),"")</f>
        <v/>
      </c>
      <c r="DK46" s="31" t="str">
        <f>IFERROR(VLOOKUP([2]Pointage!DO40,Feuil1!$A:$B,2,FALSE),"")</f>
        <v/>
      </c>
      <c r="DL46" s="31" t="str">
        <f>IFERROR(VLOOKUP([2]Pointage!DP40,Feuil1!$A:$B,2,FALSE),"")</f>
        <v/>
      </c>
      <c r="DM46" s="31" t="str">
        <f>IFERROR(VLOOKUP([2]Pointage!DQ40,Feuil1!$A:$B,2,FALSE),"")</f>
        <v/>
      </c>
      <c r="DN46" s="31" t="str">
        <f>IFERROR(VLOOKUP([2]Pointage!DR40,Feuil1!$A:$B,2,FALSE),"")</f>
        <v/>
      </c>
      <c r="DO46" s="31" t="str">
        <f>IFERROR(VLOOKUP([2]Pointage!DS40,Feuil1!$A:$B,2,FALSE),"")</f>
        <v/>
      </c>
      <c r="DP46" s="31" t="str">
        <f>IFERROR(VLOOKUP([2]Pointage!DT40,Feuil1!$A:$B,2,FALSE),"")</f>
        <v/>
      </c>
      <c r="DQ46" s="31" t="str">
        <f>IFERROR(VLOOKUP([2]Pointage!DU40,Feuil1!$A:$B,2,FALSE),"")</f>
        <v/>
      </c>
      <c r="DR46" s="31" t="str">
        <f>IFERROR(VLOOKUP([2]Pointage!DV40,Feuil1!$A:$B,2,FALSE),"")</f>
        <v>C</v>
      </c>
      <c r="DS46" s="31" t="str">
        <f>IFERROR(VLOOKUP([2]Pointage!DW40,Feuil1!$A:$B,2,FALSE),"")</f>
        <v/>
      </c>
      <c r="DT46" s="31" t="str">
        <f>IFERROR(VLOOKUP([2]Pointage!DX40,Feuil1!$A:$B,2,FALSE),"")</f>
        <v/>
      </c>
      <c r="DU46" s="82" t="str">
        <f>IFERROR(VLOOKUP([2]Pointage!DY40,Feuil1!$A:$B,2,FALSE),"")</f>
        <v>C</v>
      </c>
      <c r="DV46" s="47" t="str">
        <f>IFERROR(VLOOKUP([2]Pointage!DZ40,Feuil1!$A:$B,2,FALSE),"")</f>
        <v/>
      </c>
      <c r="DW46" s="31" t="str">
        <f>IFERROR(VLOOKUP([2]Pointage!EA40,Feuil1!$A:$B,2,FALSE),"")</f>
        <v>C</v>
      </c>
      <c r="DX46" s="31" t="str">
        <f>IFERROR(VLOOKUP([2]Pointage!EB40,Feuil1!$A:$B,2,FALSE),"")</f>
        <v>C</v>
      </c>
      <c r="DY46" s="31" t="str">
        <f>IFERROR(VLOOKUP([2]Pointage!EC40,Feuil1!$A:$B,2,FALSE),"")</f>
        <v>C</v>
      </c>
      <c r="DZ46" s="31" t="str">
        <f>IFERROR(VLOOKUP([2]Pointage!ED40,Feuil1!$A:$B,2,FALSE),"")</f>
        <v/>
      </c>
      <c r="EA46" s="31" t="str">
        <f>IFERROR(VLOOKUP([2]Pointage!EE40,Feuil1!$A:$B,2,FALSE),"")</f>
        <v/>
      </c>
      <c r="EB46" s="31" t="str">
        <f>IFERROR(VLOOKUP([2]Pointage!EF40,Feuil1!$A:$B,2,FALSE),"")</f>
        <v>C</v>
      </c>
      <c r="EC46" s="31" t="str">
        <f>IFERROR(VLOOKUP([2]Pointage!EG40,Feuil1!$A:$B,2,FALSE),"")</f>
        <v/>
      </c>
      <c r="ED46" s="31" t="str">
        <f>IFERROR(VLOOKUP([2]Pointage!EH40,Feuil1!$A:$B,2,FALSE),"")</f>
        <v/>
      </c>
      <c r="EE46" s="31" t="str">
        <f>IFERROR(VLOOKUP([2]Pointage!EI40,Feuil1!$A:$B,2,FALSE),"")</f>
        <v/>
      </c>
      <c r="EF46" s="31" t="str">
        <f>IFERROR(VLOOKUP([2]Pointage!EJ40,Feuil1!$A:$B,2,FALSE),"")</f>
        <v/>
      </c>
      <c r="EG46" s="31" t="str">
        <f>IFERROR(VLOOKUP([2]Pointage!EK40,Feuil1!$A:$B,2,FALSE),"")</f>
        <v/>
      </c>
      <c r="EH46" s="31" t="str">
        <f>IFERROR(VLOOKUP([2]Pointage!EL40,Feuil1!$A:$B,2,FALSE),"")</f>
        <v/>
      </c>
      <c r="EI46" s="31" t="str">
        <f>IFERROR(VLOOKUP([2]Pointage!EM40,Feuil1!$A:$B,2,FALSE),"")</f>
        <v/>
      </c>
      <c r="EJ46" s="31" t="str">
        <f>IFERROR(VLOOKUP([2]Pointage!EN40,Feuil1!$A:$B,2,FALSE),"")</f>
        <v/>
      </c>
      <c r="EK46" s="31" t="str">
        <f>IFERROR(VLOOKUP([2]Pointage!EO40,Feuil1!$A:$B,2,FALSE),"")</f>
        <v/>
      </c>
      <c r="EL46" s="31" t="str">
        <f>IFERROR(VLOOKUP([2]Pointage!EP40,Feuil1!$A:$B,2,FALSE),"")</f>
        <v/>
      </c>
      <c r="EM46" s="31" t="str">
        <f>IFERROR(VLOOKUP([2]Pointage!EQ40,Feuil1!$A:$B,2,FALSE),"")</f>
        <v/>
      </c>
      <c r="EN46" s="31" t="str">
        <f>IFERROR(VLOOKUP([2]Pointage!ER40,Feuil1!$A:$B,2,FALSE),"")</f>
        <v/>
      </c>
      <c r="EO46" s="31" t="str">
        <f>IFERROR(VLOOKUP([2]Pointage!ES40,Feuil1!$A:$B,2,FALSE),"")</f>
        <v/>
      </c>
      <c r="EP46" s="31" t="str">
        <f>IFERROR(VLOOKUP([2]Pointage!ET40,Feuil1!$A:$B,2,FALSE),"")</f>
        <v/>
      </c>
      <c r="EQ46" s="31" t="str">
        <f>IFERROR(VLOOKUP([2]Pointage!EU40,Feuil1!$A:$B,2,FALSE),"")</f>
        <v/>
      </c>
      <c r="ER46" s="31" t="str">
        <f>IFERROR(VLOOKUP([2]Pointage!EV40,Feuil1!$A:$B,2,FALSE),"")</f>
        <v>C</v>
      </c>
      <c r="ES46" s="31" t="str">
        <f>IFERROR(VLOOKUP([2]Pointage!EW40,Feuil1!$A:$B,2,FALSE),"")</f>
        <v/>
      </c>
      <c r="ET46" s="31" t="str">
        <f>IFERROR(VLOOKUP([2]Pointage!EX40,Feuil1!$A:$B,2,FALSE),"")</f>
        <v/>
      </c>
      <c r="EU46" s="31" t="str">
        <f>IFERROR(VLOOKUP([2]Pointage!EY40,Feuil1!$A:$B,2,FALSE),"")</f>
        <v/>
      </c>
      <c r="EV46" s="31" t="str">
        <f>IFERROR(VLOOKUP([2]Pointage!EZ40,Feuil1!$A:$B,2,FALSE),"")</f>
        <v/>
      </c>
      <c r="EW46" s="31" t="str">
        <f>IFERROR(VLOOKUP([2]Pointage!FA40,Feuil1!$A:$B,2,FALSE),"")</f>
        <v/>
      </c>
      <c r="EX46" s="31" t="str">
        <f>IFERROR(VLOOKUP([2]Pointage!FB40,Feuil1!$A:$B,2,FALSE),"")</f>
        <v/>
      </c>
      <c r="EY46" s="31" t="str">
        <f>IFERROR(VLOOKUP([2]Pointage!FC40,Feuil1!$A:$B,2,FALSE),"")</f>
        <v/>
      </c>
      <c r="EZ46" s="82" t="str">
        <f>IFERROR(VLOOKUP([2]Pointage!FD40,Feuil1!$A:$B,2,FALSE),"")</f>
        <v/>
      </c>
      <c r="FA46" s="47" t="str">
        <f>IFERROR(VLOOKUP([2]Pointage!FE40,Feuil1!$A:$B,2,FALSE),"")</f>
        <v/>
      </c>
      <c r="FB46" s="31" t="str">
        <f>IFERROR(VLOOKUP([2]Pointage!FF40,Feuil1!$A:$B,2,FALSE),"")</f>
        <v/>
      </c>
      <c r="FC46" s="31" t="str">
        <f>IFERROR(VLOOKUP([2]Pointage!FG40,Feuil1!$A:$B,2,FALSE),"")</f>
        <v/>
      </c>
      <c r="FD46" s="31" t="str">
        <f>IFERROR(VLOOKUP([2]Pointage!FH40,Feuil1!$A:$B,2,FALSE),"")</f>
        <v/>
      </c>
      <c r="FE46" s="31" t="str">
        <f>IFERROR(VLOOKUP([2]Pointage!FI40,Feuil1!$A:$B,2,FALSE),"")</f>
        <v/>
      </c>
      <c r="FF46" s="31" t="str">
        <f>IFERROR(VLOOKUP([2]Pointage!FJ40,Feuil1!$A:$B,2,FALSE),"")</f>
        <v/>
      </c>
      <c r="FG46" s="31" t="str">
        <f>IFERROR(VLOOKUP([2]Pointage!FK40,Feuil1!$A:$B,2,FALSE),"")</f>
        <v>C</v>
      </c>
      <c r="FH46" s="31" t="str">
        <f>IFERROR(VLOOKUP([2]Pointage!FL40,Feuil1!$A:$B,2,FALSE),"")</f>
        <v/>
      </c>
      <c r="FI46" s="31" t="str">
        <f>IFERROR(VLOOKUP([2]Pointage!FM40,Feuil1!$A:$B,2,FALSE),"")</f>
        <v/>
      </c>
      <c r="FJ46" s="31" t="str">
        <f>IFERROR(VLOOKUP([2]Pointage!FN40,Feuil1!$A:$B,2,FALSE),"")</f>
        <v/>
      </c>
      <c r="FK46" s="31" t="str">
        <f>IFERROR(VLOOKUP([2]Pointage!FO40,Feuil1!$A:$B,2,FALSE),"")</f>
        <v/>
      </c>
      <c r="FL46" s="31" t="str">
        <f>IFERROR(VLOOKUP([2]Pointage!FP40,Feuil1!$A:$B,2,FALSE),"")</f>
        <v/>
      </c>
      <c r="FM46" s="31" t="str">
        <f>IFERROR(VLOOKUP([2]Pointage!FQ40,Feuil1!$A:$B,2,FALSE),"")</f>
        <v/>
      </c>
      <c r="FN46" s="31" t="str">
        <f>IFERROR(VLOOKUP([2]Pointage!FR40,Feuil1!$A:$B,2,FALSE),"")</f>
        <v/>
      </c>
      <c r="FO46" s="31" t="str">
        <f>IFERROR(VLOOKUP([2]Pointage!FS40,Feuil1!$A:$B,2,FALSE),"")</f>
        <v/>
      </c>
      <c r="FP46" s="31" t="str">
        <f>IFERROR(VLOOKUP([2]Pointage!FT40,Feuil1!$A:$B,2,FALSE),"")</f>
        <v/>
      </c>
      <c r="FQ46" s="31" t="str">
        <f>IFERROR(VLOOKUP([2]Pointage!FU40,Feuil1!$A:$B,2,FALSE),"")</f>
        <v/>
      </c>
      <c r="FR46" s="31" t="str">
        <f>IFERROR(VLOOKUP([2]Pointage!FV40,Feuil1!$A:$B,2,FALSE),"")</f>
        <v/>
      </c>
      <c r="FS46" s="31" t="str">
        <f>IFERROR(VLOOKUP([2]Pointage!FW40,Feuil1!$A:$B,2,FALSE),"")</f>
        <v/>
      </c>
      <c r="FT46" s="31" t="str">
        <f>IFERROR(VLOOKUP([2]Pointage!FX40,Feuil1!$A:$B,2,FALSE),"")</f>
        <v/>
      </c>
      <c r="FU46" s="31" t="str">
        <f>IFERROR(VLOOKUP([2]Pointage!FY40,Feuil1!$A:$B,2,FALSE),"")</f>
        <v/>
      </c>
      <c r="FV46" s="31" t="str">
        <f>IFERROR(VLOOKUP([2]Pointage!FZ40,Feuil1!$A:$B,2,FALSE),"")</f>
        <v/>
      </c>
      <c r="FW46" s="31" t="str">
        <f>IFERROR(VLOOKUP([2]Pointage!GA40,Feuil1!$A:$B,2,FALSE),"")</f>
        <v/>
      </c>
      <c r="FX46" s="31" t="str">
        <f>IFERROR(VLOOKUP([2]Pointage!GB40,Feuil1!$A:$B,2,FALSE),"")</f>
        <v/>
      </c>
      <c r="FY46" s="31" t="str">
        <f>IFERROR(VLOOKUP([2]Pointage!GC40,Feuil1!$A:$B,2,FALSE),"")</f>
        <v/>
      </c>
      <c r="FZ46" s="31" t="str">
        <f>IFERROR(VLOOKUP([2]Pointage!GD40,Feuil1!$A:$B,2,FALSE),"")</f>
        <v/>
      </c>
      <c r="GA46" s="31" t="str">
        <f>IFERROR(VLOOKUP([2]Pointage!GE40,Feuil1!$A:$B,2,FALSE),"")</f>
        <v/>
      </c>
      <c r="GB46" s="31" t="str">
        <f>IFERROR(VLOOKUP([2]Pointage!GF40,Feuil1!$A:$B,2,FALSE),"")</f>
        <v/>
      </c>
      <c r="GC46" s="31" t="str">
        <f>IFERROR(VLOOKUP([2]Pointage!GG40,Feuil1!$A:$B,2,FALSE),"")</f>
        <v/>
      </c>
      <c r="GD46" s="82" t="str">
        <f>IFERROR(VLOOKUP([2]Pointage!GH40,Feuil1!$A:$B,2,FALSE),"")</f>
        <v/>
      </c>
      <c r="GE46" s="47" t="str">
        <f>IFERROR(VLOOKUP([2]Pointage!GI40,Feuil1!$A:$B,2,FALSE),"")</f>
        <v/>
      </c>
      <c r="GF46" s="31" t="str">
        <f>IFERROR(VLOOKUP([2]Pointage!GJ40,Feuil1!$A:$B,2,FALSE),"")</f>
        <v/>
      </c>
      <c r="GG46" s="31" t="str">
        <f>IFERROR(VLOOKUP([2]Pointage!GK40,Feuil1!$A:$B,2,FALSE),"")</f>
        <v/>
      </c>
      <c r="GH46" s="31" t="str">
        <f>IFERROR(VLOOKUP([2]Pointage!GL40,Feuil1!$A:$B,2,FALSE),"")</f>
        <v/>
      </c>
      <c r="GI46" s="31" t="str">
        <f>IFERROR(VLOOKUP([2]Pointage!GM40,Feuil1!$A:$B,2,FALSE),"")</f>
        <v/>
      </c>
      <c r="GJ46" s="31" t="str">
        <f>IFERROR(VLOOKUP([2]Pointage!GN40,Feuil1!$A:$B,2,FALSE),"")</f>
        <v/>
      </c>
      <c r="GK46" s="31" t="str">
        <f>IFERROR(VLOOKUP([2]Pointage!GO40,Feuil1!$A:$B,2,FALSE),"")</f>
        <v/>
      </c>
      <c r="GL46" s="31" t="str">
        <f>IFERROR(VLOOKUP([2]Pointage!GP40,Feuil1!$A:$B,2,FALSE),"")</f>
        <v/>
      </c>
      <c r="GM46" s="31" t="str">
        <f>IFERROR(VLOOKUP([2]Pointage!GQ40,Feuil1!$A:$B,2,FALSE),"")</f>
        <v/>
      </c>
      <c r="GN46" s="31" t="str">
        <f>IFERROR(VLOOKUP([2]Pointage!GR40,Feuil1!$A:$B,2,FALSE),"")</f>
        <v/>
      </c>
      <c r="GO46" s="31" t="str">
        <f>IFERROR(VLOOKUP([2]Pointage!GS40,Feuil1!$A:$B,2,FALSE),"")</f>
        <v/>
      </c>
      <c r="GP46" s="31" t="str">
        <f>IFERROR(VLOOKUP([2]Pointage!GT40,Feuil1!$A:$B,2,FALSE),"")</f>
        <v/>
      </c>
      <c r="GQ46" s="31" t="str">
        <f>IFERROR(VLOOKUP([2]Pointage!GU40,Feuil1!$A:$B,2,FALSE),"")</f>
        <v/>
      </c>
      <c r="GR46" s="31" t="str">
        <f>IFERROR(VLOOKUP([2]Pointage!GV40,Feuil1!$A:$B,2,FALSE),"")</f>
        <v/>
      </c>
      <c r="GS46" s="31" t="str">
        <f>IFERROR(VLOOKUP([2]Pointage!GW40,Feuil1!$A:$B,2,FALSE),"")</f>
        <v/>
      </c>
      <c r="GT46" s="31" t="str">
        <f>IFERROR(VLOOKUP([2]Pointage!GX40,Feuil1!$A:$B,2,FALSE),"")</f>
        <v>C</v>
      </c>
      <c r="GU46" s="31" t="str">
        <f>IFERROR(VLOOKUP([2]Pointage!GY40,Feuil1!$A:$B,2,FALSE),"")</f>
        <v>C</v>
      </c>
      <c r="GV46" s="31" t="str">
        <f>IFERROR(VLOOKUP([2]Pointage!GZ40,Feuil1!$A:$B,2,FALSE),"")</f>
        <v>C</v>
      </c>
      <c r="GW46" s="31" t="str">
        <f>IFERROR(VLOOKUP([2]Pointage!HA40,Feuil1!$A:$B,2,FALSE),"")</f>
        <v>C</v>
      </c>
      <c r="GX46" s="31" t="str">
        <f>IFERROR(VLOOKUP([2]Pointage!HB40,Feuil1!$A:$B,2,FALSE),"")</f>
        <v>C</v>
      </c>
      <c r="GY46" s="31" t="str">
        <f>IFERROR(VLOOKUP([2]Pointage!HC40,Feuil1!$A:$B,2,FALSE),"")</f>
        <v/>
      </c>
      <c r="GZ46" s="31" t="str">
        <f>IFERROR(VLOOKUP([2]Pointage!HD40,Feuil1!$A:$B,2,FALSE),"")</f>
        <v/>
      </c>
      <c r="HA46" s="31" t="str">
        <f>IFERROR(VLOOKUP([2]Pointage!HE40,Feuil1!$A:$B,2,FALSE),"")</f>
        <v>C</v>
      </c>
      <c r="HB46" s="31" t="str">
        <f>IFERROR(VLOOKUP([2]Pointage!HF40,Feuil1!$A:$B,2,FALSE),"")</f>
        <v>C</v>
      </c>
      <c r="HC46" s="31" t="str">
        <f>IFERROR(VLOOKUP([2]Pointage!HG40,Feuil1!$A:$B,2,FALSE),"")</f>
        <v>C</v>
      </c>
      <c r="HD46" s="31" t="str">
        <f>IFERROR(VLOOKUP([2]Pointage!HH40,Feuil1!$A:$B,2,FALSE),"")</f>
        <v>C</v>
      </c>
      <c r="HE46" s="31" t="str">
        <f>IFERROR(VLOOKUP([2]Pointage!HI40,Feuil1!$A:$B,2,FALSE),"")</f>
        <v>C</v>
      </c>
      <c r="HF46" s="31" t="str">
        <f>IFERROR(VLOOKUP([2]Pointage!HJ40,Feuil1!$A:$B,2,FALSE),"")</f>
        <v/>
      </c>
      <c r="HG46" s="31" t="str">
        <f>IFERROR(VLOOKUP([2]Pointage!HK40,Feuil1!$A:$B,2,FALSE),"")</f>
        <v/>
      </c>
      <c r="HH46" s="31" t="str">
        <f>IFERROR(VLOOKUP([2]Pointage!HL40,Feuil1!$A:$B,2,FALSE),"")</f>
        <v>C</v>
      </c>
      <c r="HI46" s="82" t="str">
        <f>IFERROR(VLOOKUP([2]Pointage!HM40,Feuil1!$A:$B,2,FALSE),"")</f>
        <v>C</v>
      </c>
      <c r="HJ46" s="47" t="str">
        <f>IFERROR(VLOOKUP([2]Pointage!HN40,Feuil1!$A:$B,2,FALSE),"")</f>
        <v>C</v>
      </c>
      <c r="HK46" s="31" t="str">
        <f>IFERROR(VLOOKUP([2]Pointage!HO40,Feuil1!$A:$B,2,FALSE),"")</f>
        <v>C</v>
      </c>
      <c r="HL46" s="31" t="str">
        <f>IFERROR(VLOOKUP([2]Pointage!HP40,Feuil1!$A:$B,2,FALSE),"")</f>
        <v>C</v>
      </c>
      <c r="HM46" s="31" t="str">
        <f>IFERROR(VLOOKUP([2]Pointage!HQ40,Feuil1!$A:$B,2,FALSE),"")</f>
        <v/>
      </c>
      <c r="HN46" s="31" t="str">
        <f>IFERROR(VLOOKUP([2]Pointage!HR40,Feuil1!$A:$B,2,FALSE),"")</f>
        <v/>
      </c>
      <c r="HO46" s="31" t="str">
        <f>IFERROR(VLOOKUP([2]Pointage!HS40,Feuil1!$A:$B,2,FALSE),"")</f>
        <v/>
      </c>
      <c r="HP46" s="31" t="str">
        <f>IFERROR(VLOOKUP([2]Pointage!HT40,Feuil1!$A:$B,2,FALSE),"")</f>
        <v/>
      </c>
      <c r="HQ46" s="31" t="str">
        <f>IFERROR(VLOOKUP([2]Pointage!HU40,Feuil1!$A:$B,2,FALSE),"")</f>
        <v/>
      </c>
      <c r="HR46" s="31" t="str">
        <f>IFERROR(VLOOKUP([2]Pointage!HV40,Feuil1!$A:$B,2,FALSE),"")</f>
        <v/>
      </c>
      <c r="HS46" s="31" t="str">
        <f>IFERROR(VLOOKUP([2]Pointage!HW40,Feuil1!$A:$B,2,FALSE),"")</f>
        <v/>
      </c>
      <c r="HT46" s="31" t="str">
        <f>IFERROR(VLOOKUP([2]Pointage!HX40,Feuil1!$A:$B,2,FALSE),"")</f>
        <v/>
      </c>
      <c r="HU46" s="31" t="str">
        <f>IFERROR(VLOOKUP([2]Pointage!HY40,Feuil1!$A:$B,2,FALSE),"")</f>
        <v/>
      </c>
      <c r="HV46" s="31" t="str">
        <f>IFERROR(VLOOKUP([2]Pointage!HZ40,Feuil1!$A:$B,2,FALSE),"")</f>
        <v/>
      </c>
      <c r="HW46" s="31" t="str">
        <f>IFERROR(VLOOKUP([2]Pointage!IA40,Feuil1!$A:$B,2,FALSE),"")</f>
        <v/>
      </c>
      <c r="HX46" s="31" t="str">
        <f>IFERROR(VLOOKUP([2]Pointage!IB40,Feuil1!$A:$B,2,FALSE),"")</f>
        <v/>
      </c>
      <c r="HY46" s="31" t="str">
        <f>IFERROR(VLOOKUP([2]Pointage!IC40,Feuil1!$A:$B,2,FALSE),"")</f>
        <v/>
      </c>
      <c r="HZ46" s="31" t="str">
        <f>IFERROR(VLOOKUP([2]Pointage!ID40,Feuil1!$A:$B,2,FALSE),"")</f>
        <v/>
      </c>
      <c r="IA46" s="31" t="str">
        <f>IFERROR(VLOOKUP([2]Pointage!IE40,Feuil1!$A:$B,2,FALSE),"")</f>
        <v/>
      </c>
      <c r="IB46" s="31" t="str">
        <f>IFERROR(VLOOKUP([2]Pointage!IF40,Feuil1!$A:$B,2,FALSE),"")</f>
        <v/>
      </c>
      <c r="IC46" s="31" t="str">
        <f>IFERROR(VLOOKUP([2]Pointage!IG40,Feuil1!$A:$B,2,FALSE),"")</f>
        <v/>
      </c>
      <c r="ID46" s="31" t="str">
        <f>IFERROR(VLOOKUP([2]Pointage!IH40,Feuil1!$A:$B,2,FALSE),"")</f>
        <v/>
      </c>
      <c r="IE46" s="31" t="str">
        <f>IFERROR(VLOOKUP([2]Pointage!II40,Feuil1!$A:$B,2,FALSE),"")</f>
        <v/>
      </c>
      <c r="IF46" s="31" t="str">
        <f>IFERROR(VLOOKUP([2]Pointage!IJ40,Feuil1!$A:$B,2,FALSE),"")</f>
        <v/>
      </c>
      <c r="IG46" s="31" t="str">
        <f>IFERROR(VLOOKUP([2]Pointage!IK40,Feuil1!$A:$B,2,FALSE),"")</f>
        <v/>
      </c>
      <c r="IH46" s="31" t="str">
        <f>IFERROR(VLOOKUP([2]Pointage!IL40,Feuil1!$A:$B,2,FALSE),"")</f>
        <v/>
      </c>
      <c r="II46" s="31" t="str">
        <f>IFERROR(VLOOKUP([2]Pointage!IM40,Feuil1!$A:$B,2,FALSE),"")</f>
        <v/>
      </c>
      <c r="IJ46" s="31" t="str">
        <f>IFERROR(VLOOKUP([2]Pointage!IN40,Feuil1!$A:$B,2,FALSE),"")</f>
        <v/>
      </c>
      <c r="IK46" s="31" t="str">
        <f>IFERROR(VLOOKUP([2]Pointage!IO40,Feuil1!$A:$B,2,FALSE),"")</f>
        <v/>
      </c>
      <c r="IL46" s="31" t="str">
        <f>IFERROR(VLOOKUP([2]Pointage!IP40,Feuil1!$A:$B,2,FALSE),"")</f>
        <v/>
      </c>
      <c r="IM46" s="31" t="str">
        <f>IFERROR(VLOOKUP([2]Pointage!IQ40,Feuil1!$A:$B,2,FALSE),"")</f>
        <v/>
      </c>
      <c r="IN46" s="82" t="str">
        <f>IFERROR(VLOOKUP([2]Pointage!IR40,Feuil1!$A:$B,2,FALSE),"")</f>
        <v/>
      </c>
      <c r="IO46" s="47" t="str">
        <f>IFERROR(VLOOKUP([2]Pointage!IS40,Feuil1!$A:$B,2,FALSE),"")</f>
        <v/>
      </c>
      <c r="IP46" s="31" t="str">
        <f>IFERROR(VLOOKUP([2]Pointage!IT40,Feuil1!$A:$B,2,FALSE),"")</f>
        <v/>
      </c>
      <c r="IQ46" s="31" t="str">
        <f>IFERROR(VLOOKUP([2]Pointage!IU40,Feuil1!$A:$B,2,FALSE),"")</f>
        <v/>
      </c>
      <c r="IR46" s="31" t="str">
        <f>IFERROR(VLOOKUP([2]Pointage!IV40,Feuil1!$A:$B,2,FALSE),"")</f>
        <v/>
      </c>
      <c r="IS46" s="31" t="str">
        <f>IFERROR(VLOOKUP([2]Pointage!IW40,Feuil1!$A:$B,2,FALSE),"")</f>
        <v/>
      </c>
      <c r="IT46" s="31" t="str">
        <f>IFERROR(VLOOKUP([2]Pointage!IX40,Feuil1!$A:$B,2,FALSE),"")</f>
        <v/>
      </c>
      <c r="IU46" s="31" t="str">
        <f>IFERROR(VLOOKUP([2]Pointage!IY40,Feuil1!$A:$B,2,FALSE),"")</f>
        <v/>
      </c>
      <c r="IV46" s="31" t="str">
        <f>IFERROR(VLOOKUP([2]Pointage!IZ40,Feuil1!$A:$B,2,FALSE),"")</f>
        <v/>
      </c>
      <c r="IW46" s="31" t="str">
        <f>IFERROR(VLOOKUP([2]Pointage!JA40,Feuil1!$A:$B,2,FALSE),"")</f>
        <v/>
      </c>
      <c r="IX46" s="31" t="str">
        <f>IFERROR(VLOOKUP([2]Pointage!JB40,Feuil1!$A:$B,2,FALSE),"")</f>
        <v/>
      </c>
      <c r="IY46" s="31" t="str">
        <f>IFERROR(VLOOKUP([2]Pointage!JC40,Feuil1!$A:$B,2,FALSE),"")</f>
        <v/>
      </c>
      <c r="IZ46" s="31" t="str">
        <f>IFERROR(VLOOKUP([2]Pointage!JD40,Feuil1!$A:$B,2,FALSE),"")</f>
        <v/>
      </c>
      <c r="JA46" s="31" t="str">
        <f>IFERROR(VLOOKUP([2]Pointage!JE40,Feuil1!$A:$B,2,FALSE),"")</f>
        <v/>
      </c>
      <c r="JB46" s="31" t="str">
        <f>IFERROR(VLOOKUP([2]Pointage!JF40,Feuil1!$A:$B,2,FALSE),"")</f>
        <v/>
      </c>
      <c r="JC46" s="31" t="str">
        <f>IFERROR(VLOOKUP([2]Pointage!JG40,Feuil1!$A:$B,2,FALSE),"")</f>
        <v/>
      </c>
      <c r="JD46" s="31" t="str">
        <f>IFERROR(VLOOKUP([2]Pointage!JH40,Feuil1!$A:$B,2,FALSE),"")</f>
        <v/>
      </c>
      <c r="JE46" s="31" t="str">
        <f>IFERROR(VLOOKUP([2]Pointage!JI40,Feuil1!$A:$B,2,FALSE),"")</f>
        <v/>
      </c>
      <c r="JF46" s="31" t="str">
        <f>IFERROR(VLOOKUP([2]Pointage!JJ40,Feuil1!$A:$B,2,FALSE),"")</f>
        <v/>
      </c>
      <c r="JG46" s="31" t="str">
        <f>IFERROR(VLOOKUP([2]Pointage!JK40,Feuil1!$A:$B,2,FALSE),"")</f>
        <v/>
      </c>
      <c r="JH46" s="31" t="str">
        <f>IFERROR(VLOOKUP([2]Pointage!JL40,Feuil1!$A:$B,2,FALSE),"")</f>
        <v/>
      </c>
      <c r="JI46" s="31" t="str">
        <f>IFERROR(VLOOKUP([2]Pointage!JM40,Feuil1!$A:$B,2,FALSE),"")</f>
        <v/>
      </c>
      <c r="JJ46" s="31" t="str">
        <f>IFERROR(VLOOKUP([2]Pointage!JN40,Feuil1!$A:$B,2,FALSE),"")</f>
        <v/>
      </c>
      <c r="JK46" s="31" t="str">
        <f>IFERROR(VLOOKUP([2]Pointage!JO40,Feuil1!$A:$B,2,FALSE),"")</f>
        <v/>
      </c>
      <c r="JL46" s="31" t="str">
        <f>IFERROR(VLOOKUP([2]Pointage!JP40,Feuil1!$A:$B,2,FALSE),"")</f>
        <v/>
      </c>
      <c r="JM46" s="31" t="str">
        <f>IFERROR(VLOOKUP([2]Pointage!JQ40,Feuil1!$A:$B,2,FALSE),"")</f>
        <v/>
      </c>
      <c r="JN46" s="31" t="str">
        <f>IFERROR(VLOOKUP([2]Pointage!JR40,Feuil1!$A:$B,2,FALSE),"")</f>
        <v/>
      </c>
      <c r="JO46" s="31" t="str">
        <f>IFERROR(VLOOKUP([2]Pointage!JS40,Feuil1!$A:$B,2,FALSE),"")</f>
        <v/>
      </c>
      <c r="JP46" s="31" t="str">
        <f>IFERROR(VLOOKUP([2]Pointage!JT40,Feuil1!$A:$B,2,FALSE),"")</f>
        <v/>
      </c>
      <c r="JQ46" s="31" t="str">
        <f>IFERROR(VLOOKUP([2]Pointage!JU40,Feuil1!$A:$B,2,FALSE),"")</f>
        <v/>
      </c>
      <c r="JR46" s="82" t="str">
        <f>IFERROR(VLOOKUP([2]Pointage!JV40,Feuil1!$A:$B,2,FALSE),"")</f>
        <v/>
      </c>
      <c r="JS46" s="47" t="str">
        <f>IFERROR(VLOOKUP([2]Pointage!JW40,Feuil1!$A:$B,2,FALSE),"")</f>
        <v/>
      </c>
      <c r="JT46" s="31" t="str">
        <f>IFERROR(VLOOKUP([2]Pointage!JX40,Feuil1!$A:$B,2,FALSE),"")</f>
        <v/>
      </c>
      <c r="JU46" s="31" t="str">
        <f>IFERROR(VLOOKUP([2]Pointage!JY40,Feuil1!$A:$B,2,FALSE),"")</f>
        <v/>
      </c>
      <c r="JV46" s="31" t="str">
        <f>IFERROR(VLOOKUP([2]Pointage!JZ40,Feuil1!$A:$B,2,FALSE),"")</f>
        <v/>
      </c>
      <c r="JW46" s="31" t="str">
        <f>IFERROR(VLOOKUP([2]Pointage!KA40,Feuil1!$A:$B,2,FALSE),"")</f>
        <v/>
      </c>
      <c r="JX46" s="31" t="str">
        <f>IFERROR(VLOOKUP([2]Pointage!KB40,Feuil1!$A:$B,2,FALSE),"")</f>
        <v/>
      </c>
      <c r="JY46" s="31" t="str">
        <f>IFERROR(VLOOKUP([2]Pointage!KC40,Feuil1!$A:$B,2,FALSE),"")</f>
        <v/>
      </c>
      <c r="JZ46" s="31" t="str">
        <f>IFERROR(VLOOKUP([2]Pointage!KD40,Feuil1!$A:$B,2,FALSE),"")</f>
        <v/>
      </c>
      <c r="KA46" s="31" t="str">
        <f>IFERROR(VLOOKUP([2]Pointage!KE40,Feuil1!$A:$B,2,FALSE),"")</f>
        <v/>
      </c>
      <c r="KB46" s="31" t="str">
        <f>IFERROR(VLOOKUP([2]Pointage!KF40,Feuil1!$A:$B,2,FALSE),"")</f>
        <v/>
      </c>
      <c r="KC46" s="31" t="str">
        <f>IFERROR(VLOOKUP([2]Pointage!KG40,Feuil1!$A:$B,2,FALSE),"")</f>
        <v/>
      </c>
      <c r="KD46" s="31" t="str">
        <f>IFERROR(VLOOKUP([2]Pointage!KH40,Feuil1!$A:$B,2,FALSE),"")</f>
        <v/>
      </c>
      <c r="KE46" s="31" t="str">
        <f>IFERROR(VLOOKUP([2]Pointage!KI40,Feuil1!$A:$B,2,FALSE),"")</f>
        <v/>
      </c>
      <c r="KF46" s="31" t="str">
        <f>IFERROR(VLOOKUP([2]Pointage!KJ40,Feuil1!$A:$B,2,FALSE),"")</f>
        <v/>
      </c>
      <c r="KG46" s="31" t="str">
        <f>IFERROR(VLOOKUP([2]Pointage!KK40,Feuil1!$A:$B,2,FALSE),"")</f>
        <v/>
      </c>
      <c r="KH46" s="31" t="str">
        <f>IFERROR(VLOOKUP([2]Pointage!KL40,Feuil1!$A:$B,2,FALSE),"")</f>
        <v/>
      </c>
      <c r="KI46" s="31" t="str">
        <f>IFERROR(VLOOKUP([2]Pointage!KM40,Feuil1!$A:$B,2,FALSE),"")</f>
        <v/>
      </c>
      <c r="KJ46" s="31" t="str">
        <f>IFERROR(VLOOKUP([2]Pointage!KN40,Feuil1!$A:$B,2,FALSE),"")</f>
        <v/>
      </c>
      <c r="KK46" s="31" t="str">
        <f>IFERROR(VLOOKUP([2]Pointage!KO40,Feuil1!$A:$B,2,FALSE),"")</f>
        <v/>
      </c>
      <c r="KL46" s="31" t="str">
        <f>IFERROR(VLOOKUP([2]Pointage!KP40,Feuil1!$A:$B,2,FALSE),"")</f>
        <v/>
      </c>
      <c r="KM46" s="31" t="str">
        <f>IFERROR(VLOOKUP([2]Pointage!KQ40,Feuil1!$A:$B,2,FALSE),"")</f>
        <v/>
      </c>
      <c r="KN46" s="31" t="str">
        <f>IFERROR(VLOOKUP([2]Pointage!KR40,Feuil1!$A:$B,2,FALSE),"")</f>
        <v/>
      </c>
      <c r="KO46" s="31" t="str">
        <f>IFERROR(VLOOKUP([2]Pointage!KS40,Feuil1!$A:$B,2,FALSE),"")</f>
        <v/>
      </c>
      <c r="KP46" s="31" t="str">
        <f>IFERROR(VLOOKUP([2]Pointage!KT40,Feuil1!$A:$B,2,FALSE),"")</f>
        <v/>
      </c>
      <c r="KQ46" s="31" t="str">
        <f>IFERROR(VLOOKUP([2]Pointage!KU40,Feuil1!$A:$B,2,FALSE),"")</f>
        <v/>
      </c>
      <c r="KR46" s="31" t="str">
        <f>IFERROR(VLOOKUP([2]Pointage!KV40,Feuil1!$A:$B,2,FALSE),"")</f>
        <v/>
      </c>
      <c r="KS46" s="31" t="str">
        <f>IFERROR(VLOOKUP([2]Pointage!KW40,Feuil1!$A:$B,2,FALSE),"")</f>
        <v/>
      </c>
      <c r="KT46" s="31" t="str">
        <f>IFERROR(VLOOKUP([2]Pointage!KX40,Feuil1!$A:$B,2,FALSE),"")</f>
        <v/>
      </c>
      <c r="KU46" s="31" t="str">
        <f>IFERROR(VLOOKUP([2]Pointage!KY40,Feuil1!$A:$B,2,FALSE),"")</f>
        <v/>
      </c>
      <c r="KV46" s="31" t="str">
        <f>IFERROR(VLOOKUP([2]Pointage!KZ40,Feuil1!$A:$B,2,FALSE),"")</f>
        <v/>
      </c>
      <c r="KW46" s="82" t="str">
        <f>IFERROR(VLOOKUP([2]Pointage!LA40,Feuil1!$A:$B,2,FALSE),"")</f>
        <v/>
      </c>
      <c r="KX46" s="47" t="str">
        <f>IFERROR(VLOOKUP([2]Pointage!LB40,Feuil1!$A:$B,2,FALSE),"")</f>
        <v/>
      </c>
      <c r="KY46" s="31" t="str">
        <f>IFERROR(VLOOKUP([2]Pointage!LC40,Feuil1!$A:$B,2,FALSE),"")</f>
        <v/>
      </c>
      <c r="KZ46" s="31" t="str">
        <f>IFERROR(VLOOKUP([2]Pointage!LD40,Feuil1!$A:$B,2,FALSE),"")</f>
        <v/>
      </c>
      <c r="LA46" s="31" t="str">
        <f>IFERROR(VLOOKUP([2]Pointage!LE40,Feuil1!$A:$B,2,FALSE),"")</f>
        <v/>
      </c>
      <c r="LB46" s="31" t="str">
        <f>IFERROR(VLOOKUP([2]Pointage!LF40,Feuil1!$A:$B,2,FALSE),"")</f>
        <v/>
      </c>
      <c r="LC46" s="31" t="str">
        <f>IFERROR(VLOOKUP([2]Pointage!LG40,Feuil1!$A:$B,2,FALSE),"")</f>
        <v/>
      </c>
      <c r="LD46" s="31" t="str">
        <f>IFERROR(VLOOKUP([2]Pointage!LH40,Feuil1!$A:$B,2,FALSE),"")</f>
        <v/>
      </c>
      <c r="LE46" s="31" t="str">
        <f>IFERROR(VLOOKUP([2]Pointage!LI40,Feuil1!$A:$B,2,FALSE),"")</f>
        <v/>
      </c>
      <c r="LF46" s="31" t="str">
        <f>IFERROR(VLOOKUP([2]Pointage!LJ40,Feuil1!$A:$B,2,FALSE),"")</f>
        <v/>
      </c>
      <c r="LG46" s="31" t="str">
        <f>IFERROR(VLOOKUP([2]Pointage!LK40,Feuil1!$A:$B,2,FALSE),"")</f>
        <v/>
      </c>
      <c r="LH46" s="31" t="str">
        <f>IFERROR(VLOOKUP([2]Pointage!LL40,Feuil1!$A:$B,2,FALSE),"")</f>
        <v/>
      </c>
      <c r="LI46" s="31" t="str">
        <f>IFERROR(VLOOKUP([2]Pointage!LM40,Feuil1!$A:$B,2,FALSE),"")</f>
        <v/>
      </c>
      <c r="LJ46" s="31" t="str">
        <f>IFERROR(VLOOKUP([2]Pointage!LN40,Feuil1!$A:$B,2,FALSE),"")</f>
        <v/>
      </c>
      <c r="LK46" s="31" t="str">
        <f>IFERROR(VLOOKUP([2]Pointage!LO40,Feuil1!$A:$B,2,FALSE),"")</f>
        <v/>
      </c>
      <c r="LL46" s="31" t="str">
        <f>IFERROR(VLOOKUP([2]Pointage!LP40,Feuil1!$A:$B,2,FALSE),"")</f>
        <v/>
      </c>
      <c r="LM46" s="31" t="str">
        <f>IFERROR(VLOOKUP([2]Pointage!LQ40,Feuil1!$A:$B,2,FALSE),"")</f>
        <v/>
      </c>
      <c r="LN46" s="31" t="str">
        <f>IFERROR(VLOOKUP([2]Pointage!LR40,Feuil1!$A:$B,2,FALSE),"")</f>
        <v/>
      </c>
      <c r="LO46" s="31" t="str">
        <f>IFERROR(VLOOKUP([2]Pointage!LS40,Feuil1!$A:$B,2,FALSE),"")</f>
        <v/>
      </c>
      <c r="LP46" s="31" t="str">
        <f>IFERROR(VLOOKUP([2]Pointage!LT40,Feuil1!$A:$B,2,FALSE),"")</f>
        <v/>
      </c>
      <c r="LQ46" s="31" t="str">
        <f>IFERROR(VLOOKUP([2]Pointage!LU40,Feuil1!$A:$B,2,FALSE),"")</f>
        <v/>
      </c>
      <c r="LR46" s="31" t="str">
        <f>IFERROR(VLOOKUP([2]Pointage!LV40,Feuil1!$A:$B,2,FALSE),"")</f>
        <v/>
      </c>
      <c r="LS46" s="31" t="str">
        <f>IFERROR(VLOOKUP([2]Pointage!LW40,Feuil1!$A:$B,2,FALSE),"")</f>
        <v/>
      </c>
      <c r="LT46" s="31" t="str">
        <f>IFERROR(VLOOKUP([2]Pointage!LX40,Feuil1!$A:$B,2,FALSE),"")</f>
        <v/>
      </c>
      <c r="LU46" s="31" t="str">
        <f>IFERROR(VLOOKUP([2]Pointage!LY40,Feuil1!$A:$B,2,FALSE),"")</f>
        <v/>
      </c>
      <c r="LV46" s="31" t="str">
        <f>IFERROR(VLOOKUP([2]Pointage!LZ40,Feuil1!$A:$B,2,FALSE),"")</f>
        <v/>
      </c>
      <c r="LW46" s="31" t="str">
        <f>IFERROR(VLOOKUP([2]Pointage!MA40,Feuil1!$A:$B,2,FALSE),"")</f>
        <v/>
      </c>
      <c r="LX46" s="31" t="str">
        <f>IFERROR(VLOOKUP([2]Pointage!MB40,Feuil1!$A:$B,2,FALSE),"")</f>
        <v/>
      </c>
      <c r="LY46" s="31" t="str">
        <f>IFERROR(VLOOKUP([2]Pointage!MC40,Feuil1!$A:$B,2,FALSE),"")</f>
        <v/>
      </c>
      <c r="LZ46" s="31" t="str">
        <f>IFERROR(VLOOKUP([2]Pointage!MD40,Feuil1!$A:$B,2,FALSE),"")</f>
        <v/>
      </c>
      <c r="MA46" s="82" t="str">
        <f>IFERROR(VLOOKUP([2]Pointage!ME40,Feuil1!$A:$B,2,FALSE),"")</f>
        <v/>
      </c>
      <c r="MB46" s="47" t="str">
        <f>IFERROR(VLOOKUP([2]Pointage!MF40,Feuil1!$A:$B,2,FALSE),"")</f>
        <v/>
      </c>
      <c r="MC46" s="31" t="str">
        <f>IFERROR(VLOOKUP([2]Pointage!MG40,Feuil1!$A:$B,2,FALSE),"")</f>
        <v/>
      </c>
      <c r="MD46" s="31" t="str">
        <f>IFERROR(VLOOKUP([2]Pointage!MH40,Feuil1!$A:$B,2,FALSE),"")</f>
        <v/>
      </c>
      <c r="ME46" s="31" t="str">
        <f>IFERROR(VLOOKUP([2]Pointage!MI40,Feuil1!$A:$B,2,FALSE),"")</f>
        <v/>
      </c>
      <c r="MF46" s="31" t="str">
        <f>IFERROR(VLOOKUP([2]Pointage!MJ40,Feuil1!$A:$B,2,FALSE),"")</f>
        <v/>
      </c>
      <c r="MG46" s="31" t="str">
        <f>IFERROR(VLOOKUP([2]Pointage!MK40,Feuil1!$A:$B,2,FALSE),"")</f>
        <v/>
      </c>
      <c r="MH46" s="31" t="str">
        <f>IFERROR(VLOOKUP([2]Pointage!ML40,Feuil1!$A:$B,2,FALSE),"")</f>
        <v/>
      </c>
      <c r="MI46" s="31" t="str">
        <f>IFERROR(VLOOKUP([2]Pointage!MM40,Feuil1!$A:$B,2,FALSE),"")</f>
        <v/>
      </c>
      <c r="MJ46" s="31" t="str">
        <f>IFERROR(VLOOKUP([2]Pointage!MN40,Feuil1!$A:$B,2,FALSE),"")</f>
        <v/>
      </c>
      <c r="MK46" s="31" t="str">
        <f>IFERROR(VLOOKUP([2]Pointage!MO40,Feuil1!$A:$B,2,FALSE),"")</f>
        <v/>
      </c>
      <c r="ML46" s="31" t="str">
        <f>IFERROR(VLOOKUP([2]Pointage!MP40,Feuil1!$A:$B,2,FALSE),"")</f>
        <v/>
      </c>
      <c r="MM46" s="31" t="str">
        <f>IFERROR(VLOOKUP([2]Pointage!MQ40,Feuil1!$A:$B,2,FALSE),"")</f>
        <v/>
      </c>
      <c r="MN46" s="31" t="str">
        <f>IFERROR(VLOOKUP([2]Pointage!MR40,Feuil1!$A:$B,2,FALSE),"")</f>
        <v/>
      </c>
      <c r="MO46" s="31" t="str">
        <f>IFERROR(VLOOKUP([2]Pointage!MS40,Feuil1!$A:$B,2,FALSE),"")</f>
        <v/>
      </c>
      <c r="MP46" s="31" t="str">
        <f>IFERROR(VLOOKUP([2]Pointage!MT40,Feuil1!$A:$B,2,FALSE),"")</f>
        <v/>
      </c>
      <c r="MQ46" s="31" t="str">
        <f>IFERROR(VLOOKUP([2]Pointage!MU40,Feuil1!$A:$B,2,FALSE),"")</f>
        <v/>
      </c>
      <c r="MR46" s="31" t="str">
        <f>IFERROR(VLOOKUP([2]Pointage!MV40,Feuil1!$A:$B,2,FALSE),"")</f>
        <v/>
      </c>
      <c r="MS46" s="31" t="str">
        <f>IFERROR(VLOOKUP([2]Pointage!MW40,Feuil1!$A:$B,2,FALSE),"")</f>
        <v/>
      </c>
      <c r="MT46" s="31" t="str">
        <f>IFERROR(VLOOKUP([2]Pointage!MX40,Feuil1!$A:$B,2,FALSE),"")</f>
        <v/>
      </c>
      <c r="MU46" s="31" t="str">
        <f>IFERROR(VLOOKUP([2]Pointage!MY40,Feuil1!$A:$B,2,FALSE),"")</f>
        <v/>
      </c>
      <c r="MV46" s="31" t="str">
        <f>IFERROR(VLOOKUP([2]Pointage!MZ40,Feuil1!$A:$B,2,FALSE),"")</f>
        <v/>
      </c>
      <c r="MW46" s="31" t="str">
        <f>IFERROR(VLOOKUP([2]Pointage!NA40,Feuil1!$A:$B,2,FALSE),"")</f>
        <v/>
      </c>
      <c r="MX46" s="31" t="str">
        <f>IFERROR(VLOOKUP([2]Pointage!NB40,Feuil1!$A:$B,2,FALSE),"")</f>
        <v/>
      </c>
      <c r="MY46" s="31" t="str">
        <f>IFERROR(VLOOKUP([2]Pointage!NC40,Feuil1!$A:$B,2,FALSE),"")</f>
        <v/>
      </c>
      <c r="MZ46" s="31" t="str">
        <f>IFERROR(VLOOKUP([2]Pointage!ND40,Feuil1!$A:$B,2,FALSE),"")</f>
        <v/>
      </c>
      <c r="NA46" s="31" t="str">
        <f>IFERROR(VLOOKUP([2]Pointage!NE40,Feuil1!$A:$B,2,FALSE),"")</f>
        <v/>
      </c>
      <c r="NB46" s="31" t="str">
        <f>IFERROR(VLOOKUP([2]Pointage!NF40,Feuil1!$A:$B,2,FALSE),"")</f>
        <v/>
      </c>
      <c r="NC46" s="31" t="str">
        <f>IFERROR(VLOOKUP([2]Pointage!NG40,Feuil1!$A:$B,2,FALSE),"")</f>
        <v/>
      </c>
      <c r="ND46" s="31" t="str">
        <f>IFERROR(VLOOKUP([2]Pointage!NH40,Feuil1!$A:$B,2,FALSE),"")</f>
        <v/>
      </c>
      <c r="NE46" s="31" t="str">
        <f>IFERROR(VLOOKUP([2]Pointage!NI40,Feuil1!$A:$B,2,FALSE),"")</f>
        <v/>
      </c>
      <c r="NF46" s="48" t="str">
        <f>IFERROR(VLOOKUP([2]Pointage!NJ40,Feuil1!$A:$B,2,FALSE),"")</f>
        <v/>
      </c>
      <c r="NG46" s="52">
        <f>COUNTIF(Global!F46:NF46,"RTT")+(COUNTIF(Global!F46:NF46,"dRTT")/2)</f>
        <v>6</v>
      </c>
      <c r="NH46" s="42">
        <f>COUNTIF(Global!F46:NF46,"C")+(COUNTIF(Global!F46:NF46,"DC")/2)</f>
        <v>38</v>
      </c>
      <c r="NI46" s="42">
        <f>COUNTIF(Global!F46:NF46,"M")</f>
        <v>18</v>
      </c>
      <c r="NJ46" s="42">
        <f>COUNTIF(Global!G46:NG46,"AT")</f>
        <v>0</v>
      </c>
      <c r="NK46" s="42">
        <f>COUNTIF(Global!F46:NF46,"RD")</f>
        <v>0</v>
      </c>
      <c r="NL46" s="42">
        <f>COUNTIF(Global!F46:NF46,"RC")+(COUNTIF(Global!F46:NF46,"dRC")/2)</f>
        <v>0</v>
      </c>
      <c r="NM46" s="68">
        <f t="shared" ca="1" si="0"/>
        <v>3.5342465753424661</v>
      </c>
      <c r="NT46" s="33"/>
      <c r="NU46" s="33"/>
      <c r="NV46" s="28"/>
      <c r="NW46" s="28"/>
      <c r="NX46" s="29">
        <f>COUNTIF(F46:NF46,"C")++(COUNTIF(Global!F46:NF46,"DC")/2)</f>
        <v>38</v>
      </c>
      <c r="NY46" s="29"/>
      <c r="NZ46" s="29"/>
      <c r="OA46" s="29"/>
      <c r="OB46" s="29">
        <f>COUNTIF(Global!F46:NF46,"M")</f>
        <v>18</v>
      </c>
      <c r="OC46" s="30">
        <f t="shared" si="1"/>
        <v>-38</v>
      </c>
      <c r="OD46" s="30"/>
    </row>
    <row r="47" spans="1:394" ht="30" customHeight="1" x14ac:dyDescent="0.2">
      <c r="A47" s="17" t="s">
        <v>103</v>
      </c>
      <c r="B47" s="17" t="s">
        <v>242</v>
      </c>
      <c r="C47" s="17" t="s">
        <v>243</v>
      </c>
      <c r="D47" s="17" t="s">
        <v>244</v>
      </c>
      <c r="E47" s="23">
        <v>0</v>
      </c>
      <c r="F47" s="47" t="str">
        <f>IFERROR(VLOOKUP([2]Pointage!J41,Feuil1!$A:$B,2,FALSE),"")</f>
        <v/>
      </c>
      <c r="G47" s="31" t="str">
        <f>IFERROR(VLOOKUP([2]Pointage!K41,Feuil1!$A:$B,2,FALSE),"")</f>
        <v/>
      </c>
      <c r="H47" s="31" t="str">
        <f>IFERROR(VLOOKUP([2]Pointage!L41,Feuil1!$A:$B,2,FALSE),"")</f>
        <v>C</v>
      </c>
      <c r="I47" s="31" t="str">
        <f>IFERROR(VLOOKUP([2]Pointage!M41,Feuil1!$A:$B,2,FALSE),"")</f>
        <v>RTT</v>
      </c>
      <c r="J47" s="31" t="str">
        <f>IFERROR(VLOOKUP([2]Pointage!N41,Feuil1!$A:$B,2,FALSE),"")</f>
        <v/>
      </c>
      <c r="K47" s="31" t="str">
        <f>IFERROR(VLOOKUP([2]Pointage!O41,Feuil1!$A:$B,2,FALSE),"")</f>
        <v/>
      </c>
      <c r="L47" s="31" t="str">
        <f>IFERROR(VLOOKUP([2]Pointage!P41,Feuil1!$A:$B,2,FALSE),"")</f>
        <v/>
      </c>
      <c r="M47" s="31" t="str">
        <f>IFERROR(VLOOKUP([2]Pointage!Q41,Feuil1!$A:$B,2,FALSE),"")</f>
        <v/>
      </c>
      <c r="N47" s="31" t="str">
        <f>IFERROR(VLOOKUP([2]Pointage!R41,Feuil1!$A:$B,2,FALSE),"")</f>
        <v>M</v>
      </c>
      <c r="O47" s="31" t="str">
        <f>IFERROR(VLOOKUP([2]Pointage!S41,Feuil1!$A:$B,2,FALSE),"")</f>
        <v>M</v>
      </c>
      <c r="P47" s="31" t="str">
        <f>IFERROR(VLOOKUP([2]Pointage!T41,Feuil1!$A:$B,2,FALSE),"")</f>
        <v>M</v>
      </c>
      <c r="Q47" s="31" t="str">
        <f>IFERROR(VLOOKUP([2]Pointage!U41,Feuil1!$A:$B,2,FALSE),"")</f>
        <v/>
      </c>
      <c r="R47" s="31" t="str">
        <f>IFERROR(VLOOKUP([2]Pointage!V41,Feuil1!$A:$B,2,FALSE),"")</f>
        <v/>
      </c>
      <c r="S47" s="31" t="str">
        <f>IFERROR(VLOOKUP([2]Pointage!W41,Feuil1!$A:$B,2,FALSE),"")</f>
        <v/>
      </c>
      <c r="T47" s="31" t="str">
        <f>IFERROR(VLOOKUP([2]Pointage!X41,Feuil1!$A:$B,2,FALSE),"")</f>
        <v/>
      </c>
      <c r="U47" s="31" t="str">
        <f>IFERROR(VLOOKUP([2]Pointage!Y41,Feuil1!$A:$B,2,FALSE),"")</f>
        <v>RTT</v>
      </c>
      <c r="V47" s="31" t="str">
        <f>IFERROR(VLOOKUP([2]Pointage!Z41,Feuil1!$A:$B,2,FALSE),"")</f>
        <v>RTT</v>
      </c>
      <c r="W47" s="31" t="str">
        <f>IFERROR(VLOOKUP([2]Pointage!AA41,Feuil1!$A:$B,2,FALSE),"")</f>
        <v>C</v>
      </c>
      <c r="X47" s="31" t="str">
        <f>IFERROR(VLOOKUP([2]Pointage!AB41,Feuil1!$A:$B,2,FALSE),"")</f>
        <v/>
      </c>
      <c r="Y47" s="31" t="str">
        <f>IFERROR(VLOOKUP([2]Pointage!AC41,Feuil1!$A:$B,2,FALSE),"")</f>
        <v/>
      </c>
      <c r="Z47" s="31" t="str">
        <f>IFERROR(VLOOKUP([2]Pointage!AD41,Feuil1!$A:$B,2,FALSE),"")</f>
        <v/>
      </c>
      <c r="AA47" s="31" t="str">
        <f>IFERROR(VLOOKUP([2]Pointage!AE41,Feuil1!$A:$B,2,FALSE),"")</f>
        <v/>
      </c>
      <c r="AB47" s="31" t="str">
        <f>IFERROR(VLOOKUP([2]Pointage!AF41,Feuil1!$A:$B,2,FALSE),"")</f>
        <v>C</v>
      </c>
      <c r="AC47" s="31" t="str">
        <f>IFERROR(VLOOKUP([2]Pointage!AG41,Feuil1!$A:$B,2,FALSE),"")</f>
        <v/>
      </c>
      <c r="AD47" s="31" t="str">
        <f>IFERROR(VLOOKUP([2]Pointage!AH41,Feuil1!$A:$B,2,FALSE),"")</f>
        <v>C</v>
      </c>
      <c r="AE47" s="31" t="str">
        <f>IFERROR(VLOOKUP([2]Pointage!AI41,Feuil1!$A:$B,2,FALSE),"")</f>
        <v/>
      </c>
      <c r="AF47" s="31" t="str">
        <f>IFERROR(VLOOKUP([2]Pointage!AJ41,Feuil1!$A:$B,2,FALSE),"")</f>
        <v/>
      </c>
      <c r="AG47" s="31" t="str">
        <f>IFERROR(VLOOKUP([2]Pointage!AK41,Feuil1!$A:$B,2,FALSE),"")</f>
        <v/>
      </c>
      <c r="AH47" s="31" t="str">
        <f>IFERROR(VLOOKUP([2]Pointage!AL41,Feuil1!$A:$B,2,FALSE),"")</f>
        <v/>
      </c>
      <c r="AI47" s="31" t="str">
        <f>IFERROR(VLOOKUP([2]Pointage!AM41,Feuil1!$A:$B,2,FALSE),"")</f>
        <v>C</v>
      </c>
      <c r="AJ47" s="82" t="str">
        <f>IFERROR(VLOOKUP([2]Pointage!AN41,Feuil1!$A:$B,2,FALSE),"")</f>
        <v>M</v>
      </c>
      <c r="AK47" s="47" t="str">
        <f>IFERROR(VLOOKUP([2]Pointage!AO41,Feuil1!$A:$B,2,FALSE),"")</f>
        <v>M</v>
      </c>
      <c r="AL47" s="31" t="str">
        <f>IFERROR(VLOOKUP([2]Pointage!AP41,Feuil1!$A:$B,2,FALSE),"")</f>
        <v>M</v>
      </c>
      <c r="AM47" s="31" t="str">
        <f>IFERROR(VLOOKUP([2]Pointage!AQ41,Feuil1!$A:$B,2,FALSE),"")</f>
        <v>M</v>
      </c>
      <c r="AN47" s="31" t="str">
        <f>IFERROR(VLOOKUP([2]Pointage!AR41,Feuil1!$A:$B,2,FALSE),"")</f>
        <v>M</v>
      </c>
      <c r="AO47" s="31" t="str">
        <f>IFERROR(VLOOKUP([2]Pointage!AS41,Feuil1!$A:$B,2,FALSE),"")</f>
        <v>M</v>
      </c>
      <c r="AP47" s="31" t="str">
        <f>IFERROR(VLOOKUP([2]Pointage!AT41,Feuil1!$A:$B,2,FALSE),"")</f>
        <v>M</v>
      </c>
      <c r="AQ47" s="31" t="str">
        <f>IFERROR(VLOOKUP([2]Pointage!AU41,Feuil1!$A:$B,2,FALSE),"")</f>
        <v>M</v>
      </c>
      <c r="AR47" s="31" t="str">
        <f>IFERROR(VLOOKUP([2]Pointage!AV41,Feuil1!$A:$B,2,FALSE),"")</f>
        <v>M</v>
      </c>
      <c r="AS47" s="31" t="str">
        <f>IFERROR(VLOOKUP([2]Pointage!AW41,Feuil1!$A:$B,2,FALSE),"")</f>
        <v>M</v>
      </c>
      <c r="AT47" s="31" t="str">
        <f>IFERROR(VLOOKUP([2]Pointage!AX41,Feuil1!$A:$B,2,FALSE),"")</f>
        <v/>
      </c>
      <c r="AU47" s="31" t="str">
        <f>IFERROR(VLOOKUP([2]Pointage!AY41,Feuil1!$A:$B,2,FALSE),"")</f>
        <v/>
      </c>
      <c r="AV47" s="31" t="str">
        <f>IFERROR(VLOOKUP([2]Pointage!AZ41,Feuil1!$A:$B,2,FALSE),"")</f>
        <v/>
      </c>
      <c r="AW47" s="31" t="str">
        <f>IFERROR(VLOOKUP([2]Pointage!BA41,Feuil1!$A:$B,2,FALSE),"")</f>
        <v/>
      </c>
      <c r="AX47" s="31" t="str">
        <f>IFERROR(VLOOKUP([2]Pointage!BB41,Feuil1!$A:$B,2,FALSE),"")</f>
        <v/>
      </c>
      <c r="AY47" s="31" t="str">
        <f>IFERROR(VLOOKUP([2]Pointage!BC41,Feuil1!$A:$B,2,FALSE),"")</f>
        <v/>
      </c>
      <c r="AZ47" s="31" t="str">
        <f>IFERROR(VLOOKUP([2]Pointage!BD41,Feuil1!$A:$B,2,FALSE),"")</f>
        <v/>
      </c>
      <c r="BA47" s="31" t="str">
        <f>IFERROR(VLOOKUP([2]Pointage!BE41,Feuil1!$A:$B,2,FALSE),"")</f>
        <v/>
      </c>
      <c r="BB47" s="31" t="str">
        <f>IFERROR(VLOOKUP([2]Pointage!BF41,Feuil1!$A:$B,2,FALSE),"")</f>
        <v/>
      </c>
      <c r="BC47" s="31" t="str">
        <f>IFERROR(VLOOKUP([2]Pointage!BG41,Feuil1!$A:$B,2,FALSE),"")</f>
        <v/>
      </c>
      <c r="BD47" s="31" t="str">
        <f>IFERROR(VLOOKUP([2]Pointage!BH41,Feuil1!$A:$B,2,FALSE),"")</f>
        <v>C</v>
      </c>
      <c r="BE47" s="31" t="str">
        <f>IFERROR(VLOOKUP([2]Pointage!BI41,Feuil1!$A:$B,2,FALSE),"")</f>
        <v/>
      </c>
      <c r="BF47" s="31" t="str">
        <f>IFERROR(VLOOKUP([2]Pointage!BJ41,Feuil1!$A:$B,2,FALSE),"")</f>
        <v>C</v>
      </c>
      <c r="BG47" s="31" t="str">
        <f>IFERROR(VLOOKUP([2]Pointage!BK41,Feuil1!$A:$B,2,FALSE),"")</f>
        <v/>
      </c>
      <c r="BH47" s="31" t="str">
        <f>IFERROR(VLOOKUP([2]Pointage!BL41,Feuil1!$A:$B,2,FALSE),"")</f>
        <v/>
      </c>
      <c r="BI47" s="31" t="str">
        <f>IFERROR(VLOOKUP([2]Pointage!BM41,Feuil1!$A:$B,2,FALSE),"")</f>
        <v/>
      </c>
      <c r="BJ47" s="31" t="str">
        <f>IFERROR(VLOOKUP([2]Pointage!BN41,Feuil1!$A:$B,2,FALSE),"")</f>
        <v/>
      </c>
      <c r="BK47" s="31" t="str">
        <f>IFERROR(VLOOKUP([2]Pointage!BO41,Feuil1!$A:$B,2,FALSE),"")</f>
        <v/>
      </c>
      <c r="BL47" s="82" t="str">
        <f>IFERROR(VLOOKUP([2]Pointage!BP41,Feuil1!$A:$B,2,FALSE),"")</f>
        <v/>
      </c>
      <c r="BM47" s="47" t="str">
        <f>IFERROR(VLOOKUP([2]Pointage!BQ41,Feuil1!$A:$B,2,FALSE),"")</f>
        <v/>
      </c>
      <c r="BN47" s="31" t="str">
        <f>IFERROR(VLOOKUP([2]Pointage!BR41,Feuil1!$A:$B,2,FALSE),"")</f>
        <v/>
      </c>
      <c r="BO47" s="31" t="str">
        <f>IFERROR(VLOOKUP([2]Pointage!BS41,Feuil1!$A:$B,2,FALSE),"")</f>
        <v/>
      </c>
      <c r="BP47" s="31" t="str">
        <f>IFERROR(VLOOKUP([2]Pointage!BT41,Feuil1!$A:$B,2,FALSE),"")</f>
        <v/>
      </c>
      <c r="BQ47" s="31" t="str">
        <f>IFERROR(VLOOKUP([2]Pointage!BU41,Feuil1!$A:$B,2,FALSE),"")</f>
        <v/>
      </c>
      <c r="BR47" s="31" t="str">
        <f>IFERROR(VLOOKUP([2]Pointage!BV41,Feuil1!$A:$B,2,FALSE),"")</f>
        <v>C</v>
      </c>
      <c r="BS47" s="31" t="str">
        <f>IFERROR(VLOOKUP([2]Pointage!BW41,Feuil1!$A:$B,2,FALSE),"")</f>
        <v>C</v>
      </c>
      <c r="BT47" s="31" t="str">
        <f>IFERROR(VLOOKUP([2]Pointage!BX41,Feuil1!$A:$B,2,FALSE),"")</f>
        <v>C</v>
      </c>
      <c r="BU47" s="31" t="str">
        <f>IFERROR(VLOOKUP([2]Pointage!BY41,Feuil1!$A:$B,2,FALSE),"")</f>
        <v/>
      </c>
      <c r="BV47" s="31" t="str">
        <f>IFERROR(VLOOKUP([2]Pointage!BZ41,Feuil1!$A:$B,2,FALSE),"")</f>
        <v/>
      </c>
      <c r="BW47" s="31" t="str">
        <f>IFERROR(VLOOKUP([2]Pointage!CA41,Feuil1!$A:$B,2,FALSE),"")</f>
        <v/>
      </c>
      <c r="BX47" s="31" t="str">
        <f>IFERROR(VLOOKUP([2]Pointage!CB41,Feuil1!$A:$B,2,FALSE),"")</f>
        <v/>
      </c>
      <c r="BY47" s="31" t="str">
        <f>IFERROR(VLOOKUP([2]Pointage!CC41,Feuil1!$A:$B,2,FALSE),"")</f>
        <v>C</v>
      </c>
      <c r="BZ47" s="31" t="str">
        <f>IFERROR(VLOOKUP([2]Pointage!CD41,Feuil1!$A:$B,2,FALSE),"")</f>
        <v>C</v>
      </c>
      <c r="CA47" s="31" t="str">
        <f>IFERROR(VLOOKUP([2]Pointage!CE41,Feuil1!$A:$B,2,FALSE),"")</f>
        <v>C</v>
      </c>
      <c r="CB47" s="31" t="str">
        <f>IFERROR(VLOOKUP([2]Pointage!CF41,Feuil1!$A:$B,2,FALSE),"")</f>
        <v/>
      </c>
      <c r="CC47" s="31" t="str">
        <f>IFERROR(VLOOKUP([2]Pointage!CG41,Feuil1!$A:$B,2,FALSE),"")</f>
        <v/>
      </c>
      <c r="CD47" s="31" t="str">
        <f>IFERROR(VLOOKUP([2]Pointage!CH41,Feuil1!$A:$B,2,FALSE),"")</f>
        <v/>
      </c>
      <c r="CE47" s="31" t="str">
        <f>IFERROR(VLOOKUP([2]Pointage!CI41,Feuil1!$A:$B,2,FALSE),"")</f>
        <v/>
      </c>
      <c r="CF47" s="31" t="str">
        <f>IFERROR(VLOOKUP([2]Pointage!CJ41,Feuil1!$A:$B,2,FALSE),"")</f>
        <v/>
      </c>
      <c r="CG47" s="31" t="str">
        <f>IFERROR(VLOOKUP([2]Pointage!CK41,Feuil1!$A:$B,2,FALSE),"")</f>
        <v/>
      </c>
      <c r="CH47" s="31" t="str">
        <f>IFERROR(VLOOKUP([2]Pointage!CL41,Feuil1!$A:$B,2,FALSE),"")</f>
        <v/>
      </c>
      <c r="CI47" s="31" t="str">
        <f>IFERROR(VLOOKUP([2]Pointage!CM41,Feuil1!$A:$B,2,FALSE),"")</f>
        <v/>
      </c>
      <c r="CJ47" s="31" t="str">
        <f>IFERROR(VLOOKUP([2]Pointage!CN41,Feuil1!$A:$B,2,FALSE),"")</f>
        <v/>
      </c>
      <c r="CK47" s="31" t="str">
        <f>IFERROR(VLOOKUP([2]Pointage!CO41,Feuil1!$A:$B,2,FALSE),"")</f>
        <v/>
      </c>
      <c r="CL47" s="31" t="str">
        <f>IFERROR(VLOOKUP([2]Pointage!CP41,Feuil1!$A:$B,2,FALSE),"")</f>
        <v/>
      </c>
      <c r="CM47" s="31" t="str">
        <f>IFERROR(VLOOKUP([2]Pointage!CQ41,Feuil1!$A:$B,2,FALSE),"")</f>
        <v/>
      </c>
      <c r="CN47" s="31" t="str">
        <f>IFERROR(VLOOKUP([2]Pointage!CR41,Feuil1!$A:$B,2,FALSE),"")</f>
        <v/>
      </c>
      <c r="CO47" s="31" t="str">
        <f>IFERROR(VLOOKUP([2]Pointage!CS41,Feuil1!$A:$B,2,FALSE),"")</f>
        <v/>
      </c>
      <c r="CP47" s="31" t="str">
        <f>IFERROR(VLOOKUP([2]Pointage!CT41,Feuil1!$A:$B,2,FALSE),"")</f>
        <v/>
      </c>
      <c r="CQ47" s="82" t="str">
        <f>IFERROR(VLOOKUP([2]Pointage!CU41,Feuil1!$A:$B,2,FALSE),"")</f>
        <v/>
      </c>
      <c r="CR47" s="47" t="str">
        <f>IFERROR(VLOOKUP([2]Pointage!CV41,Feuil1!$A:$B,2,FALSE),"")</f>
        <v/>
      </c>
      <c r="CS47" s="31" t="str">
        <f>IFERROR(VLOOKUP([2]Pointage!CW41,Feuil1!$A:$B,2,FALSE),"")</f>
        <v/>
      </c>
      <c r="CT47" s="31" t="str">
        <f>IFERROR(VLOOKUP([2]Pointage!CX41,Feuil1!$A:$B,2,FALSE),"")</f>
        <v/>
      </c>
      <c r="CU47" s="31" t="str">
        <f>IFERROR(VLOOKUP([2]Pointage!CY41,Feuil1!$A:$B,2,FALSE),"")</f>
        <v/>
      </c>
      <c r="CV47" s="31" t="str">
        <f>IFERROR(VLOOKUP([2]Pointage!CZ41,Feuil1!$A:$B,2,FALSE),"")</f>
        <v/>
      </c>
      <c r="CW47" s="31" t="str">
        <f>IFERROR(VLOOKUP([2]Pointage!DA41,Feuil1!$A:$B,2,FALSE),"")</f>
        <v/>
      </c>
      <c r="CX47" s="31" t="str">
        <f>IFERROR(VLOOKUP([2]Pointage!DB41,Feuil1!$A:$B,2,FALSE),"")</f>
        <v/>
      </c>
      <c r="CY47" s="31" t="str">
        <f>IFERROR(VLOOKUP([2]Pointage!DC41,Feuil1!$A:$B,2,FALSE),"")</f>
        <v/>
      </c>
      <c r="CZ47" s="31" t="str">
        <f>IFERROR(VLOOKUP([2]Pointage!DD41,Feuil1!$A:$B,2,FALSE),"")</f>
        <v/>
      </c>
      <c r="DA47" s="31" t="str">
        <f>IFERROR(VLOOKUP([2]Pointage!DE41,Feuil1!$A:$B,2,FALSE),"")</f>
        <v/>
      </c>
      <c r="DB47" s="31" t="str">
        <f>IFERROR(VLOOKUP([2]Pointage!DF41,Feuil1!$A:$B,2,FALSE),"")</f>
        <v/>
      </c>
      <c r="DC47" s="31" t="str">
        <f>IFERROR(VLOOKUP([2]Pointage!DG41,Feuil1!$A:$B,2,FALSE),"")</f>
        <v/>
      </c>
      <c r="DD47" s="31" t="str">
        <f>IFERROR(VLOOKUP([2]Pointage!DH41,Feuil1!$A:$B,2,FALSE),"")</f>
        <v/>
      </c>
      <c r="DE47" s="31" t="str">
        <f>IFERROR(VLOOKUP([2]Pointage!DI41,Feuil1!$A:$B,2,FALSE),"")</f>
        <v/>
      </c>
      <c r="DF47" s="31" t="str">
        <f>IFERROR(VLOOKUP([2]Pointage!DJ41,Feuil1!$A:$B,2,FALSE),"")</f>
        <v/>
      </c>
      <c r="DG47" s="31" t="str">
        <f>IFERROR(VLOOKUP([2]Pointage!DK41,Feuil1!$A:$B,2,FALSE),"")</f>
        <v/>
      </c>
      <c r="DH47" s="31" t="str">
        <f>IFERROR(VLOOKUP([2]Pointage!DL41,Feuil1!$A:$B,2,FALSE),"")</f>
        <v/>
      </c>
      <c r="DI47" s="31" t="str">
        <f>IFERROR(VLOOKUP([2]Pointage!DM41,Feuil1!$A:$B,2,FALSE),"")</f>
        <v/>
      </c>
      <c r="DJ47" s="31" t="str">
        <f>IFERROR(VLOOKUP([2]Pointage!DN41,Feuil1!$A:$B,2,FALSE),"")</f>
        <v/>
      </c>
      <c r="DK47" s="31" t="str">
        <f>IFERROR(VLOOKUP([2]Pointage!DO41,Feuil1!$A:$B,2,FALSE),"")</f>
        <v/>
      </c>
      <c r="DL47" s="31" t="str">
        <f>IFERROR(VLOOKUP([2]Pointage!DP41,Feuil1!$A:$B,2,FALSE),"")</f>
        <v/>
      </c>
      <c r="DM47" s="31" t="str">
        <f>IFERROR(VLOOKUP([2]Pointage!DQ41,Feuil1!$A:$B,2,FALSE),"")</f>
        <v/>
      </c>
      <c r="DN47" s="31" t="str">
        <f>IFERROR(VLOOKUP([2]Pointage!DR41,Feuil1!$A:$B,2,FALSE),"")</f>
        <v/>
      </c>
      <c r="DO47" s="31" t="str">
        <f>IFERROR(VLOOKUP([2]Pointage!DS41,Feuil1!$A:$B,2,FALSE),"")</f>
        <v>C</v>
      </c>
      <c r="DP47" s="31" t="str">
        <f>IFERROR(VLOOKUP([2]Pointage!DT41,Feuil1!$A:$B,2,FALSE),"")</f>
        <v>C</v>
      </c>
      <c r="DQ47" s="31" t="str">
        <f>IFERROR(VLOOKUP([2]Pointage!DU41,Feuil1!$A:$B,2,FALSE),"")</f>
        <v>C</v>
      </c>
      <c r="DR47" s="31" t="str">
        <f>IFERROR(VLOOKUP([2]Pointage!DV41,Feuil1!$A:$B,2,FALSE),"")</f>
        <v/>
      </c>
      <c r="DS47" s="31" t="str">
        <f>IFERROR(VLOOKUP([2]Pointage!DW41,Feuil1!$A:$B,2,FALSE),"")</f>
        <v/>
      </c>
      <c r="DT47" s="31" t="str">
        <f>IFERROR(VLOOKUP([2]Pointage!DX41,Feuil1!$A:$B,2,FALSE),"")</f>
        <v/>
      </c>
      <c r="DU47" s="82" t="str">
        <f>IFERROR(VLOOKUP([2]Pointage!DY41,Feuil1!$A:$B,2,FALSE),"")</f>
        <v/>
      </c>
      <c r="DV47" s="47" t="str">
        <f>IFERROR(VLOOKUP([2]Pointage!DZ41,Feuil1!$A:$B,2,FALSE),"")</f>
        <v/>
      </c>
      <c r="DW47" s="31" t="str">
        <f>IFERROR(VLOOKUP([2]Pointage!EA41,Feuil1!$A:$B,2,FALSE),"")</f>
        <v/>
      </c>
      <c r="DX47" s="31" t="str">
        <f>IFERROR(VLOOKUP([2]Pointage!EB41,Feuil1!$A:$B,2,FALSE),"")</f>
        <v/>
      </c>
      <c r="DY47" s="31" t="str">
        <f>IFERROR(VLOOKUP([2]Pointage!EC41,Feuil1!$A:$B,2,FALSE),"")</f>
        <v/>
      </c>
      <c r="DZ47" s="31" t="str">
        <f>IFERROR(VLOOKUP([2]Pointage!ED41,Feuil1!$A:$B,2,FALSE),"")</f>
        <v/>
      </c>
      <c r="EA47" s="31" t="str">
        <f>IFERROR(VLOOKUP([2]Pointage!EE41,Feuil1!$A:$B,2,FALSE),"")</f>
        <v/>
      </c>
      <c r="EB47" s="31" t="str">
        <f>IFERROR(VLOOKUP([2]Pointage!EF41,Feuil1!$A:$B,2,FALSE),"")</f>
        <v/>
      </c>
      <c r="EC47" s="31" t="str">
        <f>IFERROR(VLOOKUP([2]Pointage!EG41,Feuil1!$A:$B,2,FALSE),"")</f>
        <v/>
      </c>
      <c r="ED47" s="31" t="str">
        <f>IFERROR(VLOOKUP([2]Pointage!EH41,Feuil1!$A:$B,2,FALSE),"")</f>
        <v/>
      </c>
      <c r="EE47" s="31" t="str">
        <f>IFERROR(VLOOKUP([2]Pointage!EI41,Feuil1!$A:$B,2,FALSE),"")</f>
        <v/>
      </c>
      <c r="EF47" s="31" t="str">
        <f>IFERROR(VLOOKUP([2]Pointage!EJ41,Feuil1!$A:$B,2,FALSE),"")</f>
        <v/>
      </c>
      <c r="EG47" s="31" t="str">
        <f>IFERROR(VLOOKUP([2]Pointage!EK41,Feuil1!$A:$B,2,FALSE),"")</f>
        <v/>
      </c>
      <c r="EH47" s="31" t="str">
        <f>IFERROR(VLOOKUP([2]Pointage!EL41,Feuil1!$A:$B,2,FALSE),"")</f>
        <v/>
      </c>
      <c r="EI47" s="31" t="str">
        <f>IFERROR(VLOOKUP([2]Pointage!EM41,Feuil1!$A:$B,2,FALSE),"")</f>
        <v/>
      </c>
      <c r="EJ47" s="31" t="str">
        <f>IFERROR(VLOOKUP([2]Pointage!EN41,Feuil1!$A:$B,2,FALSE),"")</f>
        <v>C</v>
      </c>
      <c r="EK47" s="31" t="str">
        <f>IFERROR(VLOOKUP([2]Pointage!EO41,Feuil1!$A:$B,2,FALSE),"")</f>
        <v/>
      </c>
      <c r="EL47" s="31" t="str">
        <f>IFERROR(VLOOKUP([2]Pointage!EP41,Feuil1!$A:$B,2,FALSE),"")</f>
        <v/>
      </c>
      <c r="EM47" s="31" t="str">
        <f>IFERROR(VLOOKUP([2]Pointage!EQ41,Feuil1!$A:$B,2,FALSE),"")</f>
        <v/>
      </c>
      <c r="EN47" s="31" t="str">
        <f>IFERROR(VLOOKUP([2]Pointage!ER41,Feuil1!$A:$B,2,FALSE),"")</f>
        <v/>
      </c>
      <c r="EO47" s="31" t="str">
        <f>IFERROR(VLOOKUP([2]Pointage!ES41,Feuil1!$A:$B,2,FALSE),"")</f>
        <v/>
      </c>
      <c r="EP47" s="31" t="str">
        <f>IFERROR(VLOOKUP([2]Pointage!ET41,Feuil1!$A:$B,2,FALSE),"")</f>
        <v/>
      </c>
      <c r="EQ47" s="31" t="str">
        <f>IFERROR(VLOOKUP([2]Pointage!EU41,Feuil1!$A:$B,2,FALSE),"")</f>
        <v>RTT</v>
      </c>
      <c r="ER47" s="31" t="str">
        <f>IFERROR(VLOOKUP([2]Pointage!EV41,Feuil1!$A:$B,2,FALSE),"")</f>
        <v/>
      </c>
      <c r="ES47" s="31" t="str">
        <f>IFERROR(VLOOKUP([2]Pointage!EW41,Feuil1!$A:$B,2,FALSE),"")</f>
        <v/>
      </c>
      <c r="ET47" s="31" t="str">
        <f>IFERROR(VLOOKUP([2]Pointage!EX41,Feuil1!$A:$B,2,FALSE),"")</f>
        <v/>
      </c>
      <c r="EU47" s="31" t="str">
        <f>IFERROR(VLOOKUP([2]Pointage!EY41,Feuil1!$A:$B,2,FALSE),"")</f>
        <v/>
      </c>
      <c r="EV47" s="31" t="str">
        <f>IFERROR(VLOOKUP([2]Pointage!EZ41,Feuil1!$A:$B,2,FALSE),"")</f>
        <v/>
      </c>
      <c r="EW47" s="31" t="str">
        <f>IFERROR(VLOOKUP([2]Pointage!FA41,Feuil1!$A:$B,2,FALSE),"")</f>
        <v/>
      </c>
      <c r="EX47" s="31" t="str">
        <f>IFERROR(VLOOKUP([2]Pointage!FB41,Feuil1!$A:$B,2,FALSE),"")</f>
        <v/>
      </c>
      <c r="EY47" s="31" t="str">
        <f>IFERROR(VLOOKUP([2]Pointage!FC41,Feuil1!$A:$B,2,FALSE),"")</f>
        <v>RTT</v>
      </c>
      <c r="EZ47" s="82" t="str">
        <f>IFERROR(VLOOKUP([2]Pointage!FD41,Feuil1!$A:$B,2,FALSE),"")</f>
        <v/>
      </c>
      <c r="FA47" s="47" t="str">
        <f>IFERROR(VLOOKUP([2]Pointage!FE41,Feuil1!$A:$B,2,FALSE),"")</f>
        <v/>
      </c>
      <c r="FB47" s="31" t="str">
        <f>IFERROR(VLOOKUP([2]Pointage!FF41,Feuil1!$A:$B,2,FALSE),"")</f>
        <v/>
      </c>
      <c r="FC47" s="31" t="str">
        <f>IFERROR(VLOOKUP([2]Pointage!FG41,Feuil1!$A:$B,2,FALSE),"")</f>
        <v/>
      </c>
      <c r="FD47" s="31" t="str">
        <f>IFERROR(VLOOKUP([2]Pointage!FH41,Feuil1!$A:$B,2,FALSE),"")</f>
        <v/>
      </c>
      <c r="FE47" s="31" t="str">
        <f>IFERROR(VLOOKUP([2]Pointage!FI41,Feuil1!$A:$B,2,FALSE),"")</f>
        <v>C</v>
      </c>
      <c r="FF47" s="31" t="str">
        <f>IFERROR(VLOOKUP([2]Pointage!FJ41,Feuil1!$A:$B,2,FALSE),"")</f>
        <v/>
      </c>
      <c r="FG47" s="31" t="str">
        <f>IFERROR(VLOOKUP([2]Pointage!FK41,Feuil1!$A:$B,2,FALSE),"")</f>
        <v/>
      </c>
      <c r="FH47" s="31" t="str">
        <f>IFERROR(VLOOKUP([2]Pointage!FL41,Feuil1!$A:$B,2,FALSE),"")</f>
        <v/>
      </c>
      <c r="FI47" s="31" t="str">
        <f>IFERROR(VLOOKUP([2]Pointage!FM41,Feuil1!$A:$B,2,FALSE),"")</f>
        <v/>
      </c>
      <c r="FJ47" s="31" t="str">
        <f>IFERROR(VLOOKUP([2]Pointage!FN41,Feuil1!$A:$B,2,FALSE),"")</f>
        <v/>
      </c>
      <c r="FK47" s="31" t="str">
        <f>IFERROR(VLOOKUP([2]Pointage!FO41,Feuil1!$A:$B,2,FALSE),"")</f>
        <v/>
      </c>
      <c r="FL47" s="31" t="str">
        <f>IFERROR(VLOOKUP([2]Pointage!FP41,Feuil1!$A:$B,2,FALSE),"")</f>
        <v>C</v>
      </c>
      <c r="FM47" s="31" t="str">
        <f>IFERROR(VLOOKUP([2]Pointage!FQ41,Feuil1!$A:$B,2,FALSE),"")</f>
        <v/>
      </c>
      <c r="FN47" s="31" t="str">
        <f>IFERROR(VLOOKUP([2]Pointage!FR41,Feuil1!$A:$B,2,FALSE),"")</f>
        <v/>
      </c>
      <c r="FO47" s="31" t="str">
        <f>IFERROR(VLOOKUP([2]Pointage!FS41,Feuil1!$A:$B,2,FALSE),"")</f>
        <v/>
      </c>
      <c r="FP47" s="31" t="str">
        <f>IFERROR(VLOOKUP([2]Pointage!FT41,Feuil1!$A:$B,2,FALSE),"")</f>
        <v/>
      </c>
      <c r="FQ47" s="31" t="str">
        <f>IFERROR(VLOOKUP([2]Pointage!FU41,Feuil1!$A:$B,2,FALSE),"")</f>
        <v/>
      </c>
      <c r="FR47" s="31" t="str">
        <f>IFERROR(VLOOKUP([2]Pointage!FV41,Feuil1!$A:$B,2,FALSE),"")</f>
        <v/>
      </c>
      <c r="FS47" s="31" t="str">
        <f>IFERROR(VLOOKUP([2]Pointage!FW41,Feuil1!$A:$B,2,FALSE),"")</f>
        <v>C</v>
      </c>
      <c r="FT47" s="31" t="str">
        <f>IFERROR(VLOOKUP([2]Pointage!FX41,Feuil1!$A:$B,2,FALSE),"")</f>
        <v/>
      </c>
      <c r="FU47" s="31" t="str">
        <f>IFERROR(VLOOKUP([2]Pointage!FY41,Feuil1!$A:$B,2,FALSE),"")</f>
        <v/>
      </c>
      <c r="FV47" s="31" t="str">
        <f>IFERROR(VLOOKUP([2]Pointage!FZ41,Feuil1!$A:$B,2,FALSE),"")</f>
        <v/>
      </c>
      <c r="FW47" s="31" t="str">
        <f>IFERROR(VLOOKUP([2]Pointage!GA41,Feuil1!$A:$B,2,FALSE),"")</f>
        <v/>
      </c>
      <c r="FX47" s="31" t="str">
        <f>IFERROR(VLOOKUP([2]Pointage!GB41,Feuil1!$A:$B,2,FALSE),"")</f>
        <v/>
      </c>
      <c r="FY47" s="31" t="str">
        <f>IFERROR(VLOOKUP([2]Pointage!GC41,Feuil1!$A:$B,2,FALSE),"")</f>
        <v/>
      </c>
      <c r="FZ47" s="31" t="str">
        <f>IFERROR(VLOOKUP([2]Pointage!GD41,Feuil1!$A:$B,2,FALSE),"")</f>
        <v/>
      </c>
      <c r="GA47" s="31" t="str">
        <f>IFERROR(VLOOKUP([2]Pointage!GE41,Feuil1!$A:$B,2,FALSE),"")</f>
        <v/>
      </c>
      <c r="GB47" s="31" t="str">
        <f>IFERROR(VLOOKUP([2]Pointage!GF41,Feuil1!$A:$B,2,FALSE),"")</f>
        <v/>
      </c>
      <c r="GC47" s="31" t="str">
        <f>IFERROR(VLOOKUP([2]Pointage!GG41,Feuil1!$A:$B,2,FALSE),"")</f>
        <v/>
      </c>
      <c r="GD47" s="82" t="str">
        <f>IFERROR(VLOOKUP([2]Pointage!GH41,Feuil1!$A:$B,2,FALSE),"")</f>
        <v/>
      </c>
      <c r="GE47" s="47" t="str">
        <f>IFERROR(VLOOKUP([2]Pointage!GI41,Feuil1!$A:$B,2,FALSE),"")</f>
        <v/>
      </c>
      <c r="GF47" s="31" t="str">
        <f>IFERROR(VLOOKUP([2]Pointage!GJ41,Feuil1!$A:$B,2,FALSE),"")</f>
        <v/>
      </c>
      <c r="GG47" s="31" t="str">
        <f>IFERROR(VLOOKUP([2]Pointage!GK41,Feuil1!$A:$B,2,FALSE),"")</f>
        <v/>
      </c>
      <c r="GH47" s="31" t="str">
        <f>IFERROR(VLOOKUP([2]Pointage!GL41,Feuil1!$A:$B,2,FALSE),"")</f>
        <v/>
      </c>
      <c r="GI47" s="31" t="str">
        <f>IFERROR(VLOOKUP([2]Pointage!GM41,Feuil1!$A:$B,2,FALSE),"")</f>
        <v/>
      </c>
      <c r="GJ47" s="31" t="str">
        <f>IFERROR(VLOOKUP([2]Pointage!GN41,Feuil1!$A:$B,2,FALSE),"")</f>
        <v/>
      </c>
      <c r="GK47" s="31" t="str">
        <f>IFERROR(VLOOKUP([2]Pointage!GO41,Feuil1!$A:$B,2,FALSE),"")</f>
        <v/>
      </c>
      <c r="GL47" s="31" t="str">
        <f>IFERROR(VLOOKUP([2]Pointage!GP41,Feuil1!$A:$B,2,FALSE),"")</f>
        <v/>
      </c>
      <c r="GM47" s="31" t="str">
        <f>IFERROR(VLOOKUP([2]Pointage!GQ41,Feuil1!$A:$B,2,FALSE),"")</f>
        <v/>
      </c>
      <c r="GN47" s="31" t="str">
        <f>IFERROR(VLOOKUP([2]Pointage!GR41,Feuil1!$A:$B,2,FALSE),"")</f>
        <v/>
      </c>
      <c r="GO47" s="31" t="str">
        <f>IFERROR(VLOOKUP([2]Pointage!GS41,Feuil1!$A:$B,2,FALSE),"")</f>
        <v/>
      </c>
      <c r="GP47" s="31" t="str">
        <f>IFERROR(VLOOKUP([2]Pointage!GT41,Feuil1!$A:$B,2,FALSE),"")</f>
        <v/>
      </c>
      <c r="GQ47" s="31" t="str">
        <f>IFERROR(VLOOKUP([2]Pointage!GU41,Feuil1!$A:$B,2,FALSE),"")</f>
        <v/>
      </c>
      <c r="GR47" s="31" t="str">
        <f>IFERROR(VLOOKUP([2]Pointage!GV41,Feuil1!$A:$B,2,FALSE),"")</f>
        <v/>
      </c>
      <c r="GS47" s="31" t="str">
        <f>IFERROR(VLOOKUP([2]Pointage!GW41,Feuil1!$A:$B,2,FALSE),"")</f>
        <v/>
      </c>
      <c r="GT47" s="31" t="str">
        <f>IFERROR(VLOOKUP([2]Pointage!GX41,Feuil1!$A:$B,2,FALSE),"")</f>
        <v/>
      </c>
      <c r="GU47" s="31" t="str">
        <f>IFERROR(VLOOKUP([2]Pointage!GY41,Feuil1!$A:$B,2,FALSE),"")</f>
        <v/>
      </c>
      <c r="GV47" s="31" t="str">
        <f>IFERROR(VLOOKUP([2]Pointage!GZ41,Feuil1!$A:$B,2,FALSE),"")</f>
        <v/>
      </c>
      <c r="GW47" s="31" t="str">
        <f>IFERROR(VLOOKUP([2]Pointage!HA41,Feuil1!$A:$B,2,FALSE),"")</f>
        <v/>
      </c>
      <c r="GX47" s="31" t="str">
        <f>IFERROR(VLOOKUP([2]Pointage!HB41,Feuil1!$A:$B,2,FALSE),"")</f>
        <v/>
      </c>
      <c r="GY47" s="31" t="str">
        <f>IFERROR(VLOOKUP([2]Pointage!HC41,Feuil1!$A:$B,2,FALSE),"")</f>
        <v/>
      </c>
      <c r="GZ47" s="31" t="str">
        <f>IFERROR(VLOOKUP([2]Pointage!HD41,Feuil1!$A:$B,2,FALSE),"")</f>
        <v/>
      </c>
      <c r="HA47" s="31" t="str">
        <f>IFERROR(VLOOKUP([2]Pointage!HE41,Feuil1!$A:$B,2,FALSE),"")</f>
        <v/>
      </c>
      <c r="HB47" s="31" t="str">
        <f>IFERROR(VLOOKUP([2]Pointage!HF41,Feuil1!$A:$B,2,FALSE),"")</f>
        <v/>
      </c>
      <c r="HC47" s="31" t="str">
        <f>IFERROR(VLOOKUP([2]Pointage!HG41,Feuil1!$A:$B,2,FALSE),"")</f>
        <v/>
      </c>
      <c r="HD47" s="31" t="str">
        <f>IFERROR(VLOOKUP([2]Pointage!HH41,Feuil1!$A:$B,2,FALSE),"")</f>
        <v/>
      </c>
      <c r="HE47" s="31" t="str">
        <f>IFERROR(VLOOKUP([2]Pointage!HI41,Feuil1!$A:$B,2,FALSE),"")</f>
        <v/>
      </c>
      <c r="HF47" s="31" t="str">
        <f>IFERROR(VLOOKUP([2]Pointage!HJ41,Feuil1!$A:$B,2,FALSE),"")</f>
        <v/>
      </c>
      <c r="HG47" s="31" t="str">
        <f>IFERROR(VLOOKUP([2]Pointage!HK41,Feuil1!$A:$B,2,FALSE),"")</f>
        <v/>
      </c>
      <c r="HH47" s="31" t="str">
        <f>IFERROR(VLOOKUP([2]Pointage!HL41,Feuil1!$A:$B,2,FALSE),"")</f>
        <v/>
      </c>
      <c r="HI47" s="82" t="str">
        <f>IFERROR(VLOOKUP([2]Pointage!HM41,Feuil1!$A:$B,2,FALSE),"")</f>
        <v/>
      </c>
      <c r="HJ47" s="47" t="str">
        <f>IFERROR(VLOOKUP([2]Pointage!HN41,Feuil1!$A:$B,2,FALSE),"")</f>
        <v/>
      </c>
      <c r="HK47" s="31" t="str">
        <f>IFERROR(VLOOKUP([2]Pointage!HO41,Feuil1!$A:$B,2,FALSE),"")</f>
        <v/>
      </c>
      <c r="HL47" s="31" t="str">
        <f>IFERROR(VLOOKUP([2]Pointage!HP41,Feuil1!$A:$B,2,FALSE),"")</f>
        <v/>
      </c>
      <c r="HM47" s="31" t="str">
        <f>IFERROR(VLOOKUP([2]Pointage!HQ41,Feuil1!$A:$B,2,FALSE),"")</f>
        <v/>
      </c>
      <c r="HN47" s="31" t="str">
        <f>IFERROR(VLOOKUP([2]Pointage!HR41,Feuil1!$A:$B,2,FALSE),"")</f>
        <v/>
      </c>
      <c r="HO47" s="31" t="str">
        <f>IFERROR(VLOOKUP([2]Pointage!HS41,Feuil1!$A:$B,2,FALSE),"")</f>
        <v/>
      </c>
      <c r="HP47" s="31" t="str">
        <f>IFERROR(VLOOKUP([2]Pointage!HT41,Feuil1!$A:$B,2,FALSE),"")</f>
        <v/>
      </c>
      <c r="HQ47" s="31" t="str">
        <f>IFERROR(VLOOKUP([2]Pointage!HU41,Feuil1!$A:$B,2,FALSE),"")</f>
        <v/>
      </c>
      <c r="HR47" s="31" t="str">
        <f>IFERROR(VLOOKUP([2]Pointage!HV41,Feuil1!$A:$B,2,FALSE),"")</f>
        <v/>
      </c>
      <c r="HS47" s="31" t="str">
        <f>IFERROR(VLOOKUP([2]Pointage!HW41,Feuil1!$A:$B,2,FALSE),"")</f>
        <v/>
      </c>
      <c r="HT47" s="31" t="str">
        <f>IFERROR(VLOOKUP([2]Pointage!HX41,Feuil1!$A:$B,2,FALSE),"")</f>
        <v/>
      </c>
      <c r="HU47" s="31" t="str">
        <f>IFERROR(VLOOKUP([2]Pointage!HY41,Feuil1!$A:$B,2,FALSE),"")</f>
        <v/>
      </c>
      <c r="HV47" s="31" t="str">
        <f>IFERROR(VLOOKUP([2]Pointage!HZ41,Feuil1!$A:$B,2,FALSE),"")</f>
        <v/>
      </c>
      <c r="HW47" s="31" t="str">
        <f>IFERROR(VLOOKUP([2]Pointage!IA41,Feuil1!$A:$B,2,FALSE),"")</f>
        <v/>
      </c>
      <c r="HX47" s="31" t="str">
        <f>IFERROR(VLOOKUP([2]Pointage!IB41,Feuil1!$A:$B,2,FALSE),"")</f>
        <v/>
      </c>
      <c r="HY47" s="31" t="str">
        <f>IFERROR(VLOOKUP([2]Pointage!IC41,Feuil1!$A:$B,2,FALSE),"")</f>
        <v/>
      </c>
      <c r="HZ47" s="31" t="str">
        <f>IFERROR(VLOOKUP([2]Pointage!ID41,Feuil1!$A:$B,2,FALSE),"")</f>
        <v/>
      </c>
      <c r="IA47" s="31" t="str">
        <f>IFERROR(VLOOKUP([2]Pointage!IE41,Feuil1!$A:$B,2,FALSE),"")</f>
        <v/>
      </c>
      <c r="IB47" s="31" t="str">
        <f>IFERROR(VLOOKUP([2]Pointage!IF41,Feuil1!$A:$B,2,FALSE),"")</f>
        <v/>
      </c>
      <c r="IC47" s="31" t="str">
        <f>IFERROR(VLOOKUP([2]Pointage!IG41,Feuil1!$A:$B,2,FALSE),"")</f>
        <v/>
      </c>
      <c r="ID47" s="31" t="str">
        <f>IFERROR(VLOOKUP([2]Pointage!IH41,Feuil1!$A:$B,2,FALSE),"")</f>
        <v/>
      </c>
      <c r="IE47" s="31" t="str">
        <f>IFERROR(VLOOKUP([2]Pointage!II41,Feuil1!$A:$B,2,FALSE),"")</f>
        <v/>
      </c>
      <c r="IF47" s="31" t="str">
        <f>IFERROR(VLOOKUP([2]Pointage!IJ41,Feuil1!$A:$B,2,FALSE),"")</f>
        <v/>
      </c>
      <c r="IG47" s="31" t="str">
        <f>IFERROR(VLOOKUP([2]Pointage!IK41,Feuil1!$A:$B,2,FALSE),"")</f>
        <v/>
      </c>
      <c r="IH47" s="31" t="str">
        <f>IFERROR(VLOOKUP([2]Pointage!IL41,Feuil1!$A:$B,2,FALSE),"")</f>
        <v/>
      </c>
      <c r="II47" s="31" t="str">
        <f>IFERROR(VLOOKUP([2]Pointage!IM41,Feuil1!$A:$B,2,FALSE),"")</f>
        <v/>
      </c>
      <c r="IJ47" s="31" t="str">
        <f>IFERROR(VLOOKUP([2]Pointage!IN41,Feuil1!$A:$B,2,FALSE),"")</f>
        <v/>
      </c>
      <c r="IK47" s="31" t="str">
        <f>IFERROR(VLOOKUP([2]Pointage!IO41,Feuil1!$A:$B,2,FALSE),"")</f>
        <v/>
      </c>
      <c r="IL47" s="31" t="str">
        <f>IFERROR(VLOOKUP([2]Pointage!IP41,Feuil1!$A:$B,2,FALSE),"")</f>
        <v/>
      </c>
      <c r="IM47" s="31" t="str">
        <f>IFERROR(VLOOKUP([2]Pointage!IQ41,Feuil1!$A:$B,2,FALSE),"")</f>
        <v/>
      </c>
      <c r="IN47" s="82" t="str">
        <f>IFERROR(VLOOKUP([2]Pointage!IR41,Feuil1!$A:$B,2,FALSE),"")</f>
        <v/>
      </c>
      <c r="IO47" s="47" t="str">
        <f>IFERROR(VLOOKUP([2]Pointage!IS41,Feuil1!$A:$B,2,FALSE),"")</f>
        <v/>
      </c>
      <c r="IP47" s="31" t="str">
        <f>IFERROR(VLOOKUP([2]Pointage!IT41,Feuil1!$A:$B,2,FALSE),"")</f>
        <v/>
      </c>
      <c r="IQ47" s="31" t="str">
        <f>IFERROR(VLOOKUP([2]Pointage!IU41,Feuil1!$A:$B,2,FALSE),"")</f>
        <v/>
      </c>
      <c r="IR47" s="31" t="str">
        <f>IFERROR(VLOOKUP([2]Pointage!IV41,Feuil1!$A:$B,2,FALSE),"")</f>
        <v/>
      </c>
      <c r="IS47" s="31" t="str">
        <f>IFERROR(VLOOKUP([2]Pointage!IW41,Feuil1!$A:$B,2,FALSE),"")</f>
        <v/>
      </c>
      <c r="IT47" s="31" t="str">
        <f>IFERROR(VLOOKUP([2]Pointage!IX41,Feuil1!$A:$B,2,FALSE),"")</f>
        <v/>
      </c>
      <c r="IU47" s="31" t="str">
        <f>IFERROR(VLOOKUP([2]Pointage!IY41,Feuil1!$A:$B,2,FALSE),"")</f>
        <v/>
      </c>
      <c r="IV47" s="31" t="str">
        <f>IFERROR(VLOOKUP([2]Pointage!IZ41,Feuil1!$A:$B,2,FALSE),"")</f>
        <v/>
      </c>
      <c r="IW47" s="31" t="str">
        <f>IFERROR(VLOOKUP([2]Pointage!JA41,Feuil1!$A:$B,2,FALSE),"")</f>
        <v/>
      </c>
      <c r="IX47" s="31" t="str">
        <f>IFERROR(VLOOKUP([2]Pointage!JB41,Feuil1!$A:$B,2,FALSE),"")</f>
        <v/>
      </c>
      <c r="IY47" s="31" t="str">
        <f>IFERROR(VLOOKUP([2]Pointage!JC41,Feuil1!$A:$B,2,FALSE),"")</f>
        <v/>
      </c>
      <c r="IZ47" s="31" t="str">
        <f>IFERROR(VLOOKUP([2]Pointage!JD41,Feuil1!$A:$B,2,FALSE),"")</f>
        <v/>
      </c>
      <c r="JA47" s="31" t="str">
        <f>IFERROR(VLOOKUP([2]Pointage!JE41,Feuil1!$A:$B,2,FALSE),"")</f>
        <v/>
      </c>
      <c r="JB47" s="31" t="str">
        <f>IFERROR(VLOOKUP([2]Pointage!JF41,Feuil1!$A:$B,2,FALSE),"")</f>
        <v/>
      </c>
      <c r="JC47" s="31" t="str">
        <f>IFERROR(VLOOKUP([2]Pointage!JG41,Feuil1!$A:$B,2,FALSE),"")</f>
        <v/>
      </c>
      <c r="JD47" s="31" t="str">
        <f>IFERROR(VLOOKUP([2]Pointage!JH41,Feuil1!$A:$B,2,FALSE),"")</f>
        <v/>
      </c>
      <c r="JE47" s="31" t="str">
        <f>IFERROR(VLOOKUP([2]Pointage!JI41,Feuil1!$A:$B,2,FALSE),"")</f>
        <v/>
      </c>
      <c r="JF47" s="31" t="str">
        <f>IFERROR(VLOOKUP([2]Pointage!JJ41,Feuil1!$A:$B,2,FALSE),"")</f>
        <v/>
      </c>
      <c r="JG47" s="31" t="str">
        <f>IFERROR(VLOOKUP([2]Pointage!JK41,Feuil1!$A:$B,2,FALSE),"")</f>
        <v/>
      </c>
      <c r="JH47" s="31" t="str">
        <f>IFERROR(VLOOKUP([2]Pointage!JL41,Feuil1!$A:$B,2,FALSE),"")</f>
        <v/>
      </c>
      <c r="JI47" s="31" t="str">
        <f>IFERROR(VLOOKUP([2]Pointage!JM41,Feuil1!$A:$B,2,FALSE),"")</f>
        <v/>
      </c>
      <c r="JJ47" s="31" t="str">
        <f>IFERROR(VLOOKUP([2]Pointage!JN41,Feuil1!$A:$B,2,FALSE),"")</f>
        <v/>
      </c>
      <c r="JK47" s="31" t="str">
        <f>IFERROR(VLOOKUP([2]Pointage!JO41,Feuil1!$A:$B,2,FALSE),"")</f>
        <v/>
      </c>
      <c r="JL47" s="31" t="str">
        <f>IFERROR(VLOOKUP([2]Pointage!JP41,Feuil1!$A:$B,2,FALSE),"")</f>
        <v/>
      </c>
      <c r="JM47" s="31" t="str">
        <f>IFERROR(VLOOKUP([2]Pointage!JQ41,Feuil1!$A:$B,2,FALSE),"")</f>
        <v/>
      </c>
      <c r="JN47" s="31" t="str">
        <f>IFERROR(VLOOKUP([2]Pointage!JR41,Feuil1!$A:$B,2,FALSE),"")</f>
        <v/>
      </c>
      <c r="JO47" s="31" t="str">
        <f>IFERROR(VLOOKUP([2]Pointage!JS41,Feuil1!$A:$B,2,FALSE),"")</f>
        <v/>
      </c>
      <c r="JP47" s="31" t="str">
        <f>IFERROR(VLOOKUP([2]Pointage!JT41,Feuil1!$A:$B,2,FALSE),"")</f>
        <v/>
      </c>
      <c r="JQ47" s="31" t="str">
        <f>IFERROR(VLOOKUP([2]Pointage!JU41,Feuil1!$A:$B,2,FALSE),"")</f>
        <v/>
      </c>
      <c r="JR47" s="82" t="str">
        <f>IFERROR(VLOOKUP([2]Pointage!JV41,Feuil1!$A:$B,2,FALSE),"")</f>
        <v/>
      </c>
      <c r="JS47" s="47" t="str">
        <f>IFERROR(VLOOKUP([2]Pointage!JW41,Feuil1!$A:$B,2,FALSE),"")</f>
        <v/>
      </c>
      <c r="JT47" s="31" t="str">
        <f>IFERROR(VLOOKUP([2]Pointage!JX41,Feuil1!$A:$B,2,FALSE),"")</f>
        <v/>
      </c>
      <c r="JU47" s="31" t="str">
        <f>IFERROR(VLOOKUP([2]Pointage!JY41,Feuil1!$A:$B,2,FALSE),"")</f>
        <v/>
      </c>
      <c r="JV47" s="31" t="str">
        <f>IFERROR(VLOOKUP([2]Pointage!JZ41,Feuil1!$A:$B,2,FALSE),"")</f>
        <v/>
      </c>
      <c r="JW47" s="31" t="str">
        <f>IFERROR(VLOOKUP([2]Pointage!KA41,Feuil1!$A:$B,2,FALSE),"")</f>
        <v/>
      </c>
      <c r="JX47" s="31" t="str">
        <f>IFERROR(VLOOKUP([2]Pointage!KB41,Feuil1!$A:$B,2,FALSE),"")</f>
        <v/>
      </c>
      <c r="JY47" s="31" t="str">
        <f>IFERROR(VLOOKUP([2]Pointage!KC41,Feuil1!$A:$B,2,FALSE),"")</f>
        <v/>
      </c>
      <c r="JZ47" s="31" t="str">
        <f>IFERROR(VLOOKUP([2]Pointage!KD41,Feuil1!$A:$B,2,FALSE),"")</f>
        <v/>
      </c>
      <c r="KA47" s="31" t="str">
        <f>IFERROR(VLOOKUP([2]Pointage!KE41,Feuil1!$A:$B,2,FALSE),"")</f>
        <v/>
      </c>
      <c r="KB47" s="31" t="str">
        <f>IFERROR(VLOOKUP([2]Pointage!KF41,Feuil1!$A:$B,2,FALSE),"")</f>
        <v/>
      </c>
      <c r="KC47" s="31" t="str">
        <f>IFERROR(VLOOKUP([2]Pointage!KG41,Feuil1!$A:$B,2,FALSE),"")</f>
        <v/>
      </c>
      <c r="KD47" s="31" t="str">
        <f>IFERROR(VLOOKUP([2]Pointage!KH41,Feuil1!$A:$B,2,FALSE),"")</f>
        <v/>
      </c>
      <c r="KE47" s="31" t="str">
        <f>IFERROR(VLOOKUP([2]Pointage!KI41,Feuil1!$A:$B,2,FALSE),"")</f>
        <v/>
      </c>
      <c r="KF47" s="31" t="str">
        <f>IFERROR(VLOOKUP([2]Pointage!KJ41,Feuil1!$A:$B,2,FALSE),"")</f>
        <v/>
      </c>
      <c r="KG47" s="31" t="str">
        <f>IFERROR(VLOOKUP([2]Pointage!KK41,Feuil1!$A:$B,2,FALSE),"")</f>
        <v/>
      </c>
      <c r="KH47" s="31" t="str">
        <f>IFERROR(VLOOKUP([2]Pointage!KL41,Feuil1!$A:$B,2,FALSE),"")</f>
        <v/>
      </c>
      <c r="KI47" s="31" t="str">
        <f>IFERROR(VLOOKUP([2]Pointage!KM41,Feuil1!$A:$B,2,FALSE),"")</f>
        <v/>
      </c>
      <c r="KJ47" s="31" t="str">
        <f>IFERROR(VLOOKUP([2]Pointage!KN41,Feuil1!$A:$B,2,FALSE),"")</f>
        <v/>
      </c>
      <c r="KK47" s="31" t="str">
        <f>IFERROR(VLOOKUP([2]Pointage!KO41,Feuil1!$A:$B,2,FALSE),"")</f>
        <v/>
      </c>
      <c r="KL47" s="31" t="str">
        <f>IFERROR(VLOOKUP([2]Pointage!KP41,Feuil1!$A:$B,2,FALSE),"")</f>
        <v/>
      </c>
      <c r="KM47" s="31" t="str">
        <f>IFERROR(VLOOKUP([2]Pointage!KQ41,Feuil1!$A:$B,2,FALSE),"")</f>
        <v/>
      </c>
      <c r="KN47" s="31" t="str">
        <f>IFERROR(VLOOKUP([2]Pointage!KR41,Feuil1!$A:$B,2,FALSE),"")</f>
        <v/>
      </c>
      <c r="KO47" s="31" t="str">
        <f>IFERROR(VLOOKUP([2]Pointage!KS41,Feuil1!$A:$B,2,FALSE),"")</f>
        <v/>
      </c>
      <c r="KP47" s="31" t="str">
        <f>IFERROR(VLOOKUP([2]Pointage!KT41,Feuil1!$A:$B,2,FALSE),"")</f>
        <v/>
      </c>
      <c r="KQ47" s="31" t="str">
        <f>IFERROR(VLOOKUP([2]Pointage!KU41,Feuil1!$A:$B,2,FALSE),"")</f>
        <v/>
      </c>
      <c r="KR47" s="31" t="str">
        <f>IFERROR(VLOOKUP([2]Pointage!KV41,Feuil1!$A:$B,2,FALSE),"")</f>
        <v/>
      </c>
      <c r="KS47" s="31" t="str">
        <f>IFERROR(VLOOKUP([2]Pointage!KW41,Feuil1!$A:$B,2,FALSE),"")</f>
        <v/>
      </c>
      <c r="KT47" s="31" t="str">
        <f>IFERROR(VLOOKUP([2]Pointage!KX41,Feuil1!$A:$B,2,FALSE),"")</f>
        <v/>
      </c>
      <c r="KU47" s="31" t="str">
        <f>IFERROR(VLOOKUP([2]Pointage!KY41,Feuil1!$A:$B,2,FALSE),"")</f>
        <v/>
      </c>
      <c r="KV47" s="31" t="str">
        <f>IFERROR(VLOOKUP([2]Pointage!KZ41,Feuil1!$A:$B,2,FALSE),"")</f>
        <v/>
      </c>
      <c r="KW47" s="82" t="str">
        <f>IFERROR(VLOOKUP([2]Pointage!LA41,Feuil1!$A:$B,2,FALSE),"")</f>
        <v/>
      </c>
      <c r="KX47" s="47" t="str">
        <f>IFERROR(VLOOKUP([2]Pointage!LB41,Feuil1!$A:$B,2,FALSE),"")</f>
        <v/>
      </c>
      <c r="KY47" s="31" t="str">
        <f>IFERROR(VLOOKUP([2]Pointage!LC41,Feuil1!$A:$B,2,FALSE),"")</f>
        <v/>
      </c>
      <c r="KZ47" s="31" t="str">
        <f>IFERROR(VLOOKUP([2]Pointage!LD41,Feuil1!$A:$B,2,FALSE),"")</f>
        <v/>
      </c>
      <c r="LA47" s="31" t="str">
        <f>IFERROR(VLOOKUP([2]Pointage!LE41,Feuil1!$A:$B,2,FALSE),"")</f>
        <v/>
      </c>
      <c r="LB47" s="31" t="str">
        <f>IFERROR(VLOOKUP([2]Pointage!LF41,Feuil1!$A:$B,2,FALSE),"")</f>
        <v/>
      </c>
      <c r="LC47" s="31" t="str">
        <f>IFERROR(VLOOKUP([2]Pointage!LG41,Feuil1!$A:$B,2,FALSE),"")</f>
        <v/>
      </c>
      <c r="LD47" s="31" t="str">
        <f>IFERROR(VLOOKUP([2]Pointage!LH41,Feuil1!$A:$B,2,FALSE),"")</f>
        <v/>
      </c>
      <c r="LE47" s="31" t="str">
        <f>IFERROR(VLOOKUP([2]Pointage!LI41,Feuil1!$A:$B,2,FALSE),"")</f>
        <v/>
      </c>
      <c r="LF47" s="31" t="str">
        <f>IFERROR(VLOOKUP([2]Pointage!LJ41,Feuil1!$A:$B,2,FALSE),"")</f>
        <v/>
      </c>
      <c r="LG47" s="31" t="str">
        <f>IFERROR(VLOOKUP([2]Pointage!LK41,Feuil1!$A:$B,2,FALSE),"")</f>
        <v/>
      </c>
      <c r="LH47" s="31" t="str">
        <f>IFERROR(VLOOKUP([2]Pointage!LL41,Feuil1!$A:$B,2,FALSE),"")</f>
        <v/>
      </c>
      <c r="LI47" s="31" t="str">
        <f>IFERROR(VLOOKUP([2]Pointage!LM41,Feuil1!$A:$B,2,FALSE),"")</f>
        <v/>
      </c>
      <c r="LJ47" s="31" t="str">
        <f>IFERROR(VLOOKUP([2]Pointage!LN41,Feuil1!$A:$B,2,FALSE),"")</f>
        <v/>
      </c>
      <c r="LK47" s="31" t="str">
        <f>IFERROR(VLOOKUP([2]Pointage!LO41,Feuil1!$A:$B,2,FALSE),"")</f>
        <v/>
      </c>
      <c r="LL47" s="31" t="str">
        <f>IFERROR(VLOOKUP([2]Pointage!LP41,Feuil1!$A:$B,2,FALSE),"")</f>
        <v/>
      </c>
      <c r="LM47" s="31" t="str">
        <f>IFERROR(VLOOKUP([2]Pointage!LQ41,Feuil1!$A:$B,2,FALSE),"")</f>
        <v/>
      </c>
      <c r="LN47" s="31" t="str">
        <f>IFERROR(VLOOKUP([2]Pointage!LR41,Feuil1!$A:$B,2,FALSE),"")</f>
        <v/>
      </c>
      <c r="LO47" s="31" t="str">
        <f>IFERROR(VLOOKUP([2]Pointage!LS41,Feuil1!$A:$B,2,FALSE),"")</f>
        <v/>
      </c>
      <c r="LP47" s="31" t="str">
        <f>IFERROR(VLOOKUP([2]Pointage!LT41,Feuil1!$A:$B,2,FALSE),"")</f>
        <v/>
      </c>
      <c r="LQ47" s="31" t="str">
        <f>IFERROR(VLOOKUP([2]Pointage!LU41,Feuil1!$A:$B,2,FALSE),"")</f>
        <v/>
      </c>
      <c r="LR47" s="31" t="str">
        <f>IFERROR(VLOOKUP([2]Pointage!LV41,Feuil1!$A:$B,2,FALSE),"")</f>
        <v/>
      </c>
      <c r="LS47" s="31" t="str">
        <f>IFERROR(VLOOKUP([2]Pointage!LW41,Feuil1!$A:$B,2,FALSE),"")</f>
        <v/>
      </c>
      <c r="LT47" s="31" t="str">
        <f>IFERROR(VLOOKUP([2]Pointage!LX41,Feuil1!$A:$B,2,FALSE),"")</f>
        <v/>
      </c>
      <c r="LU47" s="31" t="str">
        <f>IFERROR(VLOOKUP([2]Pointage!LY41,Feuil1!$A:$B,2,FALSE),"")</f>
        <v/>
      </c>
      <c r="LV47" s="31" t="str">
        <f>IFERROR(VLOOKUP([2]Pointage!LZ41,Feuil1!$A:$B,2,FALSE),"")</f>
        <v/>
      </c>
      <c r="LW47" s="31" t="str">
        <f>IFERROR(VLOOKUP([2]Pointage!MA41,Feuil1!$A:$B,2,FALSE),"")</f>
        <v/>
      </c>
      <c r="LX47" s="31" t="str">
        <f>IFERROR(VLOOKUP([2]Pointage!MB41,Feuil1!$A:$B,2,FALSE),"")</f>
        <v/>
      </c>
      <c r="LY47" s="31" t="str">
        <f>IFERROR(VLOOKUP([2]Pointage!MC41,Feuil1!$A:$B,2,FALSE),"")</f>
        <v/>
      </c>
      <c r="LZ47" s="31" t="str">
        <f>IFERROR(VLOOKUP([2]Pointage!MD41,Feuil1!$A:$B,2,FALSE),"")</f>
        <v/>
      </c>
      <c r="MA47" s="82" t="str">
        <f>IFERROR(VLOOKUP([2]Pointage!ME41,Feuil1!$A:$B,2,FALSE),"")</f>
        <v/>
      </c>
      <c r="MB47" s="47" t="str">
        <f>IFERROR(VLOOKUP([2]Pointage!MF41,Feuil1!$A:$B,2,FALSE),"")</f>
        <v/>
      </c>
      <c r="MC47" s="31" t="str">
        <f>IFERROR(VLOOKUP([2]Pointage!MG41,Feuil1!$A:$B,2,FALSE),"")</f>
        <v/>
      </c>
      <c r="MD47" s="31" t="str">
        <f>IFERROR(VLOOKUP([2]Pointage!MH41,Feuil1!$A:$B,2,FALSE),"")</f>
        <v/>
      </c>
      <c r="ME47" s="31" t="str">
        <f>IFERROR(VLOOKUP([2]Pointage!MI41,Feuil1!$A:$B,2,FALSE),"")</f>
        <v/>
      </c>
      <c r="MF47" s="31" t="str">
        <f>IFERROR(VLOOKUP([2]Pointage!MJ41,Feuil1!$A:$B,2,FALSE),"")</f>
        <v/>
      </c>
      <c r="MG47" s="31" t="str">
        <f>IFERROR(VLOOKUP([2]Pointage!MK41,Feuil1!$A:$B,2,FALSE),"")</f>
        <v/>
      </c>
      <c r="MH47" s="31" t="str">
        <f>IFERROR(VLOOKUP([2]Pointage!ML41,Feuil1!$A:$B,2,FALSE),"")</f>
        <v/>
      </c>
      <c r="MI47" s="31" t="str">
        <f>IFERROR(VLOOKUP([2]Pointage!MM41,Feuil1!$A:$B,2,FALSE),"")</f>
        <v/>
      </c>
      <c r="MJ47" s="31" t="str">
        <f>IFERROR(VLOOKUP([2]Pointage!MN41,Feuil1!$A:$B,2,FALSE),"")</f>
        <v/>
      </c>
      <c r="MK47" s="31" t="str">
        <f>IFERROR(VLOOKUP([2]Pointage!MO41,Feuil1!$A:$B,2,FALSE),"")</f>
        <v/>
      </c>
      <c r="ML47" s="31" t="str">
        <f>IFERROR(VLOOKUP([2]Pointage!MP41,Feuil1!$A:$B,2,FALSE),"")</f>
        <v/>
      </c>
      <c r="MM47" s="31" t="str">
        <f>IFERROR(VLOOKUP([2]Pointage!MQ41,Feuil1!$A:$B,2,FALSE),"")</f>
        <v/>
      </c>
      <c r="MN47" s="31" t="str">
        <f>IFERROR(VLOOKUP([2]Pointage!MR41,Feuil1!$A:$B,2,FALSE),"")</f>
        <v/>
      </c>
      <c r="MO47" s="31" t="str">
        <f>IFERROR(VLOOKUP([2]Pointage!MS41,Feuil1!$A:$B,2,FALSE),"")</f>
        <v/>
      </c>
      <c r="MP47" s="31" t="str">
        <f>IFERROR(VLOOKUP([2]Pointage!MT41,Feuil1!$A:$B,2,FALSE),"")</f>
        <v/>
      </c>
      <c r="MQ47" s="31" t="str">
        <f>IFERROR(VLOOKUP([2]Pointage!MU41,Feuil1!$A:$B,2,FALSE),"")</f>
        <v/>
      </c>
      <c r="MR47" s="31" t="str">
        <f>IFERROR(VLOOKUP([2]Pointage!MV41,Feuil1!$A:$B,2,FALSE),"")</f>
        <v/>
      </c>
      <c r="MS47" s="31" t="str">
        <f>IFERROR(VLOOKUP([2]Pointage!MW41,Feuil1!$A:$B,2,FALSE),"")</f>
        <v/>
      </c>
      <c r="MT47" s="31" t="str">
        <f>IFERROR(VLOOKUP([2]Pointage!MX41,Feuil1!$A:$B,2,FALSE),"")</f>
        <v/>
      </c>
      <c r="MU47" s="31" t="str">
        <f>IFERROR(VLOOKUP([2]Pointage!MY41,Feuil1!$A:$B,2,FALSE),"")</f>
        <v/>
      </c>
      <c r="MV47" s="31" t="str">
        <f>IFERROR(VLOOKUP([2]Pointage!MZ41,Feuil1!$A:$B,2,FALSE),"")</f>
        <v/>
      </c>
      <c r="MW47" s="31" t="str">
        <f>IFERROR(VLOOKUP([2]Pointage!NA41,Feuil1!$A:$B,2,FALSE),"")</f>
        <v/>
      </c>
      <c r="MX47" s="31" t="str">
        <f>IFERROR(VLOOKUP([2]Pointage!NB41,Feuil1!$A:$B,2,FALSE),"")</f>
        <v/>
      </c>
      <c r="MY47" s="31" t="str">
        <f>IFERROR(VLOOKUP([2]Pointage!NC41,Feuil1!$A:$B,2,FALSE),"")</f>
        <v/>
      </c>
      <c r="MZ47" s="31" t="str">
        <f>IFERROR(VLOOKUP([2]Pointage!ND41,Feuil1!$A:$B,2,FALSE),"")</f>
        <v/>
      </c>
      <c r="NA47" s="31" t="str">
        <f>IFERROR(VLOOKUP([2]Pointage!NE41,Feuil1!$A:$B,2,FALSE),"")</f>
        <v/>
      </c>
      <c r="NB47" s="31" t="str">
        <f>IFERROR(VLOOKUP([2]Pointage!NF41,Feuil1!$A:$B,2,FALSE),"")</f>
        <v/>
      </c>
      <c r="NC47" s="31" t="str">
        <f>IFERROR(VLOOKUP([2]Pointage!NG41,Feuil1!$A:$B,2,FALSE),"")</f>
        <v/>
      </c>
      <c r="ND47" s="31" t="str">
        <f>IFERROR(VLOOKUP([2]Pointage!NH41,Feuil1!$A:$B,2,FALSE),"")</f>
        <v/>
      </c>
      <c r="NE47" s="31" t="str">
        <f>IFERROR(VLOOKUP([2]Pointage!NI41,Feuil1!$A:$B,2,FALSE),"")</f>
        <v/>
      </c>
      <c r="NF47" s="48" t="str">
        <f>IFERROR(VLOOKUP([2]Pointage!NJ41,Feuil1!$A:$B,2,FALSE),"")</f>
        <v/>
      </c>
      <c r="NG47" s="52">
        <f>COUNTIF(Global!F47:NF47,"RTT")+(COUNTIF(Global!F47:NF47,"dRTT")/2)</f>
        <v>5</v>
      </c>
      <c r="NH47" s="42">
        <f>COUNTIF(Global!F47:NF47,"C")+(COUNTIF(Global!F47:NF47,"DC")/2)</f>
        <v>20</v>
      </c>
      <c r="NI47" s="42">
        <f>COUNTIF(Global!F47:NF47,"M")</f>
        <v>13</v>
      </c>
      <c r="NJ47" s="42">
        <f>COUNTIF(Global!G47:NG47,"AT")</f>
        <v>0</v>
      </c>
      <c r="NK47" s="42">
        <f>COUNTIF(Global!F47:NF47,"RD")</f>
        <v>0</v>
      </c>
      <c r="NL47" s="42">
        <f>COUNTIF(Global!F47:NF47,"RC")+(COUNTIF(Global!F47:NF47,"dRC")/2)</f>
        <v>0</v>
      </c>
      <c r="NM47" s="68">
        <f t="shared" ca="1" si="0"/>
        <v>3.6712328767123288</v>
      </c>
      <c r="NT47" s="33"/>
      <c r="NU47" s="33"/>
      <c r="NV47" s="28"/>
      <c r="NW47" s="28"/>
      <c r="NX47" s="29">
        <f>COUNTIF(F47:NF47,"C")++(COUNTIF(Global!F47:NF47,"DC")/2)</f>
        <v>20</v>
      </c>
      <c r="NY47" s="29"/>
      <c r="NZ47" s="29"/>
      <c r="OA47" s="29"/>
      <c r="OB47" s="29">
        <f>COUNTIF(Global!F47:NF47,"M")</f>
        <v>13</v>
      </c>
      <c r="OC47" s="30">
        <f t="shared" si="1"/>
        <v>-20</v>
      </c>
      <c r="OD47" s="30"/>
    </row>
    <row r="48" spans="1:394" ht="30" customHeight="1" x14ac:dyDescent="0.2">
      <c r="A48" s="17" t="s">
        <v>104</v>
      </c>
      <c r="B48" s="17" t="s">
        <v>245</v>
      </c>
      <c r="C48" s="17" t="s">
        <v>246</v>
      </c>
      <c r="D48" s="17" t="s">
        <v>247</v>
      </c>
      <c r="E48" s="23">
        <v>0</v>
      </c>
      <c r="F48" s="47" t="str">
        <f>IFERROR(VLOOKUP([2]Pointage!J42,Feuil1!$A:$B,2,FALSE),"")</f>
        <v/>
      </c>
      <c r="G48" s="31" t="str">
        <f>IFERROR(VLOOKUP([2]Pointage!K42,Feuil1!$A:$B,2,FALSE),"")</f>
        <v/>
      </c>
      <c r="H48" s="31" t="str">
        <f>IFERROR(VLOOKUP([2]Pointage!L42,Feuil1!$A:$B,2,FALSE),"")</f>
        <v/>
      </c>
      <c r="I48" s="31" t="str">
        <f>IFERROR(VLOOKUP([2]Pointage!M42,Feuil1!$A:$B,2,FALSE),"")</f>
        <v/>
      </c>
      <c r="J48" s="31" t="str">
        <f>IFERROR(VLOOKUP([2]Pointage!N42,Feuil1!$A:$B,2,FALSE),"")</f>
        <v/>
      </c>
      <c r="K48" s="31" t="str">
        <f>IFERROR(VLOOKUP([2]Pointage!O42,Feuil1!$A:$B,2,FALSE),"")</f>
        <v/>
      </c>
      <c r="L48" s="31" t="str">
        <f>IFERROR(VLOOKUP([2]Pointage!P42,Feuil1!$A:$B,2,FALSE),"")</f>
        <v/>
      </c>
      <c r="M48" s="31" t="str">
        <f>IFERROR(VLOOKUP([2]Pointage!Q42,Feuil1!$A:$B,2,FALSE),"")</f>
        <v/>
      </c>
      <c r="N48" s="31" t="str">
        <f>IFERROR(VLOOKUP([2]Pointage!R42,Feuil1!$A:$B,2,FALSE),"")</f>
        <v/>
      </c>
      <c r="O48" s="31" t="str">
        <f>IFERROR(VLOOKUP([2]Pointage!S42,Feuil1!$A:$B,2,FALSE),"")</f>
        <v/>
      </c>
      <c r="P48" s="31" t="str">
        <f>IFERROR(VLOOKUP([2]Pointage!T42,Feuil1!$A:$B,2,FALSE),"")</f>
        <v/>
      </c>
      <c r="Q48" s="31" t="str">
        <f>IFERROR(VLOOKUP([2]Pointage!U42,Feuil1!$A:$B,2,FALSE),"")</f>
        <v/>
      </c>
      <c r="R48" s="31" t="str">
        <f>IFERROR(VLOOKUP([2]Pointage!V42,Feuil1!$A:$B,2,FALSE),"")</f>
        <v/>
      </c>
      <c r="S48" s="31" t="str">
        <f>IFERROR(VLOOKUP([2]Pointage!W42,Feuil1!$A:$B,2,FALSE),"")</f>
        <v/>
      </c>
      <c r="T48" s="31" t="str">
        <f>IFERROR(VLOOKUP([2]Pointage!X42,Feuil1!$A:$B,2,FALSE),"")</f>
        <v/>
      </c>
      <c r="U48" s="31" t="str">
        <f>IFERROR(VLOOKUP([2]Pointage!Y42,Feuil1!$A:$B,2,FALSE),"")</f>
        <v/>
      </c>
      <c r="V48" s="31" t="str">
        <f>IFERROR(VLOOKUP([2]Pointage!Z42,Feuil1!$A:$B,2,FALSE),"")</f>
        <v/>
      </c>
      <c r="W48" s="31" t="str">
        <f>IFERROR(VLOOKUP([2]Pointage!AA42,Feuil1!$A:$B,2,FALSE),"")</f>
        <v/>
      </c>
      <c r="X48" s="31" t="str">
        <f>IFERROR(VLOOKUP([2]Pointage!AB42,Feuil1!$A:$B,2,FALSE),"")</f>
        <v/>
      </c>
      <c r="Y48" s="31" t="str">
        <f>IFERROR(VLOOKUP([2]Pointage!AC42,Feuil1!$A:$B,2,FALSE),"")</f>
        <v/>
      </c>
      <c r="Z48" s="31" t="str">
        <f>IFERROR(VLOOKUP([2]Pointage!AD42,Feuil1!$A:$B,2,FALSE),"")</f>
        <v/>
      </c>
      <c r="AA48" s="31" t="str">
        <f>IFERROR(VLOOKUP([2]Pointage!AE42,Feuil1!$A:$B,2,FALSE),"")</f>
        <v>RTT</v>
      </c>
      <c r="AB48" s="31" t="str">
        <f>IFERROR(VLOOKUP([2]Pointage!AF42,Feuil1!$A:$B,2,FALSE),"")</f>
        <v>RTT</v>
      </c>
      <c r="AC48" s="31" t="str">
        <f>IFERROR(VLOOKUP([2]Pointage!AG42,Feuil1!$A:$B,2,FALSE),"")</f>
        <v>RTT</v>
      </c>
      <c r="AD48" s="31" t="str">
        <f>IFERROR(VLOOKUP([2]Pointage!AH42,Feuil1!$A:$B,2,FALSE),"")</f>
        <v>RTT</v>
      </c>
      <c r="AE48" s="31" t="str">
        <f>IFERROR(VLOOKUP([2]Pointage!AI42,Feuil1!$A:$B,2,FALSE),"")</f>
        <v>C</v>
      </c>
      <c r="AF48" s="31" t="str">
        <f>IFERROR(VLOOKUP([2]Pointage!AJ42,Feuil1!$A:$B,2,FALSE),"")</f>
        <v/>
      </c>
      <c r="AG48" s="31" t="str">
        <f>IFERROR(VLOOKUP([2]Pointage!AK42,Feuil1!$A:$B,2,FALSE),"")</f>
        <v/>
      </c>
      <c r="AH48" s="31" t="str">
        <f>IFERROR(VLOOKUP([2]Pointage!AL42,Feuil1!$A:$B,2,FALSE),"")</f>
        <v/>
      </c>
      <c r="AI48" s="31" t="str">
        <f>IFERROR(VLOOKUP([2]Pointage!AM42,Feuil1!$A:$B,2,FALSE),"")</f>
        <v/>
      </c>
      <c r="AJ48" s="82" t="str">
        <f>IFERROR(VLOOKUP([2]Pointage!AN42,Feuil1!$A:$B,2,FALSE),"")</f>
        <v/>
      </c>
      <c r="AK48" s="47" t="str">
        <f>IFERROR(VLOOKUP([2]Pointage!AO42,Feuil1!$A:$B,2,FALSE),"")</f>
        <v/>
      </c>
      <c r="AL48" s="31" t="str">
        <f>IFERROR(VLOOKUP([2]Pointage!AP42,Feuil1!$A:$B,2,FALSE),"")</f>
        <v/>
      </c>
      <c r="AM48" s="31" t="str">
        <f>IFERROR(VLOOKUP([2]Pointage!AQ42,Feuil1!$A:$B,2,FALSE),"")</f>
        <v/>
      </c>
      <c r="AN48" s="31" t="str">
        <f>IFERROR(VLOOKUP([2]Pointage!AR42,Feuil1!$A:$B,2,FALSE),"")</f>
        <v/>
      </c>
      <c r="AO48" s="31" t="str">
        <f>IFERROR(VLOOKUP([2]Pointage!AS42,Feuil1!$A:$B,2,FALSE),"")</f>
        <v/>
      </c>
      <c r="AP48" s="31" t="str">
        <f>IFERROR(VLOOKUP([2]Pointage!AT42,Feuil1!$A:$B,2,FALSE),"")</f>
        <v/>
      </c>
      <c r="AQ48" s="31" t="str">
        <f>IFERROR(VLOOKUP([2]Pointage!AU42,Feuil1!$A:$B,2,FALSE),"")</f>
        <v/>
      </c>
      <c r="AR48" s="31" t="str">
        <f>IFERROR(VLOOKUP([2]Pointage!AV42,Feuil1!$A:$B,2,FALSE),"")</f>
        <v/>
      </c>
      <c r="AS48" s="31" t="str">
        <f>IFERROR(VLOOKUP([2]Pointage!AW42,Feuil1!$A:$B,2,FALSE),"")</f>
        <v/>
      </c>
      <c r="AT48" s="31" t="str">
        <f>IFERROR(VLOOKUP([2]Pointage!AX42,Feuil1!$A:$B,2,FALSE),"")</f>
        <v/>
      </c>
      <c r="AU48" s="31" t="str">
        <f>IFERROR(VLOOKUP([2]Pointage!AY42,Feuil1!$A:$B,2,FALSE),"")</f>
        <v/>
      </c>
      <c r="AV48" s="31" t="str">
        <f>IFERROR(VLOOKUP([2]Pointage!AZ42,Feuil1!$A:$B,2,FALSE),"")</f>
        <v/>
      </c>
      <c r="AW48" s="31" t="str">
        <f>IFERROR(VLOOKUP([2]Pointage!BA42,Feuil1!$A:$B,2,FALSE),"")</f>
        <v/>
      </c>
      <c r="AX48" s="31" t="str">
        <f>IFERROR(VLOOKUP([2]Pointage!BB42,Feuil1!$A:$B,2,FALSE),"")</f>
        <v/>
      </c>
      <c r="AY48" s="31" t="str">
        <f>IFERROR(VLOOKUP([2]Pointage!BC42,Feuil1!$A:$B,2,FALSE),"")</f>
        <v/>
      </c>
      <c r="AZ48" s="31" t="str">
        <f>IFERROR(VLOOKUP([2]Pointage!BD42,Feuil1!$A:$B,2,FALSE),"")</f>
        <v/>
      </c>
      <c r="BA48" s="31" t="str">
        <f>IFERROR(VLOOKUP([2]Pointage!BE42,Feuil1!$A:$B,2,FALSE),"")</f>
        <v/>
      </c>
      <c r="BB48" s="31" t="str">
        <f>IFERROR(VLOOKUP([2]Pointage!BF42,Feuil1!$A:$B,2,FALSE),"")</f>
        <v/>
      </c>
      <c r="BC48" s="31" t="str">
        <f>IFERROR(VLOOKUP([2]Pointage!BG42,Feuil1!$A:$B,2,FALSE),"")</f>
        <v/>
      </c>
      <c r="BD48" s="31" t="str">
        <f>IFERROR(VLOOKUP([2]Pointage!BH42,Feuil1!$A:$B,2,FALSE),"")</f>
        <v/>
      </c>
      <c r="BE48" s="31" t="str">
        <f>IFERROR(VLOOKUP([2]Pointage!BI42,Feuil1!$A:$B,2,FALSE),"")</f>
        <v/>
      </c>
      <c r="BF48" s="31" t="str">
        <f>IFERROR(VLOOKUP([2]Pointage!BJ42,Feuil1!$A:$B,2,FALSE),"")</f>
        <v/>
      </c>
      <c r="BG48" s="31" t="str">
        <f>IFERROR(VLOOKUP([2]Pointage!BK42,Feuil1!$A:$B,2,FALSE),"")</f>
        <v/>
      </c>
      <c r="BH48" s="31" t="str">
        <f>IFERROR(VLOOKUP([2]Pointage!BL42,Feuil1!$A:$B,2,FALSE),"")</f>
        <v/>
      </c>
      <c r="BI48" s="31" t="str">
        <f>IFERROR(VLOOKUP([2]Pointage!BM42,Feuil1!$A:$B,2,FALSE),"")</f>
        <v/>
      </c>
      <c r="BJ48" s="31" t="str">
        <f>IFERROR(VLOOKUP([2]Pointage!BN42,Feuil1!$A:$B,2,FALSE),"")</f>
        <v/>
      </c>
      <c r="BK48" s="31" t="str">
        <f>IFERROR(VLOOKUP([2]Pointage!BO42,Feuil1!$A:$B,2,FALSE),"")</f>
        <v/>
      </c>
      <c r="BL48" s="82" t="str">
        <f>IFERROR(VLOOKUP([2]Pointage!BP42,Feuil1!$A:$B,2,FALSE),"")</f>
        <v/>
      </c>
      <c r="BM48" s="47" t="str">
        <f>IFERROR(VLOOKUP([2]Pointage!BQ42,Feuil1!$A:$B,2,FALSE),"")</f>
        <v/>
      </c>
      <c r="BN48" s="31" t="str">
        <f>IFERROR(VLOOKUP([2]Pointage!BR42,Feuil1!$A:$B,2,FALSE),"")</f>
        <v/>
      </c>
      <c r="BO48" s="31" t="str">
        <f>IFERROR(VLOOKUP([2]Pointage!BS42,Feuil1!$A:$B,2,FALSE),"")</f>
        <v/>
      </c>
      <c r="BP48" s="31" t="str">
        <f>IFERROR(VLOOKUP([2]Pointage!BT42,Feuil1!$A:$B,2,FALSE),"")</f>
        <v/>
      </c>
      <c r="BQ48" s="31" t="str">
        <f>IFERROR(VLOOKUP([2]Pointage!BU42,Feuil1!$A:$B,2,FALSE),"")</f>
        <v/>
      </c>
      <c r="BR48" s="31" t="str">
        <f>IFERROR(VLOOKUP([2]Pointage!BV42,Feuil1!$A:$B,2,FALSE),"")</f>
        <v/>
      </c>
      <c r="BS48" s="31" t="str">
        <f>IFERROR(VLOOKUP([2]Pointage!BW42,Feuil1!$A:$B,2,FALSE),"")</f>
        <v/>
      </c>
      <c r="BT48" s="31" t="str">
        <f>IFERROR(VLOOKUP([2]Pointage!BX42,Feuil1!$A:$B,2,FALSE),"")</f>
        <v/>
      </c>
      <c r="BU48" s="31" t="str">
        <f>IFERROR(VLOOKUP([2]Pointage!BY42,Feuil1!$A:$B,2,FALSE),"")</f>
        <v/>
      </c>
      <c r="BV48" s="31" t="str">
        <f>IFERROR(VLOOKUP([2]Pointage!BZ42,Feuil1!$A:$B,2,FALSE),"")</f>
        <v/>
      </c>
      <c r="BW48" s="31" t="str">
        <f>IFERROR(VLOOKUP([2]Pointage!CA42,Feuil1!$A:$B,2,FALSE),"")</f>
        <v/>
      </c>
      <c r="BX48" s="31" t="str">
        <f>IFERROR(VLOOKUP([2]Pointage!CB42,Feuil1!$A:$B,2,FALSE),"")</f>
        <v/>
      </c>
      <c r="BY48" s="31" t="str">
        <f>IFERROR(VLOOKUP([2]Pointage!CC42,Feuil1!$A:$B,2,FALSE),"")</f>
        <v/>
      </c>
      <c r="BZ48" s="31" t="str">
        <f>IFERROR(VLOOKUP([2]Pointage!CD42,Feuil1!$A:$B,2,FALSE),"")</f>
        <v/>
      </c>
      <c r="CA48" s="31" t="str">
        <f>IFERROR(VLOOKUP([2]Pointage!CE42,Feuil1!$A:$B,2,FALSE),"")</f>
        <v/>
      </c>
      <c r="CB48" s="31" t="str">
        <f>IFERROR(VLOOKUP([2]Pointage!CF42,Feuil1!$A:$B,2,FALSE),"")</f>
        <v/>
      </c>
      <c r="CC48" s="31" t="str">
        <f>IFERROR(VLOOKUP([2]Pointage!CG42,Feuil1!$A:$B,2,FALSE),"")</f>
        <v/>
      </c>
      <c r="CD48" s="31" t="str">
        <f>IFERROR(VLOOKUP([2]Pointage!CH42,Feuil1!$A:$B,2,FALSE),"")</f>
        <v/>
      </c>
      <c r="CE48" s="31" t="str">
        <f>IFERROR(VLOOKUP([2]Pointage!CI42,Feuil1!$A:$B,2,FALSE),"")</f>
        <v>RTT</v>
      </c>
      <c r="CF48" s="31" t="str">
        <f>IFERROR(VLOOKUP([2]Pointage!CJ42,Feuil1!$A:$B,2,FALSE),"")</f>
        <v>RTT</v>
      </c>
      <c r="CG48" s="31" t="str">
        <f>IFERROR(VLOOKUP([2]Pointage!CK42,Feuil1!$A:$B,2,FALSE),"")</f>
        <v>RTT</v>
      </c>
      <c r="CH48" s="31" t="str">
        <f>IFERROR(VLOOKUP([2]Pointage!CL42,Feuil1!$A:$B,2,FALSE),"")</f>
        <v>RTT</v>
      </c>
      <c r="CI48" s="31" t="str">
        <f>IFERROR(VLOOKUP([2]Pointage!CM42,Feuil1!$A:$B,2,FALSE),"")</f>
        <v>C</v>
      </c>
      <c r="CJ48" s="31" t="str">
        <f>IFERROR(VLOOKUP([2]Pointage!CN42,Feuil1!$A:$B,2,FALSE),"")</f>
        <v/>
      </c>
      <c r="CK48" s="31" t="str">
        <f>IFERROR(VLOOKUP([2]Pointage!CO42,Feuil1!$A:$B,2,FALSE),"")</f>
        <v/>
      </c>
      <c r="CL48" s="31" t="str">
        <f>IFERROR(VLOOKUP([2]Pointage!CP42,Feuil1!$A:$B,2,FALSE),"")</f>
        <v/>
      </c>
      <c r="CM48" s="31" t="str">
        <f>IFERROR(VLOOKUP([2]Pointage!CQ42,Feuil1!$A:$B,2,FALSE),"")</f>
        <v/>
      </c>
      <c r="CN48" s="31" t="str">
        <f>IFERROR(VLOOKUP([2]Pointage!CR42,Feuil1!$A:$B,2,FALSE),"")</f>
        <v/>
      </c>
      <c r="CO48" s="31" t="str">
        <f>IFERROR(VLOOKUP([2]Pointage!CS42,Feuil1!$A:$B,2,FALSE),"")</f>
        <v/>
      </c>
      <c r="CP48" s="31" t="str">
        <f>IFERROR(VLOOKUP([2]Pointage!CT42,Feuil1!$A:$B,2,FALSE),"")</f>
        <v/>
      </c>
      <c r="CQ48" s="82" t="str">
        <f>IFERROR(VLOOKUP([2]Pointage!CU42,Feuil1!$A:$B,2,FALSE),"")</f>
        <v/>
      </c>
      <c r="CR48" s="47" t="str">
        <f>IFERROR(VLOOKUP([2]Pointage!CV42,Feuil1!$A:$B,2,FALSE),"")</f>
        <v/>
      </c>
      <c r="CS48" s="31" t="str">
        <f>IFERROR(VLOOKUP([2]Pointage!CW42,Feuil1!$A:$B,2,FALSE),"")</f>
        <v/>
      </c>
      <c r="CT48" s="31" t="str">
        <f>IFERROR(VLOOKUP([2]Pointage!CX42,Feuil1!$A:$B,2,FALSE),"")</f>
        <v/>
      </c>
      <c r="CU48" s="31" t="str">
        <f>IFERROR(VLOOKUP([2]Pointage!CY42,Feuil1!$A:$B,2,FALSE),"")</f>
        <v/>
      </c>
      <c r="CV48" s="31" t="str">
        <f>IFERROR(VLOOKUP([2]Pointage!CZ42,Feuil1!$A:$B,2,FALSE),"")</f>
        <v/>
      </c>
      <c r="CW48" s="31" t="str">
        <f>IFERROR(VLOOKUP([2]Pointage!DA42,Feuil1!$A:$B,2,FALSE),"")</f>
        <v/>
      </c>
      <c r="CX48" s="31" t="str">
        <f>IFERROR(VLOOKUP([2]Pointage!DB42,Feuil1!$A:$B,2,FALSE),"")</f>
        <v/>
      </c>
      <c r="CY48" s="31" t="str">
        <f>IFERROR(VLOOKUP([2]Pointage!DC42,Feuil1!$A:$B,2,FALSE),"")</f>
        <v/>
      </c>
      <c r="CZ48" s="31" t="str">
        <f>IFERROR(VLOOKUP([2]Pointage!DD42,Feuil1!$A:$B,2,FALSE),"")</f>
        <v/>
      </c>
      <c r="DA48" s="31" t="str">
        <f>IFERROR(VLOOKUP([2]Pointage!DE42,Feuil1!$A:$B,2,FALSE),"")</f>
        <v/>
      </c>
      <c r="DB48" s="31" t="str">
        <f>IFERROR(VLOOKUP([2]Pointage!DF42,Feuil1!$A:$B,2,FALSE),"")</f>
        <v/>
      </c>
      <c r="DC48" s="31" t="str">
        <f>IFERROR(VLOOKUP([2]Pointage!DG42,Feuil1!$A:$B,2,FALSE),"")</f>
        <v/>
      </c>
      <c r="DD48" s="31" t="str">
        <f>IFERROR(VLOOKUP([2]Pointage!DH42,Feuil1!$A:$B,2,FALSE),"")</f>
        <v/>
      </c>
      <c r="DE48" s="31" t="str">
        <f>IFERROR(VLOOKUP([2]Pointage!DI42,Feuil1!$A:$B,2,FALSE),"")</f>
        <v/>
      </c>
      <c r="DF48" s="31" t="str">
        <f>IFERROR(VLOOKUP([2]Pointage!DJ42,Feuil1!$A:$B,2,FALSE),"")</f>
        <v/>
      </c>
      <c r="DG48" s="31" t="str">
        <f>IFERROR(VLOOKUP([2]Pointage!DK42,Feuil1!$A:$B,2,FALSE),"")</f>
        <v/>
      </c>
      <c r="DH48" s="31" t="str">
        <f>IFERROR(VLOOKUP([2]Pointage!DL42,Feuil1!$A:$B,2,FALSE),"")</f>
        <v/>
      </c>
      <c r="DI48" s="31" t="str">
        <f>IFERROR(VLOOKUP([2]Pointage!DM42,Feuil1!$A:$B,2,FALSE),"")</f>
        <v/>
      </c>
      <c r="DJ48" s="31" t="str">
        <f>IFERROR(VLOOKUP([2]Pointage!DN42,Feuil1!$A:$B,2,FALSE),"")</f>
        <v/>
      </c>
      <c r="DK48" s="31" t="str">
        <f>IFERROR(VLOOKUP([2]Pointage!DO42,Feuil1!$A:$B,2,FALSE),"")</f>
        <v/>
      </c>
      <c r="DL48" s="31" t="str">
        <f>IFERROR(VLOOKUP([2]Pointage!DP42,Feuil1!$A:$B,2,FALSE),"")</f>
        <v/>
      </c>
      <c r="DM48" s="31" t="str">
        <f>IFERROR(VLOOKUP([2]Pointage!DQ42,Feuil1!$A:$B,2,FALSE),"")</f>
        <v/>
      </c>
      <c r="DN48" s="31" t="str">
        <f>IFERROR(VLOOKUP([2]Pointage!DR42,Feuil1!$A:$B,2,FALSE),"")</f>
        <v/>
      </c>
      <c r="DO48" s="31" t="str">
        <f>IFERROR(VLOOKUP([2]Pointage!DS42,Feuil1!$A:$B,2,FALSE),"")</f>
        <v/>
      </c>
      <c r="DP48" s="31" t="str">
        <f>IFERROR(VLOOKUP([2]Pointage!DT42,Feuil1!$A:$B,2,FALSE),"")</f>
        <v/>
      </c>
      <c r="DQ48" s="31" t="str">
        <f>IFERROR(VLOOKUP([2]Pointage!DU42,Feuil1!$A:$B,2,FALSE),"")</f>
        <v/>
      </c>
      <c r="DR48" s="31" t="str">
        <f>IFERROR(VLOOKUP([2]Pointage!DV42,Feuil1!$A:$B,2,FALSE),"")</f>
        <v>RTT</v>
      </c>
      <c r="DS48" s="31" t="str">
        <f>IFERROR(VLOOKUP([2]Pointage!DW42,Feuil1!$A:$B,2,FALSE),"")</f>
        <v/>
      </c>
      <c r="DT48" s="31" t="str">
        <f>IFERROR(VLOOKUP([2]Pointage!DX42,Feuil1!$A:$B,2,FALSE),"")</f>
        <v/>
      </c>
      <c r="DU48" s="82" t="str">
        <f>IFERROR(VLOOKUP([2]Pointage!DY42,Feuil1!$A:$B,2,FALSE),"")</f>
        <v/>
      </c>
      <c r="DV48" s="47" t="str">
        <f>IFERROR(VLOOKUP([2]Pointage!DZ42,Feuil1!$A:$B,2,FALSE),"")</f>
        <v/>
      </c>
      <c r="DW48" s="31" t="str">
        <f>IFERROR(VLOOKUP([2]Pointage!EA42,Feuil1!$A:$B,2,FALSE),"")</f>
        <v/>
      </c>
      <c r="DX48" s="31" t="str">
        <f>IFERROR(VLOOKUP([2]Pointage!EB42,Feuil1!$A:$B,2,FALSE),"")</f>
        <v/>
      </c>
      <c r="DY48" s="31" t="str">
        <f>IFERROR(VLOOKUP([2]Pointage!EC42,Feuil1!$A:$B,2,FALSE),"")</f>
        <v/>
      </c>
      <c r="DZ48" s="31" t="str">
        <f>IFERROR(VLOOKUP([2]Pointage!ED42,Feuil1!$A:$B,2,FALSE),"")</f>
        <v/>
      </c>
      <c r="EA48" s="31" t="str">
        <f>IFERROR(VLOOKUP([2]Pointage!EE42,Feuil1!$A:$B,2,FALSE),"")</f>
        <v/>
      </c>
      <c r="EB48" s="31" t="str">
        <f>IFERROR(VLOOKUP([2]Pointage!EF42,Feuil1!$A:$B,2,FALSE),"")</f>
        <v>C</v>
      </c>
      <c r="EC48" s="31" t="str">
        <f>IFERROR(VLOOKUP([2]Pointage!EG42,Feuil1!$A:$B,2,FALSE),"")</f>
        <v/>
      </c>
      <c r="ED48" s="31" t="str">
        <f>IFERROR(VLOOKUP([2]Pointage!EH42,Feuil1!$A:$B,2,FALSE),"")</f>
        <v>C</v>
      </c>
      <c r="EE48" s="31" t="str">
        <f>IFERROR(VLOOKUP([2]Pointage!EI42,Feuil1!$A:$B,2,FALSE),"")</f>
        <v/>
      </c>
      <c r="EF48" s="31" t="str">
        <f>IFERROR(VLOOKUP([2]Pointage!EJ42,Feuil1!$A:$B,2,FALSE),"")</f>
        <v>C</v>
      </c>
      <c r="EG48" s="31" t="str">
        <f>IFERROR(VLOOKUP([2]Pointage!EK42,Feuil1!$A:$B,2,FALSE),"")</f>
        <v/>
      </c>
      <c r="EH48" s="31" t="str">
        <f>IFERROR(VLOOKUP([2]Pointage!EL42,Feuil1!$A:$B,2,FALSE),"")</f>
        <v/>
      </c>
      <c r="EI48" s="31" t="str">
        <f>IFERROR(VLOOKUP([2]Pointage!EM42,Feuil1!$A:$B,2,FALSE),"")</f>
        <v>C</v>
      </c>
      <c r="EJ48" s="31" t="str">
        <f>IFERROR(VLOOKUP([2]Pointage!EN42,Feuil1!$A:$B,2,FALSE),"")</f>
        <v>C</v>
      </c>
      <c r="EK48" s="31" t="str">
        <f>IFERROR(VLOOKUP([2]Pointage!EO42,Feuil1!$A:$B,2,FALSE),"")</f>
        <v>C</v>
      </c>
      <c r="EL48" s="31" t="str">
        <f>IFERROR(VLOOKUP([2]Pointage!EP42,Feuil1!$A:$B,2,FALSE),"")</f>
        <v>C</v>
      </c>
      <c r="EM48" s="31" t="str">
        <f>IFERROR(VLOOKUP([2]Pointage!EQ42,Feuil1!$A:$B,2,FALSE),"")</f>
        <v>C</v>
      </c>
      <c r="EN48" s="31" t="str">
        <f>IFERROR(VLOOKUP([2]Pointage!ER42,Feuil1!$A:$B,2,FALSE),"")</f>
        <v/>
      </c>
      <c r="EO48" s="31" t="str">
        <f>IFERROR(VLOOKUP([2]Pointage!ES42,Feuil1!$A:$B,2,FALSE),"")</f>
        <v/>
      </c>
      <c r="EP48" s="31" t="str">
        <f>IFERROR(VLOOKUP([2]Pointage!ET42,Feuil1!$A:$B,2,FALSE),"")</f>
        <v/>
      </c>
      <c r="EQ48" s="31" t="str">
        <f>IFERROR(VLOOKUP([2]Pointage!EU42,Feuil1!$A:$B,2,FALSE),"")</f>
        <v/>
      </c>
      <c r="ER48" s="31" t="str">
        <f>IFERROR(VLOOKUP([2]Pointage!EV42,Feuil1!$A:$B,2,FALSE),"")</f>
        <v/>
      </c>
      <c r="ES48" s="31" t="str">
        <f>IFERROR(VLOOKUP([2]Pointage!EW42,Feuil1!$A:$B,2,FALSE),"")</f>
        <v/>
      </c>
      <c r="ET48" s="31" t="str">
        <f>IFERROR(VLOOKUP([2]Pointage!EX42,Feuil1!$A:$B,2,FALSE),"")</f>
        <v/>
      </c>
      <c r="EU48" s="31" t="str">
        <f>IFERROR(VLOOKUP([2]Pointage!EY42,Feuil1!$A:$B,2,FALSE),"")</f>
        <v/>
      </c>
      <c r="EV48" s="31" t="str">
        <f>IFERROR(VLOOKUP([2]Pointage!EZ42,Feuil1!$A:$B,2,FALSE),"")</f>
        <v/>
      </c>
      <c r="EW48" s="31" t="str">
        <f>IFERROR(VLOOKUP([2]Pointage!FA42,Feuil1!$A:$B,2,FALSE),"")</f>
        <v/>
      </c>
      <c r="EX48" s="31" t="str">
        <f>IFERROR(VLOOKUP([2]Pointage!FB42,Feuil1!$A:$B,2,FALSE),"")</f>
        <v/>
      </c>
      <c r="EY48" s="31" t="str">
        <f>IFERROR(VLOOKUP([2]Pointage!FC42,Feuil1!$A:$B,2,FALSE),"")</f>
        <v/>
      </c>
      <c r="EZ48" s="82" t="str">
        <f>IFERROR(VLOOKUP([2]Pointage!FD42,Feuil1!$A:$B,2,FALSE),"")</f>
        <v/>
      </c>
      <c r="FA48" s="47" t="str">
        <f>IFERROR(VLOOKUP([2]Pointage!FE42,Feuil1!$A:$B,2,FALSE),"")</f>
        <v/>
      </c>
      <c r="FB48" s="31" t="str">
        <f>IFERROR(VLOOKUP([2]Pointage!FF42,Feuil1!$A:$B,2,FALSE),"")</f>
        <v/>
      </c>
      <c r="FC48" s="31" t="str">
        <f>IFERROR(VLOOKUP([2]Pointage!FG42,Feuil1!$A:$B,2,FALSE),"")</f>
        <v/>
      </c>
      <c r="FD48" s="31" t="str">
        <f>IFERROR(VLOOKUP([2]Pointage!FH42,Feuil1!$A:$B,2,FALSE),"")</f>
        <v/>
      </c>
      <c r="FE48" s="31" t="str">
        <f>IFERROR(VLOOKUP([2]Pointage!FI42,Feuil1!$A:$B,2,FALSE),"")</f>
        <v/>
      </c>
      <c r="FF48" s="31" t="str">
        <f>IFERROR(VLOOKUP([2]Pointage!FJ42,Feuil1!$A:$B,2,FALSE),"")</f>
        <v/>
      </c>
      <c r="FG48" s="31" t="str">
        <f>IFERROR(VLOOKUP([2]Pointage!FK42,Feuil1!$A:$B,2,FALSE),"")</f>
        <v/>
      </c>
      <c r="FH48" s="31" t="str">
        <f>IFERROR(VLOOKUP([2]Pointage!FL42,Feuil1!$A:$B,2,FALSE),"")</f>
        <v>C</v>
      </c>
      <c r="FI48" s="31" t="str">
        <f>IFERROR(VLOOKUP([2]Pointage!FM42,Feuil1!$A:$B,2,FALSE),"")</f>
        <v/>
      </c>
      <c r="FJ48" s="31" t="str">
        <f>IFERROR(VLOOKUP([2]Pointage!FN42,Feuil1!$A:$B,2,FALSE),"")</f>
        <v/>
      </c>
      <c r="FK48" s="31" t="str">
        <f>IFERROR(VLOOKUP([2]Pointage!FO42,Feuil1!$A:$B,2,FALSE),"")</f>
        <v/>
      </c>
      <c r="FL48" s="31" t="str">
        <f>IFERROR(VLOOKUP([2]Pointage!FP42,Feuil1!$A:$B,2,FALSE),"")</f>
        <v/>
      </c>
      <c r="FM48" s="31" t="str">
        <f>IFERROR(VLOOKUP([2]Pointage!FQ42,Feuil1!$A:$B,2,FALSE),"")</f>
        <v/>
      </c>
      <c r="FN48" s="31" t="str">
        <f>IFERROR(VLOOKUP([2]Pointage!FR42,Feuil1!$A:$B,2,FALSE),"")</f>
        <v/>
      </c>
      <c r="FO48" s="31" t="str">
        <f>IFERROR(VLOOKUP([2]Pointage!FS42,Feuil1!$A:$B,2,FALSE),"")</f>
        <v/>
      </c>
      <c r="FP48" s="31" t="str">
        <f>IFERROR(VLOOKUP([2]Pointage!FT42,Feuil1!$A:$B,2,FALSE),"")</f>
        <v/>
      </c>
      <c r="FQ48" s="31" t="str">
        <f>IFERROR(VLOOKUP([2]Pointage!FU42,Feuil1!$A:$B,2,FALSE),"")</f>
        <v/>
      </c>
      <c r="FR48" s="31" t="str">
        <f>IFERROR(VLOOKUP([2]Pointage!FV42,Feuil1!$A:$B,2,FALSE),"")</f>
        <v/>
      </c>
      <c r="FS48" s="31" t="str">
        <f>IFERROR(VLOOKUP([2]Pointage!FW42,Feuil1!$A:$B,2,FALSE),"")</f>
        <v/>
      </c>
      <c r="FT48" s="31" t="str">
        <f>IFERROR(VLOOKUP([2]Pointage!FX42,Feuil1!$A:$B,2,FALSE),"")</f>
        <v/>
      </c>
      <c r="FU48" s="31" t="str">
        <f>IFERROR(VLOOKUP([2]Pointage!FY42,Feuil1!$A:$B,2,FALSE),"")</f>
        <v/>
      </c>
      <c r="FV48" s="31" t="str">
        <f>IFERROR(VLOOKUP([2]Pointage!FZ42,Feuil1!$A:$B,2,FALSE),"")</f>
        <v/>
      </c>
      <c r="FW48" s="31" t="str">
        <f>IFERROR(VLOOKUP([2]Pointage!GA42,Feuil1!$A:$B,2,FALSE),"")</f>
        <v/>
      </c>
      <c r="FX48" s="31" t="str">
        <f>IFERROR(VLOOKUP([2]Pointage!GB42,Feuil1!$A:$B,2,FALSE),"")</f>
        <v/>
      </c>
      <c r="FY48" s="31" t="str">
        <f>IFERROR(VLOOKUP([2]Pointage!GC42,Feuil1!$A:$B,2,FALSE),"")</f>
        <v>C</v>
      </c>
      <c r="FZ48" s="31" t="str">
        <f>IFERROR(VLOOKUP([2]Pointage!GD42,Feuil1!$A:$B,2,FALSE),"")</f>
        <v>C</v>
      </c>
      <c r="GA48" s="31" t="str">
        <f>IFERROR(VLOOKUP([2]Pointage!GE42,Feuil1!$A:$B,2,FALSE),"")</f>
        <v>C</v>
      </c>
      <c r="GB48" s="31" t="str">
        <f>IFERROR(VLOOKUP([2]Pointage!GF42,Feuil1!$A:$B,2,FALSE),"")</f>
        <v>C</v>
      </c>
      <c r="GC48" s="31" t="str">
        <f>IFERROR(VLOOKUP([2]Pointage!GG42,Feuil1!$A:$B,2,FALSE),"")</f>
        <v>C</v>
      </c>
      <c r="GD48" s="82" t="str">
        <f>IFERROR(VLOOKUP([2]Pointage!GH42,Feuil1!$A:$B,2,FALSE),"")</f>
        <v/>
      </c>
      <c r="GE48" s="47" t="str">
        <f>IFERROR(VLOOKUP([2]Pointage!GI42,Feuil1!$A:$B,2,FALSE),"")</f>
        <v/>
      </c>
      <c r="GF48" s="31" t="str">
        <f>IFERROR(VLOOKUP([2]Pointage!GJ42,Feuil1!$A:$B,2,FALSE),"")</f>
        <v>C</v>
      </c>
      <c r="GG48" s="31" t="str">
        <f>IFERROR(VLOOKUP([2]Pointage!GK42,Feuil1!$A:$B,2,FALSE),"")</f>
        <v>C</v>
      </c>
      <c r="GH48" s="31" t="str">
        <f>IFERROR(VLOOKUP([2]Pointage!GL42,Feuil1!$A:$B,2,FALSE),"")</f>
        <v>C</v>
      </c>
      <c r="GI48" s="31" t="str">
        <f>IFERROR(VLOOKUP([2]Pointage!GM42,Feuil1!$A:$B,2,FALSE),"")</f>
        <v>C</v>
      </c>
      <c r="GJ48" s="31" t="str">
        <f>IFERROR(VLOOKUP([2]Pointage!GN42,Feuil1!$A:$B,2,FALSE),"")</f>
        <v>C</v>
      </c>
      <c r="GK48" s="31" t="str">
        <f>IFERROR(VLOOKUP([2]Pointage!GO42,Feuil1!$A:$B,2,FALSE),"")</f>
        <v/>
      </c>
      <c r="GL48" s="31" t="str">
        <f>IFERROR(VLOOKUP([2]Pointage!GP42,Feuil1!$A:$B,2,FALSE),"")</f>
        <v/>
      </c>
      <c r="GM48" s="31" t="str">
        <f>IFERROR(VLOOKUP([2]Pointage!GQ42,Feuil1!$A:$B,2,FALSE),"")</f>
        <v>C</v>
      </c>
      <c r="GN48" s="31" t="str">
        <f>IFERROR(VLOOKUP([2]Pointage!GR42,Feuil1!$A:$B,2,FALSE),"")</f>
        <v>C</v>
      </c>
      <c r="GO48" s="31" t="str">
        <f>IFERROR(VLOOKUP([2]Pointage!GS42,Feuil1!$A:$B,2,FALSE),"")</f>
        <v>C</v>
      </c>
      <c r="GP48" s="31" t="str">
        <f>IFERROR(VLOOKUP([2]Pointage!GT42,Feuil1!$A:$B,2,FALSE),"")</f>
        <v>C</v>
      </c>
      <c r="GQ48" s="31" t="str">
        <f>IFERROR(VLOOKUP([2]Pointage!GU42,Feuil1!$A:$B,2,FALSE),"")</f>
        <v>C</v>
      </c>
      <c r="GR48" s="31" t="str">
        <f>IFERROR(VLOOKUP([2]Pointage!GV42,Feuil1!$A:$B,2,FALSE),"")</f>
        <v/>
      </c>
      <c r="GS48" s="31" t="str">
        <f>IFERROR(VLOOKUP([2]Pointage!GW42,Feuil1!$A:$B,2,FALSE),"")</f>
        <v/>
      </c>
      <c r="GT48" s="31" t="str">
        <f>IFERROR(VLOOKUP([2]Pointage!GX42,Feuil1!$A:$B,2,FALSE),"")</f>
        <v/>
      </c>
      <c r="GU48" s="31" t="str">
        <f>IFERROR(VLOOKUP([2]Pointage!GY42,Feuil1!$A:$B,2,FALSE),"")</f>
        <v/>
      </c>
      <c r="GV48" s="31" t="str">
        <f>IFERROR(VLOOKUP([2]Pointage!GZ42,Feuil1!$A:$B,2,FALSE),"")</f>
        <v/>
      </c>
      <c r="GW48" s="31" t="str">
        <f>IFERROR(VLOOKUP([2]Pointage!HA42,Feuil1!$A:$B,2,FALSE),"")</f>
        <v/>
      </c>
      <c r="GX48" s="31" t="str">
        <f>IFERROR(VLOOKUP([2]Pointage!HB42,Feuil1!$A:$B,2,FALSE),"")</f>
        <v/>
      </c>
      <c r="GY48" s="31" t="str">
        <f>IFERROR(VLOOKUP([2]Pointage!HC42,Feuil1!$A:$B,2,FALSE),"")</f>
        <v/>
      </c>
      <c r="GZ48" s="31" t="str">
        <f>IFERROR(VLOOKUP([2]Pointage!HD42,Feuil1!$A:$B,2,FALSE),"")</f>
        <v/>
      </c>
      <c r="HA48" s="31" t="str">
        <f>IFERROR(VLOOKUP([2]Pointage!HE42,Feuil1!$A:$B,2,FALSE),"")</f>
        <v/>
      </c>
      <c r="HB48" s="31" t="str">
        <f>IFERROR(VLOOKUP([2]Pointage!HF42,Feuil1!$A:$B,2,FALSE),"")</f>
        <v/>
      </c>
      <c r="HC48" s="31" t="str">
        <f>IFERROR(VLOOKUP([2]Pointage!HG42,Feuil1!$A:$B,2,FALSE),"")</f>
        <v/>
      </c>
      <c r="HD48" s="31" t="str">
        <f>IFERROR(VLOOKUP([2]Pointage!HH42,Feuil1!$A:$B,2,FALSE),"")</f>
        <v/>
      </c>
      <c r="HE48" s="31" t="str">
        <f>IFERROR(VLOOKUP([2]Pointage!HI42,Feuil1!$A:$B,2,FALSE),"")</f>
        <v/>
      </c>
      <c r="HF48" s="31" t="str">
        <f>IFERROR(VLOOKUP([2]Pointage!HJ42,Feuil1!$A:$B,2,FALSE),"")</f>
        <v/>
      </c>
      <c r="HG48" s="31" t="str">
        <f>IFERROR(VLOOKUP([2]Pointage!HK42,Feuil1!$A:$B,2,FALSE),"")</f>
        <v/>
      </c>
      <c r="HH48" s="31" t="str">
        <f>IFERROR(VLOOKUP([2]Pointage!HL42,Feuil1!$A:$B,2,FALSE),"")</f>
        <v/>
      </c>
      <c r="HI48" s="82" t="str">
        <f>IFERROR(VLOOKUP([2]Pointage!HM42,Feuil1!$A:$B,2,FALSE),"")</f>
        <v/>
      </c>
      <c r="HJ48" s="47" t="str">
        <f>IFERROR(VLOOKUP([2]Pointage!HN42,Feuil1!$A:$B,2,FALSE),"")</f>
        <v/>
      </c>
      <c r="HK48" s="31" t="str">
        <f>IFERROR(VLOOKUP([2]Pointage!HO42,Feuil1!$A:$B,2,FALSE),"")</f>
        <v/>
      </c>
      <c r="HL48" s="31" t="str">
        <f>IFERROR(VLOOKUP([2]Pointage!HP42,Feuil1!$A:$B,2,FALSE),"")</f>
        <v/>
      </c>
      <c r="HM48" s="31" t="str">
        <f>IFERROR(VLOOKUP([2]Pointage!HQ42,Feuil1!$A:$B,2,FALSE),"")</f>
        <v/>
      </c>
      <c r="HN48" s="31" t="str">
        <f>IFERROR(VLOOKUP([2]Pointage!HR42,Feuil1!$A:$B,2,FALSE),"")</f>
        <v/>
      </c>
      <c r="HO48" s="31" t="str">
        <f>IFERROR(VLOOKUP([2]Pointage!HS42,Feuil1!$A:$B,2,FALSE),"")</f>
        <v/>
      </c>
      <c r="HP48" s="31" t="str">
        <f>IFERROR(VLOOKUP([2]Pointage!HT42,Feuil1!$A:$B,2,FALSE),"")</f>
        <v/>
      </c>
      <c r="HQ48" s="31" t="str">
        <f>IFERROR(VLOOKUP([2]Pointage!HU42,Feuil1!$A:$B,2,FALSE),"")</f>
        <v/>
      </c>
      <c r="HR48" s="31" t="str">
        <f>IFERROR(VLOOKUP([2]Pointage!HV42,Feuil1!$A:$B,2,FALSE),"")</f>
        <v/>
      </c>
      <c r="HS48" s="31" t="str">
        <f>IFERROR(VLOOKUP([2]Pointage!HW42,Feuil1!$A:$B,2,FALSE),"")</f>
        <v/>
      </c>
      <c r="HT48" s="31" t="str">
        <f>IFERROR(VLOOKUP([2]Pointage!HX42,Feuil1!$A:$B,2,FALSE),"")</f>
        <v/>
      </c>
      <c r="HU48" s="31" t="str">
        <f>IFERROR(VLOOKUP([2]Pointage!HY42,Feuil1!$A:$B,2,FALSE),"")</f>
        <v/>
      </c>
      <c r="HV48" s="31" t="str">
        <f>IFERROR(VLOOKUP([2]Pointage!HZ42,Feuil1!$A:$B,2,FALSE),"")</f>
        <v/>
      </c>
      <c r="HW48" s="31" t="str">
        <f>IFERROR(VLOOKUP([2]Pointage!IA42,Feuil1!$A:$B,2,FALSE),"")</f>
        <v/>
      </c>
      <c r="HX48" s="31" t="str">
        <f>IFERROR(VLOOKUP([2]Pointage!IB42,Feuil1!$A:$B,2,FALSE),"")</f>
        <v/>
      </c>
      <c r="HY48" s="31" t="str">
        <f>IFERROR(VLOOKUP([2]Pointage!IC42,Feuil1!$A:$B,2,FALSE),"")</f>
        <v/>
      </c>
      <c r="HZ48" s="31" t="str">
        <f>IFERROR(VLOOKUP([2]Pointage!ID42,Feuil1!$A:$B,2,FALSE),"")</f>
        <v/>
      </c>
      <c r="IA48" s="31" t="str">
        <f>IFERROR(VLOOKUP([2]Pointage!IE42,Feuil1!$A:$B,2,FALSE),"")</f>
        <v/>
      </c>
      <c r="IB48" s="31" t="str">
        <f>IFERROR(VLOOKUP([2]Pointage!IF42,Feuil1!$A:$B,2,FALSE),"")</f>
        <v/>
      </c>
      <c r="IC48" s="31" t="str">
        <f>IFERROR(VLOOKUP([2]Pointage!IG42,Feuil1!$A:$B,2,FALSE),"")</f>
        <v/>
      </c>
      <c r="ID48" s="31" t="str">
        <f>IFERROR(VLOOKUP([2]Pointage!IH42,Feuil1!$A:$B,2,FALSE),"")</f>
        <v/>
      </c>
      <c r="IE48" s="31" t="str">
        <f>IFERROR(VLOOKUP([2]Pointage!II42,Feuil1!$A:$B,2,FALSE),"")</f>
        <v/>
      </c>
      <c r="IF48" s="31" t="str">
        <f>IFERROR(VLOOKUP([2]Pointage!IJ42,Feuil1!$A:$B,2,FALSE),"")</f>
        <v/>
      </c>
      <c r="IG48" s="31" t="str">
        <f>IFERROR(VLOOKUP([2]Pointage!IK42,Feuil1!$A:$B,2,FALSE),"")</f>
        <v/>
      </c>
      <c r="IH48" s="31" t="str">
        <f>IFERROR(VLOOKUP([2]Pointage!IL42,Feuil1!$A:$B,2,FALSE),"")</f>
        <v/>
      </c>
      <c r="II48" s="31" t="str">
        <f>IFERROR(VLOOKUP([2]Pointage!IM42,Feuil1!$A:$B,2,FALSE),"")</f>
        <v/>
      </c>
      <c r="IJ48" s="31" t="str">
        <f>IFERROR(VLOOKUP([2]Pointage!IN42,Feuil1!$A:$B,2,FALSE),"")</f>
        <v/>
      </c>
      <c r="IK48" s="31" t="str">
        <f>IFERROR(VLOOKUP([2]Pointage!IO42,Feuil1!$A:$B,2,FALSE),"")</f>
        <v/>
      </c>
      <c r="IL48" s="31" t="str">
        <f>IFERROR(VLOOKUP([2]Pointage!IP42,Feuil1!$A:$B,2,FALSE),"")</f>
        <v/>
      </c>
      <c r="IM48" s="31" t="str">
        <f>IFERROR(VLOOKUP([2]Pointage!IQ42,Feuil1!$A:$B,2,FALSE),"")</f>
        <v/>
      </c>
      <c r="IN48" s="82" t="str">
        <f>IFERROR(VLOOKUP([2]Pointage!IR42,Feuil1!$A:$B,2,FALSE),"")</f>
        <v/>
      </c>
      <c r="IO48" s="47" t="str">
        <f>IFERROR(VLOOKUP([2]Pointage!IS42,Feuil1!$A:$B,2,FALSE),"")</f>
        <v/>
      </c>
      <c r="IP48" s="31" t="str">
        <f>IFERROR(VLOOKUP([2]Pointage!IT42,Feuil1!$A:$B,2,FALSE),"")</f>
        <v/>
      </c>
      <c r="IQ48" s="31" t="str">
        <f>IFERROR(VLOOKUP([2]Pointage!IU42,Feuil1!$A:$B,2,FALSE),"")</f>
        <v/>
      </c>
      <c r="IR48" s="31" t="str">
        <f>IFERROR(VLOOKUP([2]Pointage!IV42,Feuil1!$A:$B,2,FALSE),"")</f>
        <v/>
      </c>
      <c r="IS48" s="31" t="str">
        <f>IFERROR(VLOOKUP([2]Pointage!IW42,Feuil1!$A:$B,2,FALSE),"")</f>
        <v/>
      </c>
      <c r="IT48" s="31" t="str">
        <f>IFERROR(VLOOKUP([2]Pointage!IX42,Feuil1!$A:$B,2,FALSE),"")</f>
        <v/>
      </c>
      <c r="IU48" s="31" t="str">
        <f>IFERROR(VLOOKUP([2]Pointage!IY42,Feuil1!$A:$B,2,FALSE),"")</f>
        <v/>
      </c>
      <c r="IV48" s="31" t="str">
        <f>IFERROR(VLOOKUP([2]Pointage!IZ42,Feuil1!$A:$B,2,FALSE),"")</f>
        <v/>
      </c>
      <c r="IW48" s="31" t="str">
        <f>IFERROR(VLOOKUP([2]Pointage!JA42,Feuil1!$A:$B,2,FALSE),"")</f>
        <v/>
      </c>
      <c r="IX48" s="31" t="str">
        <f>IFERROR(VLOOKUP([2]Pointage!JB42,Feuil1!$A:$B,2,FALSE),"")</f>
        <v/>
      </c>
      <c r="IY48" s="31" t="str">
        <f>IFERROR(VLOOKUP([2]Pointage!JC42,Feuil1!$A:$B,2,FALSE),"")</f>
        <v/>
      </c>
      <c r="IZ48" s="31" t="str">
        <f>IFERROR(VLOOKUP([2]Pointage!JD42,Feuil1!$A:$B,2,FALSE),"")</f>
        <v/>
      </c>
      <c r="JA48" s="31" t="str">
        <f>IFERROR(VLOOKUP([2]Pointage!JE42,Feuil1!$A:$B,2,FALSE),"")</f>
        <v/>
      </c>
      <c r="JB48" s="31" t="str">
        <f>IFERROR(VLOOKUP([2]Pointage!JF42,Feuil1!$A:$B,2,FALSE),"")</f>
        <v/>
      </c>
      <c r="JC48" s="31" t="str">
        <f>IFERROR(VLOOKUP([2]Pointage!JG42,Feuil1!$A:$B,2,FALSE),"")</f>
        <v/>
      </c>
      <c r="JD48" s="31" t="str">
        <f>IFERROR(VLOOKUP([2]Pointage!JH42,Feuil1!$A:$B,2,FALSE),"")</f>
        <v/>
      </c>
      <c r="JE48" s="31" t="str">
        <f>IFERROR(VLOOKUP([2]Pointage!JI42,Feuil1!$A:$B,2,FALSE),"")</f>
        <v/>
      </c>
      <c r="JF48" s="31" t="str">
        <f>IFERROR(VLOOKUP([2]Pointage!JJ42,Feuil1!$A:$B,2,FALSE),"")</f>
        <v/>
      </c>
      <c r="JG48" s="31" t="str">
        <f>IFERROR(VLOOKUP([2]Pointage!JK42,Feuil1!$A:$B,2,FALSE),"")</f>
        <v/>
      </c>
      <c r="JH48" s="31" t="str">
        <f>IFERROR(VLOOKUP([2]Pointage!JL42,Feuil1!$A:$B,2,FALSE),"")</f>
        <v/>
      </c>
      <c r="JI48" s="31" t="str">
        <f>IFERROR(VLOOKUP([2]Pointage!JM42,Feuil1!$A:$B,2,FALSE),"")</f>
        <v/>
      </c>
      <c r="JJ48" s="31" t="str">
        <f>IFERROR(VLOOKUP([2]Pointage!JN42,Feuil1!$A:$B,2,FALSE),"")</f>
        <v/>
      </c>
      <c r="JK48" s="31" t="str">
        <f>IFERROR(VLOOKUP([2]Pointage!JO42,Feuil1!$A:$B,2,FALSE),"")</f>
        <v/>
      </c>
      <c r="JL48" s="31" t="str">
        <f>IFERROR(VLOOKUP([2]Pointage!JP42,Feuil1!$A:$B,2,FALSE),"")</f>
        <v/>
      </c>
      <c r="JM48" s="31" t="str">
        <f>IFERROR(VLOOKUP([2]Pointage!JQ42,Feuil1!$A:$B,2,FALSE),"")</f>
        <v/>
      </c>
      <c r="JN48" s="31" t="str">
        <f>IFERROR(VLOOKUP([2]Pointage!JR42,Feuil1!$A:$B,2,FALSE),"")</f>
        <v/>
      </c>
      <c r="JO48" s="31" t="str">
        <f>IFERROR(VLOOKUP([2]Pointage!JS42,Feuil1!$A:$B,2,FALSE),"")</f>
        <v/>
      </c>
      <c r="JP48" s="31" t="str">
        <f>IFERROR(VLOOKUP([2]Pointage!JT42,Feuil1!$A:$B,2,FALSE),"")</f>
        <v/>
      </c>
      <c r="JQ48" s="31" t="str">
        <f>IFERROR(VLOOKUP([2]Pointage!JU42,Feuil1!$A:$B,2,FALSE),"")</f>
        <v/>
      </c>
      <c r="JR48" s="82" t="str">
        <f>IFERROR(VLOOKUP([2]Pointage!JV42,Feuil1!$A:$B,2,FALSE),"")</f>
        <v/>
      </c>
      <c r="JS48" s="47" t="str">
        <f>IFERROR(VLOOKUP([2]Pointage!JW42,Feuil1!$A:$B,2,FALSE),"")</f>
        <v/>
      </c>
      <c r="JT48" s="31" t="str">
        <f>IFERROR(VLOOKUP([2]Pointage!JX42,Feuil1!$A:$B,2,FALSE),"")</f>
        <v/>
      </c>
      <c r="JU48" s="31" t="str">
        <f>IFERROR(VLOOKUP([2]Pointage!JY42,Feuil1!$A:$B,2,FALSE),"")</f>
        <v/>
      </c>
      <c r="JV48" s="31" t="str">
        <f>IFERROR(VLOOKUP([2]Pointage!JZ42,Feuil1!$A:$B,2,FALSE),"")</f>
        <v/>
      </c>
      <c r="JW48" s="31" t="str">
        <f>IFERROR(VLOOKUP([2]Pointage!KA42,Feuil1!$A:$B,2,FALSE),"")</f>
        <v/>
      </c>
      <c r="JX48" s="31" t="str">
        <f>IFERROR(VLOOKUP([2]Pointage!KB42,Feuil1!$A:$B,2,FALSE),"")</f>
        <v/>
      </c>
      <c r="JY48" s="31" t="str">
        <f>IFERROR(VLOOKUP([2]Pointage!KC42,Feuil1!$A:$B,2,FALSE),"")</f>
        <v/>
      </c>
      <c r="JZ48" s="31" t="str">
        <f>IFERROR(VLOOKUP([2]Pointage!KD42,Feuil1!$A:$B,2,FALSE),"")</f>
        <v/>
      </c>
      <c r="KA48" s="31" t="str">
        <f>IFERROR(VLOOKUP([2]Pointage!KE42,Feuil1!$A:$B,2,FALSE),"")</f>
        <v/>
      </c>
      <c r="KB48" s="31" t="str">
        <f>IFERROR(VLOOKUP([2]Pointage!KF42,Feuil1!$A:$B,2,FALSE),"")</f>
        <v/>
      </c>
      <c r="KC48" s="31" t="str">
        <f>IFERROR(VLOOKUP([2]Pointage!KG42,Feuil1!$A:$B,2,FALSE),"")</f>
        <v/>
      </c>
      <c r="KD48" s="31" t="str">
        <f>IFERROR(VLOOKUP([2]Pointage!KH42,Feuil1!$A:$B,2,FALSE),"")</f>
        <v/>
      </c>
      <c r="KE48" s="31" t="str">
        <f>IFERROR(VLOOKUP([2]Pointage!KI42,Feuil1!$A:$B,2,FALSE),"")</f>
        <v/>
      </c>
      <c r="KF48" s="31" t="str">
        <f>IFERROR(VLOOKUP([2]Pointage!KJ42,Feuil1!$A:$B,2,FALSE),"")</f>
        <v/>
      </c>
      <c r="KG48" s="31" t="str">
        <f>IFERROR(VLOOKUP([2]Pointage!KK42,Feuil1!$A:$B,2,FALSE),"")</f>
        <v/>
      </c>
      <c r="KH48" s="31" t="str">
        <f>IFERROR(VLOOKUP([2]Pointage!KL42,Feuil1!$A:$B,2,FALSE),"")</f>
        <v/>
      </c>
      <c r="KI48" s="31" t="str">
        <f>IFERROR(VLOOKUP([2]Pointage!KM42,Feuil1!$A:$B,2,FALSE),"")</f>
        <v/>
      </c>
      <c r="KJ48" s="31" t="str">
        <f>IFERROR(VLOOKUP([2]Pointage!KN42,Feuil1!$A:$B,2,FALSE),"")</f>
        <v/>
      </c>
      <c r="KK48" s="31" t="str">
        <f>IFERROR(VLOOKUP([2]Pointage!KO42,Feuil1!$A:$B,2,FALSE),"")</f>
        <v/>
      </c>
      <c r="KL48" s="31" t="str">
        <f>IFERROR(VLOOKUP([2]Pointage!KP42,Feuil1!$A:$B,2,FALSE),"")</f>
        <v/>
      </c>
      <c r="KM48" s="31" t="str">
        <f>IFERROR(VLOOKUP([2]Pointage!KQ42,Feuil1!$A:$B,2,FALSE),"")</f>
        <v/>
      </c>
      <c r="KN48" s="31" t="str">
        <f>IFERROR(VLOOKUP([2]Pointage!KR42,Feuil1!$A:$B,2,FALSE),"")</f>
        <v/>
      </c>
      <c r="KO48" s="31" t="str">
        <f>IFERROR(VLOOKUP([2]Pointage!KS42,Feuil1!$A:$B,2,FALSE),"")</f>
        <v/>
      </c>
      <c r="KP48" s="31" t="str">
        <f>IFERROR(VLOOKUP([2]Pointage!KT42,Feuil1!$A:$B,2,FALSE),"")</f>
        <v/>
      </c>
      <c r="KQ48" s="31" t="str">
        <f>IFERROR(VLOOKUP([2]Pointage!KU42,Feuil1!$A:$B,2,FALSE),"")</f>
        <v/>
      </c>
      <c r="KR48" s="31" t="str">
        <f>IFERROR(VLOOKUP([2]Pointage!KV42,Feuil1!$A:$B,2,FALSE),"")</f>
        <v/>
      </c>
      <c r="KS48" s="31" t="str">
        <f>IFERROR(VLOOKUP([2]Pointage!KW42,Feuil1!$A:$B,2,FALSE),"")</f>
        <v/>
      </c>
      <c r="KT48" s="31" t="str">
        <f>IFERROR(VLOOKUP([2]Pointage!KX42,Feuil1!$A:$B,2,FALSE),"")</f>
        <v/>
      </c>
      <c r="KU48" s="31" t="str">
        <f>IFERROR(VLOOKUP([2]Pointage!KY42,Feuil1!$A:$B,2,FALSE),"")</f>
        <v/>
      </c>
      <c r="KV48" s="31" t="str">
        <f>IFERROR(VLOOKUP([2]Pointage!KZ42,Feuil1!$A:$B,2,FALSE),"")</f>
        <v/>
      </c>
      <c r="KW48" s="82" t="str">
        <f>IFERROR(VLOOKUP([2]Pointage!LA42,Feuil1!$A:$B,2,FALSE),"")</f>
        <v/>
      </c>
      <c r="KX48" s="47" t="str">
        <f>IFERROR(VLOOKUP([2]Pointage!LB42,Feuil1!$A:$B,2,FALSE),"")</f>
        <v/>
      </c>
      <c r="KY48" s="31" t="str">
        <f>IFERROR(VLOOKUP([2]Pointage!LC42,Feuil1!$A:$B,2,FALSE),"")</f>
        <v/>
      </c>
      <c r="KZ48" s="31" t="str">
        <f>IFERROR(VLOOKUP([2]Pointage!LD42,Feuil1!$A:$B,2,FALSE),"")</f>
        <v/>
      </c>
      <c r="LA48" s="31" t="str">
        <f>IFERROR(VLOOKUP([2]Pointage!LE42,Feuil1!$A:$B,2,FALSE),"")</f>
        <v/>
      </c>
      <c r="LB48" s="31" t="str">
        <f>IFERROR(VLOOKUP([2]Pointage!LF42,Feuil1!$A:$B,2,FALSE),"")</f>
        <v/>
      </c>
      <c r="LC48" s="31" t="str">
        <f>IFERROR(VLOOKUP([2]Pointage!LG42,Feuil1!$A:$B,2,FALSE),"")</f>
        <v/>
      </c>
      <c r="LD48" s="31" t="str">
        <f>IFERROR(VLOOKUP([2]Pointage!LH42,Feuil1!$A:$B,2,FALSE),"")</f>
        <v/>
      </c>
      <c r="LE48" s="31" t="str">
        <f>IFERROR(VLOOKUP([2]Pointage!LI42,Feuil1!$A:$B,2,FALSE),"")</f>
        <v/>
      </c>
      <c r="LF48" s="31" t="str">
        <f>IFERROR(VLOOKUP([2]Pointage!LJ42,Feuil1!$A:$B,2,FALSE),"")</f>
        <v/>
      </c>
      <c r="LG48" s="31" t="str">
        <f>IFERROR(VLOOKUP([2]Pointage!LK42,Feuil1!$A:$B,2,FALSE),"")</f>
        <v/>
      </c>
      <c r="LH48" s="31" t="str">
        <f>IFERROR(VLOOKUP([2]Pointage!LL42,Feuil1!$A:$B,2,FALSE),"")</f>
        <v/>
      </c>
      <c r="LI48" s="31" t="str">
        <f>IFERROR(VLOOKUP([2]Pointage!LM42,Feuil1!$A:$B,2,FALSE),"")</f>
        <v/>
      </c>
      <c r="LJ48" s="31" t="str">
        <f>IFERROR(VLOOKUP([2]Pointage!LN42,Feuil1!$A:$B,2,FALSE),"")</f>
        <v/>
      </c>
      <c r="LK48" s="31" t="str">
        <f>IFERROR(VLOOKUP([2]Pointage!LO42,Feuil1!$A:$B,2,FALSE),"")</f>
        <v/>
      </c>
      <c r="LL48" s="31" t="str">
        <f>IFERROR(VLOOKUP([2]Pointage!LP42,Feuil1!$A:$B,2,FALSE),"")</f>
        <v/>
      </c>
      <c r="LM48" s="31" t="str">
        <f>IFERROR(VLOOKUP([2]Pointage!LQ42,Feuil1!$A:$B,2,FALSE),"")</f>
        <v/>
      </c>
      <c r="LN48" s="31" t="str">
        <f>IFERROR(VLOOKUP([2]Pointage!LR42,Feuil1!$A:$B,2,FALSE),"")</f>
        <v/>
      </c>
      <c r="LO48" s="31" t="str">
        <f>IFERROR(VLOOKUP([2]Pointage!LS42,Feuil1!$A:$B,2,FALSE),"")</f>
        <v/>
      </c>
      <c r="LP48" s="31" t="str">
        <f>IFERROR(VLOOKUP([2]Pointage!LT42,Feuil1!$A:$B,2,FALSE),"")</f>
        <v/>
      </c>
      <c r="LQ48" s="31" t="str">
        <f>IFERROR(VLOOKUP([2]Pointage!LU42,Feuil1!$A:$B,2,FALSE),"")</f>
        <v/>
      </c>
      <c r="LR48" s="31" t="str">
        <f>IFERROR(VLOOKUP([2]Pointage!LV42,Feuil1!$A:$B,2,FALSE),"")</f>
        <v/>
      </c>
      <c r="LS48" s="31" t="str">
        <f>IFERROR(VLOOKUP([2]Pointage!LW42,Feuil1!$A:$B,2,FALSE),"")</f>
        <v/>
      </c>
      <c r="LT48" s="31" t="str">
        <f>IFERROR(VLOOKUP([2]Pointage!LX42,Feuil1!$A:$B,2,FALSE),"")</f>
        <v/>
      </c>
      <c r="LU48" s="31" t="str">
        <f>IFERROR(VLOOKUP([2]Pointage!LY42,Feuil1!$A:$B,2,FALSE),"")</f>
        <v/>
      </c>
      <c r="LV48" s="31" t="str">
        <f>IFERROR(VLOOKUP([2]Pointage!LZ42,Feuil1!$A:$B,2,FALSE),"")</f>
        <v/>
      </c>
      <c r="LW48" s="31" t="str">
        <f>IFERROR(VLOOKUP([2]Pointage!MA42,Feuil1!$A:$B,2,FALSE),"")</f>
        <v/>
      </c>
      <c r="LX48" s="31" t="str">
        <f>IFERROR(VLOOKUP([2]Pointage!MB42,Feuil1!$A:$B,2,FALSE),"")</f>
        <v/>
      </c>
      <c r="LY48" s="31" t="str">
        <f>IFERROR(VLOOKUP([2]Pointage!MC42,Feuil1!$A:$B,2,FALSE),"")</f>
        <v/>
      </c>
      <c r="LZ48" s="31" t="str">
        <f>IFERROR(VLOOKUP([2]Pointage!MD42,Feuil1!$A:$B,2,FALSE),"")</f>
        <v/>
      </c>
      <c r="MA48" s="82" t="str">
        <f>IFERROR(VLOOKUP([2]Pointage!ME42,Feuil1!$A:$B,2,FALSE),"")</f>
        <v/>
      </c>
      <c r="MB48" s="47" t="str">
        <f>IFERROR(VLOOKUP([2]Pointage!MF42,Feuil1!$A:$B,2,FALSE),"")</f>
        <v/>
      </c>
      <c r="MC48" s="31" t="str">
        <f>IFERROR(VLOOKUP([2]Pointage!MG42,Feuil1!$A:$B,2,FALSE),"")</f>
        <v/>
      </c>
      <c r="MD48" s="31" t="str">
        <f>IFERROR(VLOOKUP([2]Pointage!MH42,Feuil1!$A:$B,2,FALSE),"")</f>
        <v/>
      </c>
      <c r="ME48" s="31" t="str">
        <f>IFERROR(VLOOKUP([2]Pointage!MI42,Feuil1!$A:$B,2,FALSE),"")</f>
        <v/>
      </c>
      <c r="MF48" s="31" t="str">
        <f>IFERROR(VLOOKUP([2]Pointage!MJ42,Feuil1!$A:$B,2,FALSE),"")</f>
        <v/>
      </c>
      <c r="MG48" s="31" t="str">
        <f>IFERROR(VLOOKUP([2]Pointage!MK42,Feuil1!$A:$B,2,FALSE),"")</f>
        <v/>
      </c>
      <c r="MH48" s="31" t="str">
        <f>IFERROR(VLOOKUP([2]Pointage!ML42,Feuil1!$A:$B,2,FALSE),"")</f>
        <v/>
      </c>
      <c r="MI48" s="31" t="str">
        <f>IFERROR(VLOOKUP([2]Pointage!MM42,Feuil1!$A:$B,2,FALSE),"")</f>
        <v/>
      </c>
      <c r="MJ48" s="31" t="str">
        <f>IFERROR(VLOOKUP([2]Pointage!MN42,Feuil1!$A:$B,2,FALSE),"")</f>
        <v/>
      </c>
      <c r="MK48" s="31" t="str">
        <f>IFERROR(VLOOKUP([2]Pointage!MO42,Feuil1!$A:$B,2,FALSE),"")</f>
        <v/>
      </c>
      <c r="ML48" s="31" t="str">
        <f>IFERROR(VLOOKUP([2]Pointage!MP42,Feuil1!$A:$B,2,FALSE),"")</f>
        <v/>
      </c>
      <c r="MM48" s="31" t="str">
        <f>IFERROR(VLOOKUP([2]Pointage!MQ42,Feuil1!$A:$B,2,FALSE),"")</f>
        <v/>
      </c>
      <c r="MN48" s="31" t="str">
        <f>IFERROR(VLOOKUP([2]Pointage!MR42,Feuil1!$A:$B,2,FALSE),"")</f>
        <v/>
      </c>
      <c r="MO48" s="31" t="str">
        <f>IFERROR(VLOOKUP([2]Pointage!MS42,Feuil1!$A:$B,2,FALSE),"")</f>
        <v/>
      </c>
      <c r="MP48" s="31" t="str">
        <f>IFERROR(VLOOKUP([2]Pointage!MT42,Feuil1!$A:$B,2,FALSE),"")</f>
        <v/>
      </c>
      <c r="MQ48" s="31" t="str">
        <f>IFERROR(VLOOKUP([2]Pointage!MU42,Feuil1!$A:$B,2,FALSE),"")</f>
        <v/>
      </c>
      <c r="MR48" s="31" t="str">
        <f>IFERROR(VLOOKUP([2]Pointage!MV42,Feuil1!$A:$B,2,FALSE),"")</f>
        <v/>
      </c>
      <c r="MS48" s="31" t="str">
        <f>IFERROR(VLOOKUP([2]Pointage!MW42,Feuil1!$A:$B,2,FALSE),"")</f>
        <v/>
      </c>
      <c r="MT48" s="31" t="str">
        <f>IFERROR(VLOOKUP([2]Pointage!MX42,Feuil1!$A:$B,2,FALSE),"")</f>
        <v/>
      </c>
      <c r="MU48" s="31" t="str">
        <f>IFERROR(VLOOKUP([2]Pointage!MY42,Feuil1!$A:$B,2,FALSE),"")</f>
        <v/>
      </c>
      <c r="MV48" s="31" t="str">
        <f>IFERROR(VLOOKUP([2]Pointage!MZ42,Feuil1!$A:$B,2,FALSE),"")</f>
        <v/>
      </c>
      <c r="MW48" s="31" t="str">
        <f>IFERROR(VLOOKUP([2]Pointage!NA42,Feuil1!$A:$B,2,FALSE),"")</f>
        <v/>
      </c>
      <c r="MX48" s="31" t="str">
        <f>IFERROR(VLOOKUP([2]Pointage!NB42,Feuil1!$A:$B,2,FALSE),"")</f>
        <v/>
      </c>
      <c r="MY48" s="31" t="str">
        <f>IFERROR(VLOOKUP([2]Pointage!NC42,Feuil1!$A:$B,2,FALSE),"")</f>
        <v/>
      </c>
      <c r="MZ48" s="31" t="str">
        <f>IFERROR(VLOOKUP([2]Pointage!ND42,Feuil1!$A:$B,2,FALSE),"")</f>
        <v/>
      </c>
      <c r="NA48" s="31" t="str">
        <f>IFERROR(VLOOKUP([2]Pointage!NE42,Feuil1!$A:$B,2,FALSE),"")</f>
        <v/>
      </c>
      <c r="NB48" s="31" t="str">
        <f>IFERROR(VLOOKUP([2]Pointage!NF42,Feuil1!$A:$B,2,FALSE),"")</f>
        <v/>
      </c>
      <c r="NC48" s="31" t="str">
        <f>IFERROR(VLOOKUP([2]Pointage!NG42,Feuil1!$A:$B,2,FALSE),"")</f>
        <v/>
      </c>
      <c r="ND48" s="31" t="str">
        <f>IFERROR(VLOOKUP([2]Pointage!NH42,Feuil1!$A:$B,2,FALSE),"")</f>
        <v/>
      </c>
      <c r="NE48" s="31" t="str">
        <f>IFERROR(VLOOKUP([2]Pointage!NI42,Feuil1!$A:$B,2,FALSE),"")</f>
        <v/>
      </c>
      <c r="NF48" s="48" t="str">
        <f>IFERROR(VLOOKUP([2]Pointage!NJ42,Feuil1!$A:$B,2,FALSE),"")</f>
        <v/>
      </c>
      <c r="NG48" s="52">
        <f>COUNTIF(Global!F48:NF48,"RTT")+(COUNTIF(Global!F48:NF48,"dRTT")/2)</f>
        <v>9</v>
      </c>
      <c r="NH48" s="42">
        <f>COUNTIF(Global!F48:NF48,"C")+(COUNTIF(Global!F48:NF48,"DC")/2)</f>
        <v>26</v>
      </c>
      <c r="NI48" s="42">
        <f>COUNTIF(Global!F48:NF48,"M")</f>
        <v>0</v>
      </c>
      <c r="NJ48" s="42">
        <f>COUNTIF(Global!G48:NG48,"AT")</f>
        <v>0</v>
      </c>
      <c r="NK48" s="42">
        <f>COUNTIF(Global!F48:NF48,"RD")</f>
        <v>0</v>
      </c>
      <c r="NL48" s="42">
        <f>COUNTIF(Global!F48:NF48,"RC")+(COUNTIF(Global!F48:NF48,"dRC")/2)</f>
        <v>0</v>
      </c>
      <c r="NM48" s="68">
        <f t="shared" ca="1" si="0"/>
        <v>4.0273972602739727</v>
      </c>
      <c r="NT48" s="33"/>
      <c r="NU48" s="33"/>
      <c r="NV48" s="28"/>
      <c r="NW48" s="28"/>
      <c r="NX48" s="29">
        <f>COUNTIF(F48:NF48,"C")++(COUNTIF(Global!F48:NF48,"DC")/2)</f>
        <v>26</v>
      </c>
      <c r="NY48" s="29"/>
      <c r="NZ48" s="29"/>
      <c r="OA48" s="29"/>
      <c r="OB48" s="29">
        <f>COUNTIF(Global!F48:NF48,"M")</f>
        <v>0</v>
      </c>
      <c r="OC48" s="30">
        <f t="shared" si="1"/>
        <v>-26</v>
      </c>
      <c r="OD48" s="30"/>
    </row>
    <row r="49" spans="1:394" ht="30" customHeight="1" x14ac:dyDescent="0.2">
      <c r="A49" s="17" t="s">
        <v>105</v>
      </c>
      <c r="B49" s="17" t="s">
        <v>248</v>
      </c>
      <c r="C49" s="17" t="s">
        <v>249</v>
      </c>
      <c r="D49" s="17" t="s">
        <v>250</v>
      </c>
      <c r="E49" s="23">
        <v>0</v>
      </c>
      <c r="F49" s="47" t="str">
        <f>IFERROR(VLOOKUP([2]Pointage!J43,Feuil1!$A:$B,2,FALSE),"")</f>
        <v/>
      </c>
      <c r="G49" s="31" t="str">
        <f>IFERROR(VLOOKUP([2]Pointage!K43,Feuil1!$A:$B,2,FALSE),"")</f>
        <v/>
      </c>
      <c r="H49" s="31" t="str">
        <f>IFERROR(VLOOKUP([2]Pointage!L43,Feuil1!$A:$B,2,FALSE),"")</f>
        <v/>
      </c>
      <c r="I49" s="31" t="str">
        <f>IFERROR(VLOOKUP([2]Pointage!M43,Feuil1!$A:$B,2,FALSE),"")</f>
        <v/>
      </c>
      <c r="J49" s="31" t="str">
        <f>IFERROR(VLOOKUP([2]Pointage!N43,Feuil1!$A:$B,2,FALSE),"")</f>
        <v/>
      </c>
      <c r="K49" s="31" t="str">
        <f>IFERROR(VLOOKUP([2]Pointage!O43,Feuil1!$A:$B,2,FALSE),"")</f>
        <v/>
      </c>
      <c r="L49" s="31" t="str">
        <f>IFERROR(VLOOKUP([2]Pointage!P43,Feuil1!$A:$B,2,FALSE),"")</f>
        <v/>
      </c>
      <c r="M49" s="31" t="str">
        <f>IFERROR(VLOOKUP([2]Pointage!Q43,Feuil1!$A:$B,2,FALSE),"")</f>
        <v/>
      </c>
      <c r="N49" s="31" t="str">
        <f>IFERROR(VLOOKUP([2]Pointage!R43,Feuil1!$A:$B,2,FALSE),"")</f>
        <v/>
      </c>
      <c r="O49" s="31" t="str">
        <f>IFERROR(VLOOKUP([2]Pointage!S43,Feuil1!$A:$B,2,FALSE),"")</f>
        <v/>
      </c>
      <c r="P49" s="31" t="str">
        <f>IFERROR(VLOOKUP([2]Pointage!T43,Feuil1!$A:$B,2,FALSE),"")</f>
        <v/>
      </c>
      <c r="Q49" s="31" t="str">
        <f>IFERROR(VLOOKUP([2]Pointage!U43,Feuil1!$A:$B,2,FALSE),"")</f>
        <v/>
      </c>
      <c r="R49" s="31" t="str">
        <f>IFERROR(VLOOKUP([2]Pointage!V43,Feuil1!$A:$B,2,FALSE),"")</f>
        <v/>
      </c>
      <c r="S49" s="31" t="str">
        <f>IFERROR(VLOOKUP([2]Pointage!W43,Feuil1!$A:$B,2,FALSE),"")</f>
        <v/>
      </c>
      <c r="T49" s="31" t="str">
        <f>IFERROR(VLOOKUP([2]Pointage!X43,Feuil1!$A:$B,2,FALSE),"")</f>
        <v/>
      </c>
      <c r="U49" s="31" t="str">
        <f>IFERROR(VLOOKUP([2]Pointage!Y43,Feuil1!$A:$B,2,FALSE),"")</f>
        <v/>
      </c>
      <c r="V49" s="31" t="str">
        <f>IFERROR(VLOOKUP([2]Pointage!Z43,Feuil1!$A:$B,2,FALSE),"")</f>
        <v/>
      </c>
      <c r="W49" s="31" t="str">
        <f>IFERROR(VLOOKUP([2]Pointage!AA43,Feuil1!$A:$B,2,FALSE),"")</f>
        <v/>
      </c>
      <c r="X49" s="31" t="str">
        <f>IFERROR(VLOOKUP([2]Pointage!AB43,Feuil1!$A:$B,2,FALSE),"")</f>
        <v/>
      </c>
      <c r="Y49" s="31" t="str">
        <f>IFERROR(VLOOKUP([2]Pointage!AC43,Feuil1!$A:$B,2,FALSE),"")</f>
        <v/>
      </c>
      <c r="Z49" s="31" t="str">
        <f>IFERROR(VLOOKUP([2]Pointage!AD43,Feuil1!$A:$B,2,FALSE),"")</f>
        <v/>
      </c>
      <c r="AA49" s="31" t="str">
        <f>IFERROR(VLOOKUP([2]Pointage!AE43,Feuil1!$A:$B,2,FALSE),"")</f>
        <v/>
      </c>
      <c r="AB49" s="31" t="str">
        <f>IFERROR(VLOOKUP([2]Pointage!AF43,Feuil1!$A:$B,2,FALSE),"")</f>
        <v/>
      </c>
      <c r="AC49" s="31" t="str">
        <f>IFERROR(VLOOKUP([2]Pointage!AG43,Feuil1!$A:$B,2,FALSE),"")</f>
        <v/>
      </c>
      <c r="AD49" s="31" t="str">
        <f>IFERROR(VLOOKUP([2]Pointage!AH43,Feuil1!$A:$B,2,FALSE),"")</f>
        <v/>
      </c>
      <c r="AE49" s="31" t="str">
        <f>IFERROR(VLOOKUP([2]Pointage!AI43,Feuil1!$A:$B,2,FALSE),"")</f>
        <v/>
      </c>
      <c r="AF49" s="31" t="str">
        <f>IFERROR(VLOOKUP([2]Pointage!AJ43,Feuil1!$A:$B,2,FALSE),"")</f>
        <v/>
      </c>
      <c r="AG49" s="31" t="str">
        <f>IFERROR(VLOOKUP([2]Pointage!AK43,Feuil1!$A:$B,2,FALSE),"")</f>
        <v/>
      </c>
      <c r="AH49" s="31" t="str">
        <f>IFERROR(VLOOKUP([2]Pointage!AL43,Feuil1!$A:$B,2,FALSE),"")</f>
        <v/>
      </c>
      <c r="AI49" s="31" t="str">
        <f>IFERROR(VLOOKUP([2]Pointage!AM43,Feuil1!$A:$B,2,FALSE),"")</f>
        <v/>
      </c>
      <c r="AJ49" s="82" t="str">
        <f>IFERROR(VLOOKUP([2]Pointage!AN43,Feuil1!$A:$B,2,FALSE),"")</f>
        <v/>
      </c>
      <c r="AK49" s="47" t="str">
        <f>IFERROR(VLOOKUP([2]Pointage!AO43,Feuil1!$A:$B,2,FALSE),"")</f>
        <v/>
      </c>
      <c r="AL49" s="31" t="str">
        <f>IFERROR(VLOOKUP([2]Pointage!AP43,Feuil1!$A:$B,2,FALSE),"")</f>
        <v/>
      </c>
      <c r="AM49" s="31" t="str">
        <f>IFERROR(VLOOKUP([2]Pointage!AQ43,Feuil1!$A:$B,2,FALSE),"")</f>
        <v/>
      </c>
      <c r="AN49" s="31" t="str">
        <f>IFERROR(VLOOKUP([2]Pointage!AR43,Feuil1!$A:$B,2,FALSE),"")</f>
        <v/>
      </c>
      <c r="AO49" s="31" t="str">
        <f>IFERROR(VLOOKUP([2]Pointage!AS43,Feuil1!$A:$B,2,FALSE),"")</f>
        <v/>
      </c>
      <c r="AP49" s="31" t="str">
        <f>IFERROR(VLOOKUP([2]Pointage!AT43,Feuil1!$A:$B,2,FALSE),"")</f>
        <v/>
      </c>
      <c r="AQ49" s="31" t="str">
        <f>IFERROR(VLOOKUP([2]Pointage!AU43,Feuil1!$A:$B,2,FALSE),"")</f>
        <v/>
      </c>
      <c r="AR49" s="31" t="str">
        <f>IFERROR(VLOOKUP([2]Pointage!AV43,Feuil1!$A:$B,2,FALSE),"")</f>
        <v/>
      </c>
      <c r="AS49" s="31" t="str">
        <f>IFERROR(VLOOKUP([2]Pointage!AW43,Feuil1!$A:$B,2,FALSE),"")</f>
        <v/>
      </c>
      <c r="AT49" s="31" t="str">
        <f>IFERROR(VLOOKUP([2]Pointage!AX43,Feuil1!$A:$B,2,FALSE),"")</f>
        <v/>
      </c>
      <c r="AU49" s="31" t="str">
        <f>IFERROR(VLOOKUP([2]Pointage!AY43,Feuil1!$A:$B,2,FALSE),"")</f>
        <v/>
      </c>
      <c r="AV49" s="31" t="str">
        <f>IFERROR(VLOOKUP([2]Pointage!AZ43,Feuil1!$A:$B,2,FALSE),"")</f>
        <v/>
      </c>
      <c r="AW49" s="31" t="str">
        <f>IFERROR(VLOOKUP([2]Pointage!BA43,Feuil1!$A:$B,2,FALSE),"")</f>
        <v/>
      </c>
      <c r="AX49" s="31" t="str">
        <f>IFERROR(VLOOKUP([2]Pointage!BB43,Feuil1!$A:$B,2,FALSE),"")</f>
        <v/>
      </c>
      <c r="AY49" s="31" t="str">
        <f>IFERROR(VLOOKUP([2]Pointage!BC43,Feuil1!$A:$B,2,FALSE),"")</f>
        <v/>
      </c>
      <c r="AZ49" s="31" t="str">
        <f>IFERROR(VLOOKUP([2]Pointage!BD43,Feuil1!$A:$B,2,FALSE),"")</f>
        <v/>
      </c>
      <c r="BA49" s="31" t="str">
        <f>IFERROR(VLOOKUP([2]Pointage!BE43,Feuil1!$A:$B,2,FALSE),"")</f>
        <v/>
      </c>
      <c r="BB49" s="31" t="str">
        <f>IFERROR(VLOOKUP([2]Pointage!BF43,Feuil1!$A:$B,2,FALSE),"")</f>
        <v/>
      </c>
      <c r="BC49" s="31" t="str">
        <f>IFERROR(VLOOKUP([2]Pointage!BG43,Feuil1!$A:$B,2,FALSE),"")</f>
        <v/>
      </c>
      <c r="BD49" s="31" t="str">
        <f>IFERROR(VLOOKUP([2]Pointage!BH43,Feuil1!$A:$B,2,FALSE),"")</f>
        <v/>
      </c>
      <c r="BE49" s="31" t="str">
        <f>IFERROR(VLOOKUP([2]Pointage!BI43,Feuil1!$A:$B,2,FALSE),"")</f>
        <v/>
      </c>
      <c r="BF49" s="31" t="str">
        <f>IFERROR(VLOOKUP([2]Pointage!BJ43,Feuil1!$A:$B,2,FALSE),"")</f>
        <v/>
      </c>
      <c r="BG49" s="31" t="str">
        <f>IFERROR(VLOOKUP([2]Pointage!BK43,Feuil1!$A:$B,2,FALSE),"")</f>
        <v/>
      </c>
      <c r="BH49" s="31" t="str">
        <f>IFERROR(VLOOKUP([2]Pointage!BL43,Feuil1!$A:$B,2,FALSE),"")</f>
        <v/>
      </c>
      <c r="BI49" s="31" t="str">
        <f>IFERROR(VLOOKUP([2]Pointage!BM43,Feuil1!$A:$B,2,FALSE),"")</f>
        <v/>
      </c>
      <c r="BJ49" s="31" t="str">
        <f>IFERROR(VLOOKUP([2]Pointage!BN43,Feuil1!$A:$B,2,FALSE),"")</f>
        <v/>
      </c>
      <c r="BK49" s="31" t="str">
        <f>IFERROR(VLOOKUP([2]Pointage!BO43,Feuil1!$A:$B,2,FALSE),"")</f>
        <v/>
      </c>
      <c r="BL49" s="82" t="str">
        <f>IFERROR(VLOOKUP([2]Pointage!BP43,Feuil1!$A:$B,2,FALSE),"")</f>
        <v/>
      </c>
      <c r="BM49" s="47" t="str">
        <f>IFERROR(VLOOKUP([2]Pointage!BQ43,Feuil1!$A:$B,2,FALSE),"")</f>
        <v/>
      </c>
      <c r="BN49" s="31" t="str">
        <f>IFERROR(VLOOKUP([2]Pointage!BR43,Feuil1!$A:$B,2,FALSE),"")</f>
        <v/>
      </c>
      <c r="BO49" s="31" t="str">
        <f>IFERROR(VLOOKUP([2]Pointage!BS43,Feuil1!$A:$B,2,FALSE),"")</f>
        <v/>
      </c>
      <c r="BP49" s="31" t="str">
        <f>IFERROR(VLOOKUP([2]Pointage!BT43,Feuil1!$A:$B,2,FALSE),"")</f>
        <v/>
      </c>
      <c r="BQ49" s="31" t="str">
        <f>IFERROR(VLOOKUP([2]Pointage!BU43,Feuil1!$A:$B,2,FALSE),"")</f>
        <v/>
      </c>
      <c r="BR49" s="31" t="str">
        <f>IFERROR(VLOOKUP([2]Pointage!BV43,Feuil1!$A:$B,2,FALSE),"")</f>
        <v/>
      </c>
      <c r="BS49" s="31" t="str">
        <f>IFERROR(VLOOKUP([2]Pointage!BW43,Feuil1!$A:$B,2,FALSE),"")</f>
        <v/>
      </c>
      <c r="BT49" s="31" t="str">
        <f>IFERROR(VLOOKUP([2]Pointage!BX43,Feuil1!$A:$B,2,FALSE),"")</f>
        <v/>
      </c>
      <c r="BU49" s="31" t="str">
        <f>IFERROR(VLOOKUP([2]Pointage!BY43,Feuil1!$A:$B,2,FALSE),"")</f>
        <v/>
      </c>
      <c r="BV49" s="31" t="str">
        <f>IFERROR(VLOOKUP([2]Pointage!BZ43,Feuil1!$A:$B,2,FALSE),"")</f>
        <v/>
      </c>
      <c r="BW49" s="31" t="str">
        <f>IFERROR(VLOOKUP([2]Pointage!CA43,Feuil1!$A:$B,2,FALSE),"")</f>
        <v/>
      </c>
      <c r="BX49" s="31" t="str">
        <f>IFERROR(VLOOKUP([2]Pointage!CB43,Feuil1!$A:$B,2,FALSE),"")</f>
        <v/>
      </c>
      <c r="BY49" s="31" t="str">
        <f>IFERROR(VLOOKUP([2]Pointage!CC43,Feuil1!$A:$B,2,FALSE),"")</f>
        <v/>
      </c>
      <c r="BZ49" s="31" t="str">
        <f>IFERROR(VLOOKUP([2]Pointage!CD43,Feuil1!$A:$B,2,FALSE),"")</f>
        <v/>
      </c>
      <c r="CA49" s="31" t="str">
        <f>IFERROR(VLOOKUP([2]Pointage!CE43,Feuil1!$A:$B,2,FALSE),"")</f>
        <v/>
      </c>
      <c r="CB49" s="31" t="str">
        <f>IFERROR(VLOOKUP([2]Pointage!CF43,Feuil1!$A:$B,2,FALSE),"")</f>
        <v/>
      </c>
      <c r="CC49" s="31" t="str">
        <f>IFERROR(VLOOKUP([2]Pointage!CG43,Feuil1!$A:$B,2,FALSE),"")</f>
        <v/>
      </c>
      <c r="CD49" s="31" t="str">
        <f>IFERROR(VLOOKUP([2]Pointage!CH43,Feuil1!$A:$B,2,FALSE),"")</f>
        <v/>
      </c>
      <c r="CE49" s="31" t="str">
        <f>IFERROR(VLOOKUP([2]Pointage!CI43,Feuil1!$A:$B,2,FALSE),"")</f>
        <v/>
      </c>
      <c r="CF49" s="31" t="str">
        <f>IFERROR(VLOOKUP([2]Pointage!CJ43,Feuil1!$A:$B,2,FALSE),"")</f>
        <v/>
      </c>
      <c r="CG49" s="31" t="str">
        <f>IFERROR(VLOOKUP([2]Pointage!CK43,Feuil1!$A:$B,2,FALSE),"")</f>
        <v/>
      </c>
      <c r="CH49" s="31" t="str">
        <f>IFERROR(VLOOKUP([2]Pointage!CL43,Feuil1!$A:$B,2,FALSE),"")</f>
        <v>C</v>
      </c>
      <c r="CI49" s="31" t="str">
        <f>IFERROR(VLOOKUP([2]Pointage!CM43,Feuil1!$A:$B,2,FALSE),"")</f>
        <v>C</v>
      </c>
      <c r="CJ49" s="31" t="str">
        <f>IFERROR(VLOOKUP([2]Pointage!CN43,Feuil1!$A:$B,2,FALSE),"")</f>
        <v/>
      </c>
      <c r="CK49" s="31" t="str">
        <f>IFERROR(VLOOKUP([2]Pointage!CO43,Feuil1!$A:$B,2,FALSE),"")</f>
        <v/>
      </c>
      <c r="CL49" s="31" t="str">
        <f>IFERROR(VLOOKUP([2]Pointage!CP43,Feuil1!$A:$B,2,FALSE),"")</f>
        <v/>
      </c>
      <c r="CM49" s="31" t="str">
        <f>IFERROR(VLOOKUP([2]Pointage!CQ43,Feuil1!$A:$B,2,FALSE),"")</f>
        <v/>
      </c>
      <c r="CN49" s="31" t="str">
        <f>IFERROR(VLOOKUP([2]Pointage!CR43,Feuil1!$A:$B,2,FALSE),"")</f>
        <v/>
      </c>
      <c r="CO49" s="31" t="str">
        <f>IFERROR(VLOOKUP([2]Pointage!CS43,Feuil1!$A:$B,2,FALSE),"")</f>
        <v/>
      </c>
      <c r="CP49" s="31" t="str">
        <f>IFERROR(VLOOKUP([2]Pointage!CT43,Feuil1!$A:$B,2,FALSE),"")</f>
        <v/>
      </c>
      <c r="CQ49" s="82" t="str">
        <f>IFERROR(VLOOKUP([2]Pointage!CU43,Feuil1!$A:$B,2,FALSE),"")</f>
        <v/>
      </c>
      <c r="CR49" s="47" t="str">
        <f>IFERROR(VLOOKUP([2]Pointage!CV43,Feuil1!$A:$B,2,FALSE),"")</f>
        <v/>
      </c>
      <c r="CS49" s="31" t="str">
        <f>IFERROR(VLOOKUP([2]Pointage!CW43,Feuil1!$A:$B,2,FALSE),"")</f>
        <v/>
      </c>
      <c r="CT49" s="31" t="str">
        <f>IFERROR(VLOOKUP([2]Pointage!CX43,Feuil1!$A:$B,2,FALSE),"")</f>
        <v/>
      </c>
      <c r="CU49" s="31" t="str">
        <f>IFERROR(VLOOKUP([2]Pointage!CY43,Feuil1!$A:$B,2,FALSE),"")</f>
        <v/>
      </c>
      <c r="CV49" s="31" t="str">
        <f>IFERROR(VLOOKUP([2]Pointage!CZ43,Feuil1!$A:$B,2,FALSE),"")</f>
        <v/>
      </c>
      <c r="CW49" s="31" t="str">
        <f>IFERROR(VLOOKUP([2]Pointage!DA43,Feuil1!$A:$B,2,FALSE),"")</f>
        <v/>
      </c>
      <c r="CX49" s="31" t="str">
        <f>IFERROR(VLOOKUP([2]Pointage!DB43,Feuil1!$A:$B,2,FALSE),"")</f>
        <v/>
      </c>
      <c r="CY49" s="31" t="str">
        <f>IFERROR(VLOOKUP([2]Pointage!DC43,Feuil1!$A:$B,2,FALSE),"")</f>
        <v/>
      </c>
      <c r="CZ49" s="31" t="str">
        <f>IFERROR(VLOOKUP([2]Pointage!DD43,Feuil1!$A:$B,2,FALSE),"")</f>
        <v/>
      </c>
      <c r="DA49" s="31" t="str">
        <f>IFERROR(VLOOKUP([2]Pointage!DE43,Feuil1!$A:$B,2,FALSE),"")</f>
        <v/>
      </c>
      <c r="DB49" s="31" t="str">
        <f>IFERROR(VLOOKUP([2]Pointage!DF43,Feuil1!$A:$B,2,FALSE),"")</f>
        <v/>
      </c>
      <c r="DC49" s="31" t="str">
        <f>IFERROR(VLOOKUP([2]Pointage!DG43,Feuil1!$A:$B,2,FALSE),"")</f>
        <v/>
      </c>
      <c r="DD49" s="31" t="str">
        <f>IFERROR(VLOOKUP([2]Pointage!DH43,Feuil1!$A:$B,2,FALSE),"")</f>
        <v/>
      </c>
      <c r="DE49" s="31" t="str">
        <f>IFERROR(VLOOKUP([2]Pointage!DI43,Feuil1!$A:$B,2,FALSE),"")</f>
        <v/>
      </c>
      <c r="DF49" s="31" t="str">
        <f>IFERROR(VLOOKUP([2]Pointage!DJ43,Feuil1!$A:$B,2,FALSE),"")</f>
        <v/>
      </c>
      <c r="DG49" s="31" t="str">
        <f>IFERROR(VLOOKUP([2]Pointage!DK43,Feuil1!$A:$B,2,FALSE),"")</f>
        <v/>
      </c>
      <c r="DH49" s="31" t="str">
        <f>IFERROR(VLOOKUP([2]Pointage!DL43,Feuil1!$A:$B,2,FALSE),"")</f>
        <v/>
      </c>
      <c r="DI49" s="31" t="str">
        <f>IFERROR(VLOOKUP([2]Pointage!DM43,Feuil1!$A:$B,2,FALSE),"")</f>
        <v/>
      </c>
      <c r="DJ49" s="31" t="str">
        <f>IFERROR(VLOOKUP([2]Pointage!DN43,Feuil1!$A:$B,2,FALSE),"")</f>
        <v/>
      </c>
      <c r="DK49" s="31" t="str">
        <f>IFERROR(VLOOKUP([2]Pointage!DO43,Feuil1!$A:$B,2,FALSE),"")</f>
        <v/>
      </c>
      <c r="DL49" s="31" t="str">
        <f>IFERROR(VLOOKUP([2]Pointage!DP43,Feuil1!$A:$B,2,FALSE),"")</f>
        <v/>
      </c>
      <c r="DM49" s="31" t="str">
        <f>IFERROR(VLOOKUP([2]Pointage!DQ43,Feuil1!$A:$B,2,FALSE),"")</f>
        <v/>
      </c>
      <c r="DN49" s="31" t="str">
        <f>IFERROR(VLOOKUP([2]Pointage!DR43,Feuil1!$A:$B,2,FALSE),"")</f>
        <v/>
      </c>
      <c r="DO49" s="31" t="str">
        <f>IFERROR(VLOOKUP([2]Pointage!DS43,Feuil1!$A:$B,2,FALSE),"")</f>
        <v/>
      </c>
      <c r="DP49" s="31" t="str">
        <f>IFERROR(VLOOKUP([2]Pointage!DT43,Feuil1!$A:$B,2,FALSE),"")</f>
        <v/>
      </c>
      <c r="DQ49" s="31" t="str">
        <f>IFERROR(VLOOKUP([2]Pointage!DU43,Feuil1!$A:$B,2,FALSE),"")</f>
        <v/>
      </c>
      <c r="DR49" s="31" t="str">
        <f>IFERROR(VLOOKUP([2]Pointage!DV43,Feuil1!$A:$B,2,FALSE),"")</f>
        <v/>
      </c>
      <c r="DS49" s="31" t="str">
        <f>IFERROR(VLOOKUP([2]Pointage!DW43,Feuil1!$A:$B,2,FALSE),"")</f>
        <v/>
      </c>
      <c r="DT49" s="31" t="str">
        <f>IFERROR(VLOOKUP([2]Pointage!DX43,Feuil1!$A:$B,2,FALSE),"")</f>
        <v/>
      </c>
      <c r="DU49" s="82" t="str">
        <f>IFERROR(VLOOKUP([2]Pointage!DY43,Feuil1!$A:$B,2,FALSE),"")</f>
        <v/>
      </c>
      <c r="DV49" s="47" t="str">
        <f>IFERROR(VLOOKUP([2]Pointage!DZ43,Feuil1!$A:$B,2,FALSE),"")</f>
        <v/>
      </c>
      <c r="DW49" s="31" t="str">
        <f>IFERROR(VLOOKUP([2]Pointage!EA43,Feuil1!$A:$B,2,FALSE),"")</f>
        <v/>
      </c>
      <c r="DX49" s="31" t="str">
        <f>IFERROR(VLOOKUP([2]Pointage!EB43,Feuil1!$A:$B,2,FALSE),"")</f>
        <v/>
      </c>
      <c r="DY49" s="31" t="str">
        <f>IFERROR(VLOOKUP([2]Pointage!EC43,Feuil1!$A:$B,2,FALSE),"")</f>
        <v/>
      </c>
      <c r="DZ49" s="31" t="str">
        <f>IFERROR(VLOOKUP([2]Pointage!ED43,Feuil1!$A:$B,2,FALSE),"")</f>
        <v/>
      </c>
      <c r="EA49" s="31" t="str">
        <f>IFERROR(VLOOKUP([2]Pointage!EE43,Feuil1!$A:$B,2,FALSE),"")</f>
        <v/>
      </c>
      <c r="EB49" s="31" t="str">
        <f>IFERROR(VLOOKUP([2]Pointage!EF43,Feuil1!$A:$B,2,FALSE),"")</f>
        <v/>
      </c>
      <c r="EC49" s="31" t="str">
        <f>IFERROR(VLOOKUP([2]Pointage!EG43,Feuil1!$A:$B,2,FALSE),"")</f>
        <v/>
      </c>
      <c r="ED49" s="31" t="str">
        <f>IFERROR(VLOOKUP([2]Pointage!EH43,Feuil1!$A:$B,2,FALSE),"")</f>
        <v/>
      </c>
      <c r="EE49" s="31" t="str">
        <f>IFERROR(VLOOKUP([2]Pointage!EI43,Feuil1!$A:$B,2,FALSE),"")</f>
        <v/>
      </c>
      <c r="EF49" s="31" t="str">
        <f>IFERROR(VLOOKUP([2]Pointage!EJ43,Feuil1!$A:$B,2,FALSE),"")</f>
        <v/>
      </c>
      <c r="EG49" s="31" t="str">
        <f>IFERROR(VLOOKUP([2]Pointage!EK43,Feuil1!$A:$B,2,FALSE),"")</f>
        <v/>
      </c>
      <c r="EH49" s="31" t="str">
        <f>IFERROR(VLOOKUP([2]Pointage!EL43,Feuil1!$A:$B,2,FALSE),"")</f>
        <v/>
      </c>
      <c r="EI49" s="31" t="str">
        <f>IFERROR(VLOOKUP([2]Pointage!EM43,Feuil1!$A:$B,2,FALSE),"")</f>
        <v/>
      </c>
      <c r="EJ49" s="31" t="str">
        <f>IFERROR(VLOOKUP([2]Pointage!EN43,Feuil1!$A:$B,2,FALSE),"")</f>
        <v/>
      </c>
      <c r="EK49" s="31" t="str">
        <f>IFERROR(VLOOKUP([2]Pointage!EO43,Feuil1!$A:$B,2,FALSE),"")</f>
        <v/>
      </c>
      <c r="EL49" s="31" t="str">
        <f>IFERROR(VLOOKUP([2]Pointage!EP43,Feuil1!$A:$B,2,FALSE),"")</f>
        <v/>
      </c>
      <c r="EM49" s="31" t="str">
        <f>IFERROR(VLOOKUP([2]Pointage!EQ43,Feuil1!$A:$B,2,FALSE),"")</f>
        <v/>
      </c>
      <c r="EN49" s="31" t="str">
        <f>IFERROR(VLOOKUP([2]Pointage!ER43,Feuil1!$A:$B,2,FALSE),"")</f>
        <v/>
      </c>
      <c r="EO49" s="31" t="str">
        <f>IFERROR(VLOOKUP([2]Pointage!ES43,Feuil1!$A:$B,2,FALSE),"")</f>
        <v/>
      </c>
      <c r="EP49" s="31" t="str">
        <f>IFERROR(VLOOKUP([2]Pointage!ET43,Feuil1!$A:$B,2,FALSE),"")</f>
        <v/>
      </c>
      <c r="EQ49" s="31" t="str">
        <f>IFERROR(VLOOKUP([2]Pointage!EU43,Feuil1!$A:$B,2,FALSE),"")</f>
        <v/>
      </c>
      <c r="ER49" s="31" t="str">
        <f>IFERROR(VLOOKUP([2]Pointage!EV43,Feuil1!$A:$B,2,FALSE),"")</f>
        <v/>
      </c>
      <c r="ES49" s="31" t="str">
        <f>IFERROR(VLOOKUP([2]Pointage!EW43,Feuil1!$A:$B,2,FALSE),"")</f>
        <v/>
      </c>
      <c r="ET49" s="31" t="str">
        <f>IFERROR(VLOOKUP([2]Pointage!EX43,Feuil1!$A:$B,2,FALSE),"")</f>
        <v/>
      </c>
      <c r="EU49" s="31" t="str">
        <f>IFERROR(VLOOKUP([2]Pointage!EY43,Feuil1!$A:$B,2,FALSE),"")</f>
        <v/>
      </c>
      <c r="EV49" s="31" t="str">
        <f>IFERROR(VLOOKUP([2]Pointage!EZ43,Feuil1!$A:$B,2,FALSE),"")</f>
        <v/>
      </c>
      <c r="EW49" s="31" t="str">
        <f>IFERROR(VLOOKUP([2]Pointage!FA43,Feuil1!$A:$B,2,FALSE),"")</f>
        <v>RTT</v>
      </c>
      <c r="EX49" s="31" t="str">
        <f>IFERROR(VLOOKUP([2]Pointage!FB43,Feuil1!$A:$B,2,FALSE),"")</f>
        <v>RTT</v>
      </c>
      <c r="EY49" s="31" t="str">
        <f>IFERROR(VLOOKUP([2]Pointage!FC43,Feuil1!$A:$B,2,FALSE),"")</f>
        <v>RTT</v>
      </c>
      <c r="EZ49" s="82" t="str">
        <f>IFERROR(VLOOKUP([2]Pointage!FD43,Feuil1!$A:$B,2,FALSE),"")</f>
        <v>C</v>
      </c>
      <c r="FA49" s="47" t="str">
        <f>IFERROR(VLOOKUP([2]Pointage!FE43,Feuil1!$A:$B,2,FALSE),"")</f>
        <v>C</v>
      </c>
      <c r="FB49" s="31" t="str">
        <f>IFERROR(VLOOKUP([2]Pointage!FF43,Feuil1!$A:$B,2,FALSE),"")</f>
        <v/>
      </c>
      <c r="FC49" s="31" t="str">
        <f>IFERROR(VLOOKUP([2]Pointage!FG43,Feuil1!$A:$B,2,FALSE),"")</f>
        <v/>
      </c>
      <c r="FD49" s="31" t="str">
        <f>IFERROR(VLOOKUP([2]Pointage!FH43,Feuil1!$A:$B,2,FALSE),"")</f>
        <v>C</v>
      </c>
      <c r="FE49" s="31" t="str">
        <f>IFERROR(VLOOKUP([2]Pointage!FI43,Feuil1!$A:$B,2,FALSE),"")</f>
        <v>C</v>
      </c>
      <c r="FF49" s="31" t="str">
        <f>IFERROR(VLOOKUP([2]Pointage!FJ43,Feuil1!$A:$B,2,FALSE),"")</f>
        <v>C</v>
      </c>
      <c r="FG49" s="31" t="str">
        <f>IFERROR(VLOOKUP([2]Pointage!FK43,Feuil1!$A:$B,2,FALSE),"")</f>
        <v>C</v>
      </c>
      <c r="FH49" s="31" t="str">
        <f>IFERROR(VLOOKUP([2]Pointage!FL43,Feuil1!$A:$B,2,FALSE),"")</f>
        <v>C</v>
      </c>
      <c r="FI49" s="31" t="str">
        <f>IFERROR(VLOOKUP([2]Pointage!FM43,Feuil1!$A:$B,2,FALSE),"")</f>
        <v/>
      </c>
      <c r="FJ49" s="31" t="str">
        <f>IFERROR(VLOOKUP([2]Pointage!FN43,Feuil1!$A:$B,2,FALSE),"")</f>
        <v/>
      </c>
      <c r="FK49" s="31" t="str">
        <f>IFERROR(VLOOKUP([2]Pointage!FO43,Feuil1!$A:$B,2,FALSE),"")</f>
        <v>C</v>
      </c>
      <c r="FL49" s="31" t="str">
        <f>IFERROR(VLOOKUP([2]Pointage!FP43,Feuil1!$A:$B,2,FALSE),"")</f>
        <v>C</v>
      </c>
      <c r="FM49" s="31" t="str">
        <f>IFERROR(VLOOKUP([2]Pointage!FQ43,Feuil1!$A:$B,2,FALSE),"")</f>
        <v>C</v>
      </c>
      <c r="FN49" s="31" t="str">
        <f>IFERROR(VLOOKUP([2]Pointage!FR43,Feuil1!$A:$B,2,FALSE),"")</f>
        <v>C</v>
      </c>
      <c r="FO49" s="31" t="str">
        <f>IFERROR(VLOOKUP([2]Pointage!FS43,Feuil1!$A:$B,2,FALSE),"")</f>
        <v>C</v>
      </c>
      <c r="FP49" s="31" t="str">
        <f>IFERROR(VLOOKUP([2]Pointage!FT43,Feuil1!$A:$B,2,FALSE),"")</f>
        <v/>
      </c>
      <c r="FQ49" s="31" t="str">
        <f>IFERROR(VLOOKUP([2]Pointage!FU43,Feuil1!$A:$B,2,FALSE),"")</f>
        <v/>
      </c>
      <c r="FR49" s="31" t="str">
        <f>IFERROR(VLOOKUP([2]Pointage!FV43,Feuil1!$A:$B,2,FALSE),"")</f>
        <v/>
      </c>
      <c r="FS49" s="31" t="str">
        <f>IFERROR(VLOOKUP([2]Pointage!FW43,Feuil1!$A:$B,2,FALSE),"")</f>
        <v/>
      </c>
      <c r="FT49" s="31" t="str">
        <f>IFERROR(VLOOKUP([2]Pointage!FX43,Feuil1!$A:$B,2,FALSE),"")</f>
        <v/>
      </c>
      <c r="FU49" s="31" t="str">
        <f>IFERROR(VLOOKUP([2]Pointage!FY43,Feuil1!$A:$B,2,FALSE),"")</f>
        <v/>
      </c>
      <c r="FV49" s="31" t="str">
        <f>IFERROR(VLOOKUP([2]Pointage!FZ43,Feuil1!$A:$B,2,FALSE),"")</f>
        <v/>
      </c>
      <c r="FW49" s="31" t="str">
        <f>IFERROR(VLOOKUP([2]Pointage!GA43,Feuil1!$A:$B,2,FALSE),"")</f>
        <v/>
      </c>
      <c r="FX49" s="31" t="str">
        <f>IFERROR(VLOOKUP([2]Pointage!GB43,Feuil1!$A:$B,2,FALSE),"")</f>
        <v/>
      </c>
      <c r="FY49" s="31" t="str">
        <f>IFERROR(VLOOKUP([2]Pointage!GC43,Feuil1!$A:$B,2,FALSE),"")</f>
        <v/>
      </c>
      <c r="FZ49" s="31" t="str">
        <f>IFERROR(VLOOKUP([2]Pointage!GD43,Feuil1!$A:$B,2,FALSE),"")</f>
        <v/>
      </c>
      <c r="GA49" s="31" t="str">
        <f>IFERROR(VLOOKUP([2]Pointage!GE43,Feuil1!$A:$B,2,FALSE),"")</f>
        <v/>
      </c>
      <c r="GB49" s="31" t="str">
        <f>IFERROR(VLOOKUP([2]Pointage!GF43,Feuil1!$A:$B,2,FALSE),"")</f>
        <v/>
      </c>
      <c r="GC49" s="31" t="str">
        <f>IFERROR(VLOOKUP([2]Pointage!GG43,Feuil1!$A:$B,2,FALSE),"")</f>
        <v/>
      </c>
      <c r="GD49" s="82" t="str">
        <f>IFERROR(VLOOKUP([2]Pointage!GH43,Feuil1!$A:$B,2,FALSE),"")</f>
        <v/>
      </c>
      <c r="GE49" s="47" t="str">
        <f>IFERROR(VLOOKUP([2]Pointage!GI43,Feuil1!$A:$B,2,FALSE),"")</f>
        <v/>
      </c>
      <c r="GF49" s="31" t="str">
        <f>IFERROR(VLOOKUP([2]Pointage!GJ43,Feuil1!$A:$B,2,FALSE),"")</f>
        <v/>
      </c>
      <c r="GG49" s="31" t="str">
        <f>IFERROR(VLOOKUP([2]Pointage!GK43,Feuil1!$A:$B,2,FALSE),"")</f>
        <v/>
      </c>
      <c r="GH49" s="31" t="str">
        <f>IFERROR(VLOOKUP([2]Pointage!GL43,Feuil1!$A:$B,2,FALSE),"")</f>
        <v/>
      </c>
      <c r="GI49" s="31" t="str">
        <f>IFERROR(VLOOKUP([2]Pointage!GM43,Feuil1!$A:$B,2,FALSE),"")</f>
        <v/>
      </c>
      <c r="GJ49" s="31" t="str">
        <f>IFERROR(VLOOKUP([2]Pointage!GN43,Feuil1!$A:$B,2,FALSE),"")</f>
        <v/>
      </c>
      <c r="GK49" s="31" t="str">
        <f>IFERROR(VLOOKUP([2]Pointage!GO43,Feuil1!$A:$B,2,FALSE),"")</f>
        <v/>
      </c>
      <c r="GL49" s="31" t="str">
        <f>IFERROR(VLOOKUP([2]Pointage!GP43,Feuil1!$A:$B,2,FALSE),"")</f>
        <v/>
      </c>
      <c r="GM49" s="31" t="str">
        <f>IFERROR(VLOOKUP([2]Pointage!GQ43,Feuil1!$A:$B,2,FALSE),"")</f>
        <v/>
      </c>
      <c r="GN49" s="31" t="str">
        <f>IFERROR(VLOOKUP([2]Pointage!GR43,Feuil1!$A:$B,2,FALSE),"")</f>
        <v/>
      </c>
      <c r="GO49" s="31" t="str">
        <f>IFERROR(VLOOKUP([2]Pointage!GS43,Feuil1!$A:$B,2,FALSE),"")</f>
        <v/>
      </c>
      <c r="GP49" s="31" t="str">
        <f>IFERROR(VLOOKUP([2]Pointage!GT43,Feuil1!$A:$B,2,FALSE),"")</f>
        <v/>
      </c>
      <c r="GQ49" s="31" t="str">
        <f>IFERROR(VLOOKUP([2]Pointage!GU43,Feuil1!$A:$B,2,FALSE),"")</f>
        <v/>
      </c>
      <c r="GR49" s="31" t="str">
        <f>IFERROR(VLOOKUP([2]Pointage!GV43,Feuil1!$A:$B,2,FALSE),"")</f>
        <v/>
      </c>
      <c r="GS49" s="31" t="str">
        <f>IFERROR(VLOOKUP([2]Pointage!GW43,Feuil1!$A:$B,2,FALSE),"")</f>
        <v/>
      </c>
      <c r="GT49" s="31" t="str">
        <f>IFERROR(VLOOKUP([2]Pointage!GX43,Feuil1!$A:$B,2,FALSE),"")</f>
        <v/>
      </c>
      <c r="GU49" s="31" t="str">
        <f>IFERROR(VLOOKUP([2]Pointage!GY43,Feuil1!$A:$B,2,FALSE),"")</f>
        <v/>
      </c>
      <c r="GV49" s="31" t="str">
        <f>IFERROR(VLOOKUP([2]Pointage!GZ43,Feuil1!$A:$B,2,FALSE),"")</f>
        <v/>
      </c>
      <c r="GW49" s="31" t="str">
        <f>IFERROR(VLOOKUP([2]Pointage!HA43,Feuil1!$A:$B,2,FALSE),"")</f>
        <v/>
      </c>
      <c r="GX49" s="31" t="str">
        <f>IFERROR(VLOOKUP([2]Pointage!HB43,Feuil1!$A:$B,2,FALSE),"")</f>
        <v/>
      </c>
      <c r="GY49" s="31" t="str">
        <f>IFERROR(VLOOKUP([2]Pointage!HC43,Feuil1!$A:$B,2,FALSE),"")</f>
        <v/>
      </c>
      <c r="GZ49" s="31" t="str">
        <f>IFERROR(VLOOKUP([2]Pointage!HD43,Feuil1!$A:$B,2,FALSE),"")</f>
        <v/>
      </c>
      <c r="HA49" s="31" t="str">
        <f>IFERROR(VLOOKUP([2]Pointage!HE43,Feuil1!$A:$B,2,FALSE),"")</f>
        <v/>
      </c>
      <c r="HB49" s="31" t="str">
        <f>IFERROR(VLOOKUP([2]Pointage!HF43,Feuil1!$A:$B,2,FALSE),"")</f>
        <v/>
      </c>
      <c r="HC49" s="31" t="str">
        <f>IFERROR(VLOOKUP([2]Pointage!HG43,Feuil1!$A:$B,2,FALSE),"")</f>
        <v/>
      </c>
      <c r="HD49" s="31" t="str">
        <f>IFERROR(VLOOKUP([2]Pointage!HH43,Feuil1!$A:$B,2,FALSE),"")</f>
        <v/>
      </c>
      <c r="HE49" s="31" t="str">
        <f>IFERROR(VLOOKUP([2]Pointage!HI43,Feuil1!$A:$B,2,FALSE),"")</f>
        <v/>
      </c>
      <c r="HF49" s="31" t="str">
        <f>IFERROR(VLOOKUP([2]Pointage!HJ43,Feuil1!$A:$B,2,FALSE),"")</f>
        <v/>
      </c>
      <c r="HG49" s="31" t="str">
        <f>IFERROR(VLOOKUP([2]Pointage!HK43,Feuil1!$A:$B,2,FALSE),"")</f>
        <v/>
      </c>
      <c r="HH49" s="31" t="str">
        <f>IFERROR(VLOOKUP([2]Pointage!HL43,Feuil1!$A:$B,2,FALSE),"")</f>
        <v/>
      </c>
      <c r="HI49" s="82" t="str">
        <f>IFERROR(VLOOKUP([2]Pointage!HM43,Feuil1!$A:$B,2,FALSE),"")</f>
        <v/>
      </c>
      <c r="HJ49" s="47" t="str">
        <f>IFERROR(VLOOKUP([2]Pointage!HN43,Feuil1!$A:$B,2,FALSE),"")</f>
        <v/>
      </c>
      <c r="HK49" s="31" t="str">
        <f>IFERROR(VLOOKUP([2]Pointage!HO43,Feuil1!$A:$B,2,FALSE),"")</f>
        <v/>
      </c>
      <c r="HL49" s="31" t="str">
        <f>IFERROR(VLOOKUP([2]Pointage!HP43,Feuil1!$A:$B,2,FALSE),"")</f>
        <v/>
      </c>
      <c r="HM49" s="31" t="str">
        <f>IFERROR(VLOOKUP([2]Pointage!HQ43,Feuil1!$A:$B,2,FALSE),"")</f>
        <v/>
      </c>
      <c r="HN49" s="31" t="str">
        <f>IFERROR(VLOOKUP([2]Pointage!HR43,Feuil1!$A:$B,2,FALSE),"")</f>
        <v/>
      </c>
      <c r="HO49" s="31" t="str">
        <f>IFERROR(VLOOKUP([2]Pointage!HS43,Feuil1!$A:$B,2,FALSE),"")</f>
        <v/>
      </c>
      <c r="HP49" s="31" t="str">
        <f>IFERROR(VLOOKUP([2]Pointage!HT43,Feuil1!$A:$B,2,FALSE),"")</f>
        <v/>
      </c>
      <c r="HQ49" s="31" t="str">
        <f>IFERROR(VLOOKUP([2]Pointage!HU43,Feuil1!$A:$B,2,FALSE),"")</f>
        <v/>
      </c>
      <c r="HR49" s="31" t="str">
        <f>IFERROR(VLOOKUP([2]Pointage!HV43,Feuil1!$A:$B,2,FALSE),"")</f>
        <v/>
      </c>
      <c r="HS49" s="31" t="str">
        <f>IFERROR(VLOOKUP([2]Pointage!HW43,Feuil1!$A:$B,2,FALSE),"")</f>
        <v/>
      </c>
      <c r="HT49" s="31" t="str">
        <f>IFERROR(VLOOKUP([2]Pointage!HX43,Feuil1!$A:$B,2,FALSE),"")</f>
        <v/>
      </c>
      <c r="HU49" s="31" t="str">
        <f>IFERROR(VLOOKUP([2]Pointage!HY43,Feuil1!$A:$B,2,FALSE),"")</f>
        <v/>
      </c>
      <c r="HV49" s="31" t="str">
        <f>IFERROR(VLOOKUP([2]Pointage!HZ43,Feuil1!$A:$B,2,FALSE),"")</f>
        <v/>
      </c>
      <c r="HW49" s="31" t="str">
        <f>IFERROR(VLOOKUP([2]Pointage!IA43,Feuil1!$A:$B,2,FALSE),"")</f>
        <v/>
      </c>
      <c r="HX49" s="31" t="str">
        <f>IFERROR(VLOOKUP([2]Pointage!IB43,Feuil1!$A:$B,2,FALSE),"")</f>
        <v/>
      </c>
      <c r="HY49" s="31" t="str">
        <f>IFERROR(VLOOKUP([2]Pointage!IC43,Feuil1!$A:$B,2,FALSE),"")</f>
        <v/>
      </c>
      <c r="HZ49" s="31" t="str">
        <f>IFERROR(VLOOKUP([2]Pointage!ID43,Feuil1!$A:$B,2,FALSE),"")</f>
        <v/>
      </c>
      <c r="IA49" s="31" t="str">
        <f>IFERROR(VLOOKUP([2]Pointage!IE43,Feuil1!$A:$B,2,FALSE),"")</f>
        <v/>
      </c>
      <c r="IB49" s="31" t="str">
        <f>IFERROR(VLOOKUP([2]Pointage!IF43,Feuil1!$A:$B,2,FALSE),"")</f>
        <v/>
      </c>
      <c r="IC49" s="31" t="str">
        <f>IFERROR(VLOOKUP([2]Pointage!IG43,Feuil1!$A:$B,2,FALSE),"")</f>
        <v/>
      </c>
      <c r="ID49" s="31" t="str">
        <f>IFERROR(VLOOKUP([2]Pointage!IH43,Feuil1!$A:$B,2,FALSE),"")</f>
        <v/>
      </c>
      <c r="IE49" s="31" t="str">
        <f>IFERROR(VLOOKUP([2]Pointage!II43,Feuil1!$A:$B,2,FALSE),"")</f>
        <v/>
      </c>
      <c r="IF49" s="31" t="str">
        <f>IFERROR(VLOOKUP([2]Pointage!IJ43,Feuil1!$A:$B,2,FALSE),"")</f>
        <v/>
      </c>
      <c r="IG49" s="31" t="str">
        <f>IFERROR(VLOOKUP([2]Pointage!IK43,Feuil1!$A:$B,2,FALSE),"")</f>
        <v/>
      </c>
      <c r="IH49" s="31" t="str">
        <f>IFERROR(VLOOKUP([2]Pointage!IL43,Feuil1!$A:$B,2,FALSE),"")</f>
        <v/>
      </c>
      <c r="II49" s="31" t="str">
        <f>IFERROR(VLOOKUP([2]Pointage!IM43,Feuil1!$A:$B,2,FALSE),"")</f>
        <v/>
      </c>
      <c r="IJ49" s="31" t="str">
        <f>IFERROR(VLOOKUP([2]Pointage!IN43,Feuil1!$A:$B,2,FALSE),"")</f>
        <v/>
      </c>
      <c r="IK49" s="31" t="str">
        <f>IFERROR(VLOOKUP([2]Pointage!IO43,Feuil1!$A:$B,2,FALSE),"")</f>
        <v/>
      </c>
      <c r="IL49" s="31" t="str">
        <f>IFERROR(VLOOKUP([2]Pointage!IP43,Feuil1!$A:$B,2,FALSE),"")</f>
        <v/>
      </c>
      <c r="IM49" s="31" t="str">
        <f>IFERROR(VLOOKUP([2]Pointage!IQ43,Feuil1!$A:$B,2,FALSE),"")</f>
        <v/>
      </c>
      <c r="IN49" s="82" t="str">
        <f>IFERROR(VLOOKUP([2]Pointage!IR43,Feuil1!$A:$B,2,FALSE),"")</f>
        <v/>
      </c>
      <c r="IO49" s="47" t="str">
        <f>IFERROR(VLOOKUP([2]Pointage!IS43,Feuil1!$A:$B,2,FALSE),"")</f>
        <v/>
      </c>
      <c r="IP49" s="31" t="str">
        <f>IFERROR(VLOOKUP([2]Pointage!IT43,Feuil1!$A:$B,2,FALSE),"")</f>
        <v/>
      </c>
      <c r="IQ49" s="31" t="str">
        <f>IFERROR(VLOOKUP([2]Pointage!IU43,Feuil1!$A:$B,2,FALSE),"")</f>
        <v/>
      </c>
      <c r="IR49" s="31" t="str">
        <f>IFERROR(VLOOKUP([2]Pointage!IV43,Feuil1!$A:$B,2,FALSE),"")</f>
        <v/>
      </c>
      <c r="IS49" s="31" t="str">
        <f>IFERROR(VLOOKUP([2]Pointage!IW43,Feuil1!$A:$B,2,FALSE),"")</f>
        <v/>
      </c>
      <c r="IT49" s="31" t="str">
        <f>IFERROR(VLOOKUP([2]Pointage!IX43,Feuil1!$A:$B,2,FALSE),"")</f>
        <v/>
      </c>
      <c r="IU49" s="31" t="str">
        <f>IFERROR(VLOOKUP([2]Pointage!IY43,Feuil1!$A:$B,2,FALSE),"")</f>
        <v/>
      </c>
      <c r="IV49" s="31" t="str">
        <f>IFERROR(VLOOKUP([2]Pointage!IZ43,Feuil1!$A:$B,2,FALSE),"")</f>
        <v/>
      </c>
      <c r="IW49" s="31" t="str">
        <f>IFERROR(VLOOKUP([2]Pointage!JA43,Feuil1!$A:$B,2,FALSE),"")</f>
        <v/>
      </c>
      <c r="IX49" s="31" t="str">
        <f>IFERROR(VLOOKUP([2]Pointage!JB43,Feuil1!$A:$B,2,FALSE),"")</f>
        <v/>
      </c>
      <c r="IY49" s="31" t="str">
        <f>IFERROR(VLOOKUP([2]Pointage!JC43,Feuil1!$A:$B,2,FALSE),"")</f>
        <v/>
      </c>
      <c r="IZ49" s="31" t="str">
        <f>IFERROR(VLOOKUP([2]Pointage!JD43,Feuil1!$A:$B,2,FALSE),"")</f>
        <v/>
      </c>
      <c r="JA49" s="31" t="str">
        <f>IFERROR(VLOOKUP([2]Pointage!JE43,Feuil1!$A:$B,2,FALSE),"")</f>
        <v/>
      </c>
      <c r="JB49" s="31" t="str">
        <f>IFERROR(VLOOKUP([2]Pointage!JF43,Feuil1!$A:$B,2,FALSE),"")</f>
        <v/>
      </c>
      <c r="JC49" s="31" t="str">
        <f>IFERROR(VLOOKUP([2]Pointage!JG43,Feuil1!$A:$B,2,FALSE),"")</f>
        <v/>
      </c>
      <c r="JD49" s="31" t="str">
        <f>IFERROR(VLOOKUP([2]Pointage!JH43,Feuil1!$A:$B,2,FALSE),"")</f>
        <v/>
      </c>
      <c r="JE49" s="31" t="str">
        <f>IFERROR(VLOOKUP([2]Pointage!JI43,Feuil1!$A:$B,2,FALSE),"")</f>
        <v/>
      </c>
      <c r="JF49" s="31" t="str">
        <f>IFERROR(VLOOKUP([2]Pointage!JJ43,Feuil1!$A:$B,2,FALSE),"")</f>
        <v/>
      </c>
      <c r="JG49" s="31" t="str">
        <f>IFERROR(VLOOKUP([2]Pointage!JK43,Feuil1!$A:$B,2,FALSE),"")</f>
        <v/>
      </c>
      <c r="JH49" s="31" t="str">
        <f>IFERROR(VLOOKUP([2]Pointage!JL43,Feuil1!$A:$B,2,FALSE),"")</f>
        <v/>
      </c>
      <c r="JI49" s="31" t="str">
        <f>IFERROR(VLOOKUP([2]Pointage!JM43,Feuil1!$A:$B,2,FALSE),"")</f>
        <v/>
      </c>
      <c r="JJ49" s="31" t="str">
        <f>IFERROR(VLOOKUP([2]Pointage!JN43,Feuil1!$A:$B,2,FALSE),"")</f>
        <v/>
      </c>
      <c r="JK49" s="31" t="str">
        <f>IFERROR(VLOOKUP([2]Pointage!JO43,Feuil1!$A:$B,2,FALSE),"")</f>
        <v/>
      </c>
      <c r="JL49" s="31" t="str">
        <f>IFERROR(VLOOKUP([2]Pointage!JP43,Feuil1!$A:$B,2,FALSE),"")</f>
        <v/>
      </c>
      <c r="JM49" s="31" t="str">
        <f>IFERROR(VLOOKUP([2]Pointage!JQ43,Feuil1!$A:$B,2,FALSE),"")</f>
        <v/>
      </c>
      <c r="JN49" s="31" t="str">
        <f>IFERROR(VLOOKUP([2]Pointage!JR43,Feuil1!$A:$B,2,FALSE),"")</f>
        <v/>
      </c>
      <c r="JO49" s="31" t="str">
        <f>IFERROR(VLOOKUP([2]Pointage!JS43,Feuil1!$A:$B,2,FALSE),"")</f>
        <v/>
      </c>
      <c r="JP49" s="31" t="str">
        <f>IFERROR(VLOOKUP([2]Pointage!JT43,Feuil1!$A:$B,2,FALSE),"")</f>
        <v/>
      </c>
      <c r="JQ49" s="31" t="str">
        <f>IFERROR(VLOOKUP([2]Pointage!JU43,Feuil1!$A:$B,2,FALSE),"")</f>
        <v/>
      </c>
      <c r="JR49" s="82" t="str">
        <f>IFERROR(VLOOKUP([2]Pointage!JV43,Feuil1!$A:$B,2,FALSE),"")</f>
        <v/>
      </c>
      <c r="JS49" s="47" t="str">
        <f>IFERROR(VLOOKUP([2]Pointage!JW43,Feuil1!$A:$B,2,FALSE),"")</f>
        <v/>
      </c>
      <c r="JT49" s="31" t="str">
        <f>IFERROR(VLOOKUP([2]Pointage!JX43,Feuil1!$A:$B,2,FALSE),"")</f>
        <v/>
      </c>
      <c r="JU49" s="31" t="str">
        <f>IFERROR(VLOOKUP([2]Pointage!JY43,Feuil1!$A:$B,2,FALSE),"")</f>
        <v/>
      </c>
      <c r="JV49" s="31" t="str">
        <f>IFERROR(VLOOKUP([2]Pointage!JZ43,Feuil1!$A:$B,2,FALSE),"")</f>
        <v/>
      </c>
      <c r="JW49" s="31" t="str">
        <f>IFERROR(VLOOKUP([2]Pointage!KA43,Feuil1!$A:$B,2,FALSE),"")</f>
        <v/>
      </c>
      <c r="JX49" s="31" t="str">
        <f>IFERROR(VLOOKUP([2]Pointage!KB43,Feuil1!$A:$B,2,FALSE),"")</f>
        <v/>
      </c>
      <c r="JY49" s="31" t="str">
        <f>IFERROR(VLOOKUP([2]Pointage!KC43,Feuil1!$A:$B,2,FALSE),"")</f>
        <v/>
      </c>
      <c r="JZ49" s="31" t="str">
        <f>IFERROR(VLOOKUP([2]Pointage!KD43,Feuil1!$A:$B,2,FALSE),"")</f>
        <v/>
      </c>
      <c r="KA49" s="31" t="str">
        <f>IFERROR(VLOOKUP([2]Pointage!KE43,Feuil1!$A:$B,2,FALSE),"")</f>
        <v/>
      </c>
      <c r="KB49" s="31" t="str">
        <f>IFERROR(VLOOKUP([2]Pointage!KF43,Feuil1!$A:$B,2,FALSE),"")</f>
        <v/>
      </c>
      <c r="KC49" s="31" t="str">
        <f>IFERROR(VLOOKUP([2]Pointage!KG43,Feuil1!$A:$B,2,FALSE),"")</f>
        <v/>
      </c>
      <c r="KD49" s="31" t="str">
        <f>IFERROR(VLOOKUP([2]Pointage!KH43,Feuil1!$A:$B,2,FALSE),"")</f>
        <v/>
      </c>
      <c r="KE49" s="31" t="str">
        <f>IFERROR(VLOOKUP([2]Pointage!KI43,Feuil1!$A:$B,2,FALSE),"")</f>
        <v/>
      </c>
      <c r="KF49" s="31" t="str">
        <f>IFERROR(VLOOKUP([2]Pointage!KJ43,Feuil1!$A:$B,2,FALSE),"")</f>
        <v/>
      </c>
      <c r="KG49" s="31" t="str">
        <f>IFERROR(VLOOKUP([2]Pointage!KK43,Feuil1!$A:$B,2,FALSE),"")</f>
        <v/>
      </c>
      <c r="KH49" s="31" t="str">
        <f>IFERROR(VLOOKUP([2]Pointage!KL43,Feuil1!$A:$B,2,FALSE),"")</f>
        <v/>
      </c>
      <c r="KI49" s="31" t="str">
        <f>IFERROR(VLOOKUP([2]Pointage!KM43,Feuil1!$A:$B,2,FALSE),"")</f>
        <v/>
      </c>
      <c r="KJ49" s="31" t="str">
        <f>IFERROR(VLOOKUP([2]Pointage!KN43,Feuil1!$A:$B,2,FALSE),"")</f>
        <v/>
      </c>
      <c r="KK49" s="31" t="str">
        <f>IFERROR(VLOOKUP([2]Pointage!KO43,Feuil1!$A:$B,2,FALSE),"")</f>
        <v/>
      </c>
      <c r="KL49" s="31" t="str">
        <f>IFERROR(VLOOKUP([2]Pointage!KP43,Feuil1!$A:$B,2,FALSE),"")</f>
        <v/>
      </c>
      <c r="KM49" s="31" t="str">
        <f>IFERROR(VLOOKUP([2]Pointage!KQ43,Feuil1!$A:$B,2,FALSE),"")</f>
        <v/>
      </c>
      <c r="KN49" s="31" t="str">
        <f>IFERROR(VLOOKUP([2]Pointage!KR43,Feuil1!$A:$B,2,FALSE),"")</f>
        <v/>
      </c>
      <c r="KO49" s="31" t="str">
        <f>IFERROR(VLOOKUP([2]Pointage!KS43,Feuil1!$A:$B,2,FALSE),"")</f>
        <v/>
      </c>
      <c r="KP49" s="31" t="str">
        <f>IFERROR(VLOOKUP([2]Pointage!KT43,Feuil1!$A:$B,2,FALSE),"")</f>
        <v/>
      </c>
      <c r="KQ49" s="31" t="str">
        <f>IFERROR(VLOOKUP([2]Pointage!KU43,Feuil1!$A:$B,2,FALSE),"")</f>
        <v/>
      </c>
      <c r="KR49" s="31" t="str">
        <f>IFERROR(VLOOKUP([2]Pointage!KV43,Feuil1!$A:$B,2,FALSE),"")</f>
        <v/>
      </c>
      <c r="KS49" s="31" t="str">
        <f>IFERROR(VLOOKUP([2]Pointage!KW43,Feuil1!$A:$B,2,FALSE),"")</f>
        <v/>
      </c>
      <c r="KT49" s="31" t="str">
        <f>IFERROR(VLOOKUP([2]Pointage!KX43,Feuil1!$A:$B,2,FALSE),"")</f>
        <v/>
      </c>
      <c r="KU49" s="31" t="str">
        <f>IFERROR(VLOOKUP([2]Pointage!KY43,Feuil1!$A:$B,2,FALSE),"")</f>
        <v/>
      </c>
      <c r="KV49" s="31" t="str">
        <f>IFERROR(VLOOKUP([2]Pointage!KZ43,Feuil1!$A:$B,2,FALSE),"")</f>
        <v/>
      </c>
      <c r="KW49" s="82" t="str">
        <f>IFERROR(VLOOKUP([2]Pointage!LA43,Feuil1!$A:$B,2,FALSE),"")</f>
        <v/>
      </c>
      <c r="KX49" s="47" t="str">
        <f>IFERROR(VLOOKUP([2]Pointage!LB43,Feuil1!$A:$B,2,FALSE),"")</f>
        <v/>
      </c>
      <c r="KY49" s="31" t="str">
        <f>IFERROR(VLOOKUP([2]Pointage!LC43,Feuil1!$A:$B,2,FALSE),"")</f>
        <v/>
      </c>
      <c r="KZ49" s="31" t="str">
        <f>IFERROR(VLOOKUP([2]Pointage!LD43,Feuil1!$A:$B,2,FALSE),"")</f>
        <v/>
      </c>
      <c r="LA49" s="31" t="str">
        <f>IFERROR(VLOOKUP([2]Pointage!LE43,Feuil1!$A:$B,2,FALSE),"")</f>
        <v/>
      </c>
      <c r="LB49" s="31" t="str">
        <f>IFERROR(VLOOKUP([2]Pointage!LF43,Feuil1!$A:$B,2,FALSE),"")</f>
        <v/>
      </c>
      <c r="LC49" s="31" t="str">
        <f>IFERROR(VLOOKUP([2]Pointage!LG43,Feuil1!$A:$B,2,FALSE),"")</f>
        <v/>
      </c>
      <c r="LD49" s="31" t="str">
        <f>IFERROR(VLOOKUP([2]Pointage!LH43,Feuil1!$A:$B,2,FALSE),"")</f>
        <v/>
      </c>
      <c r="LE49" s="31" t="str">
        <f>IFERROR(VLOOKUP([2]Pointage!LI43,Feuil1!$A:$B,2,FALSE),"")</f>
        <v/>
      </c>
      <c r="LF49" s="31" t="str">
        <f>IFERROR(VLOOKUP([2]Pointage!LJ43,Feuil1!$A:$B,2,FALSE),"")</f>
        <v/>
      </c>
      <c r="LG49" s="31" t="str">
        <f>IFERROR(VLOOKUP([2]Pointage!LK43,Feuil1!$A:$B,2,FALSE),"")</f>
        <v/>
      </c>
      <c r="LH49" s="31" t="str">
        <f>IFERROR(VLOOKUP([2]Pointage!LL43,Feuil1!$A:$B,2,FALSE),"")</f>
        <v/>
      </c>
      <c r="LI49" s="31" t="str">
        <f>IFERROR(VLOOKUP([2]Pointage!LM43,Feuil1!$A:$B,2,FALSE),"")</f>
        <v/>
      </c>
      <c r="LJ49" s="31" t="str">
        <f>IFERROR(VLOOKUP([2]Pointage!LN43,Feuil1!$A:$B,2,FALSE),"")</f>
        <v/>
      </c>
      <c r="LK49" s="31" t="str">
        <f>IFERROR(VLOOKUP([2]Pointage!LO43,Feuil1!$A:$B,2,FALSE),"")</f>
        <v/>
      </c>
      <c r="LL49" s="31" t="str">
        <f>IFERROR(VLOOKUP([2]Pointage!LP43,Feuil1!$A:$B,2,FALSE),"")</f>
        <v/>
      </c>
      <c r="LM49" s="31" t="str">
        <f>IFERROR(VLOOKUP([2]Pointage!LQ43,Feuil1!$A:$B,2,FALSE),"")</f>
        <v/>
      </c>
      <c r="LN49" s="31" t="str">
        <f>IFERROR(VLOOKUP([2]Pointage!LR43,Feuil1!$A:$B,2,FALSE),"")</f>
        <v/>
      </c>
      <c r="LO49" s="31" t="str">
        <f>IFERROR(VLOOKUP([2]Pointage!LS43,Feuil1!$A:$B,2,FALSE),"")</f>
        <v/>
      </c>
      <c r="LP49" s="31" t="str">
        <f>IFERROR(VLOOKUP([2]Pointage!LT43,Feuil1!$A:$B,2,FALSE),"")</f>
        <v/>
      </c>
      <c r="LQ49" s="31" t="str">
        <f>IFERROR(VLOOKUP([2]Pointage!LU43,Feuil1!$A:$B,2,FALSE),"")</f>
        <v/>
      </c>
      <c r="LR49" s="31" t="str">
        <f>IFERROR(VLOOKUP([2]Pointage!LV43,Feuil1!$A:$B,2,FALSE),"")</f>
        <v/>
      </c>
      <c r="LS49" s="31" t="str">
        <f>IFERROR(VLOOKUP([2]Pointage!LW43,Feuil1!$A:$B,2,FALSE),"")</f>
        <v/>
      </c>
      <c r="LT49" s="31" t="str">
        <f>IFERROR(VLOOKUP([2]Pointage!LX43,Feuil1!$A:$B,2,FALSE),"")</f>
        <v/>
      </c>
      <c r="LU49" s="31" t="str">
        <f>IFERROR(VLOOKUP([2]Pointage!LY43,Feuil1!$A:$B,2,FALSE),"")</f>
        <v/>
      </c>
      <c r="LV49" s="31" t="str">
        <f>IFERROR(VLOOKUP([2]Pointage!LZ43,Feuil1!$A:$B,2,FALSE),"")</f>
        <v/>
      </c>
      <c r="LW49" s="31" t="str">
        <f>IFERROR(VLOOKUP([2]Pointage!MA43,Feuil1!$A:$B,2,FALSE),"")</f>
        <v/>
      </c>
      <c r="LX49" s="31" t="str">
        <f>IFERROR(VLOOKUP([2]Pointage!MB43,Feuil1!$A:$B,2,FALSE),"")</f>
        <v/>
      </c>
      <c r="LY49" s="31" t="str">
        <f>IFERROR(VLOOKUP([2]Pointage!MC43,Feuil1!$A:$B,2,FALSE),"")</f>
        <v/>
      </c>
      <c r="LZ49" s="31" t="str">
        <f>IFERROR(VLOOKUP([2]Pointage!MD43,Feuil1!$A:$B,2,FALSE),"")</f>
        <v/>
      </c>
      <c r="MA49" s="82" t="str">
        <f>IFERROR(VLOOKUP([2]Pointage!ME43,Feuil1!$A:$B,2,FALSE),"")</f>
        <v/>
      </c>
      <c r="MB49" s="47" t="str">
        <f>IFERROR(VLOOKUP([2]Pointage!MF43,Feuil1!$A:$B,2,FALSE),"")</f>
        <v/>
      </c>
      <c r="MC49" s="31" t="str">
        <f>IFERROR(VLOOKUP([2]Pointage!MG43,Feuil1!$A:$B,2,FALSE),"")</f>
        <v/>
      </c>
      <c r="MD49" s="31" t="str">
        <f>IFERROR(VLOOKUP([2]Pointage!MH43,Feuil1!$A:$B,2,FALSE),"")</f>
        <v/>
      </c>
      <c r="ME49" s="31" t="str">
        <f>IFERROR(VLOOKUP([2]Pointage!MI43,Feuil1!$A:$B,2,FALSE),"")</f>
        <v/>
      </c>
      <c r="MF49" s="31" t="str">
        <f>IFERROR(VLOOKUP([2]Pointage!MJ43,Feuil1!$A:$B,2,FALSE),"")</f>
        <v/>
      </c>
      <c r="MG49" s="31" t="str">
        <f>IFERROR(VLOOKUP([2]Pointage!MK43,Feuil1!$A:$B,2,FALSE),"")</f>
        <v/>
      </c>
      <c r="MH49" s="31" t="str">
        <f>IFERROR(VLOOKUP([2]Pointage!ML43,Feuil1!$A:$B,2,FALSE),"")</f>
        <v/>
      </c>
      <c r="MI49" s="31" t="str">
        <f>IFERROR(VLOOKUP([2]Pointage!MM43,Feuil1!$A:$B,2,FALSE),"")</f>
        <v/>
      </c>
      <c r="MJ49" s="31" t="str">
        <f>IFERROR(VLOOKUP([2]Pointage!MN43,Feuil1!$A:$B,2,FALSE),"")</f>
        <v/>
      </c>
      <c r="MK49" s="31" t="str">
        <f>IFERROR(VLOOKUP([2]Pointage!MO43,Feuil1!$A:$B,2,FALSE),"")</f>
        <v/>
      </c>
      <c r="ML49" s="31" t="str">
        <f>IFERROR(VLOOKUP([2]Pointage!MP43,Feuil1!$A:$B,2,FALSE),"")</f>
        <v/>
      </c>
      <c r="MM49" s="31" t="str">
        <f>IFERROR(VLOOKUP([2]Pointage!MQ43,Feuil1!$A:$B,2,FALSE),"")</f>
        <v/>
      </c>
      <c r="MN49" s="31" t="str">
        <f>IFERROR(VLOOKUP([2]Pointage!MR43,Feuil1!$A:$B,2,FALSE),"")</f>
        <v/>
      </c>
      <c r="MO49" s="31" t="str">
        <f>IFERROR(VLOOKUP([2]Pointage!MS43,Feuil1!$A:$B,2,FALSE),"")</f>
        <v/>
      </c>
      <c r="MP49" s="31" t="str">
        <f>IFERROR(VLOOKUP([2]Pointage!MT43,Feuil1!$A:$B,2,FALSE),"")</f>
        <v/>
      </c>
      <c r="MQ49" s="31" t="str">
        <f>IFERROR(VLOOKUP([2]Pointage!MU43,Feuil1!$A:$B,2,FALSE),"")</f>
        <v/>
      </c>
      <c r="MR49" s="31" t="str">
        <f>IFERROR(VLOOKUP([2]Pointage!MV43,Feuil1!$A:$B,2,FALSE),"")</f>
        <v/>
      </c>
      <c r="MS49" s="31" t="str">
        <f>IFERROR(VLOOKUP([2]Pointage!MW43,Feuil1!$A:$B,2,FALSE),"")</f>
        <v/>
      </c>
      <c r="MT49" s="31" t="str">
        <f>IFERROR(VLOOKUP([2]Pointage!MX43,Feuil1!$A:$B,2,FALSE),"")</f>
        <v/>
      </c>
      <c r="MU49" s="31" t="str">
        <f>IFERROR(VLOOKUP([2]Pointage!MY43,Feuil1!$A:$B,2,FALSE),"")</f>
        <v/>
      </c>
      <c r="MV49" s="31" t="str">
        <f>IFERROR(VLOOKUP([2]Pointage!MZ43,Feuil1!$A:$B,2,FALSE),"")</f>
        <v/>
      </c>
      <c r="MW49" s="31" t="str">
        <f>IFERROR(VLOOKUP([2]Pointage!NA43,Feuil1!$A:$B,2,FALSE),"")</f>
        <v/>
      </c>
      <c r="MX49" s="31" t="str">
        <f>IFERROR(VLOOKUP([2]Pointage!NB43,Feuil1!$A:$B,2,FALSE),"")</f>
        <v/>
      </c>
      <c r="MY49" s="31" t="str">
        <f>IFERROR(VLOOKUP([2]Pointage!NC43,Feuil1!$A:$B,2,FALSE),"")</f>
        <v/>
      </c>
      <c r="MZ49" s="31" t="str">
        <f>IFERROR(VLOOKUP([2]Pointage!ND43,Feuil1!$A:$B,2,FALSE),"")</f>
        <v/>
      </c>
      <c r="NA49" s="31" t="str">
        <f>IFERROR(VLOOKUP([2]Pointage!NE43,Feuil1!$A:$B,2,FALSE),"")</f>
        <v/>
      </c>
      <c r="NB49" s="31" t="str">
        <f>IFERROR(VLOOKUP([2]Pointage!NF43,Feuil1!$A:$B,2,FALSE),"")</f>
        <v/>
      </c>
      <c r="NC49" s="31" t="str">
        <f>IFERROR(VLOOKUP([2]Pointage!NG43,Feuil1!$A:$B,2,FALSE),"")</f>
        <v/>
      </c>
      <c r="ND49" s="31" t="str">
        <f>IFERROR(VLOOKUP([2]Pointage!NH43,Feuil1!$A:$B,2,FALSE),"")</f>
        <v/>
      </c>
      <c r="NE49" s="31" t="str">
        <f>IFERROR(VLOOKUP([2]Pointage!NI43,Feuil1!$A:$B,2,FALSE),"")</f>
        <v/>
      </c>
      <c r="NF49" s="48" t="str">
        <f>IFERROR(VLOOKUP([2]Pointage!NJ43,Feuil1!$A:$B,2,FALSE),"")</f>
        <v/>
      </c>
      <c r="NG49" s="52">
        <f>COUNTIF(Global!F49:NF49,"RTT")+(COUNTIF(Global!F49:NF49,"dRTT")/2)</f>
        <v>3</v>
      </c>
      <c r="NH49" s="42">
        <f>COUNTIF(Global!F49:NF49,"C")+(COUNTIF(Global!F49:NF49,"DC")/2)</f>
        <v>14</v>
      </c>
      <c r="NI49" s="42">
        <f>COUNTIF(Global!F49:NF49,"M")</f>
        <v>0</v>
      </c>
      <c r="NJ49" s="42">
        <f>COUNTIF(Global!G49:NG49,"AT")</f>
        <v>0</v>
      </c>
      <c r="NK49" s="42">
        <f>COUNTIF(Global!F49:NF49,"RD")</f>
        <v>0</v>
      </c>
      <c r="NL49" s="42">
        <f>COUNTIF(Global!F49:NF49,"RC")+(COUNTIF(Global!F49:NF49,"dRC")/2)</f>
        <v>0</v>
      </c>
      <c r="NM49" s="68">
        <f t="shared" ca="1" si="0"/>
        <v>4.0273972602739727</v>
      </c>
      <c r="NT49" s="33"/>
      <c r="NU49" s="33"/>
      <c r="NV49" s="28"/>
      <c r="NW49" s="28"/>
      <c r="NX49" s="29">
        <f>COUNTIF(F49:NF49,"C")++(COUNTIF(Global!F49:NF49,"DC")/2)</f>
        <v>14</v>
      </c>
      <c r="NY49" s="29"/>
      <c r="NZ49" s="29"/>
      <c r="OA49" s="29"/>
      <c r="OB49" s="29">
        <f>COUNTIF(Global!F49:NF49,"M")</f>
        <v>0</v>
      </c>
      <c r="OC49" s="30">
        <f t="shared" si="1"/>
        <v>-14</v>
      </c>
      <c r="OD49" s="30"/>
    </row>
    <row r="50" spans="1:394" ht="30" customHeight="1" x14ac:dyDescent="0.2">
      <c r="A50" s="17" t="s">
        <v>106</v>
      </c>
      <c r="B50" s="17" t="s">
        <v>251</v>
      </c>
      <c r="C50" s="17" t="s">
        <v>252</v>
      </c>
      <c r="D50" s="17" t="s">
        <v>253</v>
      </c>
      <c r="E50" s="23">
        <v>0</v>
      </c>
      <c r="F50" s="47" t="str">
        <f>IFERROR(VLOOKUP([2]Pointage!J44,Feuil1!$A:$B,2,FALSE),"")</f>
        <v/>
      </c>
      <c r="G50" s="31" t="str">
        <f>IFERROR(VLOOKUP([2]Pointage!K44,Feuil1!$A:$B,2,FALSE),"")</f>
        <v/>
      </c>
      <c r="H50" s="31" t="str">
        <f>IFERROR(VLOOKUP([2]Pointage!L44,Feuil1!$A:$B,2,FALSE),"")</f>
        <v/>
      </c>
      <c r="I50" s="31" t="str">
        <f>IFERROR(VLOOKUP([2]Pointage!M44,Feuil1!$A:$B,2,FALSE),"")</f>
        <v/>
      </c>
      <c r="J50" s="31" t="str">
        <f>IFERROR(VLOOKUP([2]Pointage!N44,Feuil1!$A:$B,2,FALSE),"")</f>
        <v/>
      </c>
      <c r="K50" s="31" t="str">
        <f>IFERROR(VLOOKUP([2]Pointage!O44,Feuil1!$A:$B,2,FALSE),"")</f>
        <v/>
      </c>
      <c r="L50" s="31" t="str">
        <f>IFERROR(VLOOKUP([2]Pointage!P44,Feuil1!$A:$B,2,FALSE),"")</f>
        <v/>
      </c>
      <c r="M50" s="31" t="str">
        <f>IFERROR(VLOOKUP([2]Pointage!Q44,Feuil1!$A:$B,2,FALSE),"")</f>
        <v/>
      </c>
      <c r="N50" s="31" t="str">
        <f>IFERROR(VLOOKUP([2]Pointage!R44,Feuil1!$A:$B,2,FALSE),"")</f>
        <v/>
      </c>
      <c r="O50" s="31" t="str">
        <f>IFERROR(VLOOKUP([2]Pointage!S44,Feuil1!$A:$B,2,FALSE),"")</f>
        <v/>
      </c>
      <c r="P50" s="31" t="str">
        <f>IFERROR(VLOOKUP([2]Pointage!T44,Feuil1!$A:$B,2,FALSE),"")</f>
        <v/>
      </c>
      <c r="Q50" s="31" t="str">
        <f>IFERROR(VLOOKUP([2]Pointage!U44,Feuil1!$A:$B,2,FALSE),"")</f>
        <v/>
      </c>
      <c r="R50" s="31" t="str">
        <f>IFERROR(VLOOKUP([2]Pointage!V44,Feuil1!$A:$B,2,FALSE),"")</f>
        <v/>
      </c>
      <c r="S50" s="31" t="str">
        <f>IFERROR(VLOOKUP([2]Pointage!W44,Feuil1!$A:$B,2,FALSE),"")</f>
        <v/>
      </c>
      <c r="T50" s="31" t="str">
        <f>IFERROR(VLOOKUP([2]Pointage!X44,Feuil1!$A:$B,2,FALSE),"")</f>
        <v/>
      </c>
      <c r="U50" s="31" t="str">
        <f>IFERROR(VLOOKUP([2]Pointage!Y44,Feuil1!$A:$B,2,FALSE),"")</f>
        <v/>
      </c>
      <c r="V50" s="31" t="str">
        <f>IFERROR(VLOOKUP([2]Pointage!Z44,Feuil1!$A:$B,2,FALSE),"")</f>
        <v/>
      </c>
      <c r="W50" s="31" t="str">
        <f>IFERROR(VLOOKUP([2]Pointage!AA44,Feuil1!$A:$B,2,FALSE),"")</f>
        <v/>
      </c>
      <c r="X50" s="31" t="str">
        <f>IFERROR(VLOOKUP([2]Pointage!AB44,Feuil1!$A:$B,2,FALSE),"")</f>
        <v/>
      </c>
      <c r="Y50" s="31" t="str">
        <f>IFERROR(VLOOKUP([2]Pointage!AC44,Feuil1!$A:$B,2,FALSE),"")</f>
        <v/>
      </c>
      <c r="Z50" s="31" t="str">
        <f>IFERROR(VLOOKUP([2]Pointage!AD44,Feuil1!$A:$B,2,FALSE),"")</f>
        <v/>
      </c>
      <c r="AA50" s="31" t="str">
        <f>IFERROR(VLOOKUP([2]Pointage!AE44,Feuil1!$A:$B,2,FALSE),"")</f>
        <v/>
      </c>
      <c r="AB50" s="31" t="str">
        <f>IFERROR(VLOOKUP([2]Pointage!AF44,Feuil1!$A:$B,2,FALSE),"")</f>
        <v/>
      </c>
      <c r="AC50" s="31" t="str">
        <f>IFERROR(VLOOKUP([2]Pointage!AG44,Feuil1!$A:$B,2,FALSE),"")</f>
        <v/>
      </c>
      <c r="AD50" s="31" t="str">
        <f>IFERROR(VLOOKUP([2]Pointage!AH44,Feuil1!$A:$B,2,FALSE),"")</f>
        <v/>
      </c>
      <c r="AE50" s="31" t="str">
        <f>IFERROR(VLOOKUP([2]Pointage!AI44,Feuil1!$A:$B,2,FALSE),"")</f>
        <v/>
      </c>
      <c r="AF50" s="31" t="str">
        <f>IFERROR(VLOOKUP([2]Pointage!AJ44,Feuil1!$A:$B,2,FALSE),"")</f>
        <v/>
      </c>
      <c r="AG50" s="31" t="str">
        <f>IFERROR(VLOOKUP([2]Pointage!AK44,Feuil1!$A:$B,2,FALSE),"")</f>
        <v/>
      </c>
      <c r="AH50" s="31" t="str">
        <f>IFERROR(VLOOKUP([2]Pointage!AL44,Feuil1!$A:$B,2,FALSE),"")</f>
        <v/>
      </c>
      <c r="AI50" s="31" t="str">
        <f>IFERROR(VLOOKUP([2]Pointage!AM44,Feuil1!$A:$B,2,FALSE),"")</f>
        <v/>
      </c>
      <c r="AJ50" s="82" t="str">
        <f>IFERROR(VLOOKUP([2]Pointage!AN44,Feuil1!$A:$B,2,FALSE),"")</f>
        <v/>
      </c>
      <c r="AK50" s="47" t="str">
        <f>IFERROR(VLOOKUP([2]Pointage!AO44,Feuil1!$A:$B,2,FALSE),"")</f>
        <v/>
      </c>
      <c r="AL50" s="31" t="str">
        <f>IFERROR(VLOOKUP([2]Pointage!AP44,Feuil1!$A:$B,2,FALSE),"")</f>
        <v/>
      </c>
      <c r="AM50" s="31" t="str">
        <f>IFERROR(VLOOKUP([2]Pointage!AQ44,Feuil1!$A:$B,2,FALSE),"")</f>
        <v/>
      </c>
      <c r="AN50" s="31" t="str">
        <f>IFERROR(VLOOKUP([2]Pointage!AR44,Feuil1!$A:$B,2,FALSE),"")</f>
        <v/>
      </c>
      <c r="AO50" s="31" t="str">
        <f>IFERROR(VLOOKUP([2]Pointage!AS44,Feuil1!$A:$B,2,FALSE),"")</f>
        <v/>
      </c>
      <c r="AP50" s="31" t="str">
        <f>IFERROR(VLOOKUP([2]Pointage!AT44,Feuil1!$A:$B,2,FALSE),"")</f>
        <v/>
      </c>
      <c r="AQ50" s="31" t="str">
        <f>IFERROR(VLOOKUP([2]Pointage!AU44,Feuil1!$A:$B,2,FALSE),"")</f>
        <v/>
      </c>
      <c r="AR50" s="31" t="str">
        <f>IFERROR(VLOOKUP([2]Pointage!AV44,Feuil1!$A:$B,2,FALSE),"")</f>
        <v/>
      </c>
      <c r="AS50" s="31" t="str">
        <f>IFERROR(VLOOKUP([2]Pointage!AW44,Feuil1!$A:$B,2,FALSE),"")</f>
        <v/>
      </c>
      <c r="AT50" s="31" t="str">
        <f>IFERROR(VLOOKUP([2]Pointage!AX44,Feuil1!$A:$B,2,FALSE),"")</f>
        <v/>
      </c>
      <c r="AU50" s="31" t="str">
        <f>IFERROR(VLOOKUP([2]Pointage!AY44,Feuil1!$A:$B,2,FALSE),"")</f>
        <v/>
      </c>
      <c r="AV50" s="31" t="str">
        <f>IFERROR(VLOOKUP([2]Pointage!AZ44,Feuil1!$A:$B,2,FALSE),"")</f>
        <v/>
      </c>
      <c r="AW50" s="31" t="str">
        <f>IFERROR(VLOOKUP([2]Pointage!BA44,Feuil1!$A:$B,2,FALSE),"")</f>
        <v/>
      </c>
      <c r="AX50" s="31" t="str">
        <f>IFERROR(VLOOKUP([2]Pointage!BB44,Feuil1!$A:$B,2,FALSE),"")</f>
        <v/>
      </c>
      <c r="AY50" s="31" t="str">
        <f>IFERROR(VLOOKUP([2]Pointage!BC44,Feuil1!$A:$B,2,FALSE),"")</f>
        <v>C</v>
      </c>
      <c r="AZ50" s="31" t="str">
        <f>IFERROR(VLOOKUP([2]Pointage!BD44,Feuil1!$A:$B,2,FALSE),"")</f>
        <v/>
      </c>
      <c r="BA50" s="31" t="str">
        <f>IFERROR(VLOOKUP([2]Pointage!BE44,Feuil1!$A:$B,2,FALSE),"")</f>
        <v/>
      </c>
      <c r="BB50" s="31" t="str">
        <f>IFERROR(VLOOKUP([2]Pointage!BF44,Feuil1!$A:$B,2,FALSE),"")</f>
        <v/>
      </c>
      <c r="BC50" s="31" t="str">
        <f>IFERROR(VLOOKUP([2]Pointage!BG44,Feuil1!$A:$B,2,FALSE),"")</f>
        <v/>
      </c>
      <c r="BD50" s="31" t="str">
        <f>IFERROR(VLOOKUP([2]Pointage!BH44,Feuil1!$A:$B,2,FALSE),"")</f>
        <v/>
      </c>
      <c r="BE50" s="31" t="str">
        <f>IFERROR(VLOOKUP([2]Pointage!BI44,Feuil1!$A:$B,2,FALSE),"")</f>
        <v/>
      </c>
      <c r="BF50" s="31" t="str">
        <f>IFERROR(VLOOKUP([2]Pointage!BJ44,Feuil1!$A:$B,2,FALSE),"")</f>
        <v/>
      </c>
      <c r="BG50" s="31" t="str">
        <f>IFERROR(VLOOKUP([2]Pointage!BK44,Feuil1!$A:$B,2,FALSE),"")</f>
        <v/>
      </c>
      <c r="BH50" s="31" t="str">
        <f>IFERROR(VLOOKUP([2]Pointage!BL44,Feuil1!$A:$B,2,FALSE),"")</f>
        <v/>
      </c>
      <c r="BI50" s="31" t="str">
        <f>IFERROR(VLOOKUP([2]Pointage!BM44,Feuil1!$A:$B,2,FALSE),"")</f>
        <v/>
      </c>
      <c r="BJ50" s="31" t="str">
        <f>IFERROR(VLOOKUP([2]Pointage!BN44,Feuil1!$A:$B,2,FALSE),"")</f>
        <v/>
      </c>
      <c r="BK50" s="31" t="str">
        <f>IFERROR(VLOOKUP([2]Pointage!BO44,Feuil1!$A:$B,2,FALSE),"")</f>
        <v/>
      </c>
      <c r="BL50" s="82" t="str">
        <f>IFERROR(VLOOKUP([2]Pointage!BP44,Feuil1!$A:$B,2,FALSE),"")</f>
        <v/>
      </c>
      <c r="BM50" s="47" t="str">
        <f>IFERROR(VLOOKUP([2]Pointage!BQ44,Feuil1!$A:$B,2,FALSE),"")</f>
        <v/>
      </c>
      <c r="BN50" s="31" t="str">
        <f>IFERROR(VLOOKUP([2]Pointage!BR44,Feuil1!$A:$B,2,FALSE),"")</f>
        <v/>
      </c>
      <c r="BO50" s="31" t="str">
        <f>IFERROR(VLOOKUP([2]Pointage!BS44,Feuil1!$A:$B,2,FALSE),"")</f>
        <v/>
      </c>
      <c r="BP50" s="31" t="str">
        <f>IFERROR(VLOOKUP([2]Pointage!BT44,Feuil1!$A:$B,2,FALSE),"")</f>
        <v/>
      </c>
      <c r="BQ50" s="31" t="str">
        <f>IFERROR(VLOOKUP([2]Pointage!BU44,Feuil1!$A:$B,2,FALSE),"")</f>
        <v/>
      </c>
      <c r="BR50" s="31" t="str">
        <f>IFERROR(VLOOKUP([2]Pointage!BV44,Feuil1!$A:$B,2,FALSE),"")</f>
        <v/>
      </c>
      <c r="BS50" s="31" t="str">
        <f>IFERROR(VLOOKUP([2]Pointage!BW44,Feuil1!$A:$B,2,FALSE),"")</f>
        <v/>
      </c>
      <c r="BT50" s="31" t="str">
        <f>IFERROR(VLOOKUP([2]Pointage!BX44,Feuil1!$A:$B,2,FALSE),"")</f>
        <v/>
      </c>
      <c r="BU50" s="31" t="str">
        <f>IFERROR(VLOOKUP([2]Pointage!BY44,Feuil1!$A:$B,2,FALSE),"")</f>
        <v/>
      </c>
      <c r="BV50" s="31" t="str">
        <f>IFERROR(VLOOKUP([2]Pointage!BZ44,Feuil1!$A:$B,2,FALSE),"")</f>
        <v/>
      </c>
      <c r="BW50" s="31" t="str">
        <f>IFERROR(VLOOKUP([2]Pointage!CA44,Feuil1!$A:$B,2,FALSE),"")</f>
        <v/>
      </c>
      <c r="BX50" s="31" t="str">
        <f>IFERROR(VLOOKUP([2]Pointage!CB44,Feuil1!$A:$B,2,FALSE),"")</f>
        <v/>
      </c>
      <c r="BY50" s="31" t="str">
        <f>IFERROR(VLOOKUP([2]Pointage!CC44,Feuil1!$A:$B,2,FALSE),"")</f>
        <v/>
      </c>
      <c r="BZ50" s="31" t="str">
        <f>IFERROR(VLOOKUP([2]Pointage!CD44,Feuil1!$A:$B,2,FALSE),"")</f>
        <v/>
      </c>
      <c r="CA50" s="31" t="str">
        <f>IFERROR(VLOOKUP([2]Pointage!CE44,Feuil1!$A:$B,2,FALSE),"")</f>
        <v/>
      </c>
      <c r="CB50" s="31" t="str">
        <f>IFERROR(VLOOKUP([2]Pointage!CF44,Feuil1!$A:$B,2,FALSE),"")</f>
        <v/>
      </c>
      <c r="CC50" s="31" t="str">
        <f>IFERROR(VLOOKUP([2]Pointage!CG44,Feuil1!$A:$B,2,FALSE),"")</f>
        <v/>
      </c>
      <c r="CD50" s="31" t="str">
        <f>IFERROR(VLOOKUP([2]Pointage!CH44,Feuil1!$A:$B,2,FALSE),"")</f>
        <v/>
      </c>
      <c r="CE50" s="31" t="str">
        <f>IFERROR(VLOOKUP([2]Pointage!CI44,Feuil1!$A:$B,2,FALSE),"")</f>
        <v/>
      </c>
      <c r="CF50" s="31" t="str">
        <f>IFERROR(VLOOKUP([2]Pointage!CJ44,Feuil1!$A:$B,2,FALSE),"")</f>
        <v/>
      </c>
      <c r="CG50" s="31" t="str">
        <f>IFERROR(VLOOKUP([2]Pointage!CK44,Feuil1!$A:$B,2,FALSE),"")</f>
        <v/>
      </c>
      <c r="CH50" s="31" t="str">
        <f>IFERROR(VLOOKUP([2]Pointage!CL44,Feuil1!$A:$B,2,FALSE),"")</f>
        <v/>
      </c>
      <c r="CI50" s="31" t="str">
        <f>IFERROR(VLOOKUP([2]Pointage!CM44,Feuil1!$A:$B,2,FALSE),"")</f>
        <v/>
      </c>
      <c r="CJ50" s="31" t="str">
        <f>IFERROR(VLOOKUP([2]Pointage!CN44,Feuil1!$A:$B,2,FALSE),"")</f>
        <v/>
      </c>
      <c r="CK50" s="31" t="str">
        <f>IFERROR(VLOOKUP([2]Pointage!CO44,Feuil1!$A:$B,2,FALSE),"")</f>
        <v/>
      </c>
      <c r="CL50" s="31" t="str">
        <f>IFERROR(VLOOKUP([2]Pointage!CP44,Feuil1!$A:$B,2,FALSE),"")</f>
        <v/>
      </c>
      <c r="CM50" s="31" t="str">
        <f>IFERROR(VLOOKUP([2]Pointage!CQ44,Feuil1!$A:$B,2,FALSE),"")</f>
        <v/>
      </c>
      <c r="CN50" s="31" t="str">
        <f>IFERROR(VLOOKUP([2]Pointage!CR44,Feuil1!$A:$B,2,FALSE),"")</f>
        <v/>
      </c>
      <c r="CO50" s="31" t="str">
        <f>IFERROR(VLOOKUP([2]Pointage!CS44,Feuil1!$A:$B,2,FALSE),"")</f>
        <v>C</v>
      </c>
      <c r="CP50" s="31" t="str">
        <f>IFERROR(VLOOKUP([2]Pointage!CT44,Feuil1!$A:$B,2,FALSE),"")</f>
        <v/>
      </c>
      <c r="CQ50" s="82" t="str">
        <f>IFERROR(VLOOKUP([2]Pointage!CU44,Feuil1!$A:$B,2,FALSE),"")</f>
        <v/>
      </c>
      <c r="CR50" s="47" t="str">
        <f>IFERROR(VLOOKUP([2]Pointage!CV44,Feuil1!$A:$B,2,FALSE),"")</f>
        <v/>
      </c>
      <c r="CS50" s="31" t="str">
        <f>IFERROR(VLOOKUP([2]Pointage!CW44,Feuil1!$A:$B,2,FALSE),"")</f>
        <v/>
      </c>
      <c r="CT50" s="31" t="str">
        <f>IFERROR(VLOOKUP([2]Pointage!CX44,Feuil1!$A:$B,2,FALSE),"")</f>
        <v/>
      </c>
      <c r="CU50" s="31" t="str">
        <f>IFERROR(VLOOKUP([2]Pointage!CY44,Feuil1!$A:$B,2,FALSE),"")</f>
        <v/>
      </c>
      <c r="CV50" s="31" t="str">
        <f>IFERROR(VLOOKUP([2]Pointage!CZ44,Feuil1!$A:$B,2,FALSE),"")</f>
        <v/>
      </c>
      <c r="CW50" s="31" t="str">
        <f>IFERROR(VLOOKUP([2]Pointage!DA44,Feuil1!$A:$B,2,FALSE),"")</f>
        <v/>
      </c>
      <c r="CX50" s="31" t="str">
        <f>IFERROR(VLOOKUP([2]Pointage!DB44,Feuil1!$A:$B,2,FALSE),"")</f>
        <v/>
      </c>
      <c r="CY50" s="31" t="str">
        <f>IFERROR(VLOOKUP([2]Pointage!DC44,Feuil1!$A:$B,2,FALSE),"")</f>
        <v/>
      </c>
      <c r="CZ50" s="31" t="str">
        <f>IFERROR(VLOOKUP([2]Pointage!DD44,Feuil1!$A:$B,2,FALSE),"")</f>
        <v>C</v>
      </c>
      <c r="DA50" s="31" t="str">
        <f>IFERROR(VLOOKUP([2]Pointage!DE44,Feuil1!$A:$B,2,FALSE),"")</f>
        <v>C</v>
      </c>
      <c r="DB50" s="31" t="str">
        <f>IFERROR(VLOOKUP([2]Pointage!DF44,Feuil1!$A:$B,2,FALSE),"")</f>
        <v>C</v>
      </c>
      <c r="DC50" s="31" t="str">
        <f>IFERROR(VLOOKUP([2]Pointage!DG44,Feuil1!$A:$B,2,FALSE),"")</f>
        <v>C</v>
      </c>
      <c r="DD50" s="31" t="str">
        <f>IFERROR(VLOOKUP([2]Pointage!DH44,Feuil1!$A:$B,2,FALSE),"")</f>
        <v>C</v>
      </c>
      <c r="DE50" s="31" t="str">
        <f>IFERROR(VLOOKUP([2]Pointage!DI44,Feuil1!$A:$B,2,FALSE),"")</f>
        <v/>
      </c>
      <c r="DF50" s="31" t="str">
        <f>IFERROR(VLOOKUP([2]Pointage!DJ44,Feuil1!$A:$B,2,FALSE),"")</f>
        <v/>
      </c>
      <c r="DG50" s="31" t="str">
        <f>IFERROR(VLOOKUP([2]Pointage!DK44,Feuil1!$A:$B,2,FALSE),"")</f>
        <v>C</v>
      </c>
      <c r="DH50" s="31" t="str">
        <f>IFERROR(VLOOKUP([2]Pointage!DL44,Feuil1!$A:$B,2,FALSE),"")</f>
        <v>C</v>
      </c>
      <c r="DI50" s="31" t="str">
        <f>IFERROR(VLOOKUP([2]Pointage!DM44,Feuil1!$A:$B,2,FALSE),"")</f>
        <v>C</v>
      </c>
      <c r="DJ50" s="31" t="str">
        <f>IFERROR(VLOOKUP([2]Pointage!DN44,Feuil1!$A:$B,2,FALSE),"")</f>
        <v>C</v>
      </c>
      <c r="DK50" s="31" t="str">
        <f>IFERROR(VLOOKUP([2]Pointage!DO44,Feuil1!$A:$B,2,FALSE),"")</f>
        <v>C</v>
      </c>
      <c r="DL50" s="31" t="str">
        <f>IFERROR(VLOOKUP([2]Pointage!DP44,Feuil1!$A:$B,2,FALSE),"")</f>
        <v/>
      </c>
      <c r="DM50" s="31" t="str">
        <f>IFERROR(VLOOKUP([2]Pointage!DQ44,Feuil1!$A:$B,2,FALSE),"")</f>
        <v/>
      </c>
      <c r="DN50" s="31" t="str">
        <f>IFERROR(VLOOKUP([2]Pointage!DR44,Feuil1!$A:$B,2,FALSE),"")</f>
        <v/>
      </c>
      <c r="DO50" s="31" t="str">
        <f>IFERROR(VLOOKUP([2]Pointage!DS44,Feuil1!$A:$B,2,FALSE),"")</f>
        <v/>
      </c>
      <c r="DP50" s="31" t="str">
        <f>IFERROR(VLOOKUP([2]Pointage!DT44,Feuil1!$A:$B,2,FALSE),"")</f>
        <v/>
      </c>
      <c r="DQ50" s="31" t="str">
        <f>IFERROR(VLOOKUP([2]Pointage!DU44,Feuil1!$A:$B,2,FALSE),"")</f>
        <v/>
      </c>
      <c r="DR50" s="31" t="str">
        <f>IFERROR(VLOOKUP([2]Pointage!DV44,Feuil1!$A:$B,2,FALSE),"")</f>
        <v/>
      </c>
      <c r="DS50" s="31" t="str">
        <f>IFERROR(VLOOKUP([2]Pointage!DW44,Feuil1!$A:$B,2,FALSE),"")</f>
        <v/>
      </c>
      <c r="DT50" s="31" t="str">
        <f>IFERROR(VLOOKUP([2]Pointage!DX44,Feuil1!$A:$B,2,FALSE),"")</f>
        <v/>
      </c>
      <c r="DU50" s="82" t="str">
        <f>IFERROR(VLOOKUP([2]Pointage!DY44,Feuil1!$A:$B,2,FALSE),"")</f>
        <v/>
      </c>
      <c r="DV50" s="47" t="str">
        <f>IFERROR(VLOOKUP([2]Pointage!DZ44,Feuil1!$A:$B,2,FALSE),"")</f>
        <v/>
      </c>
      <c r="DW50" s="31" t="str">
        <f>IFERROR(VLOOKUP([2]Pointage!EA44,Feuil1!$A:$B,2,FALSE),"")</f>
        <v/>
      </c>
      <c r="DX50" s="31" t="str">
        <f>IFERROR(VLOOKUP([2]Pointage!EB44,Feuil1!$A:$B,2,FALSE),"")</f>
        <v/>
      </c>
      <c r="DY50" s="31" t="str">
        <f>IFERROR(VLOOKUP([2]Pointage!EC44,Feuil1!$A:$B,2,FALSE),"")</f>
        <v/>
      </c>
      <c r="DZ50" s="31" t="str">
        <f>IFERROR(VLOOKUP([2]Pointage!ED44,Feuil1!$A:$B,2,FALSE),"")</f>
        <v/>
      </c>
      <c r="EA50" s="31" t="str">
        <f>IFERROR(VLOOKUP([2]Pointage!EE44,Feuil1!$A:$B,2,FALSE),"")</f>
        <v/>
      </c>
      <c r="EB50" s="31" t="str">
        <f>IFERROR(VLOOKUP([2]Pointage!EF44,Feuil1!$A:$B,2,FALSE),"")</f>
        <v/>
      </c>
      <c r="EC50" s="31" t="str">
        <f>IFERROR(VLOOKUP([2]Pointage!EG44,Feuil1!$A:$B,2,FALSE),"")</f>
        <v/>
      </c>
      <c r="ED50" s="31" t="str">
        <f>IFERROR(VLOOKUP([2]Pointage!EH44,Feuil1!$A:$B,2,FALSE),"")</f>
        <v/>
      </c>
      <c r="EE50" s="31" t="str">
        <f>IFERROR(VLOOKUP([2]Pointage!EI44,Feuil1!$A:$B,2,FALSE),"")</f>
        <v/>
      </c>
      <c r="EF50" s="31" t="str">
        <f>IFERROR(VLOOKUP([2]Pointage!EJ44,Feuil1!$A:$B,2,FALSE),"")</f>
        <v/>
      </c>
      <c r="EG50" s="31" t="str">
        <f>IFERROR(VLOOKUP([2]Pointage!EK44,Feuil1!$A:$B,2,FALSE),"")</f>
        <v/>
      </c>
      <c r="EH50" s="31" t="str">
        <f>IFERROR(VLOOKUP([2]Pointage!EL44,Feuil1!$A:$B,2,FALSE),"")</f>
        <v/>
      </c>
      <c r="EI50" s="31" t="str">
        <f>IFERROR(VLOOKUP([2]Pointage!EM44,Feuil1!$A:$B,2,FALSE),"")</f>
        <v/>
      </c>
      <c r="EJ50" s="31" t="str">
        <f>IFERROR(VLOOKUP([2]Pointage!EN44,Feuil1!$A:$B,2,FALSE),"")</f>
        <v/>
      </c>
      <c r="EK50" s="31" t="str">
        <f>IFERROR(VLOOKUP([2]Pointage!EO44,Feuil1!$A:$B,2,FALSE),"")</f>
        <v/>
      </c>
      <c r="EL50" s="31" t="str">
        <f>IFERROR(VLOOKUP([2]Pointage!EP44,Feuil1!$A:$B,2,FALSE),"")</f>
        <v/>
      </c>
      <c r="EM50" s="31" t="str">
        <f>IFERROR(VLOOKUP([2]Pointage!EQ44,Feuil1!$A:$B,2,FALSE),"")</f>
        <v/>
      </c>
      <c r="EN50" s="31" t="str">
        <f>IFERROR(VLOOKUP([2]Pointage!ER44,Feuil1!$A:$B,2,FALSE),"")</f>
        <v/>
      </c>
      <c r="EO50" s="31" t="str">
        <f>IFERROR(VLOOKUP([2]Pointage!ES44,Feuil1!$A:$B,2,FALSE),"")</f>
        <v/>
      </c>
      <c r="EP50" s="31" t="str">
        <f>IFERROR(VLOOKUP([2]Pointage!ET44,Feuil1!$A:$B,2,FALSE),"")</f>
        <v/>
      </c>
      <c r="EQ50" s="31" t="str">
        <f>IFERROR(VLOOKUP([2]Pointage!EU44,Feuil1!$A:$B,2,FALSE),"")</f>
        <v/>
      </c>
      <c r="ER50" s="31" t="str">
        <f>IFERROR(VLOOKUP([2]Pointage!EV44,Feuil1!$A:$B,2,FALSE),"")</f>
        <v/>
      </c>
      <c r="ES50" s="31" t="str">
        <f>IFERROR(VLOOKUP([2]Pointage!EW44,Feuil1!$A:$B,2,FALSE),"")</f>
        <v/>
      </c>
      <c r="ET50" s="31" t="str">
        <f>IFERROR(VLOOKUP([2]Pointage!EX44,Feuil1!$A:$B,2,FALSE),"")</f>
        <v>RTT</v>
      </c>
      <c r="EU50" s="31" t="str">
        <f>IFERROR(VLOOKUP([2]Pointage!EY44,Feuil1!$A:$B,2,FALSE),"")</f>
        <v/>
      </c>
      <c r="EV50" s="31" t="str">
        <f>IFERROR(VLOOKUP([2]Pointage!EZ44,Feuil1!$A:$B,2,FALSE),"")</f>
        <v/>
      </c>
      <c r="EW50" s="31" t="str">
        <f>IFERROR(VLOOKUP([2]Pointage!FA44,Feuil1!$A:$B,2,FALSE),"")</f>
        <v/>
      </c>
      <c r="EX50" s="31" t="str">
        <f>IFERROR(VLOOKUP([2]Pointage!FB44,Feuil1!$A:$B,2,FALSE),"")</f>
        <v/>
      </c>
      <c r="EY50" s="31" t="str">
        <f>IFERROR(VLOOKUP([2]Pointage!FC44,Feuil1!$A:$B,2,FALSE),"")</f>
        <v/>
      </c>
      <c r="EZ50" s="82" t="str">
        <f>IFERROR(VLOOKUP([2]Pointage!FD44,Feuil1!$A:$B,2,FALSE),"")</f>
        <v/>
      </c>
      <c r="FA50" s="47" t="str">
        <f>IFERROR(VLOOKUP([2]Pointage!FE44,Feuil1!$A:$B,2,FALSE),"")</f>
        <v/>
      </c>
      <c r="FB50" s="31" t="str">
        <f>IFERROR(VLOOKUP([2]Pointage!FF44,Feuil1!$A:$B,2,FALSE),"")</f>
        <v/>
      </c>
      <c r="FC50" s="31" t="str">
        <f>IFERROR(VLOOKUP([2]Pointage!FG44,Feuil1!$A:$B,2,FALSE),"")</f>
        <v/>
      </c>
      <c r="FD50" s="31" t="str">
        <f>IFERROR(VLOOKUP([2]Pointage!FH44,Feuil1!$A:$B,2,FALSE),"")</f>
        <v/>
      </c>
      <c r="FE50" s="31" t="str">
        <f>IFERROR(VLOOKUP([2]Pointage!FI44,Feuil1!$A:$B,2,FALSE),"")</f>
        <v/>
      </c>
      <c r="FF50" s="31" t="str">
        <f>IFERROR(VLOOKUP([2]Pointage!FJ44,Feuil1!$A:$B,2,FALSE),"")</f>
        <v/>
      </c>
      <c r="FG50" s="31" t="str">
        <f>IFERROR(VLOOKUP([2]Pointage!FK44,Feuil1!$A:$B,2,FALSE),"")</f>
        <v/>
      </c>
      <c r="FH50" s="31" t="str">
        <f>IFERROR(VLOOKUP([2]Pointage!FL44,Feuil1!$A:$B,2,FALSE),"")</f>
        <v/>
      </c>
      <c r="FI50" s="31" t="str">
        <f>IFERROR(VLOOKUP([2]Pointage!FM44,Feuil1!$A:$B,2,FALSE),"")</f>
        <v/>
      </c>
      <c r="FJ50" s="31" t="str">
        <f>IFERROR(VLOOKUP([2]Pointage!FN44,Feuil1!$A:$B,2,FALSE),"")</f>
        <v/>
      </c>
      <c r="FK50" s="31" t="str">
        <f>IFERROR(VLOOKUP([2]Pointage!FO44,Feuil1!$A:$B,2,FALSE),"")</f>
        <v>C</v>
      </c>
      <c r="FL50" s="31" t="str">
        <f>IFERROR(VLOOKUP([2]Pointage!FP44,Feuil1!$A:$B,2,FALSE),"")</f>
        <v/>
      </c>
      <c r="FM50" s="31" t="str">
        <f>IFERROR(VLOOKUP([2]Pointage!FQ44,Feuil1!$A:$B,2,FALSE),"")</f>
        <v/>
      </c>
      <c r="FN50" s="31" t="str">
        <f>IFERROR(VLOOKUP([2]Pointage!FR44,Feuil1!$A:$B,2,FALSE),"")</f>
        <v/>
      </c>
      <c r="FO50" s="31" t="str">
        <f>IFERROR(VLOOKUP([2]Pointage!FS44,Feuil1!$A:$B,2,FALSE),"")</f>
        <v/>
      </c>
      <c r="FP50" s="31" t="str">
        <f>IFERROR(VLOOKUP([2]Pointage!FT44,Feuil1!$A:$B,2,FALSE),"")</f>
        <v/>
      </c>
      <c r="FQ50" s="31" t="str">
        <f>IFERROR(VLOOKUP([2]Pointage!FU44,Feuil1!$A:$B,2,FALSE),"")</f>
        <v/>
      </c>
      <c r="FR50" s="31" t="str">
        <f>IFERROR(VLOOKUP([2]Pointage!FV44,Feuil1!$A:$B,2,FALSE),"")</f>
        <v/>
      </c>
      <c r="FS50" s="31" t="str">
        <f>IFERROR(VLOOKUP([2]Pointage!FW44,Feuil1!$A:$B,2,FALSE),"")</f>
        <v/>
      </c>
      <c r="FT50" s="31" t="str">
        <f>IFERROR(VLOOKUP([2]Pointage!FX44,Feuil1!$A:$B,2,FALSE),"")</f>
        <v/>
      </c>
      <c r="FU50" s="31" t="str">
        <f>IFERROR(VLOOKUP([2]Pointage!FY44,Feuil1!$A:$B,2,FALSE),"")</f>
        <v/>
      </c>
      <c r="FV50" s="31" t="str">
        <f>IFERROR(VLOOKUP([2]Pointage!FZ44,Feuil1!$A:$B,2,FALSE),"")</f>
        <v/>
      </c>
      <c r="FW50" s="31" t="str">
        <f>IFERROR(VLOOKUP([2]Pointage!GA44,Feuil1!$A:$B,2,FALSE),"")</f>
        <v/>
      </c>
      <c r="FX50" s="31" t="str">
        <f>IFERROR(VLOOKUP([2]Pointage!GB44,Feuil1!$A:$B,2,FALSE),"")</f>
        <v/>
      </c>
      <c r="FY50" s="31" t="str">
        <f>IFERROR(VLOOKUP([2]Pointage!GC44,Feuil1!$A:$B,2,FALSE),"")</f>
        <v/>
      </c>
      <c r="FZ50" s="31" t="str">
        <f>IFERROR(VLOOKUP([2]Pointage!GD44,Feuil1!$A:$B,2,FALSE),"")</f>
        <v/>
      </c>
      <c r="GA50" s="31" t="str">
        <f>IFERROR(VLOOKUP([2]Pointage!GE44,Feuil1!$A:$B,2,FALSE),"")</f>
        <v/>
      </c>
      <c r="GB50" s="31" t="str">
        <f>IFERROR(VLOOKUP([2]Pointage!GF44,Feuil1!$A:$B,2,FALSE),"")</f>
        <v/>
      </c>
      <c r="GC50" s="31" t="str">
        <f>IFERROR(VLOOKUP([2]Pointage!GG44,Feuil1!$A:$B,2,FALSE),"")</f>
        <v/>
      </c>
      <c r="GD50" s="82" t="str">
        <f>IFERROR(VLOOKUP([2]Pointage!GH44,Feuil1!$A:$B,2,FALSE),"")</f>
        <v/>
      </c>
      <c r="GE50" s="47" t="str">
        <f>IFERROR(VLOOKUP([2]Pointage!GI44,Feuil1!$A:$B,2,FALSE),"")</f>
        <v/>
      </c>
      <c r="GF50" s="31" t="str">
        <f>IFERROR(VLOOKUP([2]Pointage!GJ44,Feuil1!$A:$B,2,FALSE),"")</f>
        <v/>
      </c>
      <c r="GG50" s="31" t="str">
        <f>IFERROR(VLOOKUP([2]Pointage!GK44,Feuil1!$A:$B,2,FALSE),"")</f>
        <v/>
      </c>
      <c r="GH50" s="31" t="str">
        <f>IFERROR(VLOOKUP([2]Pointage!GL44,Feuil1!$A:$B,2,FALSE),"")</f>
        <v/>
      </c>
      <c r="GI50" s="31" t="str">
        <f>IFERROR(VLOOKUP([2]Pointage!GM44,Feuil1!$A:$B,2,FALSE),"")</f>
        <v/>
      </c>
      <c r="GJ50" s="31" t="str">
        <f>IFERROR(VLOOKUP([2]Pointage!GN44,Feuil1!$A:$B,2,FALSE),"")</f>
        <v/>
      </c>
      <c r="GK50" s="31" t="str">
        <f>IFERROR(VLOOKUP([2]Pointage!GO44,Feuil1!$A:$B,2,FALSE),"")</f>
        <v/>
      </c>
      <c r="GL50" s="31" t="str">
        <f>IFERROR(VLOOKUP([2]Pointage!GP44,Feuil1!$A:$B,2,FALSE),"")</f>
        <v/>
      </c>
      <c r="GM50" s="31" t="str">
        <f>IFERROR(VLOOKUP([2]Pointage!GQ44,Feuil1!$A:$B,2,FALSE),"")</f>
        <v/>
      </c>
      <c r="GN50" s="31" t="str">
        <f>IFERROR(VLOOKUP([2]Pointage!GR44,Feuil1!$A:$B,2,FALSE),"")</f>
        <v/>
      </c>
      <c r="GO50" s="31" t="str">
        <f>IFERROR(VLOOKUP([2]Pointage!GS44,Feuil1!$A:$B,2,FALSE),"")</f>
        <v/>
      </c>
      <c r="GP50" s="31" t="str">
        <f>IFERROR(VLOOKUP([2]Pointage!GT44,Feuil1!$A:$B,2,FALSE),"")</f>
        <v/>
      </c>
      <c r="GQ50" s="31" t="str">
        <f>IFERROR(VLOOKUP([2]Pointage!GU44,Feuil1!$A:$B,2,FALSE),"")</f>
        <v/>
      </c>
      <c r="GR50" s="31" t="str">
        <f>IFERROR(VLOOKUP([2]Pointage!GV44,Feuil1!$A:$B,2,FALSE),"")</f>
        <v/>
      </c>
      <c r="GS50" s="31" t="str">
        <f>IFERROR(VLOOKUP([2]Pointage!GW44,Feuil1!$A:$B,2,FALSE),"")</f>
        <v/>
      </c>
      <c r="GT50" s="31" t="str">
        <f>IFERROR(VLOOKUP([2]Pointage!GX44,Feuil1!$A:$B,2,FALSE),"")</f>
        <v/>
      </c>
      <c r="GU50" s="31" t="str">
        <f>IFERROR(VLOOKUP([2]Pointage!GY44,Feuil1!$A:$B,2,FALSE),"")</f>
        <v/>
      </c>
      <c r="GV50" s="31" t="str">
        <f>IFERROR(VLOOKUP([2]Pointage!GZ44,Feuil1!$A:$B,2,FALSE),"")</f>
        <v/>
      </c>
      <c r="GW50" s="31" t="str">
        <f>IFERROR(VLOOKUP([2]Pointage!HA44,Feuil1!$A:$B,2,FALSE),"")</f>
        <v/>
      </c>
      <c r="GX50" s="31" t="str">
        <f>IFERROR(VLOOKUP([2]Pointage!HB44,Feuil1!$A:$B,2,FALSE),"")</f>
        <v/>
      </c>
      <c r="GY50" s="31" t="str">
        <f>IFERROR(VLOOKUP([2]Pointage!HC44,Feuil1!$A:$B,2,FALSE),"")</f>
        <v/>
      </c>
      <c r="GZ50" s="31" t="str">
        <f>IFERROR(VLOOKUP([2]Pointage!HD44,Feuil1!$A:$B,2,FALSE),"")</f>
        <v/>
      </c>
      <c r="HA50" s="31" t="str">
        <f>IFERROR(VLOOKUP([2]Pointage!HE44,Feuil1!$A:$B,2,FALSE),"")</f>
        <v/>
      </c>
      <c r="HB50" s="31" t="str">
        <f>IFERROR(VLOOKUP([2]Pointage!HF44,Feuil1!$A:$B,2,FALSE),"")</f>
        <v/>
      </c>
      <c r="HC50" s="31" t="str">
        <f>IFERROR(VLOOKUP([2]Pointage!HG44,Feuil1!$A:$B,2,FALSE),"")</f>
        <v/>
      </c>
      <c r="HD50" s="31" t="str">
        <f>IFERROR(VLOOKUP([2]Pointage!HH44,Feuil1!$A:$B,2,FALSE),"")</f>
        <v/>
      </c>
      <c r="HE50" s="31" t="str">
        <f>IFERROR(VLOOKUP([2]Pointage!HI44,Feuil1!$A:$B,2,FALSE),"")</f>
        <v/>
      </c>
      <c r="HF50" s="31" t="str">
        <f>IFERROR(VLOOKUP([2]Pointage!HJ44,Feuil1!$A:$B,2,FALSE),"")</f>
        <v/>
      </c>
      <c r="HG50" s="31" t="str">
        <f>IFERROR(VLOOKUP([2]Pointage!HK44,Feuil1!$A:$B,2,FALSE),"")</f>
        <v/>
      </c>
      <c r="HH50" s="31" t="str">
        <f>IFERROR(VLOOKUP([2]Pointage!HL44,Feuil1!$A:$B,2,FALSE),"")</f>
        <v/>
      </c>
      <c r="HI50" s="82" t="str">
        <f>IFERROR(VLOOKUP([2]Pointage!HM44,Feuil1!$A:$B,2,FALSE),"")</f>
        <v/>
      </c>
      <c r="HJ50" s="47" t="str">
        <f>IFERROR(VLOOKUP([2]Pointage!HN44,Feuil1!$A:$B,2,FALSE),"")</f>
        <v/>
      </c>
      <c r="HK50" s="31" t="str">
        <f>IFERROR(VLOOKUP([2]Pointage!HO44,Feuil1!$A:$B,2,FALSE),"")</f>
        <v/>
      </c>
      <c r="HL50" s="31" t="str">
        <f>IFERROR(VLOOKUP([2]Pointage!HP44,Feuil1!$A:$B,2,FALSE),"")</f>
        <v/>
      </c>
      <c r="HM50" s="31" t="str">
        <f>IFERROR(VLOOKUP([2]Pointage!HQ44,Feuil1!$A:$B,2,FALSE),"")</f>
        <v/>
      </c>
      <c r="HN50" s="31" t="str">
        <f>IFERROR(VLOOKUP([2]Pointage!HR44,Feuil1!$A:$B,2,FALSE),"")</f>
        <v/>
      </c>
      <c r="HO50" s="31" t="str">
        <f>IFERROR(VLOOKUP([2]Pointage!HS44,Feuil1!$A:$B,2,FALSE),"")</f>
        <v>C</v>
      </c>
      <c r="HP50" s="31" t="str">
        <f>IFERROR(VLOOKUP([2]Pointage!HT44,Feuil1!$A:$B,2,FALSE),"")</f>
        <v>C</v>
      </c>
      <c r="HQ50" s="31" t="str">
        <f>IFERROR(VLOOKUP([2]Pointage!HU44,Feuil1!$A:$B,2,FALSE),"")</f>
        <v>C</v>
      </c>
      <c r="HR50" s="31" t="str">
        <f>IFERROR(VLOOKUP([2]Pointage!HV44,Feuil1!$A:$B,2,FALSE),"")</f>
        <v>C</v>
      </c>
      <c r="HS50" s="31" t="str">
        <f>IFERROR(VLOOKUP([2]Pointage!HW44,Feuil1!$A:$B,2,FALSE),"")</f>
        <v>C</v>
      </c>
      <c r="HT50" s="31" t="str">
        <f>IFERROR(VLOOKUP([2]Pointage!HX44,Feuil1!$A:$B,2,FALSE),"")</f>
        <v/>
      </c>
      <c r="HU50" s="31" t="str">
        <f>IFERROR(VLOOKUP([2]Pointage!HY44,Feuil1!$A:$B,2,FALSE),"")</f>
        <v/>
      </c>
      <c r="HV50" s="31" t="str">
        <f>IFERROR(VLOOKUP([2]Pointage!HZ44,Feuil1!$A:$B,2,FALSE),"")</f>
        <v>C</v>
      </c>
      <c r="HW50" s="31" t="str">
        <f>IFERROR(VLOOKUP([2]Pointage!IA44,Feuil1!$A:$B,2,FALSE),"")</f>
        <v>C</v>
      </c>
      <c r="HX50" s="31" t="str">
        <f>IFERROR(VLOOKUP([2]Pointage!IB44,Feuil1!$A:$B,2,FALSE),"")</f>
        <v/>
      </c>
      <c r="HY50" s="31" t="str">
        <f>IFERROR(VLOOKUP([2]Pointage!IC44,Feuil1!$A:$B,2,FALSE),"")</f>
        <v>C</v>
      </c>
      <c r="HZ50" s="31" t="str">
        <f>IFERROR(VLOOKUP([2]Pointage!ID44,Feuil1!$A:$B,2,FALSE),"")</f>
        <v>C</v>
      </c>
      <c r="IA50" s="31" t="str">
        <f>IFERROR(VLOOKUP([2]Pointage!IE44,Feuil1!$A:$B,2,FALSE),"")</f>
        <v/>
      </c>
      <c r="IB50" s="31" t="str">
        <f>IFERROR(VLOOKUP([2]Pointage!IF44,Feuil1!$A:$B,2,FALSE),"")</f>
        <v/>
      </c>
      <c r="IC50" s="31" t="str">
        <f>IFERROR(VLOOKUP([2]Pointage!IG44,Feuil1!$A:$B,2,FALSE),"")</f>
        <v>C</v>
      </c>
      <c r="ID50" s="31" t="str">
        <f>IFERROR(VLOOKUP([2]Pointage!IH44,Feuil1!$A:$B,2,FALSE),"")</f>
        <v>C</v>
      </c>
      <c r="IE50" s="31" t="str">
        <f>IFERROR(VLOOKUP([2]Pointage!II44,Feuil1!$A:$B,2,FALSE),"")</f>
        <v>C</v>
      </c>
      <c r="IF50" s="31" t="str">
        <f>IFERROR(VLOOKUP([2]Pointage!IJ44,Feuil1!$A:$B,2,FALSE),"")</f>
        <v>C</v>
      </c>
      <c r="IG50" s="31" t="str">
        <f>IFERROR(VLOOKUP([2]Pointage!IK44,Feuil1!$A:$B,2,FALSE),"")</f>
        <v>C</v>
      </c>
      <c r="IH50" s="31" t="str">
        <f>IFERROR(VLOOKUP([2]Pointage!IL44,Feuil1!$A:$B,2,FALSE),"")</f>
        <v/>
      </c>
      <c r="II50" s="31" t="str">
        <f>IFERROR(VLOOKUP([2]Pointage!IM44,Feuil1!$A:$B,2,FALSE),"")</f>
        <v/>
      </c>
      <c r="IJ50" s="31" t="str">
        <f>IFERROR(VLOOKUP([2]Pointage!IN44,Feuil1!$A:$B,2,FALSE),"")</f>
        <v/>
      </c>
      <c r="IK50" s="31" t="str">
        <f>IFERROR(VLOOKUP([2]Pointage!IO44,Feuil1!$A:$B,2,FALSE),"")</f>
        <v/>
      </c>
      <c r="IL50" s="31" t="str">
        <f>IFERROR(VLOOKUP([2]Pointage!IP44,Feuil1!$A:$B,2,FALSE),"")</f>
        <v/>
      </c>
      <c r="IM50" s="31" t="str">
        <f>IFERROR(VLOOKUP([2]Pointage!IQ44,Feuil1!$A:$B,2,FALSE),"")</f>
        <v/>
      </c>
      <c r="IN50" s="82" t="str">
        <f>IFERROR(VLOOKUP([2]Pointage!IR44,Feuil1!$A:$B,2,FALSE),"")</f>
        <v/>
      </c>
      <c r="IO50" s="47" t="str">
        <f>IFERROR(VLOOKUP([2]Pointage!IS44,Feuil1!$A:$B,2,FALSE),"")</f>
        <v/>
      </c>
      <c r="IP50" s="31" t="str">
        <f>IFERROR(VLOOKUP([2]Pointage!IT44,Feuil1!$A:$B,2,FALSE),"")</f>
        <v/>
      </c>
      <c r="IQ50" s="31" t="str">
        <f>IFERROR(VLOOKUP([2]Pointage!IU44,Feuil1!$A:$B,2,FALSE),"")</f>
        <v/>
      </c>
      <c r="IR50" s="31" t="str">
        <f>IFERROR(VLOOKUP([2]Pointage!IV44,Feuil1!$A:$B,2,FALSE),"")</f>
        <v/>
      </c>
      <c r="IS50" s="31" t="str">
        <f>IFERROR(VLOOKUP([2]Pointage!IW44,Feuil1!$A:$B,2,FALSE),"")</f>
        <v/>
      </c>
      <c r="IT50" s="31" t="str">
        <f>IFERROR(VLOOKUP([2]Pointage!IX44,Feuil1!$A:$B,2,FALSE),"")</f>
        <v/>
      </c>
      <c r="IU50" s="31" t="str">
        <f>IFERROR(VLOOKUP([2]Pointage!IY44,Feuil1!$A:$B,2,FALSE),"")</f>
        <v/>
      </c>
      <c r="IV50" s="31" t="str">
        <f>IFERROR(VLOOKUP([2]Pointage!IZ44,Feuil1!$A:$B,2,FALSE),"")</f>
        <v/>
      </c>
      <c r="IW50" s="31" t="str">
        <f>IFERROR(VLOOKUP([2]Pointage!JA44,Feuil1!$A:$B,2,FALSE),"")</f>
        <v/>
      </c>
      <c r="IX50" s="31" t="str">
        <f>IFERROR(VLOOKUP([2]Pointage!JB44,Feuil1!$A:$B,2,FALSE),"")</f>
        <v/>
      </c>
      <c r="IY50" s="31" t="str">
        <f>IFERROR(VLOOKUP([2]Pointage!JC44,Feuil1!$A:$B,2,FALSE),"")</f>
        <v/>
      </c>
      <c r="IZ50" s="31" t="str">
        <f>IFERROR(VLOOKUP([2]Pointage!JD44,Feuil1!$A:$B,2,FALSE),"")</f>
        <v/>
      </c>
      <c r="JA50" s="31" t="str">
        <f>IFERROR(VLOOKUP([2]Pointage!JE44,Feuil1!$A:$B,2,FALSE),"")</f>
        <v/>
      </c>
      <c r="JB50" s="31" t="str">
        <f>IFERROR(VLOOKUP([2]Pointage!JF44,Feuil1!$A:$B,2,FALSE),"")</f>
        <v/>
      </c>
      <c r="JC50" s="31" t="str">
        <f>IFERROR(VLOOKUP([2]Pointage!JG44,Feuil1!$A:$B,2,FALSE),"")</f>
        <v/>
      </c>
      <c r="JD50" s="31" t="str">
        <f>IFERROR(VLOOKUP([2]Pointage!JH44,Feuil1!$A:$B,2,FALSE),"")</f>
        <v/>
      </c>
      <c r="JE50" s="31" t="str">
        <f>IFERROR(VLOOKUP([2]Pointage!JI44,Feuil1!$A:$B,2,FALSE),"")</f>
        <v/>
      </c>
      <c r="JF50" s="31" t="str">
        <f>IFERROR(VLOOKUP([2]Pointage!JJ44,Feuil1!$A:$B,2,FALSE),"")</f>
        <v/>
      </c>
      <c r="JG50" s="31" t="str">
        <f>IFERROR(VLOOKUP([2]Pointage!JK44,Feuil1!$A:$B,2,FALSE),"")</f>
        <v/>
      </c>
      <c r="JH50" s="31" t="str">
        <f>IFERROR(VLOOKUP([2]Pointage!JL44,Feuil1!$A:$B,2,FALSE),"")</f>
        <v/>
      </c>
      <c r="JI50" s="31" t="str">
        <f>IFERROR(VLOOKUP([2]Pointage!JM44,Feuil1!$A:$B,2,FALSE),"")</f>
        <v/>
      </c>
      <c r="JJ50" s="31" t="str">
        <f>IFERROR(VLOOKUP([2]Pointage!JN44,Feuil1!$A:$B,2,FALSE),"")</f>
        <v/>
      </c>
      <c r="JK50" s="31" t="str">
        <f>IFERROR(VLOOKUP([2]Pointage!JO44,Feuil1!$A:$B,2,FALSE),"")</f>
        <v/>
      </c>
      <c r="JL50" s="31" t="str">
        <f>IFERROR(VLOOKUP([2]Pointage!JP44,Feuil1!$A:$B,2,FALSE),"")</f>
        <v/>
      </c>
      <c r="JM50" s="31" t="str">
        <f>IFERROR(VLOOKUP([2]Pointage!JQ44,Feuil1!$A:$B,2,FALSE),"")</f>
        <v/>
      </c>
      <c r="JN50" s="31" t="str">
        <f>IFERROR(VLOOKUP([2]Pointage!JR44,Feuil1!$A:$B,2,FALSE),"")</f>
        <v/>
      </c>
      <c r="JO50" s="31" t="str">
        <f>IFERROR(VLOOKUP([2]Pointage!JS44,Feuil1!$A:$B,2,FALSE),"")</f>
        <v/>
      </c>
      <c r="JP50" s="31" t="str">
        <f>IFERROR(VLOOKUP([2]Pointage!JT44,Feuil1!$A:$B,2,FALSE),"")</f>
        <v/>
      </c>
      <c r="JQ50" s="31" t="str">
        <f>IFERROR(VLOOKUP([2]Pointage!JU44,Feuil1!$A:$B,2,FALSE),"")</f>
        <v/>
      </c>
      <c r="JR50" s="82" t="str">
        <f>IFERROR(VLOOKUP([2]Pointage!JV44,Feuil1!$A:$B,2,FALSE),"")</f>
        <v/>
      </c>
      <c r="JS50" s="47" t="str">
        <f>IFERROR(VLOOKUP([2]Pointage!JW44,Feuil1!$A:$B,2,FALSE),"")</f>
        <v/>
      </c>
      <c r="JT50" s="31" t="str">
        <f>IFERROR(VLOOKUP([2]Pointage!JX44,Feuil1!$A:$B,2,FALSE),"")</f>
        <v/>
      </c>
      <c r="JU50" s="31" t="str">
        <f>IFERROR(VLOOKUP([2]Pointage!JY44,Feuil1!$A:$B,2,FALSE),"")</f>
        <v/>
      </c>
      <c r="JV50" s="31" t="str">
        <f>IFERROR(VLOOKUP([2]Pointage!JZ44,Feuil1!$A:$B,2,FALSE),"")</f>
        <v/>
      </c>
      <c r="JW50" s="31" t="str">
        <f>IFERROR(VLOOKUP([2]Pointage!KA44,Feuil1!$A:$B,2,FALSE),"")</f>
        <v/>
      </c>
      <c r="JX50" s="31" t="str">
        <f>IFERROR(VLOOKUP([2]Pointage!KB44,Feuil1!$A:$B,2,FALSE),"")</f>
        <v/>
      </c>
      <c r="JY50" s="31" t="str">
        <f>IFERROR(VLOOKUP([2]Pointage!KC44,Feuil1!$A:$B,2,FALSE),"")</f>
        <v/>
      </c>
      <c r="JZ50" s="31" t="str">
        <f>IFERROR(VLOOKUP([2]Pointage!KD44,Feuil1!$A:$B,2,FALSE),"")</f>
        <v/>
      </c>
      <c r="KA50" s="31" t="str">
        <f>IFERROR(VLOOKUP([2]Pointage!KE44,Feuil1!$A:$B,2,FALSE),"")</f>
        <v/>
      </c>
      <c r="KB50" s="31" t="str">
        <f>IFERROR(VLOOKUP([2]Pointage!KF44,Feuil1!$A:$B,2,FALSE),"")</f>
        <v/>
      </c>
      <c r="KC50" s="31" t="str">
        <f>IFERROR(VLOOKUP([2]Pointage!KG44,Feuil1!$A:$B,2,FALSE),"")</f>
        <v/>
      </c>
      <c r="KD50" s="31" t="str">
        <f>IFERROR(VLOOKUP([2]Pointage!KH44,Feuil1!$A:$B,2,FALSE),"")</f>
        <v/>
      </c>
      <c r="KE50" s="31" t="str">
        <f>IFERROR(VLOOKUP([2]Pointage!KI44,Feuil1!$A:$B,2,FALSE),"")</f>
        <v/>
      </c>
      <c r="KF50" s="31" t="str">
        <f>IFERROR(VLOOKUP([2]Pointage!KJ44,Feuil1!$A:$B,2,FALSE),"")</f>
        <v/>
      </c>
      <c r="KG50" s="31" t="str">
        <f>IFERROR(VLOOKUP([2]Pointage!KK44,Feuil1!$A:$B,2,FALSE),"")</f>
        <v/>
      </c>
      <c r="KH50" s="31" t="str">
        <f>IFERROR(VLOOKUP([2]Pointage!KL44,Feuil1!$A:$B,2,FALSE),"")</f>
        <v/>
      </c>
      <c r="KI50" s="31" t="str">
        <f>IFERROR(VLOOKUP([2]Pointage!KM44,Feuil1!$A:$B,2,FALSE),"")</f>
        <v/>
      </c>
      <c r="KJ50" s="31" t="str">
        <f>IFERROR(VLOOKUP([2]Pointage!KN44,Feuil1!$A:$B,2,FALSE),"")</f>
        <v/>
      </c>
      <c r="KK50" s="31" t="str">
        <f>IFERROR(VLOOKUP([2]Pointage!KO44,Feuil1!$A:$B,2,FALSE),"")</f>
        <v/>
      </c>
      <c r="KL50" s="31" t="str">
        <f>IFERROR(VLOOKUP([2]Pointage!KP44,Feuil1!$A:$B,2,FALSE),"")</f>
        <v/>
      </c>
      <c r="KM50" s="31" t="str">
        <f>IFERROR(VLOOKUP([2]Pointage!KQ44,Feuil1!$A:$B,2,FALSE),"")</f>
        <v/>
      </c>
      <c r="KN50" s="31" t="str">
        <f>IFERROR(VLOOKUP([2]Pointage!KR44,Feuil1!$A:$B,2,FALSE),"")</f>
        <v/>
      </c>
      <c r="KO50" s="31" t="str">
        <f>IFERROR(VLOOKUP([2]Pointage!KS44,Feuil1!$A:$B,2,FALSE),"")</f>
        <v/>
      </c>
      <c r="KP50" s="31" t="str">
        <f>IFERROR(VLOOKUP([2]Pointage!KT44,Feuil1!$A:$B,2,FALSE),"")</f>
        <v/>
      </c>
      <c r="KQ50" s="31" t="str">
        <f>IFERROR(VLOOKUP([2]Pointage!KU44,Feuil1!$A:$B,2,FALSE),"")</f>
        <v/>
      </c>
      <c r="KR50" s="31" t="str">
        <f>IFERROR(VLOOKUP([2]Pointage!KV44,Feuil1!$A:$B,2,FALSE),"")</f>
        <v/>
      </c>
      <c r="KS50" s="31" t="str">
        <f>IFERROR(VLOOKUP([2]Pointage!KW44,Feuil1!$A:$B,2,FALSE),"")</f>
        <v/>
      </c>
      <c r="KT50" s="31" t="str">
        <f>IFERROR(VLOOKUP([2]Pointage!KX44,Feuil1!$A:$B,2,FALSE),"")</f>
        <v/>
      </c>
      <c r="KU50" s="31" t="str">
        <f>IFERROR(VLOOKUP([2]Pointage!KY44,Feuil1!$A:$B,2,FALSE),"")</f>
        <v/>
      </c>
      <c r="KV50" s="31" t="str">
        <f>IFERROR(VLOOKUP([2]Pointage!KZ44,Feuil1!$A:$B,2,FALSE),"")</f>
        <v/>
      </c>
      <c r="KW50" s="82" t="str">
        <f>IFERROR(VLOOKUP([2]Pointage!LA44,Feuil1!$A:$B,2,FALSE),"")</f>
        <v/>
      </c>
      <c r="KX50" s="47" t="str">
        <f>IFERROR(VLOOKUP([2]Pointage!LB44,Feuil1!$A:$B,2,FALSE),"")</f>
        <v/>
      </c>
      <c r="KY50" s="31" t="str">
        <f>IFERROR(VLOOKUP([2]Pointage!LC44,Feuil1!$A:$B,2,FALSE),"")</f>
        <v/>
      </c>
      <c r="KZ50" s="31" t="str">
        <f>IFERROR(VLOOKUP([2]Pointage!LD44,Feuil1!$A:$B,2,FALSE),"")</f>
        <v/>
      </c>
      <c r="LA50" s="31" t="str">
        <f>IFERROR(VLOOKUP([2]Pointage!LE44,Feuil1!$A:$B,2,FALSE),"")</f>
        <v/>
      </c>
      <c r="LB50" s="31" t="str">
        <f>IFERROR(VLOOKUP([2]Pointage!LF44,Feuil1!$A:$B,2,FALSE),"")</f>
        <v/>
      </c>
      <c r="LC50" s="31" t="str">
        <f>IFERROR(VLOOKUP([2]Pointage!LG44,Feuil1!$A:$B,2,FALSE),"")</f>
        <v/>
      </c>
      <c r="LD50" s="31" t="str">
        <f>IFERROR(VLOOKUP([2]Pointage!LH44,Feuil1!$A:$B,2,FALSE),"")</f>
        <v/>
      </c>
      <c r="LE50" s="31" t="str">
        <f>IFERROR(VLOOKUP([2]Pointage!LI44,Feuil1!$A:$B,2,FALSE),"")</f>
        <v/>
      </c>
      <c r="LF50" s="31" t="str">
        <f>IFERROR(VLOOKUP([2]Pointage!LJ44,Feuil1!$A:$B,2,FALSE),"")</f>
        <v/>
      </c>
      <c r="LG50" s="31" t="str">
        <f>IFERROR(VLOOKUP([2]Pointage!LK44,Feuil1!$A:$B,2,FALSE),"")</f>
        <v/>
      </c>
      <c r="LH50" s="31" t="str">
        <f>IFERROR(VLOOKUP([2]Pointage!LL44,Feuil1!$A:$B,2,FALSE),"")</f>
        <v/>
      </c>
      <c r="LI50" s="31" t="str">
        <f>IFERROR(VLOOKUP([2]Pointage!LM44,Feuil1!$A:$B,2,FALSE),"")</f>
        <v/>
      </c>
      <c r="LJ50" s="31" t="str">
        <f>IFERROR(VLOOKUP([2]Pointage!LN44,Feuil1!$A:$B,2,FALSE),"")</f>
        <v/>
      </c>
      <c r="LK50" s="31" t="str">
        <f>IFERROR(VLOOKUP([2]Pointage!LO44,Feuil1!$A:$B,2,FALSE),"")</f>
        <v/>
      </c>
      <c r="LL50" s="31" t="str">
        <f>IFERROR(VLOOKUP([2]Pointage!LP44,Feuil1!$A:$B,2,FALSE),"")</f>
        <v/>
      </c>
      <c r="LM50" s="31" t="str">
        <f>IFERROR(VLOOKUP([2]Pointage!LQ44,Feuil1!$A:$B,2,FALSE),"")</f>
        <v/>
      </c>
      <c r="LN50" s="31" t="str">
        <f>IFERROR(VLOOKUP([2]Pointage!LR44,Feuil1!$A:$B,2,FALSE),"")</f>
        <v/>
      </c>
      <c r="LO50" s="31" t="str">
        <f>IFERROR(VLOOKUP([2]Pointage!LS44,Feuil1!$A:$B,2,FALSE),"")</f>
        <v/>
      </c>
      <c r="LP50" s="31" t="str">
        <f>IFERROR(VLOOKUP([2]Pointage!LT44,Feuil1!$A:$B,2,FALSE),"")</f>
        <v/>
      </c>
      <c r="LQ50" s="31" t="str">
        <f>IFERROR(VLOOKUP([2]Pointage!LU44,Feuil1!$A:$B,2,FALSE),"")</f>
        <v/>
      </c>
      <c r="LR50" s="31" t="str">
        <f>IFERROR(VLOOKUP([2]Pointage!LV44,Feuil1!$A:$B,2,FALSE),"")</f>
        <v/>
      </c>
      <c r="LS50" s="31" t="str">
        <f>IFERROR(VLOOKUP([2]Pointage!LW44,Feuil1!$A:$B,2,FALSE),"")</f>
        <v/>
      </c>
      <c r="LT50" s="31" t="str">
        <f>IFERROR(VLOOKUP([2]Pointage!LX44,Feuil1!$A:$B,2,FALSE),"")</f>
        <v/>
      </c>
      <c r="LU50" s="31" t="str">
        <f>IFERROR(VLOOKUP([2]Pointage!LY44,Feuil1!$A:$B,2,FALSE),"")</f>
        <v/>
      </c>
      <c r="LV50" s="31" t="str">
        <f>IFERROR(VLOOKUP([2]Pointage!LZ44,Feuil1!$A:$B,2,FALSE),"")</f>
        <v/>
      </c>
      <c r="LW50" s="31" t="str">
        <f>IFERROR(VLOOKUP([2]Pointage!MA44,Feuil1!$A:$B,2,FALSE),"")</f>
        <v/>
      </c>
      <c r="LX50" s="31" t="str">
        <f>IFERROR(VLOOKUP([2]Pointage!MB44,Feuil1!$A:$B,2,FALSE),"")</f>
        <v/>
      </c>
      <c r="LY50" s="31" t="str">
        <f>IFERROR(VLOOKUP([2]Pointage!MC44,Feuil1!$A:$B,2,FALSE),"")</f>
        <v/>
      </c>
      <c r="LZ50" s="31" t="str">
        <f>IFERROR(VLOOKUP([2]Pointage!MD44,Feuil1!$A:$B,2,FALSE),"")</f>
        <v/>
      </c>
      <c r="MA50" s="82" t="str">
        <f>IFERROR(VLOOKUP([2]Pointage!ME44,Feuil1!$A:$B,2,FALSE),"")</f>
        <v/>
      </c>
      <c r="MB50" s="47" t="str">
        <f>IFERROR(VLOOKUP([2]Pointage!MF44,Feuil1!$A:$B,2,FALSE),"")</f>
        <v/>
      </c>
      <c r="MC50" s="31" t="str">
        <f>IFERROR(VLOOKUP([2]Pointage!MG44,Feuil1!$A:$B,2,FALSE),"")</f>
        <v/>
      </c>
      <c r="MD50" s="31" t="str">
        <f>IFERROR(VLOOKUP([2]Pointage!MH44,Feuil1!$A:$B,2,FALSE),"")</f>
        <v/>
      </c>
      <c r="ME50" s="31" t="str">
        <f>IFERROR(VLOOKUP([2]Pointage!MI44,Feuil1!$A:$B,2,FALSE),"")</f>
        <v/>
      </c>
      <c r="MF50" s="31" t="str">
        <f>IFERROR(VLOOKUP([2]Pointage!MJ44,Feuil1!$A:$B,2,FALSE),"")</f>
        <v/>
      </c>
      <c r="MG50" s="31" t="str">
        <f>IFERROR(VLOOKUP([2]Pointage!MK44,Feuil1!$A:$B,2,FALSE),"")</f>
        <v/>
      </c>
      <c r="MH50" s="31" t="str">
        <f>IFERROR(VLOOKUP([2]Pointage!ML44,Feuil1!$A:$B,2,FALSE),"")</f>
        <v/>
      </c>
      <c r="MI50" s="31" t="str">
        <f>IFERROR(VLOOKUP([2]Pointage!MM44,Feuil1!$A:$B,2,FALSE),"")</f>
        <v/>
      </c>
      <c r="MJ50" s="31" t="str">
        <f>IFERROR(VLOOKUP([2]Pointage!MN44,Feuil1!$A:$B,2,FALSE),"")</f>
        <v/>
      </c>
      <c r="MK50" s="31" t="str">
        <f>IFERROR(VLOOKUP([2]Pointage!MO44,Feuil1!$A:$B,2,FALSE),"")</f>
        <v/>
      </c>
      <c r="ML50" s="31" t="str">
        <f>IFERROR(VLOOKUP([2]Pointage!MP44,Feuil1!$A:$B,2,FALSE),"")</f>
        <v/>
      </c>
      <c r="MM50" s="31" t="str">
        <f>IFERROR(VLOOKUP([2]Pointage!MQ44,Feuil1!$A:$B,2,FALSE),"")</f>
        <v/>
      </c>
      <c r="MN50" s="31" t="str">
        <f>IFERROR(VLOOKUP([2]Pointage!MR44,Feuil1!$A:$B,2,FALSE),"")</f>
        <v/>
      </c>
      <c r="MO50" s="31" t="str">
        <f>IFERROR(VLOOKUP([2]Pointage!MS44,Feuil1!$A:$B,2,FALSE),"")</f>
        <v/>
      </c>
      <c r="MP50" s="31" t="str">
        <f>IFERROR(VLOOKUP([2]Pointage!MT44,Feuil1!$A:$B,2,FALSE),"")</f>
        <v/>
      </c>
      <c r="MQ50" s="31" t="str">
        <f>IFERROR(VLOOKUP([2]Pointage!MU44,Feuil1!$A:$B,2,FALSE),"")</f>
        <v/>
      </c>
      <c r="MR50" s="31" t="str">
        <f>IFERROR(VLOOKUP([2]Pointage!MV44,Feuil1!$A:$B,2,FALSE),"")</f>
        <v/>
      </c>
      <c r="MS50" s="31" t="str">
        <f>IFERROR(VLOOKUP([2]Pointage!MW44,Feuil1!$A:$B,2,FALSE),"")</f>
        <v/>
      </c>
      <c r="MT50" s="31" t="str">
        <f>IFERROR(VLOOKUP([2]Pointage!MX44,Feuil1!$A:$B,2,FALSE),"")</f>
        <v/>
      </c>
      <c r="MU50" s="31" t="str">
        <f>IFERROR(VLOOKUP([2]Pointage!MY44,Feuil1!$A:$B,2,FALSE),"")</f>
        <v/>
      </c>
      <c r="MV50" s="31" t="str">
        <f>IFERROR(VLOOKUP([2]Pointage!MZ44,Feuil1!$A:$B,2,FALSE),"")</f>
        <v/>
      </c>
      <c r="MW50" s="31" t="str">
        <f>IFERROR(VLOOKUP([2]Pointage!NA44,Feuil1!$A:$B,2,FALSE),"")</f>
        <v/>
      </c>
      <c r="MX50" s="31" t="str">
        <f>IFERROR(VLOOKUP([2]Pointage!NB44,Feuil1!$A:$B,2,FALSE),"")</f>
        <v/>
      </c>
      <c r="MY50" s="31" t="str">
        <f>IFERROR(VLOOKUP([2]Pointage!NC44,Feuil1!$A:$B,2,FALSE),"")</f>
        <v/>
      </c>
      <c r="MZ50" s="31" t="str">
        <f>IFERROR(VLOOKUP([2]Pointage!ND44,Feuil1!$A:$B,2,FALSE),"")</f>
        <v/>
      </c>
      <c r="NA50" s="31" t="str">
        <f>IFERROR(VLOOKUP([2]Pointage!NE44,Feuil1!$A:$B,2,FALSE),"")</f>
        <v/>
      </c>
      <c r="NB50" s="31" t="str">
        <f>IFERROR(VLOOKUP([2]Pointage!NF44,Feuil1!$A:$B,2,FALSE),"")</f>
        <v/>
      </c>
      <c r="NC50" s="31" t="str">
        <f>IFERROR(VLOOKUP([2]Pointage!NG44,Feuil1!$A:$B,2,FALSE),"")</f>
        <v/>
      </c>
      <c r="ND50" s="31" t="str">
        <f>IFERROR(VLOOKUP([2]Pointage!NH44,Feuil1!$A:$B,2,FALSE),"")</f>
        <v/>
      </c>
      <c r="NE50" s="31" t="str">
        <f>IFERROR(VLOOKUP([2]Pointage!NI44,Feuil1!$A:$B,2,FALSE),"")</f>
        <v/>
      </c>
      <c r="NF50" s="48" t="str">
        <f>IFERROR(VLOOKUP([2]Pointage!NJ44,Feuil1!$A:$B,2,FALSE),"")</f>
        <v/>
      </c>
      <c r="NG50" s="52">
        <f>COUNTIF(Global!F50:NF50,"RTT")+(COUNTIF(Global!F50:NF50,"dRTT")/2)</f>
        <v>1</v>
      </c>
      <c r="NH50" s="42">
        <f>COUNTIF(Global!F50:NF50,"C")+(COUNTIF(Global!F50:NF50,"DC")/2)</f>
        <v>27</v>
      </c>
      <c r="NI50" s="42">
        <f>COUNTIF(Global!F50:NF50,"M")</f>
        <v>0</v>
      </c>
      <c r="NJ50" s="42">
        <f>COUNTIF(Global!G50:NG50,"AT")</f>
        <v>0</v>
      </c>
      <c r="NK50" s="42">
        <f>COUNTIF(Global!F50:NF50,"RD")</f>
        <v>0</v>
      </c>
      <c r="NL50" s="42">
        <f>COUNTIF(Global!F50:NF50,"RC")+(COUNTIF(Global!F50:NF50,"dRC")/2)</f>
        <v>0</v>
      </c>
      <c r="NM50" s="68">
        <f t="shared" ca="1" si="0"/>
        <v>4.0273972602739727</v>
      </c>
      <c r="NT50" s="33"/>
      <c r="NU50" s="33"/>
      <c r="NV50" s="28"/>
      <c r="NW50" s="28"/>
      <c r="NX50" s="29">
        <f>COUNTIF(F50:NF50,"C")++(COUNTIF(Global!F50:NF50,"DC")/2)</f>
        <v>27</v>
      </c>
      <c r="NY50" s="29"/>
      <c r="NZ50" s="29"/>
      <c r="OA50" s="29"/>
      <c r="OB50" s="29">
        <f>COUNTIF(Global!F50:NF50,"M")</f>
        <v>0</v>
      </c>
      <c r="OC50" s="30">
        <f t="shared" si="1"/>
        <v>-27</v>
      </c>
      <c r="OD50" s="30"/>
    </row>
    <row r="51" spans="1:394" ht="30" customHeight="1" x14ac:dyDescent="0.2">
      <c r="A51" s="17" t="s">
        <v>107</v>
      </c>
      <c r="B51" s="17" t="s">
        <v>254</v>
      </c>
      <c r="C51" s="17" t="s">
        <v>255</v>
      </c>
      <c r="D51" s="17" t="s">
        <v>256</v>
      </c>
      <c r="E51" s="23">
        <v>0</v>
      </c>
      <c r="F51" s="47" t="str">
        <f>IFERROR(VLOOKUP([2]Pointage!J45,Feuil1!$A:$B,2,FALSE),"")</f>
        <v/>
      </c>
      <c r="G51" s="31" t="str">
        <f>IFERROR(VLOOKUP([2]Pointage!K45,Feuil1!$A:$B,2,FALSE),"")</f>
        <v/>
      </c>
      <c r="H51" s="31" t="str">
        <f>IFERROR(VLOOKUP([2]Pointage!L45,Feuil1!$A:$B,2,FALSE),"")</f>
        <v/>
      </c>
      <c r="I51" s="31" t="str">
        <f>IFERROR(VLOOKUP([2]Pointage!M45,Feuil1!$A:$B,2,FALSE),"")</f>
        <v/>
      </c>
      <c r="J51" s="31" t="str">
        <f>IFERROR(VLOOKUP([2]Pointage!N45,Feuil1!$A:$B,2,FALSE),"")</f>
        <v/>
      </c>
      <c r="K51" s="31" t="str">
        <f>IFERROR(VLOOKUP([2]Pointage!O45,Feuil1!$A:$B,2,FALSE),"")</f>
        <v/>
      </c>
      <c r="L51" s="31" t="str">
        <f>IFERROR(VLOOKUP([2]Pointage!P45,Feuil1!$A:$B,2,FALSE),"")</f>
        <v/>
      </c>
      <c r="M51" s="31" t="str">
        <f>IFERROR(VLOOKUP([2]Pointage!Q45,Feuil1!$A:$B,2,FALSE),"")</f>
        <v/>
      </c>
      <c r="N51" s="31" t="str">
        <f>IFERROR(VLOOKUP([2]Pointage!R45,Feuil1!$A:$B,2,FALSE),"")</f>
        <v>M</v>
      </c>
      <c r="O51" s="31" t="str">
        <f>IFERROR(VLOOKUP([2]Pointage!S45,Feuil1!$A:$B,2,FALSE),"")</f>
        <v/>
      </c>
      <c r="P51" s="31" t="str">
        <f>IFERROR(VLOOKUP([2]Pointage!T45,Feuil1!$A:$B,2,FALSE),"")</f>
        <v/>
      </c>
      <c r="Q51" s="31" t="str">
        <f>IFERROR(VLOOKUP([2]Pointage!U45,Feuil1!$A:$B,2,FALSE),"")</f>
        <v/>
      </c>
      <c r="R51" s="31" t="str">
        <f>IFERROR(VLOOKUP([2]Pointage!V45,Feuil1!$A:$B,2,FALSE),"")</f>
        <v/>
      </c>
      <c r="S51" s="31" t="str">
        <f>IFERROR(VLOOKUP([2]Pointage!W45,Feuil1!$A:$B,2,FALSE),"")</f>
        <v/>
      </c>
      <c r="T51" s="31" t="str">
        <f>IFERROR(VLOOKUP([2]Pointage!X45,Feuil1!$A:$B,2,FALSE),"")</f>
        <v/>
      </c>
      <c r="U51" s="31" t="str">
        <f>IFERROR(VLOOKUP([2]Pointage!Y45,Feuil1!$A:$B,2,FALSE),"")</f>
        <v/>
      </c>
      <c r="V51" s="31" t="str">
        <f>IFERROR(VLOOKUP([2]Pointage!Z45,Feuil1!$A:$B,2,FALSE),"")</f>
        <v/>
      </c>
      <c r="W51" s="31" t="str">
        <f>IFERROR(VLOOKUP([2]Pointage!AA45,Feuil1!$A:$B,2,FALSE),"")</f>
        <v/>
      </c>
      <c r="X51" s="31" t="str">
        <f>IFERROR(VLOOKUP([2]Pointage!AB45,Feuil1!$A:$B,2,FALSE),"")</f>
        <v/>
      </c>
      <c r="Y51" s="31" t="str">
        <f>IFERROR(VLOOKUP([2]Pointage!AC45,Feuil1!$A:$B,2,FALSE),"")</f>
        <v/>
      </c>
      <c r="Z51" s="31" t="str">
        <f>IFERROR(VLOOKUP([2]Pointage!AD45,Feuil1!$A:$B,2,FALSE),"")</f>
        <v/>
      </c>
      <c r="AA51" s="31" t="str">
        <f>IFERROR(VLOOKUP([2]Pointage!AE45,Feuil1!$A:$B,2,FALSE),"")</f>
        <v/>
      </c>
      <c r="AB51" s="31" t="str">
        <f>IFERROR(VLOOKUP([2]Pointage!AF45,Feuil1!$A:$B,2,FALSE),"")</f>
        <v/>
      </c>
      <c r="AC51" s="31" t="str">
        <f>IFERROR(VLOOKUP([2]Pointage!AG45,Feuil1!$A:$B,2,FALSE),"")</f>
        <v/>
      </c>
      <c r="AD51" s="31" t="str">
        <f>IFERROR(VLOOKUP([2]Pointage!AH45,Feuil1!$A:$B,2,FALSE),"")</f>
        <v/>
      </c>
      <c r="AE51" s="31" t="str">
        <f>IFERROR(VLOOKUP([2]Pointage!AI45,Feuil1!$A:$B,2,FALSE),"")</f>
        <v/>
      </c>
      <c r="AF51" s="31" t="str">
        <f>IFERROR(VLOOKUP([2]Pointage!AJ45,Feuil1!$A:$B,2,FALSE),"")</f>
        <v/>
      </c>
      <c r="AG51" s="31" t="str">
        <f>IFERROR(VLOOKUP([2]Pointage!AK45,Feuil1!$A:$B,2,FALSE),"")</f>
        <v/>
      </c>
      <c r="AH51" s="31" t="str">
        <f>IFERROR(VLOOKUP([2]Pointage!AL45,Feuil1!$A:$B,2,FALSE),"")</f>
        <v/>
      </c>
      <c r="AI51" s="31" t="str">
        <f>IFERROR(VLOOKUP([2]Pointage!AM45,Feuil1!$A:$B,2,FALSE),"")</f>
        <v/>
      </c>
      <c r="AJ51" s="82" t="str">
        <f>IFERROR(VLOOKUP([2]Pointage!AN45,Feuil1!$A:$B,2,FALSE),"")</f>
        <v/>
      </c>
      <c r="AK51" s="47" t="str">
        <f>IFERROR(VLOOKUP([2]Pointage!AO45,Feuil1!$A:$B,2,FALSE),"")</f>
        <v/>
      </c>
      <c r="AL51" s="31" t="str">
        <f>IFERROR(VLOOKUP([2]Pointage!AP45,Feuil1!$A:$B,2,FALSE),"")</f>
        <v/>
      </c>
      <c r="AM51" s="31" t="str">
        <f>IFERROR(VLOOKUP([2]Pointage!AQ45,Feuil1!$A:$B,2,FALSE),"")</f>
        <v/>
      </c>
      <c r="AN51" s="31" t="str">
        <f>IFERROR(VLOOKUP([2]Pointage!AR45,Feuil1!$A:$B,2,FALSE),"")</f>
        <v/>
      </c>
      <c r="AO51" s="31" t="str">
        <f>IFERROR(VLOOKUP([2]Pointage!AS45,Feuil1!$A:$B,2,FALSE),"")</f>
        <v>C</v>
      </c>
      <c r="AP51" s="31" t="str">
        <f>IFERROR(VLOOKUP([2]Pointage!AT45,Feuil1!$A:$B,2,FALSE),"")</f>
        <v>C</v>
      </c>
      <c r="AQ51" s="31" t="str">
        <f>IFERROR(VLOOKUP([2]Pointage!AU45,Feuil1!$A:$B,2,FALSE),"")</f>
        <v>C</v>
      </c>
      <c r="AR51" s="31" t="str">
        <f>IFERROR(VLOOKUP([2]Pointage!AV45,Feuil1!$A:$B,2,FALSE),"")</f>
        <v>C</v>
      </c>
      <c r="AS51" s="31" t="str">
        <f>IFERROR(VLOOKUP([2]Pointage!AW45,Feuil1!$A:$B,2,FALSE),"")</f>
        <v>C</v>
      </c>
      <c r="AT51" s="31" t="str">
        <f>IFERROR(VLOOKUP([2]Pointage!AX45,Feuil1!$A:$B,2,FALSE),"")</f>
        <v/>
      </c>
      <c r="AU51" s="31" t="str">
        <f>IFERROR(VLOOKUP([2]Pointage!AY45,Feuil1!$A:$B,2,FALSE),"")</f>
        <v/>
      </c>
      <c r="AV51" s="31" t="str">
        <f>IFERROR(VLOOKUP([2]Pointage!AZ45,Feuil1!$A:$B,2,FALSE),"")</f>
        <v/>
      </c>
      <c r="AW51" s="31" t="str">
        <f>IFERROR(VLOOKUP([2]Pointage!BA45,Feuil1!$A:$B,2,FALSE),"")</f>
        <v/>
      </c>
      <c r="AX51" s="31" t="str">
        <f>IFERROR(VLOOKUP([2]Pointage!BB45,Feuil1!$A:$B,2,FALSE),"")</f>
        <v/>
      </c>
      <c r="AY51" s="31" t="str">
        <f>IFERROR(VLOOKUP([2]Pointage!BC45,Feuil1!$A:$B,2,FALSE),"")</f>
        <v/>
      </c>
      <c r="AZ51" s="31" t="str">
        <f>IFERROR(VLOOKUP([2]Pointage!BD45,Feuil1!$A:$B,2,FALSE),"")</f>
        <v/>
      </c>
      <c r="BA51" s="31" t="str">
        <f>IFERROR(VLOOKUP([2]Pointage!BE45,Feuil1!$A:$B,2,FALSE),"")</f>
        <v/>
      </c>
      <c r="BB51" s="31" t="str">
        <f>IFERROR(VLOOKUP([2]Pointage!BF45,Feuil1!$A:$B,2,FALSE),"")</f>
        <v/>
      </c>
      <c r="BC51" s="31" t="str">
        <f>IFERROR(VLOOKUP([2]Pointage!BG45,Feuil1!$A:$B,2,FALSE),"")</f>
        <v/>
      </c>
      <c r="BD51" s="31" t="str">
        <f>IFERROR(VLOOKUP([2]Pointage!BH45,Feuil1!$A:$B,2,FALSE),"")</f>
        <v/>
      </c>
      <c r="BE51" s="31" t="str">
        <f>IFERROR(VLOOKUP([2]Pointage!BI45,Feuil1!$A:$B,2,FALSE),"")</f>
        <v/>
      </c>
      <c r="BF51" s="31" t="str">
        <f>IFERROR(VLOOKUP([2]Pointage!BJ45,Feuil1!$A:$B,2,FALSE),"")</f>
        <v/>
      </c>
      <c r="BG51" s="31" t="str">
        <f>IFERROR(VLOOKUP([2]Pointage!BK45,Feuil1!$A:$B,2,FALSE),"")</f>
        <v/>
      </c>
      <c r="BH51" s="31" t="str">
        <f>IFERROR(VLOOKUP([2]Pointage!BL45,Feuil1!$A:$B,2,FALSE),"")</f>
        <v/>
      </c>
      <c r="BI51" s="31" t="str">
        <f>IFERROR(VLOOKUP([2]Pointage!BM45,Feuil1!$A:$B,2,FALSE),"")</f>
        <v/>
      </c>
      <c r="BJ51" s="31" t="str">
        <f>IFERROR(VLOOKUP([2]Pointage!BN45,Feuil1!$A:$B,2,FALSE),"")</f>
        <v/>
      </c>
      <c r="BK51" s="31" t="str">
        <f>IFERROR(VLOOKUP([2]Pointage!BO45,Feuil1!$A:$B,2,FALSE),"")</f>
        <v/>
      </c>
      <c r="BL51" s="82" t="str">
        <f>IFERROR(VLOOKUP([2]Pointage!BP45,Feuil1!$A:$B,2,FALSE),"")</f>
        <v/>
      </c>
      <c r="BM51" s="47" t="str">
        <f>IFERROR(VLOOKUP([2]Pointage!BQ45,Feuil1!$A:$B,2,FALSE),"")</f>
        <v>C</v>
      </c>
      <c r="BN51" s="31" t="str">
        <f>IFERROR(VLOOKUP([2]Pointage!BR45,Feuil1!$A:$B,2,FALSE),"")</f>
        <v/>
      </c>
      <c r="BO51" s="31" t="str">
        <f>IFERROR(VLOOKUP([2]Pointage!BS45,Feuil1!$A:$B,2,FALSE),"")</f>
        <v/>
      </c>
      <c r="BP51" s="31" t="str">
        <f>IFERROR(VLOOKUP([2]Pointage!BT45,Feuil1!$A:$B,2,FALSE),"")</f>
        <v/>
      </c>
      <c r="BQ51" s="31" t="str">
        <f>IFERROR(VLOOKUP([2]Pointage!BU45,Feuil1!$A:$B,2,FALSE),"")</f>
        <v>C</v>
      </c>
      <c r="BR51" s="31" t="str">
        <f>IFERROR(VLOOKUP([2]Pointage!BV45,Feuil1!$A:$B,2,FALSE),"")</f>
        <v>C</v>
      </c>
      <c r="BS51" s="31" t="str">
        <f>IFERROR(VLOOKUP([2]Pointage!BW45,Feuil1!$A:$B,2,FALSE),"")</f>
        <v>C</v>
      </c>
      <c r="BT51" s="31" t="str">
        <f>IFERROR(VLOOKUP([2]Pointage!BX45,Feuil1!$A:$B,2,FALSE),"")</f>
        <v>C</v>
      </c>
      <c r="BU51" s="31" t="str">
        <f>IFERROR(VLOOKUP([2]Pointage!BY45,Feuil1!$A:$B,2,FALSE),"")</f>
        <v>C</v>
      </c>
      <c r="BV51" s="31" t="str">
        <f>IFERROR(VLOOKUP([2]Pointage!BZ45,Feuil1!$A:$B,2,FALSE),"")</f>
        <v/>
      </c>
      <c r="BW51" s="31" t="str">
        <f>IFERROR(VLOOKUP([2]Pointage!CA45,Feuil1!$A:$B,2,FALSE),"")</f>
        <v/>
      </c>
      <c r="BX51" s="31" t="str">
        <f>IFERROR(VLOOKUP([2]Pointage!CB45,Feuil1!$A:$B,2,FALSE),"")</f>
        <v/>
      </c>
      <c r="BY51" s="31" t="str">
        <f>IFERROR(VLOOKUP([2]Pointage!CC45,Feuil1!$A:$B,2,FALSE),"")</f>
        <v/>
      </c>
      <c r="BZ51" s="31" t="str">
        <f>IFERROR(VLOOKUP([2]Pointage!CD45,Feuil1!$A:$B,2,FALSE),"")</f>
        <v/>
      </c>
      <c r="CA51" s="31" t="str">
        <f>IFERROR(VLOOKUP([2]Pointage!CE45,Feuil1!$A:$B,2,FALSE),"")</f>
        <v/>
      </c>
      <c r="CB51" s="31" t="str">
        <f>IFERROR(VLOOKUP([2]Pointage!CF45,Feuil1!$A:$B,2,FALSE),"")</f>
        <v/>
      </c>
      <c r="CC51" s="31" t="str">
        <f>IFERROR(VLOOKUP([2]Pointage!CG45,Feuil1!$A:$B,2,FALSE),"")</f>
        <v/>
      </c>
      <c r="CD51" s="31" t="str">
        <f>IFERROR(VLOOKUP([2]Pointage!CH45,Feuil1!$A:$B,2,FALSE),"")</f>
        <v/>
      </c>
      <c r="CE51" s="31" t="str">
        <f>IFERROR(VLOOKUP([2]Pointage!CI45,Feuil1!$A:$B,2,FALSE),"")</f>
        <v/>
      </c>
      <c r="CF51" s="31" t="str">
        <f>IFERROR(VLOOKUP([2]Pointage!CJ45,Feuil1!$A:$B,2,FALSE),"")</f>
        <v/>
      </c>
      <c r="CG51" s="31" t="str">
        <f>IFERROR(VLOOKUP([2]Pointage!CK45,Feuil1!$A:$B,2,FALSE),"")</f>
        <v/>
      </c>
      <c r="CH51" s="31" t="str">
        <f>IFERROR(VLOOKUP([2]Pointage!CL45,Feuil1!$A:$B,2,FALSE),"")</f>
        <v/>
      </c>
      <c r="CI51" s="31" t="str">
        <f>IFERROR(VLOOKUP([2]Pointage!CM45,Feuil1!$A:$B,2,FALSE),"")</f>
        <v/>
      </c>
      <c r="CJ51" s="31" t="str">
        <f>IFERROR(VLOOKUP([2]Pointage!CN45,Feuil1!$A:$B,2,FALSE),"")</f>
        <v/>
      </c>
      <c r="CK51" s="31" t="str">
        <f>IFERROR(VLOOKUP([2]Pointage!CO45,Feuil1!$A:$B,2,FALSE),"")</f>
        <v/>
      </c>
      <c r="CL51" s="31" t="str">
        <f>IFERROR(VLOOKUP([2]Pointage!CP45,Feuil1!$A:$B,2,FALSE),"")</f>
        <v/>
      </c>
      <c r="CM51" s="31" t="str">
        <f>IFERROR(VLOOKUP([2]Pointage!CQ45,Feuil1!$A:$B,2,FALSE),"")</f>
        <v/>
      </c>
      <c r="CN51" s="31" t="str">
        <f>IFERROR(VLOOKUP([2]Pointage!CR45,Feuil1!$A:$B,2,FALSE),"")</f>
        <v/>
      </c>
      <c r="CO51" s="31" t="str">
        <f>IFERROR(VLOOKUP([2]Pointage!CS45,Feuil1!$A:$B,2,FALSE),"")</f>
        <v/>
      </c>
      <c r="CP51" s="31" t="str">
        <f>IFERROR(VLOOKUP([2]Pointage!CT45,Feuil1!$A:$B,2,FALSE),"")</f>
        <v/>
      </c>
      <c r="CQ51" s="82" t="str">
        <f>IFERROR(VLOOKUP([2]Pointage!CU45,Feuil1!$A:$B,2,FALSE),"")</f>
        <v/>
      </c>
      <c r="CR51" s="47" t="str">
        <f>IFERROR(VLOOKUP([2]Pointage!CV45,Feuil1!$A:$B,2,FALSE),"")</f>
        <v/>
      </c>
      <c r="CS51" s="31" t="str">
        <f>IFERROR(VLOOKUP([2]Pointage!CW45,Feuil1!$A:$B,2,FALSE),"")</f>
        <v/>
      </c>
      <c r="CT51" s="31" t="str">
        <f>IFERROR(VLOOKUP([2]Pointage!CX45,Feuil1!$A:$B,2,FALSE),"")</f>
        <v>C</v>
      </c>
      <c r="CU51" s="31" t="str">
        <f>IFERROR(VLOOKUP([2]Pointage!CY45,Feuil1!$A:$B,2,FALSE),"")</f>
        <v>C</v>
      </c>
      <c r="CV51" s="31" t="str">
        <f>IFERROR(VLOOKUP([2]Pointage!CZ45,Feuil1!$A:$B,2,FALSE),"")</f>
        <v>C</v>
      </c>
      <c r="CW51" s="31" t="str">
        <f>IFERROR(VLOOKUP([2]Pointage!DA45,Feuil1!$A:$B,2,FALSE),"")</f>
        <v>C</v>
      </c>
      <c r="CX51" s="31" t="str">
        <f>IFERROR(VLOOKUP([2]Pointage!DB45,Feuil1!$A:$B,2,FALSE),"")</f>
        <v/>
      </c>
      <c r="CY51" s="31" t="str">
        <f>IFERROR(VLOOKUP([2]Pointage!DC45,Feuil1!$A:$B,2,FALSE),"")</f>
        <v/>
      </c>
      <c r="CZ51" s="31" t="str">
        <f>IFERROR(VLOOKUP([2]Pointage!DD45,Feuil1!$A:$B,2,FALSE),"")</f>
        <v/>
      </c>
      <c r="DA51" s="31" t="str">
        <f>IFERROR(VLOOKUP([2]Pointage!DE45,Feuil1!$A:$B,2,FALSE),"")</f>
        <v/>
      </c>
      <c r="DB51" s="31" t="str">
        <f>IFERROR(VLOOKUP([2]Pointage!DF45,Feuil1!$A:$B,2,FALSE),"")</f>
        <v/>
      </c>
      <c r="DC51" s="31" t="str">
        <f>IFERROR(VLOOKUP([2]Pointage!DG45,Feuil1!$A:$B,2,FALSE),"")</f>
        <v/>
      </c>
      <c r="DD51" s="31" t="str">
        <f>IFERROR(VLOOKUP([2]Pointage!DH45,Feuil1!$A:$B,2,FALSE),"")</f>
        <v/>
      </c>
      <c r="DE51" s="31" t="str">
        <f>IFERROR(VLOOKUP([2]Pointage!DI45,Feuil1!$A:$B,2,FALSE),"")</f>
        <v/>
      </c>
      <c r="DF51" s="31" t="str">
        <f>IFERROR(VLOOKUP([2]Pointage!DJ45,Feuil1!$A:$B,2,FALSE),"")</f>
        <v/>
      </c>
      <c r="DG51" s="31" t="str">
        <f>IFERROR(VLOOKUP([2]Pointage!DK45,Feuil1!$A:$B,2,FALSE),"")</f>
        <v/>
      </c>
      <c r="DH51" s="31" t="str">
        <f>IFERROR(VLOOKUP([2]Pointage!DL45,Feuil1!$A:$B,2,FALSE),"")</f>
        <v/>
      </c>
      <c r="DI51" s="31" t="str">
        <f>IFERROR(VLOOKUP([2]Pointage!DM45,Feuil1!$A:$B,2,FALSE),"")</f>
        <v/>
      </c>
      <c r="DJ51" s="31" t="str">
        <f>IFERROR(VLOOKUP([2]Pointage!DN45,Feuil1!$A:$B,2,FALSE),"")</f>
        <v/>
      </c>
      <c r="DK51" s="31" t="str">
        <f>IFERROR(VLOOKUP([2]Pointage!DO45,Feuil1!$A:$B,2,FALSE),"")</f>
        <v/>
      </c>
      <c r="DL51" s="31" t="str">
        <f>IFERROR(VLOOKUP([2]Pointage!DP45,Feuil1!$A:$B,2,FALSE),"")</f>
        <v/>
      </c>
      <c r="DM51" s="31" t="str">
        <f>IFERROR(VLOOKUP([2]Pointage!DQ45,Feuil1!$A:$B,2,FALSE),"")</f>
        <v/>
      </c>
      <c r="DN51" s="31" t="str">
        <f>IFERROR(VLOOKUP([2]Pointage!DR45,Feuil1!$A:$B,2,FALSE),"")</f>
        <v/>
      </c>
      <c r="DO51" s="31" t="str">
        <f>IFERROR(VLOOKUP([2]Pointage!DS45,Feuil1!$A:$B,2,FALSE),"")</f>
        <v/>
      </c>
      <c r="DP51" s="31" t="str">
        <f>IFERROR(VLOOKUP([2]Pointage!DT45,Feuil1!$A:$B,2,FALSE),"")</f>
        <v/>
      </c>
      <c r="DQ51" s="31" t="str">
        <f>IFERROR(VLOOKUP([2]Pointage!DU45,Feuil1!$A:$B,2,FALSE),"")</f>
        <v/>
      </c>
      <c r="DR51" s="31" t="str">
        <f>IFERROR(VLOOKUP([2]Pointage!DV45,Feuil1!$A:$B,2,FALSE),"")</f>
        <v/>
      </c>
      <c r="DS51" s="31" t="str">
        <f>IFERROR(VLOOKUP([2]Pointage!DW45,Feuil1!$A:$B,2,FALSE),"")</f>
        <v/>
      </c>
      <c r="DT51" s="31" t="str">
        <f>IFERROR(VLOOKUP([2]Pointage!DX45,Feuil1!$A:$B,2,FALSE),"")</f>
        <v/>
      </c>
      <c r="DU51" s="82" t="str">
        <f>IFERROR(VLOOKUP([2]Pointage!DY45,Feuil1!$A:$B,2,FALSE),"")</f>
        <v>C</v>
      </c>
      <c r="DV51" s="47" t="str">
        <f>IFERROR(VLOOKUP([2]Pointage!DZ45,Feuil1!$A:$B,2,FALSE),"")</f>
        <v/>
      </c>
      <c r="DW51" s="31" t="str">
        <f>IFERROR(VLOOKUP([2]Pointage!EA45,Feuil1!$A:$B,2,FALSE),"")</f>
        <v>C</v>
      </c>
      <c r="DX51" s="31" t="str">
        <f>IFERROR(VLOOKUP([2]Pointage!EB45,Feuil1!$A:$B,2,FALSE),"")</f>
        <v>C</v>
      </c>
      <c r="DY51" s="31" t="str">
        <f>IFERROR(VLOOKUP([2]Pointage!EC45,Feuil1!$A:$B,2,FALSE),"")</f>
        <v>C</v>
      </c>
      <c r="DZ51" s="31" t="str">
        <f>IFERROR(VLOOKUP([2]Pointage!ED45,Feuil1!$A:$B,2,FALSE),"")</f>
        <v/>
      </c>
      <c r="EA51" s="31" t="str">
        <f>IFERROR(VLOOKUP([2]Pointage!EE45,Feuil1!$A:$B,2,FALSE),"")</f>
        <v/>
      </c>
      <c r="EB51" s="31" t="str">
        <f>IFERROR(VLOOKUP([2]Pointage!EF45,Feuil1!$A:$B,2,FALSE),"")</f>
        <v>C</v>
      </c>
      <c r="EC51" s="31" t="str">
        <f>IFERROR(VLOOKUP([2]Pointage!EG45,Feuil1!$A:$B,2,FALSE),"")</f>
        <v/>
      </c>
      <c r="ED51" s="31" t="str">
        <f>IFERROR(VLOOKUP([2]Pointage!EH45,Feuil1!$A:$B,2,FALSE),"")</f>
        <v>C</v>
      </c>
      <c r="EE51" s="31" t="str">
        <f>IFERROR(VLOOKUP([2]Pointage!EI45,Feuil1!$A:$B,2,FALSE),"")</f>
        <v/>
      </c>
      <c r="EF51" s="31" t="str">
        <f>IFERROR(VLOOKUP([2]Pointage!EJ45,Feuil1!$A:$B,2,FALSE),"")</f>
        <v>C</v>
      </c>
      <c r="EG51" s="31" t="str">
        <f>IFERROR(VLOOKUP([2]Pointage!EK45,Feuil1!$A:$B,2,FALSE),"")</f>
        <v/>
      </c>
      <c r="EH51" s="31" t="str">
        <f>IFERROR(VLOOKUP([2]Pointage!EL45,Feuil1!$A:$B,2,FALSE),"")</f>
        <v/>
      </c>
      <c r="EI51" s="31" t="str">
        <f>IFERROR(VLOOKUP([2]Pointage!EM45,Feuil1!$A:$B,2,FALSE),"")</f>
        <v/>
      </c>
      <c r="EJ51" s="31" t="str">
        <f>IFERROR(VLOOKUP([2]Pointage!EN45,Feuil1!$A:$B,2,FALSE),"")</f>
        <v/>
      </c>
      <c r="EK51" s="31" t="str">
        <f>IFERROR(VLOOKUP([2]Pointage!EO45,Feuil1!$A:$B,2,FALSE),"")</f>
        <v/>
      </c>
      <c r="EL51" s="31" t="str">
        <f>IFERROR(VLOOKUP([2]Pointage!EP45,Feuil1!$A:$B,2,FALSE),"")</f>
        <v/>
      </c>
      <c r="EM51" s="31" t="str">
        <f>IFERROR(VLOOKUP([2]Pointage!EQ45,Feuil1!$A:$B,2,FALSE),"")</f>
        <v/>
      </c>
      <c r="EN51" s="31" t="str">
        <f>IFERROR(VLOOKUP([2]Pointage!ER45,Feuil1!$A:$B,2,FALSE),"")</f>
        <v/>
      </c>
      <c r="EO51" s="31" t="str">
        <f>IFERROR(VLOOKUP([2]Pointage!ES45,Feuil1!$A:$B,2,FALSE),"")</f>
        <v/>
      </c>
      <c r="EP51" s="31" t="str">
        <f>IFERROR(VLOOKUP([2]Pointage!ET45,Feuil1!$A:$B,2,FALSE),"")</f>
        <v>RTT</v>
      </c>
      <c r="EQ51" s="31" t="str">
        <f>IFERROR(VLOOKUP([2]Pointage!EU45,Feuil1!$A:$B,2,FALSE),"")</f>
        <v/>
      </c>
      <c r="ER51" s="31" t="str">
        <f>IFERROR(VLOOKUP([2]Pointage!EV45,Feuil1!$A:$B,2,FALSE),"")</f>
        <v/>
      </c>
      <c r="ES51" s="31" t="str">
        <f>IFERROR(VLOOKUP([2]Pointage!EW45,Feuil1!$A:$B,2,FALSE),"")</f>
        <v/>
      </c>
      <c r="ET51" s="31" t="str">
        <f>IFERROR(VLOOKUP([2]Pointage!EX45,Feuil1!$A:$B,2,FALSE),"")</f>
        <v/>
      </c>
      <c r="EU51" s="31" t="str">
        <f>IFERROR(VLOOKUP([2]Pointage!EY45,Feuil1!$A:$B,2,FALSE),"")</f>
        <v/>
      </c>
      <c r="EV51" s="31" t="str">
        <f>IFERROR(VLOOKUP([2]Pointage!EZ45,Feuil1!$A:$B,2,FALSE),"")</f>
        <v/>
      </c>
      <c r="EW51" s="31" t="str">
        <f>IFERROR(VLOOKUP([2]Pointage!FA45,Feuil1!$A:$B,2,FALSE),"")</f>
        <v/>
      </c>
      <c r="EX51" s="31" t="str">
        <f>IFERROR(VLOOKUP([2]Pointage!FB45,Feuil1!$A:$B,2,FALSE),"")</f>
        <v/>
      </c>
      <c r="EY51" s="31" t="str">
        <f>IFERROR(VLOOKUP([2]Pointage!FC45,Feuil1!$A:$B,2,FALSE),"")</f>
        <v/>
      </c>
      <c r="EZ51" s="82" t="str">
        <f>IFERROR(VLOOKUP([2]Pointage!FD45,Feuil1!$A:$B,2,FALSE),"")</f>
        <v/>
      </c>
      <c r="FA51" s="47" t="str">
        <f>IFERROR(VLOOKUP([2]Pointage!FE45,Feuil1!$A:$B,2,FALSE),"")</f>
        <v/>
      </c>
      <c r="FB51" s="31" t="str">
        <f>IFERROR(VLOOKUP([2]Pointage!FF45,Feuil1!$A:$B,2,FALSE),"")</f>
        <v/>
      </c>
      <c r="FC51" s="31" t="str">
        <f>IFERROR(VLOOKUP([2]Pointage!FG45,Feuil1!$A:$B,2,FALSE),"")</f>
        <v/>
      </c>
      <c r="FD51" s="31" t="str">
        <f>IFERROR(VLOOKUP([2]Pointage!FH45,Feuil1!$A:$B,2,FALSE),"")</f>
        <v/>
      </c>
      <c r="FE51" s="31" t="str">
        <f>IFERROR(VLOOKUP([2]Pointage!FI45,Feuil1!$A:$B,2,FALSE),"")</f>
        <v/>
      </c>
      <c r="FF51" s="31" t="str">
        <f>IFERROR(VLOOKUP([2]Pointage!FJ45,Feuil1!$A:$B,2,FALSE),"")</f>
        <v/>
      </c>
      <c r="FG51" s="31" t="str">
        <f>IFERROR(VLOOKUP([2]Pointage!FK45,Feuil1!$A:$B,2,FALSE),"")</f>
        <v/>
      </c>
      <c r="FH51" s="31" t="str">
        <f>IFERROR(VLOOKUP([2]Pointage!FL45,Feuil1!$A:$B,2,FALSE),"")</f>
        <v/>
      </c>
      <c r="FI51" s="31" t="str">
        <f>IFERROR(VLOOKUP([2]Pointage!FM45,Feuil1!$A:$B,2,FALSE),"")</f>
        <v/>
      </c>
      <c r="FJ51" s="31" t="str">
        <f>IFERROR(VLOOKUP([2]Pointage!FN45,Feuil1!$A:$B,2,FALSE),"")</f>
        <v/>
      </c>
      <c r="FK51" s="31" t="str">
        <f>IFERROR(VLOOKUP([2]Pointage!FO45,Feuil1!$A:$B,2,FALSE),"")</f>
        <v/>
      </c>
      <c r="FL51" s="31" t="str">
        <f>IFERROR(VLOOKUP([2]Pointage!FP45,Feuil1!$A:$B,2,FALSE),"")</f>
        <v/>
      </c>
      <c r="FM51" s="31" t="str">
        <f>IFERROR(VLOOKUP([2]Pointage!FQ45,Feuil1!$A:$B,2,FALSE),"")</f>
        <v/>
      </c>
      <c r="FN51" s="31" t="str">
        <f>IFERROR(VLOOKUP([2]Pointage!FR45,Feuil1!$A:$B,2,FALSE),"")</f>
        <v/>
      </c>
      <c r="FO51" s="31" t="str">
        <f>IFERROR(VLOOKUP([2]Pointage!FS45,Feuil1!$A:$B,2,FALSE),"")</f>
        <v/>
      </c>
      <c r="FP51" s="31" t="str">
        <f>IFERROR(VLOOKUP([2]Pointage!FT45,Feuil1!$A:$B,2,FALSE),"")</f>
        <v/>
      </c>
      <c r="FQ51" s="31" t="str">
        <f>IFERROR(VLOOKUP([2]Pointage!FU45,Feuil1!$A:$B,2,FALSE),"")</f>
        <v/>
      </c>
      <c r="FR51" s="31" t="str">
        <f>IFERROR(VLOOKUP([2]Pointage!FV45,Feuil1!$A:$B,2,FALSE),"")</f>
        <v/>
      </c>
      <c r="FS51" s="31" t="str">
        <f>IFERROR(VLOOKUP([2]Pointage!FW45,Feuil1!$A:$B,2,FALSE),"")</f>
        <v/>
      </c>
      <c r="FT51" s="31" t="str">
        <f>IFERROR(VLOOKUP([2]Pointage!FX45,Feuil1!$A:$B,2,FALSE),"")</f>
        <v/>
      </c>
      <c r="FU51" s="31" t="str">
        <f>IFERROR(VLOOKUP([2]Pointage!FY45,Feuil1!$A:$B,2,FALSE),"")</f>
        <v/>
      </c>
      <c r="FV51" s="31" t="str">
        <f>IFERROR(VLOOKUP([2]Pointage!FZ45,Feuil1!$A:$B,2,FALSE),"")</f>
        <v/>
      </c>
      <c r="FW51" s="31" t="str">
        <f>IFERROR(VLOOKUP([2]Pointage!GA45,Feuil1!$A:$B,2,FALSE),"")</f>
        <v/>
      </c>
      <c r="FX51" s="31" t="str">
        <f>IFERROR(VLOOKUP([2]Pointage!GB45,Feuil1!$A:$B,2,FALSE),"")</f>
        <v/>
      </c>
      <c r="FY51" s="31" t="str">
        <f>IFERROR(VLOOKUP([2]Pointage!GC45,Feuil1!$A:$B,2,FALSE),"")</f>
        <v/>
      </c>
      <c r="FZ51" s="31" t="str">
        <f>IFERROR(VLOOKUP([2]Pointage!GD45,Feuil1!$A:$B,2,FALSE),"")</f>
        <v/>
      </c>
      <c r="GA51" s="31" t="str">
        <f>IFERROR(VLOOKUP([2]Pointage!GE45,Feuil1!$A:$B,2,FALSE),"")</f>
        <v/>
      </c>
      <c r="GB51" s="31" t="str">
        <f>IFERROR(VLOOKUP([2]Pointage!GF45,Feuil1!$A:$B,2,FALSE),"")</f>
        <v/>
      </c>
      <c r="GC51" s="31" t="str">
        <f>IFERROR(VLOOKUP([2]Pointage!GG45,Feuil1!$A:$B,2,FALSE),"")</f>
        <v/>
      </c>
      <c r="GD51" s="82" t="str">
        <f>IFERROR(VLOOKUP([2]Pointage!GH45,Feuil1!$A:$B,2,FALSE),"")</f>
        <v/>
      </c>
      <c r="GE51" s="47" t="str">
        <f>IFERROR(VLOOKUP([2]Pointage!GI45,Feuil1!$A:$B,2,FALSE),"")</f>
        <v/>
      </c>
      <c r="GF51" s="31" t="str">
        <f>IFERROR(VLOOKUP([2]Pointage!GJ45,Feuil1!$A:$B,2,FALSE),"")</f>
        <v/>
      </c>
      <c r="GG51" s="31" t="str">
        <f>IFERROR(VLOOKUP([2]Pointage!GK45,Feuil1!$A:$B,2,FALSE),"")</f>
        <v/>
      </c>
      <c r="GH51" s="31" t="str">
        <f>IFERROR(VLOOKUP([2]Pointage!GL45,Feuil1!$A:$B,2,FALSE),"")</f>
        <v/>
      </c>
      <c r="GI51" s="31" t="str">
        <f>IFERROR(VLOOKUP([2]Pointage!GM45,Feuil1!$A:$B,2,FALSE),"")</f>
        <v/>
      </c>
      <c r="GJ51" s="31" t="str">
        <f>IFERROR(VLOOKUP([2]Pointage!GN45,Feuil1!$A:$B,2,FALSE),"")</f>
        <v/>
      </c>
      <c r="GK51" s="31" t="str">
        <f>IFERROR(VLOOKUP([2]Pointage!GO45,Feuil1!$A:$B,2,FALSE),"")</f>
        <v/>
      </c>
      <c r="GL51" s="31" t="str">
        <f>IFERROR(VLOOKUP([2]Pointage!GP45,Feuil1!$A:$B,2,FALSE),"")</f>
        <v/>
      </c>
      <c r="GM51" s="31" t="str">
        <f>IFERROR(VLOOKUP([2]Pointage!GQ45,Feuil1!$A:$B,2,FALSE),"")</f>
        <v/>
      </c>
      <c r="GN51" s="31" t="str">
        <f>IFERROR(VLOOKUP([2]Pointage!GR45,Feuil1!$A:$B,2,FALSE),"")</f>
        <v/>
      </c>
      <c r="GO51" s="31" t="str">
        <f>IFERROR(VLOOKUP([2]Pointage!GS45,Feuil1!$A:$B,2,FALSE),"")</f>
        <v/>
      </c>
      <c r="GP51" s="31" t="str">
        <f>IFERROR(VLOOKUP([2]Pointage!GT45,Feuil1!$A:$B,2,FALSE),"")</f>
        <v/>
      </c>
      <c r="GQ51" s="31" t="str">
        <f>IFERROR(VLOOKUP([2]Pointage!GU45,Feuil1!$A:$B,2,FALSE),"")</f>
        <v/>
      </c>
      <c r="GR51" s="31" t="str">
        <f>IFERROR(VLOOKUP([2]Pointage!GV45,Feuil1!$A:$B,2,FALSE),"")</f>
        <v/>
      </c>
      <c r="GS51" s="31" t="str">
        <f>IFERROR(VLOOKUP([2]Pointage!GW45,Feuil1!$A:$B,2,FALSE),"")</f>
        <v/>
      </c>
      <c r="GT51" s="31" t="str">
        <f>IFERROR(VLOOKUP([2]Pointage!GX45,Feuil1!$A:$B,2,FALSE),"")</f>
        <v/>
      </c>
      <c r="GU51" s="31" t="str">
        <f>IFERROR(VLOOKUP([2]Pointage!GY45,Feuil1!$A:$B,2,FALSE),"")</f>
        <v/>
      </c>
      <c r="GV51" s="31" t="str">
        <f>IFERROR(VLOOKUP([2]Pointage!GZ45,Feuil1!$A:$B,2,FALSE),"")</f>
        <v/>
      </c>
      <c r="GW51" s="31" t="str">
        <f>IFERROR(VLOOKUP([2]Pointage!HA45,Feuil1!$A:$B,2,FALSE),"")</f>
        <v/>
      </c>
      <c r="GX51" s="31" t="str">
        <f>IFERROR(VLOOKUP([2]Pointage!HB45,Feuil1!$A:$B,2,FALSE),"")</f>
        <v/>
      </c>
      <c r="GY51" s="31" t="str">
        <f>IFERROR(VLOOKUP([2]Pointage!HC45,Feuil1!$A:$B,2,FALSE),"")</f>
        <v/>
      </c>
      <c r="GZ51" s="31" t="str">
        <f>IFERROR(VLOOKUP([2]Pointage!HD45,Feuil1!$A:$B,2,FALSE),"")</f>
        <v/>
      </c>
      <c r="HA51" s="31" t="str">
        <f>IFERROR(VLOOKUP([2]Pointage!HE45,Feuil1!$A:$B,2,FALSE),"")</f>
        <v/>
      </c>
      <c r="HB51" s="31" t="str">
        <f>IFERROR(VLOOKUP([2]Pointage!HF45,Feuil1!$A:$B,2,FALSE),"")</f>
        <v/>
      </c>
      <c r="HC51" s="31" t="str">
        <f>IFERROR(VLOOKUP([2]Pointage!HG45,Feuil1!$A:$B,2,FALSE),"")</f>
        <v/>
      </c>
      <c r="HD51" s="31" t="str">
        <f>IFERROR(VLOOKUP([2]Pointage!HH45,Feuil1!$A:$B,2,FALSE),"")</f>
        <v/>
      </c>
      <c r="HE51" s="31" t="str">
        <f>IFERROR(VLOOKUP([2]Pointage!HI45,Feuil1!$A:$B,2,FALSE),"")</f>
        <v/>
      </c>
      <c r="HF51" s="31" t="str">
        <f>IFERROR(VLOOKUP([2]Pointage!HJ45,Feuil1!$A:$B,2,FALSE),"")</f>
        <v/>
      </c>
      <c r="HG51" s="31" t="str">
        <f>IFERROR(VLOOKUP([2]Pointage!HK45,Feuil1!$A:$B,2,FALSE),"")</f>
        <v/>
      </c>
      <c r="HH51" s="31" t="str">
        <f>IFERROR(VLOOKUP([2]Pointage!HL45,Feuil1!$A:$B,2,FALSE),"")</f>
        <v/>
      </c>
      <c r="HI51" s="82" t="str">
        <f>IFERROR(VLOOKUP([2]Pointage!HM45,Feuil1!$A:$B,2,FALSE),"")</f>
        <v/>
      </c>
      <c r="HJ51" s="47" t="str">
        <f>IFERROR(VLOOKUP([2]Pointage!HN45,Feuil1!$A:$B,2,FALSE),"")</f>
        <v/>
      </c>
      <c r="HK51" s="31" t="str">
        <f>IFERROR(VLOOKUP([2]Pointage!HO45,Feuil1!$A:$B,2,FALSE),"")</f>
        <v/>
      </c>
      <c r="HL51" s="31" t="str">
        <f>IFERROR(VLOOKUP([2]Pointage!HP45,Feuil1!$A:$B,2,FALSE),"")</f>
        <v/>
      </c>
      <c r="HM51" s="31" t="str">
        <f>IFERROR(VLOOKUP([2]Pointage!HQ45,Feuil1!$A:$B,2,FALSE),"")</f>
        <v/>
      </c>
      <c r="HN51" s="31" t="str">
        <f>IFERROR(VLOOKUP([2]Pointage!HR45,Feuil1!$A:$B,2,FALSE),"")</f>
        <v/>
      </c>
      <c r="HO51" s="31" t="str">
        <f>IFERROR(VLOOKUP([2]Pointage!HS45,Feuil1!$A:$B,2,FALSE),"")</f>
        <v/>
      </c>
      <c r="HP51" s="31" t="str">
        <f>IFERROR(VLOOKUP([2]Pointage!HT45,Feuil1!$A:$B,2,FALSE),"")</f>
        <v/>
      </c>
      <c r="HQ51" s="31" t="str">
        <f>IFERROR(VLOOKUP([2]Pointage!HU45,Feuil1!$A:$B,2,FALSE),"")</f>
        <v/>
      </c>
      <c r="HR51" s="31" t="str">
        <f>IFERROR(VLOOKUP([2]Pointage!HV45,Feuil1!$A:$B,2,FALSE),"")</f>
        <v/>
      </c>
      <c r="HS51" s="31" t="str">
        <f>IFERROR(VLOOKUP([2]Pointage!HW45,Feuil1!$A:$B,2,FALSE),"")</f>
        <v/>
      </c>
      <c r="HT51" s="31" t="str">
        <f>IFERROR(VLOOKUP([2]Pointage!HX45,Feuil1!$A:$B,2,FALSE),"")</f>
        <v/>
      </c>
      <c r="HU51" s="31" t="str">
        <f>IFERROR(VLOOKUP([2]Pointage!HY45,Feuil1!$A:$B,2,FALSE),"")</f>
        <v/>
      </c>
      <c r="HV51" s="31" t="str">
        <f>IFERROR(VLOOKUP([2]Pointage!HZ45,Feuil1!$A:$B,2,FALSE),"")</f>
        <v/>
      </c>
      <c r="HW51" s="31" t="str">
        <f>IFERROR(VLOOKUP([2]Pointage!IA45,Feuil1!$A:$B,2,FALSE),"")</f>
        <v/>
      </c>
      <c r="HX51" s="31" t="str">
        <f>IFERROR(VLOOKUP([2]Pointage!IB45,Feuil1!$A:$B,2,FALSE),"")</f>
        <v/>
      </c>
      <c r="HY51" s="31" t="str">
        <f>IFERROR(VLOOKUP([2]Pointage!IC45,Feuil1!$A:$B,2,FALSE),"")</f>
        <v/>
      </c>
      <c r="HZ51" s="31" t="str">
        <f>IFERROR(VLOOKUP([2]Pointage!ID45,Feuil1!$A:$B,2,FALSE),"")</f>
        <v/>
      </c>
      <c r="IA51" s="31" t="str">
        <f>IFERROR(VLOOKUP([2]Pointage!IE45,Feuil1!$A:$B,2,FALSE),"")</f>
        <v/>
      </c>
      <c r="IB51" s="31" t="str">
        <f>IFERROR(VLOOKUP([2]Pointage!IF45,Feuil1!$A:$B,2,FALSE),"")</f>
        <v/>
      </c>
      <c r="IC51" s="31" t="str">
        <f>IFERROR(VLOOKUP([2]Pointage!IG45,Feuil1!$A:$B,2,FALSE),"")</f>
        <v/>
      </c>
      <c r="ID51" s="31" t="str">
        <f>IFERROR(VLOOKUP([2]Pointage!IH45,Feuil1!$A:$B,2,FALSE),"")</f>
        <v/>
      </c>
      <c r="IE51" s="31" t="str">
        <f>IFERROR(VLOOKUP([2]Pointage!II45,Feuil1!$A:$B,2,FALSE),"")</f>
        <v/>
      </c>
      <c r="IF51" s="31" t="str">
        <f>IFERROR(VLOOKUP([2]Pointage!IJ45,Feuil1!$A:$B,2,FALSE),"")</f>
        <v/>
      </c>
      <c r="IG51" s="31" t="str">
        <f>IFERROR(VLOOKUP([2]Pointage!IK45,Feuil1!$A:$B,2,FALSE),"")</f>
        <v/>
      </c>
      <c r="IH51" s="31" t="str">
        <f>IFERROR(VLOOKUP([2]Pointage!IL45,Feuil1!$A:$B,2,FALSE),"")</f>
        <v/>
      </c>
      <c r="II51" s="31" t="str">
        <f>IFERROR(VLOOKUP([2]Pointage!IM45,Feuil1!$A:$B,2,FALSE),"")</f>
        <v/>
      </c>
      <c r="IJ51" s="31" t="str">
        <f>IFERROR(VLOOKUP([2]Pointage!IN45,Feuil1!$A:$B,2,FALSE),"")</f>
        <v>C</v>
      </c>
      <c r="IK51" s="31" t="str">
        <f>IFERROR(VLOOKUP([2]Pointage!IO45,Feuil1!$A:$B,2,FALSE),"")</f>
        <v>C</v>
      </c>
      <c r="IL51" s="31" t="str">
        <f>IFERROR(VLOOKUP([2]Pointage!IP45,Feuil1!$A:$B,2,FALSE),"")</f>
        <v>C</v>
      </c>
      <c r="IM51" s="31" t="str">
        <f>IFERROR(VLOOKUP([2]Pointage!IQ45,Feuil1!$A:$B,2,FALSE),"")</f>
        <v>C</v>
      </c>
      <c r="IN51" s="82" t="str">
        <f>IFERROR(VLOOKUP([2]Pointage!IR45,Feuil1!$A:$B,2,FALSE),"")</f>
        <v>C</v>
      </c>
      <c r="IO51" s="47" t="str">
        <f>IFERROR(VLOOKUP([2]Pointage!IS45,Feuil1!$A:$B,2,FALSE),"")</f>
        <v/>
      </c>
      <c r="IP51" s="31" t="str">
        <f>IFERROR(VLOOKUP([2]Pointage!IT45,Feuil1!$A:$B,2,FALSE),"")</f>
        <v/>
      </c>
      <c r="IQ51" s="31" t="str">
        <f>IFERROR(VLOOKUP([2]Pointage!IU45,Feuil1!$A:$B,2,FALSE),"")</f>
        <v>C</v>
      </c>
      <c r="IR51" s="31" t="str">
        <f>IFERROR(VLOOKUP([2]Pointage!IV45,Feuil1!$A:$B,2,FALSE),"")</f>
        <v>C</v>
      </c>
      <c r="IS51" s="31" t="str">
        <f>IFERROR(VLOOKUP([2]Pointage!IW45,Feuil1!$A:$B,2,FALSE),"")</f>
        <v>C</v>
      </c>
      <c r="IT51" s="31" t="str">
        <f>IFERROR(VLOOKUP([2]Pointage!IX45,Feuil1!$A:$B,2,FALSE),"")</f>
        <v>C</v>
      </c>
      <c r="IU51" s="31" t="str">
        <f>IFERROR(VLOOKUP([2]Pointage!IY45,Feuil1!$A:$B,2,FALSE),"")</f>
        <v>C</v>
      </c>
      <c r="IV51" s="31" t="str">
        <f>IFERROR(VLOOKUP([2]Pointage!IZ45,Feuil1!$A:$B,2,FALSE),"")</f>
        <v/>
      </c>
      <c r="IW51" s="31" t="str">
        <f>IFERROR(VLOOKUP([2]Pointage!JA45,Feuil1!$A:$B,2,FALSE),"")</f>
        <v/>
      </c>
      <c r="IX51" s="31" t="str">
        <f>IFERROR(VLOOKUP([2]Pointage!JB45,Feuil1!$A:$B,2,FALSE),"")</f>
        <v>C</v>
      </c>
      <c r="IY51" s="31" t="str">
        <f>IFERROR(VLOOKUP([2]Pointage!JC45,Feuil1!$A:$B,2,FALSE),"")</f>
        <v>C</v>
      </c>
      <c r="IZ51" s="31" t="str">
        <f>IFERROR(VLOOKUP([2]Pointage!JD45,Feuil1!$A:$B,2,FALSE),"")</f>
        <v>C</v>
      </c>
      <c r="JA51" s="31" t="str">
        <f>IFERROR(VLOOKUP([2]Pointage!JE45,Feuil1!$A:$B,2,FALSE),"")</f>
        <v>C</v>
      </c>
      <c r="JB51" s="31" t="str">
        <f>IFERROR(VLOOKUP([2]Pointage!JF45,Feuil1!$A:$B,2,FALSE),"")</f>
        <v>C</v>
      </c>
      <c r="JC51" s="31" t="str">
        <f>IFERROR(VLOOKUP([2]Pointage!JG45,Feuil1!$A:$B,2,FALSE),"")</f>
        <v/>
      </c>
      <c r="JD51" s="31" t="str">
        <f>IFERROR(VLOOKUP([2]Pointage!JH45,Feuil1!$A:$B,2,FALSE),"")</f>
        <v/>
      </c>
      <c r="JE51" s="31" t="str">
        <f>IFERROR(VLOOKUP([2]Pointage!JI45,Feuil1!$A:$B,2,FALSE),"")</f>
        <v/>
      </c>
      <c r="JF51" s="31" t="str">
        <f>IFERROR(VLOOKUP([2]Pointage!JJ45,Feuil1!$A:$B,2,FALSE),"")</f>
        <v/>
      </c>
      <c r="JG51" s="31" t="str">
        <f>IFERROR(VLOOKUP([2]Pointage!JK45,Feuil1!$A:$B,2,FALSE),"")</f>
        <v/>
      </c>
      <c r="JH51" s="31" t="str">
        <f>IFERROR(VLOOKUP([2]Pointage!JL45,Feuil1!$A:$B,2,FALSE),"")</f>
        <v/>
      </c>
      <c r="JI51" s="31" t="str">
        <f>IFERROR(VLOOKUP([2]Pointage!JM45,Feuil1!$A:$B,2,FALSE),"")</f>
        <v/>
      </c>
      <c r="JJ51" s="31" t="str">
        <f>IFERROR(VLOOKUP([2]Pointage!JN45,Feuil1!$A:$B,2,FALSE),"")</f>
        <v/>
      </c>
      <c r="JK51" s="31" t="str">
        <f>IFERROR(VLOOKUP([2]Pointage!JO45,Feuil1!$A:$B,2,FALSE),"")</f>
        <v/>
      </c>
      <c r="JL51" s="31" t="str">
        <f>IFERROR(VLOOKUP([2]Pointage!JP45,Feuil1!$A:$B,2,FALSE),"")</f>
        <v/>
      </c>
      <c r="JM51" s="31" t="str">
        <f>IFERROR(VLOOKUP([2]Pointage!JQ45,Feuil1!$A:$B,2,FALSE),"")</f>
        <v/>
      </c>
      <c r="JN51" s="31" t="str">
        <f>IFERROR(VLOOKUP([2]Pointage!JR45,Feuil1!$A:$B,2,FALSE),"")</f>
        <v/>
      </c>
      <c r="JO51" s="31" t="str">
        <f>IFERROR(VLOOKUP([2]Pointage!JS45,Feuil1!$A:$B,2,FALSE),"")</f>
        <v/>
      </c>
      <c r="JP51" s="31" t="str">
        <f>IFERROR(VLOOKUP([2]Pointage!JT45,Feuil1!$A:$B,2,FALSE),"")</f>
        <v/>
      </c>
      <c r="JQ51" s="31" t="str">
        <f>IFERROR(VLOOKUP([2]Pointage!JU45,Feuil1!$A:$B,2,FALSE),"")</f>
        <v/>
      </c>
      <c r="JR51" s="82" t="str">
        <f>IFERROR(VLOOKUP([2]Pointage!JV45,Feuil1!$A:$B,2,FALSE),"")</f>
        <v/>
      </c>
      <c r="JS51" s="47" t="str">
        <f>IFERROR(VLOOKUP([2]Pointage!JW45,Feuil1!$A:$B,2,FALSE),"")</f>
        <v/>
      </c>
      <c r="JT51" s="31" t="str">
        <f>IFERROR(VLOOKUP([2]Pointage!JX45,Feuil1!$A:$B,2,FALSE),"")</f>
        <v/>
      </c>
      <c r="JU51" s="31" t="str">
        <f>IFERROR(VLOOKUP([2]Pointage!JY45,Feuil1!$A:$B,2,FALSE),"")</f>
        <v/>
      </c>
      <c r="JV51" s="31" t="str">
        <f>IFERROR(VLOOKUP([2]Pointage!JZ45,Feuil1!$A:$B,2,FALSE),"")</f>
        <v/>
      </c>
      <c r="JW51" s="31" t="str">
        <f>IFERROR(VLOOKUP([2]Pointage!KA45,Feuil1!$A:$B,2,FALSE),"")</f>
        <v/>
      </c>
      <c r="JX51" s="31" t="str">
        <f>IFERROR(VLOOKUP([2]Pointage!KB45,Feuil1!$A:$B,2,FALSE),"")</f>
        <v/>
      </c>
      <c r="JY51" s="31" t="str">
        <f>IFERROR(VLOOKUP([2]Pointage!KC45,Feuil1!$A:$B,2,FALSE),"")</f>
        <v/>
      </c>
      <c r="JZ51" s="31" t="str">
        <f>IFERROR(VLOOKUP([2]Pointage!KD45,Feuil1!$A:$B,2,FALSE),"")</f>
        <v/>
      </c>
      <c r="KA51" s="31" t="str">
        <f>IFERROR(VLOOKUP([2]Pointage!KE45,Feuil1!$A:$B,2,FALSE),"")</f>
        <v/>
      </c>
      <c r="KB51" s="31" t="str">
        <f>IFERROR(VLOOKUP([2]Pointage!KF45,Feuil1!$A:$B,2,FALSE),"")</f>
        <v/>
      </c>
      <c r="KC51" s="31" t="str">
        <f>IFERROR(VLOOKUP([2]Pointage!KG45,Feuil1!$A:$B,2,FALSE),"")</f>
        <v/>
      </c>
      <c r="KD51" s="31" t="str">
        <f>IFERROR(VLOOKUP([2]Pointage!KH45,Feuil1!$A:$B,2,FALSE),"")</f>
        <v/>
      </c>
      <c r="KE51" s="31" t="str">
        <f>IFERROR(VLOOKUP([2]Pointage!KI45,Feuil1!$A:$B,2,FALSE),"")</f>
        <v/>
      </c>
      <c r="KF51" s="31" t="str">
        <f>IFERROR(VLOOKUP([2]Pointage!KJ45,Feuil1!$A:$B,2,FALSE),"")</f>
        <v/>
      </c>
      <c r="KG51" s="31" t="str">
        <f>IFERROR(VLOOKUP([2]Pointage!KK45,Feuil1!$A:$B,2,FALSE),"")</f>
        <v/>
      </c>
      <c r="KH51" s="31" t="str">
        <f>IFERROR(VLOOKUP([2]Pointage!KL45,Feuil1!$A:$B,2,FALSE),"")</f>
        <v/>
      </c>
      <c r="KI51" s="31" t="str">
        <f>IFERROR(VLOOKUP([2]Pointage!KM45,Feuil1!$A:$B,2,FALSE),"")</f>
        <v/>
      </c>
      <c r="KJ51" s="31" t="str">
        <f>IFERROR(VLOOKUP([2]Pointage!KN45,Feuil1!$A:$B,2,FALSE),"")</f>
        <v/>
      </c>
      <c r="KK51" s="31" t="str">
        <f>IFERROR(VLOOKUP([2]Pointage!KO45,Feuil1!$A:$B,2,FALSE),"")</f>
        <v/>
      </c>
      <c r="KL51" s="31" t="str">
        <f>IFERROR(VLOOKUP([2]Pointage!KP45,Feuil1!$A:$B,2,FALSE),"")</f>
        <v/>
      </c>
      <c r="KM51" s="31" t="str">
        <f>IFERROR(VLOOKUP([2]Pointage!KQ45,Feuil1!$A:$B,2,FALSE),"")</f>
        <v/>
      </c>
      <c r="KN51" s="31" t="str">
        <f>IFERROR(VLOOKUP([2]Pointage!KR45,Feuil1!$A:$B,2,FALSE),"")</f>
        <v/>
      </c>
      <c r="KO51" s="31" t="str">
        <f>IFERROR(VLOOKUP([2]Pointage!KS45,Feuil1!$A:$B,2,FALSE),"")</f>
        <v/>
      </c>
      <c r="KP51" s="31" t="str">
        <f>IFERROR(VLOOKUP([2]Pointage!KT45,Feuil1!$A:$B,2,FALSE),"")</f>
        <v/>
      </c>
      <c r="KQ51" s="31" t="str">
        <f>IFERROR(VLOOKUP([2]Pointage!KU45,Feuil1!$A:$B,2,FALSE),"")</f>
        <v/>
      </c>
      <c r="KR51" s="31" t="str">
        <f>IFERROR(VLOOKUP([2]Pointage!KV45,Feuil1!$A:$B,2,FALSE),"")</f>
        <v/>
      </c>
      <c r="KS51" s="31" t="str">
        <f>IFERROR(VLOOKUP([2]Pointage!KW45,Feuil1!$A:$B,2,FALSE),"")</f>
        <v/>
      </c>
      <c r="KT51" s="31" t="str">
        <f>IFERROR(VLOOKUP([2]Pointage!KX45,Feuil1!$A:$B,2,FALSE),"")</f>
        <v/>
      </c>
      <c r="KU51" s="31" t="str">
        <f>IFERROR(VLOOKUP([2]Pointage!KY45,Feuil1!$A:$B,2,FALSE),"")</f>
        <v/>
      </c>
      <c r="KV51" s="31" t="str">
        <f>IFERROR(VLOOKUP([2]Pointage!KZ45,Feuil1!$A:$B,2,FALSE),"")</f>
        <v/>
      </c>
      <c r="KW51" s="82" t="str">
        <f>IFERROR(VLOOKUP([2]Pointage!LA45,Feuil1!$A:$B,2,FALSE),"")</f>
        <v/>
      </c>
      <c r="KX51" s="47" t="str">
        <f>IFERROR(VLOOKUP([2]Pointage!LB45,Feuil1!$A:$B,2,FALSE),"")</f>
        <v/>
      </c>
      <c r="KY51" s="31" t="str">
        <f>IFERROR(VLOOKUP([2]Pointage!LC45,Feuil1!$A:$B,2,FALSE),"")</f>
        <v/>
      </c>
      <c r="KZ51" s="31" t="str">
        <f>IFERROR(VLOOKUP([2]Pointage!LD45,Feuil1!$A:$B,2,FALSE),"")</f>
        <v/>
      </c>
      <c r="LA51" s="31" t="str">
        <f>IFERROR(VLOOKUP([2]Pointage!LE45,Feuil1!$A:$B,2,FALSE),"")</f>
        <v/>
      </c>
      <c r="LB51" s="31" t="str">
        <f>IFERROR(VLOOKUP([2]Pointage!LF45,Feuil1!$A:$B,2,FALSE),"")</f>
        <v/>
      </c>
      <c r="LC51" s="31" t="str">
        <f>IFERROR(VLOOKUP([2]Pointage!LG45,Feuil1!$A:$B,2,FALSE),"")</f>
        <v/>
      </c>
      <c r="LD51" s="31" t="str">
        <f>IFERROR(VLOOKUP([2]Pointage!LH45,Feuil1!$A:$B,2,FALSE),"")</f>
        <v/>
      </c>
      <c r="LE51" s="31" t="str">
        <f>IFERROR(VLOOKUP([2]Pointage!LI45,Feuil1!$A:$B,2,FALSE),"")</f>
        <v/>
      </c>
      <c r="LF51" s="31" t="str">
        <f>IFERROR(VLOOKUP([2]Pointage!LJ45,Feuil1!$A:$B,2,FALSE),"")</f>
        <v/>
      </c>
      <c r="LG51" s="31" t="str">
        <f>IFERROR(VLOOKUP([2]Pointage!LK45,Feuil1!$A:$B,2,FALSE),"")</f>
        <v/>
      </c>
      <c r="LH51" s="31" t="str">
        <f>IFERROR(VLOOKUP([2]Pointage!LL45,Feuil1!$A:$B,2,FALSE),"")</f>
        <v/>
      </c>
      <c r="LI51" s="31" t="str">
        <f>IFERROR(VLOOKUP([2]Pointage!LM45,Feuil1!$A:$B,2,FALSE),"")</f>
        <v/>
      </c>
      <c r="LJ51" s="31" t="str">
        <f>IFERROR(VLOOKUP([2]Pointage!LN45,Feuil1!$A:$B,2,FALSE),"")</f>
        <v/>
      </c>
      <c r="LK51" s="31" t="str">
        <f>IFERROR(VLOOKUP([2]Pointage!LO45,Feuil1!$A:$B,2,FALSE),"")</f>
        <v/>
      </c>
      <c r="LL51" s="31" t="str">
        <f>IFERROR(VLOOKUP([2]Pointage!LP45,Feuil1!$A:$B,2,FALSE),"")</f>
        <v/>
      </c>
      <c r="LM51" s="31" t="str">
        <f>IFERROR(VLOOKUP([2]Pointage!LQ45,Feuil1!$A:$B,2,FALSE),"")</f>
        <v/>
      </c>
      <c r="LN51" s="31" t="str">
        <f>IFERROR(VLOOKUP([2]Pointage!LR45,Feuil1!$A:$B,2,FALSE),"")</f>
        <v/>
      </c>
      <c r="LO51" s="31" t="str">
        <f>IFERROR(VLOOKUP([2]Pointage!LS45,Feuil1!$A:$B,2,FALSE),"")</f>
        <v/>
      </c>
      <c r="LP51" s="31" t="str">
        <f>IFERROR(VLOOKUP([2]Pointage!LT45,Feuil1!$A:$B,2,FALSE),"")</f>
        <v/>
      </c>
      <c r="LQ51" s="31" t="str">
        <f>IFERROR(VLOOKUP([2]Pointage!LU45,Feuil1!$A:$B,2,FALSE),"")</f>
        <v/>
      </c>
      <c r="LR51" s="31" t="str">
        <f>IFERROR(VLOOKUP([2]Pointage!LV45,Feuil1!$A:$B,2,FALSE),"")</f>
        <v/>
      </c>
      <c r="LS51" s="31" t="str">
        <f>IFERROR(VLOOKUP([2]Pointage!LW45,Feuil1!$A:$B,2,FALSE),"")</f>
        <v/>
      </c>
      <c r="LT51" s="31" t="str">
        <f>IFERROR(VLOOKUP([2]Pointage!LX45,Feuil1!$A:$B,2,FALSE),"")</f>
        <v/>
      </c>
      <c r="LU51" s="31" t="str">
        <f>IFERROR(VLOOKUP([2]Pointage!LY45,Feuil1!$A:$B,2,FALSE),"")</f>
        <v/>
      </c>
      <c r="LV51" s="31" t="str">
        <f>IFERROR(VLOOKUP([2]Pointage!LZ45,Feuil1!$A:$B,2,FALSE),"")</f>
        <v/>
      </c>
      <c r="LW51" s="31" t="str">
        <f>IFERROR(VLOOKUP([2]Pointage!MA45,Feuil1!$A:$B,2,FALSE),"")</f>
        <v/>
      </c>
      <c r="LX51" s="31" t="str">
        <f>IFERROR(VLOOKUP([2]Pointage!MB45,Feuil1!$A:$B,2,FALSE),"")</f>
        <v/>
      </c>
      <c r="LY51" s="31" t="str">
        <f>IFERROR(VLOOKUP([2]Pointage!MC45,Feuil1!$A:$B,2,FALSE),"")</f>
        <v/>
      </c>
      <c r="LZ51" s="31" t="str">
        <f>IFERROR(VLOOKUP([2]Pointage!MD45,Feuil1!$A:$B,2,FALSE),"")</f>
        <v/>
      </c>
      <c r="MA51" s="82" t="str">
        <f>IFERROR(VLOOKUP([2]Pointage!ME45,Feuil1!$A:$B,2,FALSE),"")</f>
        <v/>
      </c>
      <c r="MB51" s="47" t="str">
        <f>IFERROR(VLOOKUP([2]Pointage!MF45,Feuil1!$A:$B,2,FALSE),"")</f>
        <v/>
      </c>
      <c r="MC51" s="31" t="str">
        <f>IFERROR(VLOOKUP([2]Pointage!MG45,Feuil1!$A:$B,2,FALSE),"")</f>
        <v/>
      </c>
      <c r="MD51" s="31" t="str">
        <f>IFERROR(VLOOKUP([2]Pointage!MH45,Feuil1!$A:$B,2,FALSE),"")</f>
        <v/>
      </c>
      <c r="ME51" s="31" t="str">
        <f>IFERROR(VLOOKUP([2]Pointage!MI45,Feuil1!$A:$B,2,FALSE),"")</f>
        <v/>
      </c>
      <c r="MF51" s="31" t="str">
        <f>IFERROR(VLOOKUP([2]Pointage!MJ45,Feuil1!$A:$B,2,FALSE),"")</f>
        <v/>
      </c>
      <c r="MG51" s="31" t="str">
        <f>IFERROR(VLOOKUP([2]Pointage!MK45,Feuil1!$A:$B,2,FALSE),"")</f>
        <v/>
      </c>
      <c r="MH51" s="31" t="str">
        <f>IFERROR(VLOOKUP([2]Pointage!ML45,Feuil1!$A:$B,2,FALSE),"")</f>
        <v/>
      </c>
      <c r="MI51" s="31" t="str">
        <f>IFERROR(VLOOKUP([2]Pointage!MM45,Feuil1!$A:$B,2,FALSE),"")</f>
        <v/>
      </c>
      <c r="MJ51" s="31" t="str">
        <f>IFERROR(VLOOKUP([2]Pointage!MN45,Feuil1!$A:$B,2,FALSE),"")</f>
        <v/>
      </c>
      <c r="MK51" s="31" t="str">
        <f>IFERROR(VLOOKUP([2]Pointage!MO45,Feuil1!$A:$B,2,FALSE),"")</f>
        <v/>
      </c>
      <c r="ML51" s="31" t="str">
        <f>IFERROR(VLOOKUP([2]Pointage!MP45,Feuil1!$A:$B,2,FALSE),"")</f>
        <v/>
      </c>
      <c r="MM51" s="31" t="str">
        <f>IFERROR(VLOOKUP([2]Pointage!MQ45,Feuil1!$A:$B,2,FALSE),"")</f>
        <v/>
      </c>
      <c r="MN51" s="31" t="str">
        <f>IFERROR(VLOOKUP([2]Pointage!MR45,Feuil1!$A:$B,2,FALSE),"")</f>
        <v/>
      </c>
      <c r="MO51" s="31" t="str">
        <f>IFERROR(VLOOKUP([2]Pointage!MS45,Feuil1!$A:$B,2,FALSE),"")</f>
        <v/>
      </c>
      <c r="MP51" s="31" t="str">
        <f>IFERROR(VLOOKUP([2]Pointage!MT45,Feuil1!$A:$B,2,FALSE),"")</f>
        <v/>
      </c>
      <c r="MQ51" s="31" t="str">
        <f>IFERROR(VLOOKUP([2]Pointage!MU45,Feuil1!$A:$B,2,FALSE),"")</f>
        <v/>
      </c>
      <c r="MR51" s="31" t="str">
        <f>IFERROR(VLOOKUP([2]Pointage!MV45,Feuil1!$A:$B,2,FALSE),"")</f>
        <v/>
      </c>
      <c r="MS51" s="31" t="str">
        <f>IFERROR(VLOOKUP([2]Pointage!MW45,Feuil1!$A:$B,2,FALSE),"")</f>
        <v/>
      </c>
      <c r="MT51" s="31" t="str">
        <f>IFERROR(VLOOKUP([2]Pointage!MX45,Feuil1!$A:$B,2,FALSE),"")</f>
        <v/>
      </c>
      <c r="MU51" s="31" t="str">
        <f>IFERROR(VLOOKUP([2]Pointage!MY45,Feuil1!$A:$B,2,FALSE),"")</f>
        <v/>
      </c>
      <c r="MV51" s="31" t="str">
        <f>IFERROR(VLOOKUP([2]Pointage!MZ45,Feuil1!$A:$B,2,FALSE),"")</f>
        <v/>
      </c>
      <c r="MW51" s="31" t="str">
        <f>IFERROR(VLOOKUP([2]Pointage!NA45,Feuil1!$A:$B,2,FALSE),"")</f>
        <v/>
      </c>
      <c r="MX51" s="31" t="str">
        <f>IFERROR(VLOOKUP([2]Pointage!NB45,Feuil1!$A:$B,2,FALSE),"")</f>
        <v/>
      </c>
      <c r="MY51" s="31" t="str">
        <f>IFERROR(VLOOKUP([2]Pointage!NC45,Feuil1!$A:$B,2,FALSE),"")</f>
        <v/>
      </c>
      <c r="MZ51" s="31" t="str">
        <f>IFERROR(VLOOKUP([2]Pointage!ND45,Feuil1!$A:$B,2,FALSE),"")</f>
        <v/>
      </c>
      <c r="NA51" s="31" t="str">
        <f>IFERROR(VLOOKUP([2]Pointage!NE45,Feuil1!$A:$B,2,FALSE),"")</f>
        <v/>
      </c>
      <c r="NB51" s="31" t="str">
        <f>IFERROR(VLOOKUP([2]Pointage!NF45,Feuil1!$A:$B,2,FALSE),"")</f>
        <v/>
      </c>
      <c r="NC51" s="31" t="str">
        <f>IFERROR(VLOOKUP([2]Pointage!NG45,Feuil1!$A:$B,2,FALSE),"")</f>
        <v/>
      </c>
      <c r="ND51" s="31" t="str">
        <f>IFERROR(VLOOKUP([2]Pointage!NH45,Feuil1!$A:$B,2,FALSE),"")</f>
        <v/>
      </c>
      <c r="NE51" s="31" t="str">
        <f>IFERROR(VLOOKUP([2]Pointage!NI45,Feuil1!$A:$B,2,FALSE),"")</f>
        <v/>
      </c>
      <c r="NF51" s="48" t="str">
        <f>IFERROR(VLOOKUP([2]Pointage!NJ45,Feuil1!$A:$B,2,FALSE),"")</f>
        <v/>
      </c>
      <c r="NG51" s="52">
        <f>COUNTIF(Global!F51:NF51,"RTT")+(COUNTIF(Global!F51:NF51,"dRTT")/2)</f>
        <v>1</v>
      </c>
      <c r="NH51" s="42">
        <f>COUNTIF(Global!F51:NF51,"C")+(COUNTIF(Global!F51:NF51,"DC")/2)</f>
        <v>37</v>
      </c>
      <c r="NI51" s="42">
        <f>COUNTIF(Global!F51:NF51,"M")</f>
        <v>1</v>
      </c>
      <c r="NJ51" s="42">
        <f>COUNTIF(Global!G51:NG51,"AT")</f>
        <v>0</v>
      </c>
      <c r="NK51" s="42">
        <f>COUNTIF(Global!F51:NF51,"RD")</f>
        <v>0</v>
      </c>
      <c r="NL51" s="42">
        <f>COUNTIF(Global!F51:NF51,"RC")+(COUNTIF(Global!F51:NF51,"dRC")/2)</f>
        <v>0</v>
      </c>
      <c r="NM51" s="68">
        <f t="shared" ca="1" si="0"/>
        <v>4</v>
      </c>
      <c r="NT51" s="33"/>
      <c r="NU51" s="33"/>
      <c r="NV51" s="28"/>
      <c r="NW51" s="28"/>
      <c r="NX51" s="29">
        <f>COUNTIF(F51:NF51,"C")++(COUNTIF(Global!F51:NF51,"DC")/2)</f>
        <v>37</v>
      </c>
      <c r="NY51" s="29"/>
      <c r="NZ51" s="29"/>
      <c r="OA51" s="29"/>
      <c r="OB51" s="29">
        <f>COUNTIF(Global!F51:NF51,"M")</f>
        <v>1</v>
      </c>
      <c r="OC51" s="30">
        <f t="shared" si="1"/>
        <v>-37</v>
      </c>
      <c r="OD51" s="30"/>
    </row>
    <row r="52" spans="1:394" ht="30" customHeight="1" x14ac:dyDescent="0.2">
      <c r="A52" s="17" t="s">
        <v>108</v>
      </c>
      <c r="B52" s="17" t="s">
        <v>257</v>
      </c>
      <c r="C52" s="17" t="s">
        <v>258</v>
      </c>
      <c r="D52" s="17" t="s">
        <v>259</v>
      </c>
      <c r="E52" s="23">
        <v>0</v>
      </c>
      <c r="F52" s="47" t="str">
        <f>IFERROR(VLOOKUP([2]Pointage!J46,Feuil1!$A:$B,2,FALSE),"")</f>
        <v/>
      </c>
      <c r="G52" s="31" t="str">
        <f>IFERROR(VLOOKUP([2]Pointage!K46,Feuil1!$A:$B,2,FALSE),"")</f>
        <v>C</v>
      </c>
      <c r="H52" s="31" t="str">
        <f>IFERROR(VLOOKUP([2]Pointage!L46,Feuil1!$A:$B,2,FALSE),"")</f>
        <v/>
      </c>
      <c r="I52" s="31" t="str">
        <f>IFERROR(VLOOKUP([2]Pointage!M46,Feuil1!$A:$B,2,FALSE),"")</f>
        <v>M</v>
      </c>
      <c r="J52" s="31" t="str">
        <f>IFERROR(VLOOKUP([2]Pointage!N46,Feuil1!$A:$B,2,FALSE),"")</f>
        <v>M</v>
      </c>
      <c r="K52" s="31" t="str">
        <f>IFERROR(VLOOKUP([2]Pointage!O46,Feuil1!$A:$B,2,FALSE),"")</f>
        <v>M</v>
      </c>
      <c r="L52" s="31" t="str">
        <f>IFERROR(VLOOKUP([2]Pointage!P46,Feuil1!$A:$B,2,FALSE),"")</f>
        <v>M</v>
      </c>
      <c r="M52" s="31" t="str">
        <f>IFERROR(VLOOKUP([2]Pointage!Q46,Feuil1!$A:$B,2,FALSE),"")</f>
        <v/>
      </c>
      <c r="N52" s="31" t="str">
        <f>IFERROR(VLOOKUP([2]Pointage!R46,Feuil1!$A:$B,2,FALSE),"")</f>
        <v/>
      </c>
      <c r="O52" s="31" t="str">
        <f>IFERROR(VLOOKUP([2]Pointage!S46,Feuil1!$A:$B,2,FALSE),"")</f>
        <v/>
      </c>
      <c r="P52" s="31" t="str">
        <f>IFERROR(VLOOKUP([2]Pointage!T46,Feuil1!$A:$B,2,FALSE),"")</f>
        <v/>
      </c>
      <c r="Q52" s="31" t="str">
        <f>IFERROR(VLOOKUP([2]Pointage!U46,Feuil1!$A:$B,2,FALSE),"")</f>
        <v/>
      </c>
      <c r="R52" s="31" t="str">
        <f>IFERROR(VLOOKUP([2]Pointage!V46,Feuil1!$A:$B,2,FALSE),"")</f>
        <v/>
      </c>
      <c r="S52" s="31" t="str">
        <f>IFERROR(VLOOKUP([2]Pointage!W46,Feuil1!$A:$B,2,FALSE),"")</f>
        <v/>
      </c>
      <c r="T52" s="31" t="str">
        <f>IFERROR(VLOOKUP([2]Pointage!X46,Feuil1!$A:$B,2,FALSE),"")</f>
        <v>C</v>
      </c>
      <c r="U52" s="31" t="str">
        <f>IFERROR(VLOOKUP([2]Pointage!Y46,Feuil1!$A:$B,2,FALSE),"")</f>
        <v>C</v>
      </c>
      <c r="V52" s="31" t="str">
        <f>IFERROR(VLOOKUP([2]Pointage!Z46,Feuil1!$A:$B,2,FALSE),"")</f>
        <v>C</v>
      </c>
      <c r="W52" s="31" t="str">
        <f>IFERROR(VLOOKUP([2]Pointage!AA46,Feuil1!$A:$B,2,FALSE),"")</f>
        <v>C</v>
      </c>
      <c r="X52" s="31" t="str">
        <f>IFERROR(VLOOKUP([2]Pointage!AB46,Feuil1!$A:$B,2,FALSE),"")</f>
        <v>C</v>
      </c>
      <c r="Y52" s="31" t="str">
        <f>IFERROR(VLOOKUP([2]Pointage!AC46,Feuil1!$A:$B,2,FALSE),"")</f>
        <v/>
      </c>
      <c r="Z52" s="31" t="str">
        <f>IFERROR(VLOOKUP([2]Pointage!AD46,Feuil1!$A:$B,2,FALSE),"")</f>
        <v/>
      </c>
      <c r="AA52" s="31" t="str">
        <f>IFERROR(VLOOKUP([2]Pointage!AE46,Feuil1!$A:$B,2,FALSE),"")</f>
        <v/>
      </c>
      <c r="AB52" s="31" t="str">
        <f>IFERROR(VLOOKUP([2]Pointage!AF46,Feuil1!$A:$B,2,FALSE),"")</f>
        <v/>
      </c>
      <c r="AC52" s="31" t="str">
        <f>IFERROR(VLOOKUP([2]Pointage!AG46,Feuil1!$A:$B,2,FALSE),"")</f>
        <v/>
      </c>
      <c r="AD52" s="31" t="str">
        <f>IFERROR(VLOOKUP([2]Pointage!AH46,Feuil1!$A:$B,2,FALSE),"")</f>
        <v/>
      </c>
      <c r="AE52" s="31" t="str">
        <f>IFERROR(VLOOKUP([2]Pointage!AI46,Feuil1!$A:$B,2,FALSE),"")</f>
        <v/>
      </c>
      <c r="AF52" s="31" t="str">
        <f>IFERROR(VLOOKUP([2]Pointage!AJ46,Feuil1!$A:$B,2,FALSE),"")</f>
        <v/>
      </c>
      <c r="AG52" s="31" t="str">
        <f>IFERROR(VLOOKUP([2]Pointage!AK46,Feuil1!$A:$B,2,FALSE),"")</f>
        <v/>
      </c>
      <c r="AH52" s="31" t="str">
        <f>IFERROR(VLOOKUP([2]Pointage!AL46,Feuil1!$A:$B,2,FALSE),"")</f>
        <v/>
      </c>
      <c r="AI52" s="31" t="str">
        <f>IFERROR(VLOOKUP([2]Pointage!AM46,Feuil1!$A:$B,2,FALSE),"")</f>
        <v/>
      </c>
      <c r="AJ52" s="82" t="str">
        <f>IFERROR(VLOOKUP([2]Pointage!AN46,Feuil1!$A:$B,2,FALSE),"")</f>
        <v/>
      </c>
      <c r="AK52" s="47" t="str">
        <f>IFERROR(VLOOKUP([2]Pointage!AO46,Feuil1!$A:$B,2,FALSE),"")</f>
        <v/>
      </c>
      <c r="AL52" s="31" t="str">
        <f>IFERROR(VLOOKUP([2]Pointage!AP46,Feuil1!$A:$B,2,FALSE),"")</f>
        <v/>
      </c>
      <c r="AM52" s="31" t="str">
        <f>IFERROR(VLOOKUP([2]Pointage!AQ46,Feuil1!$A:$B,2,FALSE),"")</f>
        <v/>
      </c>
      <c r="AN52" s="31" t="str">
        <f>IFERROR(VLOOKUP([2]Pointage!AR46,Feuil1!$A:$B,2,FALSE),"")</f>
        <v/>
      </c>
      <c r="AO52" s="31" t="str">
        <f>IFERROR(VLOOKUP([2]Pointage!AS46,Feuil1!$A:$B,2,FALSE),"")</f>
        <v/>
      </c>
      <c r="AP52" s="31" t="str">
        <f>IFERROR(VLOOKUP([2]Pointage!AT46,Feuil1!$A:$B,2,FALSE),"")</f>
        <v/>
      </c>
      <c r="AQ52" s="31" t="str">
        <f>IFERROR(VLOOKUP([2]Pointage!AU46,Feuil1!$A:$B,2,FALSE),"")</f>
        <v/>
      </c>
      <c r="AR52" s="31" t="str">
        <f>IFERROR(VLOOKUP([2]Pointage!AV46,Feuil1!$A:$B,2,FALSE),"")</f>
        <v/>
      </c>
      <c r="AS52" s="31" t="str">
        <f>IFERROR(VLOOKUP([2]Pointage!AW46,Feuil1!$A:$B,2,FALSE),"")</f>
        <v/>
      </c>
      <c r="AT52" s="31" t="str">
        <f>IFERROR(VLOOKUP([2]Pointage!AX46,Feuil1!$A:$B,2,FALSE),"")</f>
        <v/>
      </c>
      <c r="AU52" s="31" t="str">
        <f>IFERROR(VLOOKUP([2]Pointage!AY46,Feuil1!$A:$B,2,FALSE),"")</f>
        <v/>
      </c>
      <c r="AV52" s="31" t="str">
        <f>IFERROR(VLOOKUP([2]Pointage!AZ46,Feuil1!$A:$B,2,FALSE),"")</f>
        <v/>
      </c>
      <c r="AW52" s="31" t="str">
        <f>IFERROR(VLOOKUP([2]Pointage!BA46,Feuil1!$A:$B,2,FALSE),"")</f>
        <v/>
      </c>
      <c r="AX52" s="31" t="str">
        <f>IFERROR(VLOOKUP([2]Pointage!BB46,Feuil1!$A:$B,2,FALSE),"")</f>
        <v/>
      </c>
      <c r="AY52" s="31" t="str">
        <f>IFERROR(VLOOKUP([2]Pointage!BC46,Feuil1!$A:$B,2,FALSE),"")</f>
        <v/>
      </c>
      <c r="AZ52" s="31" t="str">
        <f>IFERROR(VLOOKUP([2]Pointage!BD46,Feuil1!$A:$B,2,FALSE),"")</f>
        <v/>
      </c>
      <c r="BA52" s="31" t="str">
        <f>IFERROR(VLOOKUP([2]Pointage!BE46,Feuil1!$A:$B,2,FALSE),"")</f>
        <v/>
      </c>
      <c r="BB52" s="31" t="str">
        <f>IFERROR(VLOOKUP([2]Pointage!BF46,Feuil1!$A:$B,2,FALSE),"")</f>
        <v/>
      </c>
      <c r="BC52" s="31" t="str">
        <f>IFERROR(VLOOKUP([2]Pointage!BG46,Feuil1!$A:$B,2,FALSE),"")</f>
        <v/>
      </c>
      <c r="BD52" s="31" t="str">
        <f>IFERROR(VLOOKUP([2]Pointage!BH46,Feuil1!$A:$B,2,FALSE),"")</f>
        <v/>
      </c>
      <c r="BE52" s="31" t="str">
        <f>IFERROR(VLOOKUP([2]Pointage!BI46,Feuil1!$A:$B,2,FALSE),"")</f>
        <v/>
      </c>
      <c r="BF52" s="31" t="str">
        <f>IFERROR(VLOOKUP([2]Pointage!BJ46,Feuil1!$A:$B,2,FALSE),"")</f>
        <v/>
      </c>
      <c r="BG52" s="31" t="str">
        <f>IFERROR(VLOOKUP([2]Pointage!BK46,Feuil1!$A:$B,2,FALSE),"")</f>
        <v/>
      </c>
      <c r="BH52" s="31" t="str">
        <f>IFERROR(VLOOKUP([2]Pointage!BL46,Feuil1!$A:$B,2,FALSE),"")</f>
        <v/>
      </c>
      <c r="BI52" s="31" t="str">
        <f>IFERROR(VLOOKUP([2]Pointage!BM46,Feuil1!$A:$B,2,FALSE),"")</f>
        <v/>
      </c>
      <c r="BJ52" s="31" t="str">
        <f>IFERROR(VLOOKUP([2]Pointage!BN46,Feuil1!$A:$B,2,FALSE),"")</f>
        <v/>
      </c>
      <c r="BK52" s="31" t="str">
        <f>IFERROR(VLOOKUP([2]Pointage!BO46,Feuil1!$A:$B,2,FALSE),"")</f>
        <v>C</v>
      </c>
      <c r="BL52" s="82" t="str">
        <f>IFERROR(VLOOKUP([2]Pointage!BP46,Feuil1!$A:$B,2,FALSE),"")</f>
        <v/>
      </c>
      <c r="BM52" s="47" t="str">
        <f>IFERROR(VLOOKUP([2]Pointage!BQ46,Feuil1!$A:$B,2,FALSE),"")</f>
        <v/>
      </c>
      <c r="BN52" s="31" t="str">
        <f>IFERROR(VLOOKUP([2]Pointage!BR46,Feuil1!$A:$B,2,FALSE),"")</f>
        <v/>
      </c>
      <c r="BO52" s="31" t="str">
        <f>IFERROR(VLOOKUP([2]Pointage!BS46,Feuil1!$A:$B,2,FALSE),"")</f>
        <v/>
      </c>
      <c r="BP52" s="31" t="str">
        <f>IFERROR(VLOOKUP([2]Pointage!BT46,Feuil1!$A:$B,2,FALSE),"")</f>
        <v/>
      </c>
      <c r="BQ52" s="31" t="str">
        <f>IFERROR(VLOOKUP([2]Pointage!BU46,Feuil1!$A:$B,2,FALSE),"")</f>
        <v/>
      </c>
      <c r="BR52" s="31" t="str">
        <f>IFERROR(VLOOKUP([2]Pointage!BV46,Feuil1!$A:$B,2,FALSE),"")</f>
        <v/>
      </c>
      <c r="BS52" s="31" t="str">
        <f>IFERROR(VLOOKUP([2]Pointage!BW46,Feuil1!$A:$B,2,FALSE),"")</f>
        <v/>
      </c>
      <c r="BT52" s="31" t="str">
        <f>IFERROR(VLOOKUP([2]Pointage!BX46,Feuil1!$A:$B,2,FALSE),"")</f>
        <v/>
      </c>
      <c r="BU52" s="31" t="str">
        <f>IFERROR(VLOOKUP([2]Pointage!BY46,Feuil1!$A:$B,2,FALSE),"")</f>
        <v/>
      </c>
      <c r="BV52" s="31" t="str">
        <f>IFERROR(VLOOKUP([2]Pointage!BZ46,Feuil1!$A:$B,2,FALSE),"")</f>
        <v/>
      </c>
      <c r="BW52" s="31" t="str">
        <f>IFERROR(VLOOKUP([2]Pointage!CA46,Feuil1!$A:$B,2,FALSE),"")</f>
        <v/>
      </c>
      <c r="BX52" s="31" t="str">
        <f>IFERROR(VLOOKUP([2]Pointage!CB46,Feuil1!$A:$B,2,FALSE),"")</f>
        <v/>
      </c>
      <c r="BY52" s="31" t="str">
        <f>IFERROR(VLOOKUP([2]Pointage!CC46,Feuil1!$A:$B,2,FALSE),"")</f>
        <v/>
      </c>
      <c r="BZ52" s="31" t="str">
        <f>IFERROR(VLOOKUP([2]Pointage!CD46,Feuil1!$A:$B,2,FALSE),"")</f>
        <v/>
      </c>
      <c r="CA52" s="31" t="str">
        <f>IFERROR(VLOOKUP([2]Pointage!CE46,Feuil1!$A:$B,2,FALSE),"")</f>
        <v/>
      </c>
      <c r="CB52" s="31" t="str">
        <f>IFERROR(VLOOKUP([2]Pointage!CF46,Feuil1!$A:$B,2,FALSE),"")</f>
        <v/>
      </c>
      <c r="CC52" s="31" t="str">
        <f>IFERROR(VLOOKUP([2]Pointage!CG46,Feuil1!$A:$B,2,FALSE),"")</f>
        <v/>
      </c>
      <c r="CD52" s="31" t="str">
        <f>IFERROR(VLOOKUP([2]Pointage!CH46,Feuil1!$A:$B,2,FALSE),"")</f>
        <v/>
      </c>
      <c r="CE52" s="31" t="str">
        <f>IFERROR(VLOOKUP([2]Pointage!CI46,Feuil1!$A:$B,2,FALSE),"")</f>
        <v/>
      </c>
      <c r="CF52" s="31" t="str">
        <f>IFERROR(VLOOKUP([2]Pointage!CJ46,Feuil1!$A:$B,2,FALSE),"")</f>
        <v/>
      </c>
      <c r="CG52" s="31" t="str">
        <f>IFERROR(VLOOKUP([2]Pointage!CK46,Feuil1!$A:$B,2,FALSE),"")</f>
        <v/>
      </c>
      <c r="CH52" s="31" t="str">
        <f>IFERROR(VLOOKUP([2]Pointage!CL46,Feuil1!$A:$B,2,FALSE),"")</f>
        <v/>
      </c>
      <c r="CI52" s="31" t="str">
        <f>IFERROR(VLOOKUP([2]Pointage!CM46,Feuil1!$A:$B,2,FALSE),"")</f>
        <v/>
      </c>
      <c r="CJ52" s="31" t="str">
        <f>IFERROR(VLOOKUP([2]Pointage!CN46,Feuil1!$A:$B,2,FALSE),"")</f>
        <v/>
      </c>
      <c r="CK52" s="31" t="str">
        <f>IFERROR(VLOOKUP([2]Pointage!CO46,Feuil1!$A:$B,2,FALSE),"")</f>
        <v/>
      </c>
      <c r="CL52" s="31" t="str">
        <f>IFERROR(VLOOKUP([2]Pointage!CP46,Feuil1!$A:$B,2,FALSE),"")</f>
        <v/>
      </c>
      <c r="CM52" s="31" t="str">
        <f>IFERROR(VLOOKUP([2]Pointage!CQ46,Feuil1!$A:$B,2,FALSE),"")</f>
        <v/>
      </c>
      <c r="CN52" s="31" t="str">
        <f>IFERROR(VLOOKUP([2]Pointage!CR46,Feuil1!$A:$B,2,FALSE),"")</f>
        <v/>
      </c>
      <c r="CO52" s="31" t="str">
        <f>IFERROR(VLOOKUP([2]Pointage!CS46,Feuil1!$A:$B,2,FALSE),"")</f>
        <v/>
      </c>
      <c r="CP52" s="31" t="str">
        <f>IFERROR(VLOOKUP([2]Pointage!CT46,Feuil1!$A:$B,2,FALSE),"")</f>
        <v/>
      </c>
      <c r="CQ52" s="82" t="str">
        <f>IFERROR(VLOOKUP([2]Pointage!CU46,Feuil1!$A:$B,2,FALSE),"")</f>
        <v/>
      </c>
      <c r="CR52" s="47" t="str">
        <f>IFERROR(VLOOKUP([2]Pointage!CV46,Feuil1!$A:$B,2,FALSE),"")</f>
        <v/>
      </c>
      <c r="CS52" s="31" t="str">
        <f>IFERROR(VLOOKUP([2]Pointage!CW46,Feuil1!$A:$B,2,FALSE),"")</f>
        <v/>
      </c>
      <c r="CT52" s="31" t="str">
        <f>IFERROR(VLOOKUP([2]Pointage!CX46,Feuil1!$A:$B,2,FALSE),"")</f>
        <v/>
      </c>
      <c r="CU52" s="31" t="str">
        <f>IFERROR(VLOOKUP([2]Pointage!CY46,Feuil1!$A:$B,2,FALSE),"")</f>
        <v/>
      </c>
      <c r="CV52" s="31" t="str">
        <f>IFERROR(VLOOKUP([2]Pointage!CZ46,Feuil1!$A:$B,2,FALSE),"")</f>
        <v/>
      </c>
      <c r="CW52" s="31" t="str">
        <f>IFERROR(VLOOKUP([2]Pointage!DA46,Feuil1!$A:$B,2,FALSE),"")</f>
        <v/>
      </c>
      <c r="CX52" s="31" t="str">
        <f>IFERROR(VLOOKUP([2]Pointage!DB46,Feuil1!$A:$B,2,FALSE),"")</f>
        <v/>
      </c>
      <c r="CY52" s="31" t="str">
        <f>IFERROR(VLOOKUP([2]Pointage!DC46,Feuil1!$A:$B,2,FALSE),"")</f>
        <v/>
      </c>
      <c r="CZ52" s="31" t="str">
        <f>IFERROR(VLOOKUP([2]Pointage!DD46,Feuil1!$A:$B,2,FALSE),"")</f>
        <v/>
      </c>
      <c r="DA52" s="31" t="str">
        <f>IFERROR(VLOOKUP([2]Pointage!DE46,Feuil1!$A:$B,2,FALSE),"")</f>
        <v/>
      </c>
      <c r="DB52" s="31" t="str">
        <f>IFERROR(VLOOKUP([2]Pointage!DF46,Feuil1!$A:$B,2,FALSE),"")</f>
        <v/>
      </c>
      <c r="DC52" s="31" t="str">
        <f>IFERROR(VLOOKUP([2]Pointage!DG46,Feuil1!$A:$B,2,FALSE),"")</f>
        <v/>
      </c>
      <c r="DD52" s="31" t="str">
        <f>IFERROR(VLOOKUP([2]Pointage!DH46,Feuil1!$A:$B,2,FALSE),"")</f>
        <v/>
      </c>
      <c r="DE52" s="31" t="str">
        <f>IFERROR(VLOOKUP([2]Pointage!DI46,Feuil1!$A:$B,2,FALSE),"")</f>
        <v/>
      </c>
      <c r="DF52" s="31" t="str">
        <f>IFERROR(VLOOKUP([2]Pointage!DJ46,Feuil1!$A:$B,2,FALSE),"")</f>
        <v/>
      </c>
      <c r="DG52" s="31" t="str">
        <f>IFERROR(VLOOKUP([2]Pointage!DK46,Feuil1!$A:$B,2,FALSE),"")</f>
        <v/>
      </c>
      <c r="DH52" s="31" t="str">
        <f>IFERROR(VLOOKUP([2]Pointage!DL46,Feuil1!$A:$B,2,FALSE),"")</f>
        <v/>
      </c>
      <c r="DI52" s="31" t="str">
        <f>IFERROR(VLOOKUP([2]Pointage!DM46,Feuil1!$A:$B,2,FALSE),"")</f>
        <v/>
      </c>
      <c r="DJ52" s="31" t="str">
        <f>IFERROR(VLOOKUP([2]Pointage!DN46,Feuil1!$A:$B,2,FALSE),"")</f>
        <v/>
      </c>
      <c r="DK52" s="31" t="str">
        <f>IFERROR(VLOOKUP([2]Pointage!DO46,Feuil1!$A:$B,2,FALSE),"")</f>
        <v/>
      </c>
      <c r="DL52" s="31" t="str">
        <f>IFERROR(VLOOKUP([2]Pointage!DP46,Feuil1!$A:$B,2,FALSE),"")</f>
        <v/>
      </c>
      <c r="DM52" s="31" t="str">
        <f>IFERROR(VLOOKUP([2]Pointage!DQ46,Feuil1!$A:$B,2,FALSE),"")</f>
        <v/>
      </c>
      <c r="DN52" s="31" t="str">
        <f>IFERROR(VLOOKUP([2]Pointage!DR46,Feuil1!$A:$B,2,FALSE),"")</f>
        <v/>
      </c>
      <c r="DO52" s="31" t="str">
        <f>IFERROR(VLOOKUP([2]Pointage!DS46,Feuil1!$A:$B,2,FALSE),"")</f>
        <v/>
      </c>
      <c r="DP52" s="31" t="str">
        <f>IFERROR(VLOOKUP([2]Pointage!DT46,Feuil1!$A:$B,2,FALSE),"")</f>
        <v/>
      </c>
      <c r="DQ52" s="31" t="str">
        <f>IFERROR(VLOOKUP([2]Pointage!DU46,Feuil1!$A:$B,2,FALSE),"")</f>
        <v/>
      </c>
      <c r="DR52" s="31" t="str">
        <f>IFERROR(VLOOKUP([2]Pointage!DV46,Feuil1!$A:$B,2,FALSE),"")</f>
        <v/>
      </c>
      <c r="DS52" s="31" t="str">
        <f>IFERROR(VLOOKUP([2]Pointage!DW46,Feuil1!$A:$B,2,FALSE),"")</f>
        <v/>
      </c>
      <c r="DT52" s="31" t="str">
        <f>IFERROR(VLOOKUP([2]Pointage!DX46,Feuil1!$A:$B,2,FALSE),"")</f>
        <v/>
      </c>
      <c r="DU52" s="82" t="str">
        <f>IFERROR(VLOOKUP([2]Pointage!DY46,Feuil1!$A:$B,2,FALSE),"")</f>
        <v/>
      </c>
      <c r="DV52" s="47" t="str">
        <f>IFERROR(VLOOKUP([2]Pointage!DZ46,Feuil1!$A:$B,2,FALSE),"")</f>
        <v/>
      </c>
      <c r="DW52" s="31" t="str">
        <f>IFERROR(VLOOKUP([2]Pointage!EA46,Feuil1!$A:$B,2,FALSE),"")</f>
        <v/>
      </c>
      <c r="DX52" s="31" t="str">
        <f>IFERROR(VLOOKUP([2]Pointage!EB46,Feuil1!$A:$B,2,FALSE),"")</f>
        <v/>
      </c>
      <c r="DY52" s="31" t="str">
        <f>IFERROR(VLOOKUP([2]Pointage!EC46,Feuil1!$A:$B,2,FALSE),"")</f>
        <v/>
      </c>
      <c r="DZ52" s="31" t="str">
        <f>IFERROR(VLOOKUP([2]Pointage!ED46,Feuil1!$A:$B,2,FALSE),"")</f>
        <v/>
      </c>
      <c r="EA52" s="31" t="str">
        <f>IFERROR(VLOOKUP([2]Pointage!EE46,Feuil1!$A:$B,2,FALSE),"")</f>
        <v/>
      </c>
      <c r="EB52" s="31" t="str">
        <f>IFERROR(VLOOKUP([2]Pointage!EF46,Feuil1!$A:$B,2,FALSE),"")</f>
        <v/>
      </c>
      <c r="EC52" s="31" t="str">
        <f>IFERROR(VLOOKUP([2]Pointage!EG46,Feuil1!$A:$B,2,FALSE),"")</f>
        <v/>
      </c>
      <c r="ED52" s="31" t="str">
        <f>IFERROR(VLOOKUP([2]Pointage!EH46,Feuil1!$A:$B,2,FALSE),"")</f>
        <v/>
      </c>
      <c r="EE52" s="31" t="str">
        <f>IFERROR(VLOOKUP([2]Pointage!EI46,Feuil1!$A:$B,2,FALSE),"")</f>
        <v/>
      </c>
      <c r="EF52" s="31" t="str">
        <f>IFERROR(VLOOKUP([2]Pointage!EJ46,Feuil1!$A:$B,2,FALSE),"")</f>
        <v/>
      </c>
      <c r="EG52" s="31" t="str">
        <f>IFERROR(VLOOKUP([2]Pointage!EK46,Feuil1!$A:$B,2,FALSE),"")</f>
        <v/>
      </c>
      <c r="EH52" s="31" t="str">
        <f>IFERROR(VLOOKUP([2]Pointage!EL46,Feuil1!$A:$B,2,FALSE),"")</f>
        <v/>
      </c>
      <c r="EI52" s="31" t="str">
        <f>IFERROR(VLOOKUP([2]Pointage!EM46,Feuil1!$A:$B,2,FALSE),"")</f>
        <v/>
      </c>
      <c r="EJ52" s="31" t="str">
        <f>IFERROR(VLOOKUP([2]Pointage!EN46,Feuil1!$A:$B,2,FALSE),"")</f>
        <v/>
      </c>
      <c r="EK52" s="31" t="str">
        <f>IFERROR(VLOOKUP([2]Pointage!EO46,Feuil1!$A:$B,2,FALSE),"")</f>
        <v/>
      </c>
      <c r="EL52" s="31" t="str">
        <f>IFERROR(VLOOKUP([2]Pointage!EP46,Feuil1!$A:$B,2,FALSE),"")</f>
        <v/>
      </c>
      <c r="EM52" s="31" t="str">
        <f>IFERROR(VLOOKUP([2]Pointage!EQ46,Feuil1!$A:$B,2,FALSE),"")</f>
        <v/>
      </c>
      <c r="EN52" s="31" t="str">
        <f>IFERROR(VLOOKUP([2]Pointage!ER46,Feuil1!$A:$B,2,FALSE),"")</f>
        <v/>
      </c>
      <c r="EO52" s="31" t="str">
        <f>IFERROR(VLOOKUP([2]Pointage!ES46,Feuil1!$A:$B,2,FALSE),"")</f>
        <v/>
      </c>
      <c r="EP52" s="31" t="str">
        <f>IFERROR(VLOOKUP([2]Pointage!ET46,Feuil1!$A:$B,2,FALSE),"")</f>
        <v/>
      </c>
      <c r="EQ52" s="31" t="str">
        <f>IFERROR(VLOOKUP([2]Pointage!EU46,Feuil1!$A:$B,2,FALSE),"")</f>
        <v/>
      </c>
      <c r="ER52" s="31" t="str">
        <f>IFERROR(VLOOKUP([2]Pointage!EV46,Feuil1!$A:$B,2,FALSE),"")</f>
        <v>RTT</v>
      </c>
      <c r="ES52" s="31" t="str">
        <f>IFERROR(VLOOKUP([2]Pointage!EW46,Feuil1!$A:$B,2,FALSE),"")</f>
        <v>RTT</v>
      </c>
      <c r="ET52" s="31" t="str">
        <f>IFERROR(VLOOKUP([2]Pointage!EX46,Feuil1!$A:$B,2,FALSE),"")</f>
        <v>C</v>
      </c>
      <c r="EU52" s="31" t="str">
        <f>IFERROR(VLOOKUP([2]Pointage!EY46,Feuil1!$A:$B,2,FALSE),"")</f>
        <v/>
      </c>
      <c r="EV52" s="31" t="str">
        <f>IFERROR(VLOOKUP([2]Pointage!EZ46,Feuil1!$A:$B,2,FALSE),"")</f>
        <v/>
      </c>
      <c r="EW52" s="31" t="str">
        <f>IFERROR(VLOOKUP([2]Pointage!FA46,Feuil1!$A:$B,2,FALSE),"")</f>
        <v/>
      </c>
      <c r="EX52" s="31" t="str">
        <f>IFERROR(VLOOKUP([2]Pointage!FB46,Feuil1!$A:$B,2,FALSE),"")</f>
        <v/>
      </c>
      <c r="EY52" s="31" t="str">
        <f>IFERROR(VLOOKUP([2]Pointage!FC46,Feuil1!$A:$B,2,FALSE),"")</f>
        <v/>
      </c>
      <c r="EZ52" s="82" t="str">
        <f>IFERROR(VLOOKUP([2]Pointage!FD46,Feuil1!$A:$B,2,FALSE),"")</f>
        <v/>
      </c>
      <c r="FA52" s="47" t="str">
        <f>IFERROR(VLOOKUP([2]Pointage!FE46,Feuil1!$A:$B,2,FALSE),"")</f>
        <v/>
      </c>
      <c r="FB52" s="31" t="str">
        <f>IFERROR(VLOOKUP([2]Pointage!FF46,Feuil1!$A:$B,2,FALSE),"")</f>
        <v/>
      </c>
      <c r="FC52" s="31" t="str">
        <f>IFERROR(VLOOKUP([2]Pointage!FG46,Feuil1!$A:$B,2,FALSE),"")</f>
        <v/>
      </c>
      <c r="FD52" s="31" t="str">
        <f>IFERROR(VLOOKUP([2]Pointage!FH46,Feuil1!$A:$B,2,FALSE),"")</f>
        <v/>
      </c>
      <c r="FE52" s="31" t="str">
        <f>IFERROR(VLOOKUP([2]Pointage!FI46,Feuil1!$A:$B,2,FALSE),"")</f>
        <v/>
      </c>
      <c r="FF52" s="31" t="str">
        <f>IFERROR(VLOOKUP([2]Pointage!FJ46,Feuil1!$A:$B,2,FALSE),"")</f>
        <v/>
      </c>
      <c r="FG52" s="31" t="str">
        <f>IFERROR(VLOOKUP([2]Pointage!FK46,Feuil1!$A:$B,2,FALSE),"")</f>
        <v/>
      </c>
      <c r="FH52" s="31" t="str">
        <f>IFERROR(VLOOKUP([2]Pointage!FL46,Feuil1!$A:$B,2,FALSE),"")</f>
        <v/>
      </c>
      <c r="FI52" s="31" t="str">
        <f>IFERROR(VLOOKUP([2]Pointage!FM46,Feuil1!$A:$B,2,FALSE),"")</f>
        <v/>
      </c>
      <c r="FJ52" s="31" t="str">
        <f>IFERROR(VLOOKUP([2]Pointage!FN46,Feuil1!$A:$B,2,FALSE),"")</f>
        <v/>
      </c>
      <c r="FK52" s="31" t="str">
        <f>IFERROR(VLOOKUP([2]Pointage!FO46,Feuil1!$A:$B,2,FALSE),"")</f>
        <v/>
      </c>
      <c r="FL52" s="31" t="str">
        <f>IFERROR(VLOOKUP([2]Pointage!FP46,Feuil1!$A:$B,2,FALSE),"")</f>
        <v/>
      </c>
      <c r="FM52" s="31" t="str">
        <f>IFERROR(VLOOKUP([2]Pointage!FQ46,Feuil1!$A:$B,2,FALSE),"")</f>
        <v/>
      </c>
      <c r="FN52" s="31" t="str">
        <f>IFERROR(VLOOKUP([2]Pointage!FR46,Feuil1!$A:$B,2,FALSE),"")</f>
        <v/>
      </c>
      <c r="FO52" s="31" t="str">
        <f>IFERROR(VLOOKUP([2]Pointage!FS46,Feuil1!$A:$B,2,FALSE),"")</f>
        <v/>
      </c>
      <c r="FP52" s="31" t="str">
        <f>IFERROR(VLOOKUP([2]Pointage!FT46,Feuil1!$A:$B,2,FALSE),"")</f>
        <v/>
      </c>
      <c r="FQ52" s="31" t="str">
        <f>IFERROR(VLOOKUP([2]Pointage!FU46,Feuil1!$A:$B,2,FALSE),"")</f>
        <v/>
      </c>
      <c r="FR52" s="31" t="str">
        <f>IFERROR(VLOOKUP([2]Pointage!FV46,Feuil1!$A:$B,2,FALSE),"")</f>
        <v/>
      </c>
      <c r="FS52" s="31" t="str">
        <f>IFERROR(VLOOKUP([2]Pointage!FW46,Feuil1!$A:$B,2,FALSE),"")</f>
        <v/>
      </c>
      <c r="FT52" s="31" t="str">
        <f>IFERROR(VLOOKUP([2]Pointage!FX46,Feuil1!$A:$B,2,FALSE),"")</f>
        <v/>
      </c>
      <c r="FU52" s="31" t="str">
        <f>IFERROR(VLOOKUP([2]Pointage!FY46,Feuil1!$A:$B,2,FALSE),"")</f>
        <v/>
      </c>
      <c r="FV52" s="31" t="str">
        <f>IFERROR(VLOOKUP([2]Pointage!FZ46,Feuil1!$A:$B,2,FALSE),"")</f>
        <v/>
      </c>
      <c r="FW52" s="31" t="str">
        <f>IFERROR(VLOOKUP([2]Pointage!GA46,Feuil1!$A:$B,2,FALSE),"")</f>
        <v/>
      </c>
      <c r="FX52" s="31" t="str">
        <f>IFERROR(VLOOKUP([2]Pointage!GB46,Feuil1!$A:$B,2,FALSE),"")</f>
        <v/>
      </c>
      <c r="FY52" s="31" t="str">
        <f>IFERROR(VLOOKUP([2]Pointage!GC46,Feuil1!$A:$B,2,FALSE),"")</f>
        <v/>
      </c>
      <c r="FZ52" s="31" t="str">
        <f>IFERROR(VLOOKUP([2]Pointage!GD46,Feuil1!$A:$B,2,FALSE),"")</f>
        <v/>
      </c>
      <c r="GA52" s="31" t="str">
        <f>IFERROR(VLOOKUP([2]Pointage!GE46,Feuil1!$A:$B,2,FALSE),"")</f>
        <v/>
      </c>
      <c r="GB52" s="31" t="str">
        <f>IFERROR(VLOOKUP([2]Pointage!GF46,Feuil1!$A:$B,2,FALSE),"")</f>
        <v/>
      </c>
      <c r="GC52" s="31" t="str">
        <f>IFERROR(VLOOKUP([2]Pointage!GG46,Feuil1!$A:$B,2,FALSE),"")</f>
        <v/>
      </c>
      <c r="GD52" s="82" t="str">
        <f>IFERROR(VLOOKUP([2]Pointage!GH46,Feuil1!$A:$B,2,FALSE),"")</f>
        <v/>
      </c>
      <c r="GE52" s="47" t="str">
        <f>IFERROR(VLOOKUP([2]Pointage!GI46,Feuil1!$A:$B,2,FALSE),"")</f>
        <v/>
      </c>
      <c r="GF52" s="31" t="str">
        <f>IFERROR(VLOOKUP([2]Pointage!GJ46,Feuil1!$A:$B,2,FALSE),"")</f>
        <v/>
      </c>
      <c r="GG52" s="31" t="str">
        <f>IFERROR(VLOOKUP([2]Pointage!GK46,Feuil1!$A:$B,2,FALSE),"")</f>
        <v/>
      </c>
      <c r="GH52" s="31" t="str">
        <f>IFERROR(VLOOKUP([2]Pointage!GL46,Feuil1!$A:$B,2,FALSE),"")</f>
        <v/>
      </c>
      <c r="GI52" s="31" t="str">
        <f>IFERROR(VLOOKUP([2]Pointage!GM46,Feuil1!$A:$B,2,FALSE),"")</f>
        <v/>
      </c>
      <c r="GJ52" s="31" t="str">
        <f>IFERROR(VLOOKUP([2]Pointage!GN46,Feuil1!$A:$B,2,FALSE),"")</f>
        <v/>
      </c>
      <c r="GK52" s="31" t="str">
        <f>IFERROR(VLOOKUP([2]Pointage!GO46,Feuil1!$A:$B,2,FALSE),"")</f>
        <v/>
      </c>
      <c r="GL52" s="31" t="str">
        <f>IFERROR(VLOOKUP([2]Pointage!GP46,Feuil1!$A:$B,2,FALSE),"")</f>
        <v/>
      </c>
      <c r="GM52" s="31" t="str">
        <f>IFERROR(VLOOKUP([2]Pointage!GQ46,Feuil1!$A:$B,2,FALSE),"")</f>
        <v/>
      </c>
      <c r="GN52" s="31" t="str">
        <f>IFERROR(VLOOKUP([2]Pointage!GR46,Feuil1!$A:$B,2,FALSE),"")</f>
        <v/>
      </c>
      <c r="GO52" s="31" t="str">
        <f>IFERROR(VLOOKUP([2]Pointage!GS46,Feuil1!$A:$B,2,FALSE),"")</f>
        <v/>
      </c>
      <c r="GP52" s="31" t="str">
        <f>IFERROR(VLOOKUP([2]Pointage!GT46,Feuil1!$A:$B,2,FALSE),"")</f>
        <v/>
      </c>
      <c r="GQ52" s="31" t="str">
        <f>IFERROR(VLOOKUP([2]Pointage!GU46,Feuil1!$A:$B,2,FALSE),"")</f>
        <v/>
      </c>
      <c r="GR52" s="31" t="str">
        <f>IFERROR(VLOOKUP([2]Pointage!GV46,Feuil1!$A:$B,2,FALSE),"")</f>
        <v/>
      </c>
      <c r="GS52" s="31" t="str">
        <f>IFERROR(VLOOKUP([2]Pointage!GW46,Feuil1!$A:$B,2,FALSE),"")</f>
        <v/>
      </c>
      <c r="GT52" s="31" t="str">
        <f>IFERROR(VLOOKUP([2]Pointage!GX46,Feuil1!$A:$B,2,FALSE),"")</f>
        <v/>
      </c>
      <c r="GU52" s="31" t="str">
        <f>IFERROR(VLOOKUP([2]Pointage!GY46,Feuil1!$A:$B,2,FALSE),"")</f>
        <v/>
      </c>
      <c r="GV52" s="31" t="str">
        <f>IFERROR(VLOOKUP([2]Pointage!GZ46,Feuil1!$A:$B,2,FALSE),"")</f>
        <v/>
      </c>
      <c r="GW52" s="31" t="str">
        <f>IFERROR(VLOOKUP([2]Pointage!HA46,Feuil1!$A:$B,2,FALSE),"")</f>
        <v/>
      </c>
      <c r="GX52" s="31" t="str">
        <f>IFERROR(VLOOKUP([2]Pointage!HB46,Feuil1!$A:$B,2,FALSE),"")</f>
        <v/>
      </c>
      <c r="GY52" s="31" t="str">
        <f>IFERROR(VLOOKUP([2]Pointage!HC46,Feuil1!$A:$B,2,FALSE),"")</f>
        <v/>
      </c>
      <c r="GZ52" s="31" t="str">
        <f>IFERROR(VLOOKUP([2]Pointage!HD46,Feuil1!$A:$B,2,FALSE),"")</f>
        <v/>
      </c>
      <c r="HA52" s="31" t="str">
        <f>IFERROR(VLOOKUP([2]Pointage!HE46,Feuil1!$A:$B,2,FALSE),"")</f>
        <v/>
      </c>
      <c r="HB52" s="31" t="str">
        <f>IFERROR(VLOOKUP([2]Pointage!HF46,Feuil1!$A:$B,2,FALSE),"")</f>
        <v/>
      </c>
      <c r="HC52" s="31" t="str">
        <f>IFERROR(VLOOKUP([2]Pointage!HG46,Feuil1!$A:$B,2,FALSE),"")</f>
        <v/>
      </c>
      <c r="HD52" s="31" t="str">
        <f>IFERROR(VLOOKUP([2]Pointage!HH46,Feuil1!$A:$B,2,FALSE),"")</f>
        <v/>
      </c>
      <c r="HE52" s="31" t="str">
        <f>IFERROR(VLOOKUP([2]Pointage!HI46,Feuil1!$A:$B,2,FALSE),"")</f>
        <v/>
      </c>
      <c r="HF52" s="31" t="str">
        <f>IFERROR(VLOOKUP([2]Pointage!HJ46,Feuil1!$A:$B,2,FALSE),"")</f>
        <v/>
      </c>
      <c r="HG52" s="31" t="str">
        <f>IFERROR(VLOOKUP([2]Pointage!HK46,Feuil1!$A:$B,2,FALSE),"")</f>
        <v/>
      </c>
      <c r="HH52" s="31" t="str">
        <f>IFERROR(VLOOKUP([2]Pointage!HL46,Feuil1!$A:$B,2,FALSE),"")</f>
        <v/>
      </c>
      <c r="HI52" s="82" t="str">
        <f>IFERROR(VLOOKUP([2]Pointage!HM46,Feuil1!$A:$B,2,FALSE),"")</f>
        <v/>
      </c>
      <c r="HJ52" s="47" t="str">
        <f>IFERROR(VLOOKUP([2]Pointage!HN46,Feuil1!$A:$B,2,FALSE),"")</f>
        <v/>
      </c>
      <c r="HK52" s="31" t="str">
        <f>IFERROR(VLOOKUP([2]Pointage!HO46,Feuil1!$A:$B,2,FALSE),"")</f>
        <v/>
      </c>
      <c r="HL52" s="31" t="str">
        <f>IFERROR(VLOOKUP([2]Pointage!HP46,Feuil1!$A:$B,2,FALSE),"")</f>
        <v/>
      </c>
      <c r="HM52" s="31" t="str">
        <f>IFERROR(VLOOKUP([2]Pointage!HQ46,Feuil1!$A:$B,2,FALSE),"")</f>
        <v/>
      </c>
      <c r="HN52" s="31" t="str">
        <f>IFERROR(VLOOKUP([2]Pointage!HR46,Feuil1!$A:$B,2,FALSE),"")</f>
        <v/>
      </c>
      <c r="HO52" s="31" t="str">
        <f>IFERROR(VLOOKUP([2]Pointage!HS46,Feuil1!$A:$B,2,FALSE),"")</f>
        <v>C</v>
      </c>
      <c r="HP52" s="31" t="str">
        <f>IFERROR(VLOOKUP([2]Pointage!HT46,Feuil1!$A:$B,2,FALSE),"")</f>
        <v>C</v>
      </c>
      <c r="HQ52" s="31" t="str">
        <f>IFERROR(VLOOKUP([2]Pointage!HU46,Feuil1!$A:$B,2,FALSE),"")</f>
        <v>C</v>
      </c>
      <c r="HR52" s="31" t="str">
        <f>IFERROR(VLOOKUP([2]Pointage!HV46,Feuil1!$A:$B,2,FALSE),"")</f>
        <v>C</v>
      </c>
      <c r="HS52" s="31" t="str">
        <f>IFERROR(VLOOKUP([2]Pointage!HW46,Feuil1!$A:$B,2,FALSE),"")</f>
        <v>C</v>
      </c>
      <c r="HT52" s="31" t="str">
        <f>IFERROR(VLOOKUP([2]Pointage!HX46,Feuil1!$A:$B,2,FALSE),"")</f>
        <v/>
      </c>
      <c r="HU52" s="31" t="str">
        <f>IFERROR(VLOOKUP([2]Pointage!HY46,Feuil1!$A:$B,2,FALSE),"")</f>
        <v/>
      </c>
      <c r="HV52" s="31" t="str">
        <f>IFERROR(VLOOKUP([2]Pointage!HZ46,Feuil1!$A:$B,2,FALSE),"")</f>
        <v>C</v>
      </c>
      <c r="HW52" s="31" t="str">
        <f>IFERROR(VLOOKUP([2]Pointage!IA46,Feuil1!$A:$B,2,FALSE),"")</f>
        <v>C</v>
      </c>
      <c r="HX52" s="31" t="str">
        <f>IFERROR(VLOOKUP([2]Pointage!IB46,Feuil1!$A:$B,2,FALSE),"")</f>
        <v/>
      </c>
      <c r="HY52" s="31" t="str">
        <f>IFERROR(VLOOKUP([2]Pointage!IC46,Feuil1!$A:$B,2,FALSE),"")</f>
        <v>C</v>
      </c>
      <c r="HZ52" s="31" t="str">
        <f>IFERROR(VLOOKUP([2]Pointage!ID46,Feuil1!$A:$B,2,FALSE),"")</f>
        <v>C</v>
      </c>
      <c r="IA52" s="31" t="str">
        <f>IFERROR(VLOOKUP([2]Pointage!IE46,Feuil1!$A:$B,2,FALSE),"")</f>
        <v/>
      </c>
      <c r="IB52" s="31" t="str">
        <f>IFERROR(VLOOKUP([2]Pointage!IF46,Feuil1!$A:$B,2,FALSE),"")</f>
        <v/>
      </c>
      <c r="IC52" s="31" t="str">
        <f>IFERROR(VLOOKUP([2]Pointage!IG46,Feuil1!$A:$B,2,FALSE),"")</f>
        <v>C</v>
      </c>
      <c r="ID52" s="31" t="str">
        <f>IFERROR(VLOOKUP([2]Pointage!IH46,Feuil1!$A:$B,2,FALSE),"")</f>
        <v>C</v>
      </c>
      <c r="IE52" s="31" t="str">
        <f>IFERROR(VLOOKUP([2]Pointage!II46,Feuil1!$A:$B,2,FALSE),"")</f>
        <v>C</v>
      </c>
      <c r="IF52" s="31" t="str">
        <f>IFERROR(VLOOKUP([2]Pointage!IJ46,Feuil1!$A:$B,2,FALSE),"")</f>
        <v>C</v>
      </c>
      <c r="IG52" s="31" t="str">
        <f>IFERROR(VLOOKUP([2]Pointage!IK46,Feuil1!$A:$B,2,FALSE),"")</f>
        <v>C</v>
      </c>
      <c r="IH52" s="31" t="str">
        <f>IFERROR(VLOOKUP([2]Pointage!IL46,Feuil1!$A:$B,2,FALSE),"")</f>
        <v/>
      </c>
      <c r="II52" s="31" t="str">
        <f>IFERROR(VLOOKUP([2]Pointage!IM46,Feuil1!$A:$B,2,FALSE),"")</f>
        <v/>
      </c>
      <c r="IJ52" s="31" t="str">
        <f>IFERROR(VLOOKUP([2]Pointage!IN46,Feuil1!$A:$B,2,FALSE),"")</f>
        <v/>
      </c>
      <c r="IK52" s="31" t="str">
        <f>IFERROR(VLOOKUP([2]Pointage!IO46,Feuil1!$A:$B,2,FALSE),"")</f>
        <v/>
      </c>
      <c r="IL52" s="31" t="str">
        <f>IFERROR(VLOOKUP([2]Pointage!IP46,Feuil1!$A:$B,2,FALSE),"")</f>
        <v/>
      </c>
      <c r="IM52" s="31" t="str">
        <f>IFERROR(VLOOKUP([2]Pointage!IQ46,Feuil1!$A:$B,2,FALSE),"")</f>
        <v/>
      </c>
      <c r="IN52" s="82" t="str">
        <f>IFERROR(VLOOKUP([2]Pointage!IR46,Feuil1!$A:$B,2,FALSE),"")</f>
        <v/>
      </c>
      <c r="IO52" s="47" t="str">
        <f>IFERROR(VLOOKUP([2]Pointage!IS46,Feuil1!$A:$B,2,FALSE),"")</f>
        <v/>
      </c>
      <c r="IP52" s="31" t="str">
        <f>IFERROR(VLOOKUP([2]Pointage!IT46,Feuil1!$A:$B,2,FALSE),"")</f>
        <v/>
      </c>
      <c r="IQ52" s="31" t="str">
        <f>IFERROR(VLOOKUP([2]Pointage!IU46,Feuil1!$A:$B,2,FALSE),"")</f>
        <v/>
      </c>
      <c r="IR52" s="31" t="str">
        <f>IFERROR(VLOOKUP([2]Pointage!IV46,Feuil1!$A:$B,2,FALSE),"")</f>
        <v/>
      </c>
      <c r="IS52" s="31" t="str">
        <f>IFERROR(VLOOKUP([2]Pointage!IW46,Feuil1!$A:$B,2,FALSE),"")</f>
        <v/>
      </c>
      <c r="IT52" s="31" t="str">
        <f>IFERROR(VLOOKUP([2]Pointage!IX46,Feuil1!$A:$B,2,FALSE),"")</f>
        <v/>
      </c>
      <c r="IU52" s="31" t="str">
        <f>IFERROR(VLOOKUP([2]Pointage!IY46,Feuil1!$A:$B,2,FALSE),"")</f>
        <v/>
      </c>
      <c r="IV52" s="31" t="str">
        <f>IFERROR(VLOOKUP([2]Pointage!IZ46,Feuil1!$A:$B,2,FALSE),"")</f>
        <v/>
      </c>
      <c r="IW52" s="31" t="str">
        <f>IFERROR(VLOOKUP([2]Pointage!JA46,Feuil1!$A:$B,2,FALSE),"")</f>
        <v/>
      </c>
      <c r="IX52" s="31" t="str">
        <f>IFERROR(VLOOKUP([2]Pointage!JB46,Feuil1!$A:$B,2,FALSE),"")</f>
        <v/>
      </c>
      <c r="IY52" s="31" t="str">
        <f>IFERROR(VLOOKUP([2]Pointage!JC46,Feuil1!$A:$B,2,FALSE),"")</f>
        <v/>
      </c>
      <c r="IZ52" s="31" t="str">
        <f>IFERROR(VLOOKUP([2]Pointage!JD46,Feuil1!$A:$B,2,FALSE),"")</f>
        <v/>
      </c>
      <c r="JA52" s="31" t="str">
        <f>IFERROR(VLOOKUP([2]Pointage!JE46,Feuil1!$A:$B,2,FALSE),"")</f>
        <v/>
      </c>
      <c r="JB52" s="31" t="str">
        <f>IFERROR(VLOOKUP([2]Pointage!JF46,Feuil1!$A:$B,2,FALSE),"")</f>
        <v/>
      </c>
      <c r="JC52" s="31" t="str">
        <f>IFERROR(VLOOKUP([2]Pointage!JG46,Feuil1!$A:$B,2,FALSE),"")</f>
        <v/>
      </c>
      <c r="JD52" s="31" t="str">
        <f>IFERROR(VLOOKUP([2]Pointage!JH46,Feuil1!$A:$B,2,FALSE),"")</f>
        <v/>
      </c>
      <c r="JE52" s="31" t="str">
        <f>IFERROR(VLOOKUP([2]Pointage!JI46,Feuil1!$A:$B,2,FALSE),"")</f>
        <v/>
      </c>
      <c r="JF52" s="31" t="str">
        <f>IFERROR(VLOOKUP([2]Pointage!JJ46,Feuil1!$A:$B,2,FALSE),"")</f>
        <v/>
      </c>
      <c r="JG52" s="31" t="str">
        <f>IFERROR(VLOOKUP([2]Pointage!JK46,Feuil1!$A:$B,2,FALSE),"")</f>
        <v/>
      </c>
      <c r="JH52" s="31" t="str">
        <f>IFERROR(VLOOKUP([2]Pointage!JL46,Feuil1!$A:$B,2,FALSE),"")</f>
        <v/>
      </c>
      <c r="JI52" s="31" t="str">
        <f>IFERROR(VLOOKUP([2]Pointage!JM46,Feuil1!$A:$B,2,FALSE),"")</f>
        <v/>
      </c>
      <c r="JJ52" s="31" t="str">
        <f>IFERROR(VLOOKUP([2]Pointage!JN46,Feuil1!$A:$B,2,FALSE),"")</f>
        <v/>
      </c>
      <c r="JK52" s="31" t="str">
        <f>IFERROR(VLOOKUP([2]Pointage!JO46,Feuil1!$A:$B,2,FALSE),"")</f>
        <v/>
      </c>
      <c r="JL52" s="31" t="str">
        <f>IFERROR(VLOOKUP([2]Pointage!JP46,Feuil1!$A:$B,2,FALSE),"")</f>
        <v/>
      </c>
      <c r="JM52" s="31" t="str">
        <f>IFERROR(VLOOKUP([2]Pointage!JQ46,Feuil1!$A:$B,2,FALSE),"")</f>
        <v/>
      </c>
      <c r="JN52" s="31" t="str">
        <f>IFERROR(VLOOKUP([2]Pointage!JR46,Feuil1!$A:$B,2,FALSE),"")</f>
        <v/>
      </c>
      <c r="JO52" s="31" t="str">
        <f>IFERROR(VLOOKUP([2]Pointage!JS46,Feuil1!$A:$B,2,FALSE),"")</f>
        <v/>
      </c>
      <c r="JP52" s="31" t="str">
        <f>IFERROR(VLOOKUP([2]Pointage!JT46,Feuil1!$A:$B,2,FALSE),"")</f>
        <v/>
      </c>
      <c r="JQ52" s="31" t="str">
        <f>IFERROR(VLOOKUP([2]Pointage!JU46,Feuil1!$A:$B,2,FALSE),"")</f>
        <v/>
      </c>
      <c r="JR52" s="82" t="str">
        <f>IFERROR(VLOOKUP([2]Pointage!JV46,Feuil1!$A:$B,2,FALSE),"")</f>
        <v/>
      </c>
      <c r="JS52" s="47" t="str">
        <f>IFERROR(VLOOKUP([2]Pointage!JW46,Feuil1!$A:$B,2,FALSE),"")</f>
        <v/>
      </c>
      <c r="JT52" s="31" t="str">
        <f>IFERROR(VLOOKUP([2]Pointage!JX46,Feuil1!$A:$B,2,FALSE),"")</f>
        <v/>
      </c>
      <c r="JU52" s="31" t="str">
        <f>IFERROR(VLOOKUP([2]Pointage!JY46,Feuil1!$A:$B,2,FALSE),"")</f>
        <v/>
      </c>
      <c r="JV52" s="31" t="str">
        <f>IFERROR(VLOOKUP([2]Pointage!JZ46,Feuil1!$A:$B,2,FALSE),"")</f>
        <v/>
      </c>
      <c r="JW52" s="31" t="str">
        <f>IFERROR(VLOOKUP([2]Pointage!KA46,Feuil1!$A:$B,2,FALSE),"")</f>
        <v/>
      </c>
      <c r="JX52" s="31" t="str">
        <f>IFERROR(VLOOKUP([2]Pointage!KB46,Feuil1!$A:$B,2,FALSE),"")</f>
        <v/>
      </c>
      <c r="JY52" s="31" t="str">
        <f>IFERROR(VLOOKUP([2]Pointage!KC46,Feuil1!$A:$B,2,FALSE),"")</f>
        <v/>
      </c>
      <c r="JZ52" s="31" t="str">
        <f>IFERROR(VLOOKUP([2]Pointage!KD46,Feuil1!$A:$B,2,FALSE),"")</f>
        <v/>
      </c>
      <c r="KA52" s="31" t="str">
        <f>IFERROR(VLOOKUP([2]Pointage!KE46,Feuil1!$A:$B,2,FALSE),"")</f>
        <v/>
      </c>
      <c r="KB52" s="31" t="str">
        <f>IFERROR(VLOOKUP([2]Pointage!KF46,Feuil1!$A:$B,2,FALSE),"")</f>
        <v/>
      </c>
      <c r="KC52" s="31" t="str">
        <f>IFERROR(VLOOKUP([2]Pointage!KG46,Feuil1!$A:$B,2,FALSE),"")</f>
        <v/>
      </c>
      <c r="KD52" s="31" t="str">
        <f>IFERROR(VLOOKUP([2]Pointage!KH46,Feuil1!$A:$B,2,FALSE),"")</f>
        <v/>
      </c>
      <c r="KE52" s="31" t="str">
        <f>IFERROR(VLOOKUP([2]Pointage!KI46,Feuil1!$A:$B,2,FALSE),"")</f>
        <v/>
      </c>
      <c r="KF52" s="31" t="str">
        <f>IFERROR(VLOOKUP([2]Pointage!KJ46,Feuil1!$A:$B,2,FALSE),"")</f>
        <v/>
      </c>
      <c r="KG52" s="31" t="str">
        <f>IFERROR(VLOOKUP([2]Pointage!KK46,Feuil1!$A:$B,2,FALSE),"")</f>
        <v/>
      </c>
      <c r="KH52" s="31" t="str">
        <f>IFERROR(VLOOKUP([2]Pointage!KL46,Feuil1!$A:$B,2,FALSE),"")</f>
        <v/>
      </c>
      <c r="KI52" s="31" t="str">
        <f>IFERROR(VLOOKUP([2]Pointage!KM46,Feuil1!$A:$B,2,FALSE),"")</f>
        <v/>
      </c>
      <c r="KJ52" s="31" t="str">
        <f>IFERROR(VLOOKUP([2]Pointage!KN46,Feuil1!$A:$B,2,FALSE),"")</f>
        <v/>
      </c>
      <c r="KK52" s="31" t="str">
        <f>IFERROR(VLOOKUP([2]Pointage!KO46,Feuil1!$A:$B,2,FALSE),"")</f>
        <v/>
      </c>
      <c r="KL52" s="31" t="str">
        <f>IFERROR(VLOOKUP([2]Pointage!KP46,Feuil1!$A:$B,2,FALSE),"")</f>
        <v/>
      </c>
      <c r="KM52" s="31" t="str">
        <f>IFERROR(VLOOKUP([2]Pointage!KQ46,Feuil1!$A:$B,2,FALSE),"")</f>
        <v/>
      </c>
      <c r="KN52" s="31" t="str">
        <f>IFERROR(VLOOKUP([2]Pointage!KR46,Feuil1!$A:$B,2,FALSE),"")</f>
        <v/>
      </c>
      <c r="KO52" s="31" t="str">
        <f>IFERROR(VLOOKUP([2]Pointage!KS46,Feuil1!$A:$B,2,FALSE),"")</f>
        <v/>
      </c>
      <c r="KP52" s="31" t="str">
        <f>IFERROR(VLOOKUP([2]Pointage!KT46,Feuil1!$A:$B,2,FALSE),"")</f>
        <v/>
      </c>
      <c r="KQ52" s="31" t="str">
        <f>IFERROR(VLOOKUP([2]Pointage!KU46,Feuil1!$A:$B,2,FALSE),"")</f>
        <v/>
      </c>
      <c r="KR52" s="31" t="str">
        <f>IFERROR(VLOOKUP([2]Pointage!KV46,Feuil1!$A:$B,2,FALSE),"")</f>
        <v/>
      </c>
      <c r="KS52" s="31" t="str">
        <f>IFERROR(VLOOKUP([2]Pointage!KW46,Feuil1!$A:$B,2,FALSE),"")</f>
        <v/>
      </c>
      <c r="KT52" s="31" t="str">
        <f>IFERROR(VLOOKUP([2]Pointage!KX46,Feuil1!$A:$B,2,FALSE),"")</f>
        <v/>
      </c>
      <c r="KU52" s="31" t="str">
        <f>IFERROR(VLOOKUP([2]Pointage!KY46,Feuil1!$A:$B,2,FALSE),"")</f>
        <v/>
      </c>
      <c r="KV52" s="31" t="str">
        <f>IFERROR(VLOOKUP([2]Pointage!KZ46,Feuil1!$A:$B,2,FALSE),"")</f>
        <v/>
      </c>
      <c r="KW52" s="82" t="str">
        <f>IFERROR(VLOOKUP([2]Pointage!LA46,Feuil1!$A:$B,2,FALSE),"")</f>
        <v/>
      </c>
      <c r="KX52" s="47" t="str">
        <f>IFERROR(VLOOKUP([2]Pointage!LB46,Feuil1!$A:$B,2,FALSE),"")</f>
        <v/>
      </c>
      <c r="KY52" s="31" t="str">
        <f>IFERROR(VLOOKUP([2]Pointage!LC46,Feuil1!$A:$B,2,FALSE),"")</f>
        <v/>
      </c>
      <c r="KZ52" s="31" t="str">
        <f>IFERROR(VLOOKUP([2]Pointage!LD46,Feuil1!$A:$B,2,FALSE),"")</f>
        <v/>
      </c>
      <c r="LA52" s="31" t="str">
        <f>IFERROR(VLOOKUP([2]Pointage!LE46,Feuil1!$A:$B,2,FALSE),"")</f>
        <v/>
      </c>
      <c r="LB52" s="31" t="str">
        <f>IFERROR(VLOOKUP([2]Pointage!LF46,Feuil1!$A:$B,2,FALSE),"")</f>
        <v/>
      </c>
      <c r="LC52" s="31" t="str">
        <f>IFERROR(VLOOKUP([2]Pointage!LG46,Feuil1!$A:$B,2,FALSE),"")</f>
        <v/>
      </c>
      <c r="LD52" s="31" t="str">
        <f>IFERROR(VLOOKUP([2]Pointage!LH46,Feuil1!$A:$B,2,FALSE),"")</f>
        <v/>
      </c>
      <c r="LE52" s="31" t="str">
        <f>IFERROR(VLOOKUP([2]Pointage!LI46,Feuil1!$A:$B,2,FALSE),"")</f>
        <v/>
      </c>
      <c r="LF52" s="31" t="str">
        <f>IFERROR(VLOOKUP([2]Pointage!LJ46,Feuil1!$A:$B,2,FALSE),"")</f>
        <v/>
      </c>
      <c r="LG52" s="31" t="str">
        <f>IFERROR(VLOOKUP([2]Pointage!LK46,Feuil1!$A:$B,2,FALSE),"")</f>
        <v/>
      </c>
      <c r="LH52" s="31" t="str">
        <f>IFERROR(VLOOKUP([2]Pointage!LL46,Feuil1!$A:$B,2,FALSE),"")</f>
        <v/>
      </c>
      <c r="LI52" s="31" t="str">
        <f>IFERROR(VLOOKUP([2]Pointage!LM46,Feuil1!$A:$B,2,FALSE),"")</f>
        <v/>
      </c>
      <c r="LJ52" s="31" t="str">
        <f>IFERROR(VLOOKUP([2]Pointage!LN46,Feuil1!$A:$B,2,FALSE),"")</f>
        <v/>
      </c>
      <c r="LK52" s="31" t="str">
        <f>IFERROR(VLOOKUP([2]Pointage!LO46,Feuil1!$A:$B,2,FALSE),"")</f>
        <v/>
      </c>
      <c r="LL52" s="31" t="str">
        <f>IFERROR(VLOOKUP([2]Pointage!LP46,Feuil1!$A:$B,2,FALSE),"")</f>
        <v/>
      </c>
      <c r="LM52" s="31" t="str">
        <f>IFERROR(VLOOKUP([2]Pointage!LQ46,Feuil1!$A:$B,2,FALSE),"")</f>
        <v/>
      </c>
      <c r="LN52" s="31" t="str">
        <f>IFERROR(VLOOKUP([2]Pointage!LR46,Feuil1!$A:$B,2,FALSE),"")</f>
        <v/>
      </c>
      <c r="LO52" s="31" t="str">
        <f>IFERROR(VLOOKUP([2]Pointage!LS46,Feuil1!$A:$B,2,FALSE),"")</f>
        <v/>
      </c>
      <c r="LP52" s="31" t="str">
        <f>IFERROR(VLOOKUP([2]Pointage!LT46,Feuil1!$A:$B,2,FALSE),"")</f>
        <v/>
      </c>
      <c r="LQ52" s="31" t="str">
        <f>IFERROR(VLOOKUP([2]Pointage!LU46,Feuil1!$A:$B,2,FALSE),"")</f>
        <v/>
      </c>
      <c r="LR52" s="31" t="str">
        <f>IFERROR(VLOOKUP([2]Pointage!LV46,Feuil1!$A:$B,2,FALSE),"")</f>
        <v/>
      </c>
      <c r="LS52" s="31" t="str">
        <f>IFERROR(VLOOKUP([2]Pointage!LW46,Feuil1!$A:$B,2,FALSE),"")</f>
        <v/>
      </c>
      <c r="LT52" s="31" t="str">
        <f>IFERROR(VLOOKUP([2]Pointage!LX46,Feuil1!$A:$B,2,FALSE),"")</f>
        <v/>
      </c>
      <c r="LU52" s="31" t="str">
        <f>IFERROR(VLOOKUP([2]Pointage!LY46,Feuil1!$A:$B,2,FALSE),"")</f>
        <v/>
      </c>
      <c r="LV52" s="31" t="str">
        <f>IFERROR(VLOOKUP([2]Pointage!LZ46,Feuil1!$A:$B,2,FALSE),"")</f>
        <v/>
      </c>
      <c r="LW52" s="31" t="str">
        <f>IFERROR(VLOOKUP([2]Pointage!MA46,Feuil1!$A:$B,2,FALSE),"")</f>
        <v/>
      </c>
      <c r="LX52" s="31" t="str">
        <f>IFERROR(VLOOKUP([2]Pointage!MB46,Feuil1!$A:$B,2,FALSE),"")</f>
        <v/>
      </c>
      <c r="LY52" s="31" t="str">
        <f>IFERROR(VLOOKUP([2]Pointage!MC46,Feuil1!$A:$B,2,FALSE),"")</f>
        <v/>
      </c>
      <c r="LZ52" s="31" t="str">
        <f>IFERROR(VLOOKUP([2]Pointage!MD46,Feuil1!$A:$B,2,FALSE),"")</f>
        <v/>
      </c>
      <c r="MA52" s="82" t="str">
        <f>IFERROR(VLOOKUP([2]Pointage!ME46,Feuil1!$A:$B,2,FALSE),"")</f>
        <v/>
      </c>
      <c r="MB52" s="47" t="str">
        <f>IFERROR(VLOOKUP([2]Pointage!MF46,Feuil1!$A:$B,2,FALSE),"")</f>
        <v/>
      </c>
      <c r="MC52" s="31" t="str">
        <f>IFERROR(VLOOKUP([2]Pointage!MG46,Feuil1!$A:$B,2,FALSE),"")</f>
        <v/>
      </c>
      <c r="MD52" s="31" t="str">
        <f>IFERROR(VLOOKUP([2]Pointage!MH46,Feuil1!$A:$B,2,FALSE),"")</f>
        <v/>
      </c>
      <c r="ME52" s="31" t="str">
        <f>IFERROR(VLOOKUP([2]Pointage!MI46,Feuil1!$A:$B,2,FALSE),"")</f>
        <v/>
      </c>
      <c r="MF52" s="31" t="str">
        <f>IFERROR(VLOOKUP([2]Pointage!MJ46,Feuil1!$A:$B,2,FALSE),"")</f>
        <v/>
      </c>
      <c r="MG52" s="31" t="str">
        <f>IFERROR(VLOOKUP([2]Pointage!MK46,Feuil1!$A:$B,2,FALSE),"")</f>
        <v/>
      </c>
      <c r="MH52" s="31" t="str">
        <f>IFERROR(VLOOKUP([2]Pointage!ML46,Feuil1!$A:$B,2,FALSE),"")</f>
        <v/>
      </c>
      <c r="MI52" s="31" t="str">
        <f>IFERROR(VLOOKUP([2]Pointage!MM46,Feuil1!$A:$B,2,FALSE),"")</f>
        <v/>
      </c>
      <c r="MJ52" s="31" t="str">
        <f>IFERROR(VLOOKUP([2]Pointage!MN46,Feuil1!$A:$B,2,FALSE),"")</f>
        <v/>
      </c>
      <c r="MK52" s="31" t="str">
        <f>IFERROR(VLOOKUP([2]Pointage!MO46,Feuil1!$A:$B,2,FALSE),"")</f>
        <v/>
      </c>
      <c r="ML52" s="31" t="str">
        <f>IFERROR(VLOOKUP([2]Pointage!MP46,Feuil1!$A:$B,2,FALSE),"")</f>
        <v/>
      </c>
      <c r="MM52" s="31" t="str">
        <f>IFERROR(VLOOKUP([2]Pointage!MQ46,Feuil1!$A:$B,2,FALSE),"")</f>
        <v/>
      </c>
      <c r="MN52" s="31" t="str">
        <f>IFERROR(VLOOKUP([2]Pointage!MR46,Feuil1!$A:$B,2,FALSE),"")</f>
        <v/>
      </c>
      <c r="MO52" s="31" t="str">
        <f>IFERROR(VLOOKUP([2]Pointage!MS46,Feuil1!$A:$B,2,FALSE),"")</f>
        <v/>
      </c>
      <c r="MP52" s="31" t="str">
        <f>IFERROR(VLOOKUP([2]Pointage!MT46,Feuil1!$A:$B,2,FALSE),"")</f>
        <v/>
      </c>
      <c r="MQ52" s="31" t="str">
        <f>IFERROR(VLOOKUP([2]Pointage!MU46,Feuil1!$A:$B,2,FALSE),"")</f>
        <v/>
      </c>
      <c r="MR52" s="31" t="str">
        <f>IFERROR(VLOOKUP([2]Pointage!MV46,Feuil1!$A:$B,2,FALSE),"")</f>
        <v/>
      </c>
      <c r="MS52" s="31" t="str">
        <f>IFERROR(VLOOKUP([2]Pointage!MW46,Feuil1!$A:$B,2,FALSE),"")</f>
        <v/>
      </c>
      <c r="MT52" s="31" t="str">
        <f>IFERROR(VLOOKUP([2]Pointage!MX46,Feuil1!$A:$B,2,FALSE),"")</f>
        <v/>
      </c>
      <c r="MU52" s="31" t="str">
        <f>IFERROR(VLOOKUP([2]Pointage!MY46,Feuil1!$A:$B,2,FALSE),"")</f>
        <v/>
      </c>
      <c r="MV52" s="31" t="str">
        <f>IFERROR(VLOOKUP([2]Pointage!MZ46,Feuil1!$A:$B,2,FALSE),"")</f>
        <v/>
      </c>
      <c r="MW52" s="31" t="str">
        <f>IFERROR(VLOOKUP([2]Pointage!NA46,Feuil1!$A:$B,2,FALSE),"")</f>
        <v/>
      </c>
      <c r="MX52" s="31" t="str">
        <f>IFERROR(VLOOKUP([2]Pointage!NB46,Feuil1!$A:$B,2,FALSE),"")</f>
        <v/>
      </c>
      <c r="MY52" s="31" t="str">
        <f>IFERROR(VLOOKUP([2]Pointage!NC46,Feuil1!$A:$B,2,FALSE),"")</f>
        <v/>
      </c>
      <c r="MZ52" s="31" t="str">
        <f>IFERROR(VLOOKUP([2]Pointage!ND46,Feuil1!$A:$B,2,FALSE),"")</f>
        <v/>
      </c>
      <c r="NA52" s="31" t="str">
        <f>IFERROR(VLOOKUP([2]Pointage!NE46,Feuil1!$A:$B,2,FALSE),"")</f>
        <v/>
      </c>
      <c r="NB52" s="31" t="str">
        <f>IFERROR(VLOOKUP([2]Pointage!NF46,Feuil1!$A:$B,2,FALSE),"")</f>
        <v/>
      </c>
      <c r="NC52" s="31" t="str">
        <f>IFERROR(VLOOKUP([2]Pointage!NG46,Feuil1!$A:$B,2,FALSE),"")</f>
        <v/>
      </c>
      <c r="ND52" s="31" t="str">
        <f>IFERROR(VLOOKUP([2]Pointage!NH46,Feuil1!$A:$B,2,FALSE),"")</f>
        <v/>
      </c>
      <c r="NE52" s="31" t="str">
        <f>IFERROR(VLOOKUP([2]Pointage!NI46,Feuil1!$A:$B,2,FALSE),"")</f>
        <v/>
      </c>
      <c r="NF52" s="48" t="str">
        <f>IFERROR(VLOOKUP([2]Pointage!NJ46,Feuil1!$A:$B,2,FALSE),"")</f>
        <v/>
      </c>
      <c r="NG52" s="52">
        <f>COUNTIF(Global!F52:NF52,"RTT")+(COUNTIF(Global!F52:NF52,"dRTT")/2)</f>
        <v>2</v>
      </c>
      <c r="NH52" s="42">
        <f>COUNTIF(Global!F52:NF52,"C")+(COUNTIF(Global!F52:NF52,"DC")/2)</f>
        <v>22</v>
      </c>
      <c r="NI52" s="42">
        <f>COUNTIF(Global!F52:NF52,"M")</f>
        <v>4</v>
      </c>
      <c r="NJ52" s="42">
        <f>COUNTIF(Global!G52:NG52,"AT")</f>
        <v>0</v>
      </c>
      <c r="NK52" s="42">
        <f>COUNTIF(Global!F52:NF52,"RD")</f>
        <v>0</v>
      </c>
      <c r="NL52" s="42">
        <f>COUNTIF(Global!F52:NF52,"RC")+(COUNTIF(Global!F52:NF52,"dRC")/2)</f>
        <v>0</v>
      </c>
      <c r="NM52" s="68">
        <f t="shared" ca="1" si="0"/>
        <v>3.9178082191780828</v>
      </c>
      <c r="NT52" s="33"/>
      <c r="NU52" s="33"/>
      <c r="NV52" s="28"/>
      <c r="NW52" s="28"/>
      <c r="NX52" s="29">
        <f>COUNTIF(F52:NF52,"C")++(COUNTIF(Global!F52:NF52,"DC")/2)</f>
        <v>22</v>
      </c>
      <c r="NY52" s="29"/>
      <c r="NZ52" s="29"/>
      <c r="OA52" s="29"/>
      <c r="OB52" s="29">
        <f>COUNTIF(Global!F52:NF52,"M")</f>
        <v>4</v>
      </c>
      <c r="OC52" s="30">
        <f t="shared" si="1"/>
        <v>-22</v>
      </c>
      <c r="OD52" s="30"/>
    </row>
    <row r="53" spans="1:394" ht="30" customHeight="1" x14ac:dyDescent="0.2">
      <c r="A53" s="17" t="s">
        <v>109</v>
      </c>
      <c r="B53" s="17" t="s">
        <v>260</v>
      </c>
      <c r="C53" s="17" t="s">
        <v>261</v>
      </c>
      <c r="D53" s="17" t="s">
        <v>262</v>
      </c>
      <c r="E53" s="23">
        <v>0</v>
      </c>
      <c r="F53" s="47" t="str">
        <f>IFERROR(VLOOKUP([2]Pointage!J47,Feuil1!$A:$B,2,FALSE),"")</f>
        <v/>
      </c>
      <c r="G53" s="31" t="str">
        <f>IFERROR(VLOOKUP([2]Pointage!K47,Feuil1!$A:$B,2,FALSE),"")</f>
        <v>C</v>
      </c>
      <c r="H53" s="31" t="str">
        <f>IFERROR(VLOOKUP([2]Pointage!L47,Feuil1!$A:$B,2,FALSE),"")</f>
        <v>C</v>
      </c>
      <c r="I53" s="31" t="str">
        <f>IFERROR(VLOOKUP([2]Pointage!M47,Feuil1!$A:$B,2,FALSE),"")</f>
        <v>C</v>
      </c>
      <c r="J53" s="31" t="str">
        <f>IFERROR(VLOOKUP([2]Pointage!N47,Feuil1!$A:$B,2,FALSE),"")</f>
        <v>C</v>
      </c>
      <c r="K53" s="31" t="str">
        <f>IFERROR(VLOOKUP([2]Pointage!O47,Feuil1!$A:$B,2,FALSE),"")</f>
        <v/>
      </c>
      <c r="L53" s="31" t="str">
        <f>IFERROR(VLOOKUP([2]Pointage!P47,Feuil1!$A:$B,2,FALSE),"")</f>
        <v/>
      </c>
      <c r="M53" s="31" t="str">
        <f>IFERROR(VLOOKUP([2]Pointage!Q47,Feuil1!$A:$B,2,FALSE),"")</f>
        <v/>
      </c>
      <c r="N53" s="31" t="str">
        <f>IFERROR(VLOOKUP([2]Pointage!R47,Feuil1!$A:$B,2,FALSE),"")</f>
        <v/>
      </c>
      <c r="O53" s="31" t="str">
        <f>IFERROR(VLOOKUP([2]Pointage!S47,Feuil1!$A:$B,2,FALSE),"")</f>
        <v/>
      </c>
      <c r="P53" s="31" t="str">
        <f>IFERROR(VLOOKUP([2]Pointage!T47,Feuil1!$A:$B,2,FALSE),"")</f>
        <v/>
      </c>
      <c r="Q53" s="31" t="str">
        <f>IFERROR(VLOOKUP([2]Pointage!U47,Feuil1!$A:$B,2,FALSE),"")</f>
        <v/>
      </c>
      <c r="R53" s="31" t="str">
        <f>IFERROR(VLOOKUP([2]Pointage!V47,Feuil1!$A:$B,2,FALSE),"")</f>
        <v/>
      </c>
      <c r="S53" s="31" t="str">
        <f>IFERROR(VLOOKUP([2]Pointage!W47,Feuil1!$A:$B,2,FALSE),"")</f>
        <v/>
      </c>
      <c r="T53" s="31" t="str">
        <f>IFERROR(VLOOKUP([2]Pointage!X47,Feuil1!$A:$B,2,FALSE),"")</f>
        <v/>
      </c>
      <c r="U53" s="31" t="str">
        <f>IFERROR(VLOOKUP([2]Pointage!Y47,Feuil1!$A:$B,2,FALSE),"")</f>
        <v/>
      </c>
      <c r="V53" s="31" t="str">
        <f>IFERROR(VLOOKUP([2]Pointage!Z47,Feuil1!$A:$B,2,FALSE),"")</f>
        <v/>
      </c>
      <c r="W53" s="31" t="str">
        <f>IFERROR(VLOOKUP([2]Pointage!AA47,Feuil1!$A:$B,2,FALSE),"")</f>
        <v/>
      </c>
      <c r="X53" s="31" t="str">
        <f>IFERROR(VLOOKUP([2]Pointage!AB47,Feuil1!$A:$B,2,FALSE),"")</f>
        <v/>
      </c>
      <c r="Y53" s="31" t="str">
        <f>IFERROR(VLOOKUP([2]Pointage!AC47,Feuil1!$A:$B,2,FALSE),"")</f>
        <v/>
      </c>
      <c r="Z53" s="31" t="str">
        <f>IFERROR(VLOOKUP([2]Pointage!AD47,Feuil1!$A:$B,2,FALSE),"")</f>
        <v/>
      </c>
      <c r="AA53" s="31" t="str">
        <f>IFERROR(VLOOKUP([2]Pointage!AE47,Feuil1!$A:$B,2,FALSE),"")</f>
        <v/>
      </c>
      <c r="AB53" s="31" t="str">
        <f>IFERROR(VLOOKUP([2]Pointage!AF47,Feuil1!$A:$B,2,FALSE),"")</f>
        <v/>
      </c>
      <c r="AC53" s="31" t="str">
        <f>IFERROR(VLOOKUP([2]Pointage!AG47,Feuil1!$A:$B,2,FALSE),"")</f>
        <v/>
      </c>
      <c r="AD53" s="31" t="str">
        <f>IFERROR(VLOOKUP([2]Pointage!AH47,Feuil1!$A:$B,2,FALSE),"")</f>
        <v/>
      </c>
      <c r="AE53" s="31" t="str">
        <f>IFERROR(VLOOKUP([2]Pointage!AI47,Feuil1!$A:$B,2,FALSE),"")</f>
        <v/>
      </c>
      <c r="AF53" s="31" t="str">
        <f>IFERROR(VLOOKUP([2]Pointage!AJ47,Feuil1!$A:$B,2,FALSE),"")</f>
        <v/>
      </c>
      <c r="AG53" s="31" t="str">
        <f>IFERROR(VLOOKUP([2]Pointage!AK47,Feuil1!$A:$B,2,FALSE),"")</f>
        <v/>
      </c>
      <c r="AH53" s="31" t="str">
        <f>IFERROR(VLOOKUP([2]Pointage!AL47,Feuil1!$A:$B,2,FALSE),"")</f>
        <v>C</v>
      </c>
      <c r="AI53" s="31" t="str">
        <f>IFERROR(VLOOKUP([2]Pointage!AM47,Feuil1!$A:$B,2,FALSE),"")</f>
        <v>C</v>
      </c>
      <c r="AJ53" s="82" t="str">
        <f>IFERROR(VLOOKUP([2]Pointage!AN47,Feuil1!$A:$B,2,FALSE),"")</f>
        <v>C</v>
      </c>
      <c r="AK53" s="47" t="str">
        <f>IFERROR(VLOOKUP([2]Pointage!AO47,Feuil1!$A:$B,2,FALSE),"")</f>
        <v>C</v>
      </c>
      <c r="AL53" s="31" t="str">
        <f>IFERROR(VLOOKUP([2]Pointage!AP47,Feuil1!$A:$B,2,FALSE),"")</f>
        <v>C</v>
      </c>
      <c r="AM53" s="31" t="str">
        <f>IFERROR(VLOOKUP([2]Pointage!AQ47,Feuil1!$A:$B,2,FALSE),"")</f>
        <v/>
      </c>
      <c r="AN53" s="31" t="str">
        <f>IFERROR(VLOOKUP([2]Pointage!AR47,Feuil1!$A:$B,2,FALSE),"")</f>
        <v/>
      </c>
      <c r="AO53" s="31" t="str">
        <f>IFERROR(VLOOKUP([2]Pointage!AS47,Feuil1!$A:$B,2,FALSE),"")</f>
        <v/>
      </c>
      <c r="AP53" s="31" t="str">
        <f>IFERROR(VLOOKUP([2]Pointage!AT47,Feuil1!$A:$B,2,FALSE),"")</f>
        <v/>
      </c>
      <c r="AQ53" s="31" t="str">
        <f>IFERROR(VLOOKUP([2]Pointage!AU47,Feuil1!$A:$B,2,FALSE),"")</f>
        <v/>
      </c>
      <c r="AR53" s="31" t="str">
        <f>IFERROR(VLOOKUP([2]Pointage!AV47,Feuil1!$A:$B,2,FALSE),"")</f>
        <v/>
      </c>
      <c r="AS53" s="31" t="str">
        <f>IFERROR(VLOOKUP([2]Pointage!AW47,Feuil1!$A:$B,2,FALSE),"")</f>
        <v/>
      </c>
      <c r="AT53" s="31" t="str">
        <f>IFERROR(VLOOKUP([2]Pointage!AX47,Feuil1!$A:$B,2,FALSE),"")</f>
        <v/>
      </c>
      <c r="AU53" s="31" t="str">
        <f>IFERROR(VLOOKUP([2]Pointage!AY47,Feuil1!$A:$B,2,FALSE),"")</f>
        <v/>
      </c>
      <c r="AV53" s="31" t="str">
        <f>IFERROR(VLOOKUP([2]Pointage!AZ47,Feuil1!$A:$B,2,FALSE),"")</f>
        <v/>
      </c>
      <c r="AW53" s="31" t="str">
        <f>IFERROR(VLOOKUP([2]Pointage!BA47,Feuil1!$A:$B,2,FALSE),"")</f>
        <v/>
      </c>
      <c r="AX53" s="31" t="str">
        <f>IFERROR(VLOOKUP([2]Pointage!BB47,Feuil1!$A:$B,2,FALSE),"")</f>
        <v/>
      </c>
      <c r="AY53" s="31" t="str">
        <f>IFERROR(VLOOKUP([2]Pointage!BC47,Feuil1!$A:$B,2,FALSE),"")</f>
        <v/>
      </c>
      <c r="AZ53" s="31" t="str">
        <f>IFERROR(VLOOKUP([2]Pointage!BD47,Feuil1!$A:$B,2,FALSE),"")</f>
        <v/>
      </c>
      <c r="BA53" s="31" t="str">
        <f>IFERROR(VLOOKUP([2]Pointage!BE47,Feuil1!$A:$B,2,FALSE),"")</f>
        <v/>
      </c>
      <c r="BB53" s="31" t="str">
        <f>IFERROR(VLOOKUP([2]Pointage!BF47,Feuil1!$A:$B,2,FALSE),"")</f>
        <v/>
      </c>
      <c r="BC53" s="31" t="str">
        <f>IFERROR(VLOOKUP([2]Pointage!BG47,Feuil1!$A:$B,2,FALSE),"")</f>
        <v/>
      </c>
      <c r="BD53" s="31" t="str">
        <f>IFERROR(VLOOKUP([2]Pointage!BH47,Feuil1!$A:$B,2,FALSE),"")</f>
        <v/>
      </c>
      <c r="BE53" s="31" t="str">
        <f>IFERROR(VLOOKUP([2]Pointage!BI47,Feuil1!$A:$B,2,FALSE),"")</f>
        <v/>
      </c>
      <c r="BF53" s="31" t="str">
        <f>IFERROR(VLOOKUP([2]Pointage!BJ47,Feuil1!$A:$B,2,FALSE),"")</f>
        <v/>
      </c>
      <c r="BG53" s="31" t="str">
        <f>IFERROR(VLOOKUP([2]Pointage!BK47,Feuil1!$A:$B,2,FALSE),"")</f>
        <v/>
      </c>
      <c r="BH53" s="31" t="str">
        <f>IFERROR(VLOOKUP([2]Pointage!BL47,Feuil1!$A:$B,2,FALSE),"")</f>
        <v/>
      </c>
      <c r="BI53" s="31" t="str">
        <f>IFERROR(VLOOKUP([2]Pointage!BM47,Feuil1!$A:$B,2,FALSE),"")</f>
        <v/>
      </c>
      <c r="BJ53" s="31" t="str">
        <f>IFERROR(VLOOKUP([2]Pointage!BN47,Feuil1!$A:$B,2,FALSE),"")</f>
        <v/>
      </c>
      <c r="BK53" s="31" t="str">
        <f>IFERROR(VLOOKUP([2]Pointage!BO47,Feuil1!$A:$B,2,FALSE),"")</f>
        <v/>
      </c>
      <c r="BL53" s="82" t="str">
        <f>IFERROR(VLOOKUP([2]Pointage!BP47,Feuil1!$A:$B,2,FALSE),"")</f>
        <v/>
      </c>
      <c r="BM53" s="47" t="str">
        <f>IFERROR(VLOOKUP([2]Pointage!BQ47,Feuil1!$A:$B,2,FALSE),"")</f>
        <v/>
      </c>
      <c r="BN53" s="31" t="str">
        <f>IFERROR(VLOOKUP([2]Pointage!BR47,Feuil1!$A:$B,2,FALSE),"")</f>
        <v/>
      </c>
      <c r="BO53" s="31" t="str">
        <f>IFERROR(VLOOKUP([2]Pointage!BS47,Feuil1!$A:$B,2,FALSE),"")</f>
        <v/>
      </c>
      <c r="BP53" s="31" t="str">
        <f>IFERROR(VLOOKUP([2]Pointage!BT47,Feuil1!$A:$B,2,FALSE),"")</f>
        <v/>
      </c>
      <c r="BQ53" s="31" t="str">
        <f>IFERROR(VLOOKUP([2]Pointage!BU47,Feuil1!$A:$B,2,FALSE),"")</f>
        <v/>
      </c>
      <c r="BR53" s="31" t="str">
        <f>IFERROR(VLOOKUP([2]Pointage!BV47,Feuil1!$A:$B,2,FALSE),"")</f>
        <v/>
      </c>
      <c r="BS53" s="31" t="str">
        <f>IFERROR(VLOOKUP([2]Pointage!BW47,Feuil1!$A:$B,2,FALSE),"")</f>
        <v/>
      </c>
      <c r="BT53" s="31" t="str">
        <f>IFERROR(VLOOKUP([2]Pointage!BX47,Feuil1!$A:$B,2,FALSE),"")</f>
        <v/>
      </c>
      <c r="BU53" s="31" t="str">
        <f>IFERROR(VLOOKUP([2]Pointage!BY47,Feuil1!$A:$B,2,FALSE),"")</f>
        <v/>
      </c>
      <c r="BV53" s="31" t="str">
        <f>IFERROR(VLOOKUP([2]Pointage!BZ47,Feuil1!$A:$B,2,FALSE),"")</f>
        <v/>
      </c>
      <c r="BW53" s="31" t="str">
        <f>IFERROR(VLOOKUP([2]Pointage!CA47,Feuil1!$A:$B,2,FALSE),"")</f>
        <v/>
      </c>
      <c r="BX53" s="31" t="str">
        <f>IFERROR(VLOOKUP([2]Pointage!CB47,Feuil1!$A:$B,2,FALSE),"")</f>
        <v/>
      </c>
      <c r="BY53" s="31" t="str">
        <f>IFERROR(VLOOKUP([2]Pointage!CC47,Feuil1!$A:$B,2,FALSE),"")</f>
        <v/>
      </c>
      <c r="BZ53" s="31" t="str">
        <f>IFERROR(VLOOKUP([2]Pointage!CD47,Feuil1!$A:$B,2,FALSE),"")</f>
        <v/>
      </c>
      <c r="CA53" s="31" t="str">
        <f>IFERROR(VLOOKUP([2]Pointage!CE47,Feuil1!$A:$B,2,FALSE),"")</f>
        <v/>
      </c>
      <c r="CB53" s="31" t="str">
        <f>IFERROR(VLOOKUP([2]Pointage!CF47,Feuil1!$A:$B,2,FALSE),"")</f>
        <v/>
      </c>
      <c r="CC53" s="31" t="str">
        <f>IFERROR(VLOOKUP([2]Pointage!CG47,Feuil1!$A:$B,2,FALSE),"")</f>
        <v/>
      </c>
      <c r="CD53" s="31" t="str">
        <f>IFERROR(VLOOKUP([2]Pointage!CH47,Feuil1!$A:$B,2,FALSE),"")</f>
        <v/>
      </c>
      <c r="CE53" s="31" t="str">
        <f>IFERROR(VLOOKUP([2]Pointage!CI47,Feuil1!$A:$B,2,FALSE),"")</f>
        <v/>
      </c>
      <c r="CF53" s="31" t="str">
        <f>IFERROR(VLOOKUP([2]Pointage!CJ47,Feuil1!$A:$B,2,FALSE),"")</f>
        <v/>
      </c>
      <c r="CG53" s="31" t="str">
        <f>IFERROR(VLOOKUP([2]Pointage!CK47,Feuil1!$A:$B,2,FALSE),"")</f>
        <v/>
      </c>
      <c r="CH53" s="31" t="str">
        <f>IFERROR(VLOOKUP([2]Pointage!CL47,Feuil1!$A:$B,2,FALSE),"")</f>
        <v/>
      </c>
      <c r="CI53" s="31" t="str">
        <f>IFERROR(VLOOKUP([2]Pointage!CM47,Feuil1!$A:$B,2,FALSE),"")</f>
        <v/>
      </c>
      <c r="CJ53" s="31" t="str">
        <f>IFERROR(VLOOKUP([2]Pointage!CN47,Feuil1!$A:$B,2,FALSE),"")</f>
        <v/>
      </c>
      <c r="CK53" s="31" t="str">
        <f>IFERROR(VLOOKUP([2]Pointage!CO47,Feuil1!$A:$B,2,FALSE),"")</f>
        <v/>
      </c>
      <c r="CL53" s="31" t="str">
        <f>IFERROR(VLOOKUP([2]Pointage!CP47,Feuil1!$A:$B,2,FALSE),"")</f>
        <v>C</v>
      </c>
      <c r="CM53" s="31" t="str">
        <f>IFERROR(VLOOKUP([2]Pointage!CQ47,Feuil1!$A:$B,2,FALSE),"")</f>
        <v>C</v>
      </c>
      <c r="CN53" s="31" t="str">
        <f>IFERROR(VLOOKUP([2]Pointage!CR47,Feuil1!$A:$B,2,FALSE),"")</f>
        <v>C</v>
      </c>
      <c r="CO53" s="31" t="str">
        <f>IFERROR(VLOOKUP([2]Pointage!CS47,Feuil1!$A:$B,2,FALSE),"")</f>
        <v>C</v>
      </c>
      <c r="CP53" s="31" t="str">
        <f>IFERROR(VLOOKUP([2]Pointage!CT47,Feuil1!$A:$B,2,FALSE),"")</f>
        <v>C</v>
      </c>
      <c r="CQ53" s="82" t="str">
        <f>IFERROR(VLOOKUP([2]Pointage!CU47,Feuil1!$A:$B,2,FALSE),"")</f>
        <v/>
      </c>
      <c r="CR53" s="47" t="str">
        <f>IFERROR(VLOOKUP([2]Pointage!CV47,Feuil1!$A:$B,2,FALSE),"")</f>
        <v/>
      </c>
      <c r="CS53" s="31" t="str">
        <f>IFERROR(VLOOKUP([2]Pointage!CW47,Feuil1!$A:$B,2,FALSE),"")</f>
        <v/>
      </c>
      <c r="CT53" s="31" t="str">
        <f>IFERROR(VLOOKUP([2]Pointage!CX47,Feuil1!$A:$B,2,FALSE),"")</f>
        <v/>
      </c>
      <c r="CU53" s="31" t="str">
        <f>IFERROR(VLOOKUP([2]Pointage!CY47,Feuil1!$A:$B,2,FALSE),"")</f>
        <v/>
      </c>
      <c r="CV53" s="31" t="str">
        <f>IFERROR(VLOOKUP([2]Pointage!CZ47,Feuil1!$A:$B,2,FALSE),"")</f>
        <v/>
      </c>
      <c r="CW53" s="31" t="str">
        <f>IFERROR(VLOOKUP([2]Pointage!DA47,Feuil1!$A:$B,2,FALSE),"")</f>
        <v/>
      </c>
      <c r="CX53" s="31" t="str">
        <f>IFERROR(VLOOKUP([2]Pointage!DB47,Feuil1!$A:$B,2,FALSE),"")</f>
        <v/>
      </c>
      <c r="CY53" s="31" t="str">
        <f>IFERROR(VLOOKUP([2]Pointage!DC47,Feuil1!$A:$B,2,FALSE),"")</f>
        <v/>
      </c>
      <c r="CZ53" s="31" t="str">
        <f>IFERROR(VLOOKUP([2]Pointage!DD47,Feuil1!$A:$B,2,FALSE),"")</f>
        <v/>
      </c>
      <c r="DA53" s="31" t="str">
        <f>IFERROR(VLOOKUP([2]Pointage!DE47,Feuil1!$A:$B,2,FALSE),"")</f>
        <v/>
      </c>
      <c r="DB53" s="31" t="str">
        <f>IFERROR(VLOOKUP([2]Pointage!DF47,Feuil1!$A:$B,2,FALSE),"")</f>
        <v/>
      </c>
      <c r="DC53" s="31" t="str">
        <f>IFERROR(VLOOKUP([2]Pointage!DG47,Feuil1!$A:$B,2,FALSE),"")</f>
        <v/>
      </c>
      <c r="DD53" s="31" t="str">
        <f>IFERROR(VLOOKUP([2]Pointage!DH47,Feuil1!$A:$B,2,FALSE),"")</f>
        <v/>
      </c>
      <c r="DE53" s="31" t="str">
        <f>IFERROR(VLOOKUP([2]Pointage!DI47,Feuil1!$A:$B,2,FALSE),"")</f>
        <v/>
      </c>
      <c r="DF53" s="31" t="str">
        <f>IFERROR(VLOOKUP([2]Pointage!DJ47,Feuil1!$A:$B,2,FALSE),"")</f>
        <v/>
      </c>
      <c r="DG53" s="31" t="str">
        <f>IFERROR(VLOOKUP([2]Pointage!DK47,Feuil1!$A:$B,2,FALSE),"")</f>
        <v/>
      </c>
      <c r="DH53" s="31" t="str">
        <f>IFERROR(VLOOKUP([2]Pointage!DL47,Feuil1!$A:$B,2,FALSE),"")</f>
        <v/>
      </c>
      <c r="DI53" s="31" t="str">
        <f>IFERROR(VLOOKUP([2]Pointage!DM47,Feuil1!$A:$B,2,FALSE),"")</f>
        <v/>
      </c>
      <c r="DJ53" s="31" t="str">
        <f>IFERROR(VLOOKUP([2]Pointage!DN47,Feuil1!$A:$B,2,FALSE),"")</f>
        <v/>
      </c>
      <c r="DK53" s="31" t="str">
        <f>IFERROR(VLOOKUP([2]Pointage!DO47,Feuil1!$A:$B,2,FALSE),"")</f>
        <v/>
      </c>
      <c r="DL53" s="31" t="str">
        <f>IFERROR(VLOOKUP([2]Pointage!DP47,Feuil1!$A:$B,2,FALSE),"")</f>
        <v/>
      </c>
      <c r="DM53" s="31" t="str">
        <f>IFERROR(VLOOKUP([2]Pointage!DQ47,Feuil1!$A:$B,2,FALSE),"")</f>
        <v/>
      </c>
      <c r="DN53" s="31" t="str">
        <f>IFERROR(VLOOKUP([2]Pointage!DR47,Feuil1!$A:$B,2,FALSE),"")</f>
        <v/>
      </c>
      <c r="DO53" s="31" t="str">
        <f>IFERROR(VLOOKUP([2]Pointage!DS47,Feuil1!$A:$B,2,FALSE),"")</f>
        <v/>
      </c>
      <c r="DP53" s="31" t="str">
        <f>IFERROR(VLOOKUP([2]Pointage!DT47,Feuil1!$A:$B,2,FALSE),"")</f>
        <v/>
      </c>
      <c r="DQ53" s="31" t="str">
        <f>IFERROR(VLOOKUP([2]Pointage!DU47,Feuil1!$A:$B,2,FALSE),"")</f>
        <v/>
      </c>
      <c r="DR53" s="31" t="str">
        <f>IFERROR(VLOOKUP([2]Pointage!DV47,Feuil1!$A:$B,2,FALSE),"")</f>
        <v/>
      </c>
      <c r="DS53" s="31" t="str">
        <f>IFERROR(VLOOKUP([2]Pointage!DW47,Feuil1!$A:$B,2,FALSE),"")</f>
        <v/>
      </c>
      <c r="DT53" s="31" t="str">
        <f>IFERROR(VLOOKUP([2]Pointage!DX47,Feuil1!$A:$B,2,FALSE),"")</f>
        <v/>
      </c>
      <c r="DU53" s="82" t="str">
        <f>IFERROR(VLOOKUP([2]Pointage!DY47,Feuil1!$A:$B,2,FALSE),"")</f>
        <v/>
      </c>
      <c r="DV53" s="47" t="str">
        <f>IFERROR(VLOOKUP([2]Pointage!DZ47,Feuil1!$A:$B,2,FALSE),"")</f>
        <v/>
      </c>
      <c r="DW53" s="31" t="str">
        <f>IFERROR(VLOOKUP([2]Pointage!EA47,Feuil1!$A:$B,2,FALSE),"")</f>
        <v/>
      </c>
      <c r="DX53" s="31" t="str">
        <f>IFERROR(VLOOKUP([2]Pointage!EB47,Feuil1!$A:$B,2,FALSE),"")</f>
        <v/>
      </c>
      <c r="DY53" s="31" t="str">
        <f>IFERROR(VLOOKUP([2]Pointage!EC47,Feuil1!$A:$B,2,FALSE),"")</f>
        <v/>
      </c>
      <c r="DZ53" s="31" t="str">
        <f>IFERROR(VLOOKUP([2]Pointage!ED47,Feuil1!$A:$B,2,FALSE),"")</f>
        <v/>
      </c>
      <c r="EA53" s="31" t="str">
        <f>IFERROR(VLOOKUP([2]Pointage!EE47,Feuil1!$A:$B,2,FALSE),"")</f>
        <v/>
      </c>
      <c r="EB53" s="31" t="str">
        <f>IFERROR(VLOOKUP([2]Pointage!EF47,Feuil1!$A:$B,2,FALSE),"")</f>
        <v/>
      </c>
      <c r="EC53" s="31" t="str">
        <f>IFERROR(VLOOKUP([2]Pointage!EG47,Feuil1!$A:$B,2,FALSE),"")</f>
        <v/>
      </c>
      <c r="ED53" s="31" t="str">
        <f>IFERROR(VLOOKUP([2]Pointage!EH47,Feuil1!$A:$B,2,FALSE),"")</f>
        <v/>
      </c>
      <c r="EE53" s="31" t="str">
        <f>IFERROR(VLOOKUP([2]Pointage!EI47,Feuil1!$A:$B,2,FALSE),"")</f>
        <v/>
      </c>
      <c r="EF53" s="31" t="str">
        <f>IFERROR(VLOOKUP([2]Pointage!EJ47,Feuil1!$A:$B,2,FALSE),"")</f>
        <v/>
      </c>
      <c r="EG53" s="31" t="str">
        <f>IFERROR(VLOOKUP([2]Pointage!EK47,Feuil1!$A:$B,2,FALSE),"")</f>
        <v/>
      </c>
      <c r="EH53" s="31" t="str">
        <f>IFERROR(VLOOKUP([2]Pointage!EL47,Feuil1!$A:$B,2,FALSE),"")</f>
        <v/>
      </c>
      <c r="EI53" s="31" t="str">
        <f>IFERROR(VLOOKUP([2]Pointage!EM47,Feuil1!$A:$B,2,FALSE),"")</f>
        <v/>
      </c>
      <c r="EJ53" s="31" t="str">
        <f>IFERROR(VLOOKUP([2]Pointage!EN47,Feuil1!$A:$B,2,FALSE),"")</f>
        <v/>
      </c>
      <c r="EK53" s="31" t="str">
        <f>IFERROR(VLOOKUP([2]Pointage!EO47,Feuil1!$A:$B,2,FALSE),"")</f>
        <v/>
      </c>
      <c r="EL53" s="31" t="str">
        <f>IFERROR(VLOOKUP([2]Pointage!EP47,Feuil1!$A:$B,2,FALSE),"")</f>
        <v/>
      </c>
      <c r="EM53" s="31" t="str">
        <f>IFERROR(VLOOKUP([2]Pointage!EQ47,Feuil1!$A:$B,2,FALSE),"")</f>
        <v/>
      </c>
      <c r="EN53" s="31" t="str">
        <f>IFERROR(VLOOKUP([2]Pointage!ER47,Feuil1!$A:$B,2,FALSE),"")</f>
        <v/>
      </c>
      <c r="EO53" s="31" t="str">
        <f>IFERROR(VLOOKUP([2]Pointage!ES47,Feuil1!$A:$B,2,FALSE),"")</f>
        <v/>
      </c>
      <c r="EP53" s="31" t="str">
        <f>IFERROR(VLOOKUP([2]Pointage!ET47,Feuil1!$A:$B,2,FALSE),"")</f>
        <v/>
      </c>
      <c r="EQ53" s="31" t="str">
        <f>IFERROR(VLOOKUP([2]Pointage!EU47,Feuil1!$A:$B,2,FALSE),"")</f>
        <v/>
      </c>
      <c r="ER53" s="31" t="str">
        <f>IFERROR(VLOOKUP([2]Pointage!EV47,Feuil1!$A:$B,2,FALSE),"")</f>
        <v/>
      </c>
      <c r="ES53" s="31" t="str">
        <f>IFERROR(VLOOKUP([2]Pointage!EW47,Feuil1!$A:$B,2,FALSE),"")</f>
        <v/>
      </c>
      <c r="ET53" s="31" t="str">
        <f>IFERROR(VLOOKUP([2]Pointage!EX47,Feuil1!$A:$B,2,FALSE),"")</f>
        <v/>
      </c>
      <c r="EU53" s="31" t="str">
        <f>IFERROR(VLOOKUP([2]Pointage!EY47,Feuil1!$A:$B,2,FALSE),"")</f>
        <v/>
      </c>
      <c r="EV53" s="31" t="str">
        <f>IFERROR(VLOOKUP([2]Pointage!EZ47,Feuil1!$A:$B,2,FALSE),"")</f>
        <v/>
      </c>
      <c r="EW53" s="31" t="str">
        <f>IFERROR(VLOOKUP([2]Pointage!FA47,Feuil1!$A:$B,2,FALSE),"")</f>
        <v/>
      </c>
      <c r="EX53" s="31" t="str">
        <f>IFERROR(VLOOKUP([2]Pointage!FB47,Feuil1!$A:$B,2,FALSE),"")</f>
        <v/>
      </c>
      <c r="EY53" s="31" t="str">
        <f>IFERROR(VLOOKUP([2]Pointage!FC47,Feuil1!$A:$B,2,FALSE),"")</f>
        <v/>
      </c>
      <c r="EZ53" s="82" t="str">
        <f>IFERROR(VLOOKUP([2]Pointage!FD47,Feuil1!$A:$B,2,FALSE),"")</f>
        <v/>
      </c>
      <c r="FA53" s="47" t="str">
        <f>IFERROR(VLOOKUP([2]Pointage!FE47,Feuil1!$A:$B,2,FALSE),"")</f>
        <v/>
      </c>
      <c r="FB53" s="31" t="str">
        <f>IFERROR(VLOOKUP([2]Pointage!FF47,Feuil1!$A:$B,2,FALSE),"")</f>
        <v/>
      </c>
      <c r="FC53" s="31" t="str">
        <f>IFERROR(VLOOKUP([2]Pointage!FG47,Feuil1!$A:$B,2,FALSE),"")</f>
        <v/>
      </c>
      <c r="FD53" s="31" t="str">
        <f>IFERROR(VLOOKUP([2]Pointage!FH47,Feuil1!$A:$B,2,FALSE),"")</f>
        <v/>
      </c>
      <c r="FE53" s="31" t="str">
        <f>IFERROR(VLOOKUP([2]Pointage!FI47,Feuil1!$A:$B,2,FALSE),"")</f>
        <v/>
      </c>
      <c r="FF53" s="31" t="str">
        <f>IFERROR(VLOOKUP([2]Pointage!FJ47,Feuil1!$A:$B,2,FALSE),"")</f>
        <v/>
      </c>
      <c r="FG53" s="31" t="str">
        <f>IFERROR(VLOOKUP([2]Pointage!FK47,Feuil1!$A:$B,2,FALSE),"")</f>
        <v/>
      </c>
      <c r="FH53" s="31" t="str">
        <f>IFERROR(VLOOKUP([2]Pointage!FL47,Feuil1!$A:$B,2,FALSE),"")</f>
        <v/>
      </c>
      <c r="FI53" s="31" t="str">
        <f>IFERROR(VLOOKUP([2]Pointage!FM47,Feuil1!$A:$B,2,FALSE),"")</f>
        <v/>
      </c>
      <c r="FJ53" s="31" t="str">
        <f>IFERROR(VLOOKUP([2]Pointage!FN47,Feuil1!$A:$B,2,FALSE),"")</f>
        <v/>
      </c>
      <c r="FK53" s="31" t="str">
        <f>IFERROR(VLOOKUP([2]Pointage!FO47,Feuil1!$A:$B,2,FALSE),"")</f>
        <v/>
      </c>
      <c r="FL53" s="31" t="str">
        <f>IFERROR(VLOOKUP([2]Pointage!FP47,Feuil1!$A:$B,2,FALSE),"")</f>
        <v/>
      </c>
      <c r="FM53" s="31" t="str">
        <f>IFERROR(VLOOKUP([2]Pointage!FQ47,Feuil1!$A:$B,2,FALSE),"")</f>
        <v/>
      </c>
      <c r="FN53" s="31" t="str">
        <f>IFERROR(VLOOKUP([2]Pointage!FR47,Feuil1!$A:$B,2,FALSE),"")</f>
        <v/>
      </c>
      <c r="FO53" s="31" t="str">
        <f>IFERROR(VLOOKUP([2]Pointage!FS47,Feuil1!$A:$B,2,FALSE),"")</f>
        <v/>
      </c>
      <c r="FP53" s="31" t="str">
        <f>IFERROR(VLOOKUP([2]Pointage!FT47,Feuil1!$A:$B,2,FALSE),"")</f>
        <v/>
      </c>
      <c r="FQ53" s="31" t="str">
        <f>IFERROR(VLOOKUP([2]Pointage!FU47,Feuil1!$A:$B,2,FALSE),"")</f>
        <v/>
      </c>
      <c r="FR53" s="31" t="str">
        <f>IFERROR(VLOOKUP([2]Pointage!FV47,Feuil1!$A:$B,2,FALSE),"")</f>
        <v/>
      </c>
      <c r="FS53" s="31" t="str">
        <f>IFERROR(VLOOKUP([2]Pointage!FW47,Feuil1!$A:$B,2,FALSE),"")</f>
        <v/>
      </c>
      <c r="FT53" s="31" t="str">
        <f>IFERROR(VLOOKUP([2]Pointage!FX47,Feuil1!$A:$B,2,FALSE),"")</f>
        <v/>
      </c>
      <c r="FU53" s="31" t="str">
        <f>IFERROR(VLOOKUP([2]Pointage!FY47,Feuil1!$A:$B,2,FALSE),"")</f>
        <v/>
      </c>
      <c r="FV53" s="31" t="str">
        <f>IFERROR(VLOOKUP([2]Pointage!FZ47,Feuil1!$A:$B,2,FALSE),"")</f>
        <v/>
      </c>
      <c r="FW53" s="31" t="str">
        <f>IFERROR(VLOOKUP([2]Pointage!GA47,Feuil1!$A:$B,2,FALSE),"")</f>
        <v/>
      </c>
      <c r="FX53" s="31" t="str">
        <f>IFERROR(VLOOKUP([2]Pointage!GB47,Feuil1!$A:$B,2,FALSE),"")</f>
        <v/>
      </c>
      <c r="FY53" s="31" t="str">
        <f>IFERROR(VLOOKUP([2]Pointage!GC47,Feuil1!$A:$B,2,FALSE),"")</f>
        <v/>
      </c>
      <c r="FZ53" s="31" t="str">
        <f>IFERROR(VLOOKUP([2]Pointage!GD47,Feuil1!$A:$B,2,FALSE),"")</f>
        <v/>
      </c>
      <c r="GA53" s="31" t="str">
        <f>IFERROR(VLOOKUP([2]Pointage!GE47,Feuil1!$A:$B,2,FALSE),"")</f>
        <v/>
      </c>
      <c r="GB53" s="31" t="str">
        <f>IFERROR(VLOOKUP([2]Pointage!GF47,Feuil1!$A:$B,2,FALSE),"")</f>
        <v/>
      </c>
      <c r="GC53" s="31" t="str">
        <f>IFERROR(VLOOKUP([2]Pointage!GG47,Feuil1!$A:$B,2,FALSE),"")</f>
        <v/>
      </c>
      <c r="GD53" s="82" t="str">
        <f>IFERROR(VLOOKUP([2]Pointage!GH47,Feuil1!$A:$B,2,FALSE),"")</f>
        <v/>
      </c>
      <c r="GE53" s="47" t="str">
        <f>IFERROR(VLOOKUP([2]Pointage!GI47,Feuil1!$A:$B,2,FALSE),"")</f>
        <v/>
      </c>
      <c r="GF53" s="31" t="str">
        <f>IFERROR(VLOOKUP([2]Pointage!GJ47,Feuil1!$A:$B,2,FALSE),"")</f>
        <v/>
      </c>
      <c r="GG53" s="31" t="str">
        <f>IFERROR(VLOOKUP([2]Pointage!GK47,Feuil1!$A:$B,2,FALSE),"")</f>
        <v/>
      </c>
      <c r="GH53" s="31" t="str">
        <f>IFERROR(VLOOKUP([2]Pointage!GL47,Feuil1!$A:$B,2,FALSE),"")</f>
        <v/>
      </c>
      <c r="GI53" s="31" t="str">
        <f>IFERROR(VLOOKUP([2]Pointage!GM47,Feuil1!$A:$B,2,FALSE),"")</f>
        <v/>
      </c>
      <c r="GJ53" s="31" t="str">
        <f>IFERROR(VLOOKUP([2]Pointage!GN47,Feuil1!$A:$B,2,FALSE),"")</f>
        <v/>
      </c>
      <c r="GK53" s="31" t="str">
        <f>IFERROR(VLOOKUP([2]Pointage!GO47,Feuil1!$A:$B,2,FALSE),"")</f>
        <v/>
      </c>
      <c r="GL53" s="31" t="str">
        <f>IFERROR(VLOOKUP([2]Pointage!GP47,Feuil1!$A:$B,2,FALSE),"")</f>
        <v/>
      </c>
      <c r="GM53" s="31" t="str">
        <f>IFERROR(VLOOKUP([2]Pointage!GQ47,Feuil1!$A:$B,2,FALSE),"")</f>
        <v/>
      </c>
      <c r="GN53" s="31" t="str">
        <f>IFERROR(VLOOKUP([2]Pointage!GR47,Feuil1!$A:$B,2,FALSE),"")</f>
        <v/>
      </c>
      <c r="GO53" s="31" t="str">
        <f>IFERROR(VLOOKUP([2]Pointage!GS47,Feuil1!$A:$B,2,FALSE),"")</f>
        <v/>
      </c>
      <c r="GP53" s="31" t="str">
        <f>IFERROR(VLOOKUP([2]Pointage!GT47,Feuil1!$A:$B,2,FALSE),"")</f>
        <v/>
      </c>
      <c r="GQ53" s="31" t="str">
        <f>IFERROR(VLOOKUP([2]Pointage!GU47,Feuil1!$A:$B,2,FALSE),"")</f>
        <v/>
      </c>
      <c r="GR53" s="31" t="str">
        <f>IFERROR(VLOOKUP([2]Pointage!GV47,Feuil1!$A:$B,2,FALSE),"")</f>
        <v/>
      </c>
      <c r="GS53" s="31" t="str">
        <f>IFERROR(VLOOKUP([2]Pointage!GW47,Feuil1!$A:$B,2,FALSE),"")</f>
        <v/>
      </c>
      <c r="GT53" s="31" t="str">
        <f>IFERROR(VLOOKUP([2]Pointage!GX47,Feuil1!$A:$B,2,FALSE),"")</f>
        <v>C</v>
      </c>
      <c r="GU53" s="31" t="str">
        <f>IFERROR(VLOOKUP([2]Pointage!GY47,Feuil1!$A:$B,2,FALSE),"")</f>
        <v>C</v>
      </c>
      <c r="GV53" s="31" t="str">
        <f>IFERROR(VLOOKUP([2]Pointage!GZ47,Feuil1!$A:$B,2,FALSE),"")</f>
        <v>C</v>
      </c>
      <c r="GW53" s="31" t="str">
        <f>IFERROR(VLOOKUP([2]Pointage!HA47,Feuil1!$A:$B,2,FALSE),"")</f>
        <v>C</v>
      </c>
      <c r="GX53" s="31" t="str">
        <f>IFERROR(VLOOKUP([2]Pointage!HB47,Feuil1!$A:$B,2,FALSE),"")</f>
        <v>C</v>
      </c>
      <c r="GY53" s="31" t="str">
        <f>IFERROR(VLOOKUP([2]Pointage!HC47,Feuil1!$A:$B,2,FALSE),"")</f>
        <v/>
      </c>
      <c r="GZ53" s="31" t="str">
        <f>IFERROR(VLOOKUP([2]Pointage!HD47,Feuil1!$A:$B,2,FALSE),"")</f>
        <v/>
      </c>
      <c r="HA53" s="31" t="str">
        <f>IFERROR(VLOOKUP([2]Pointage!HE47,Feuil1!$A:$B,2,FALSE),"")</f>
        <v>C</v>
      </c>
      <c r="HB53" s="31" t="str">
        <f>IFERROR(VLOOKUP([2]Pointage!HF47,Feuil1!$A:$B,2,FALSE),"")</f>
        <v>C</v>
      </c>
      <c r="HC53" s="31" t="str">
        <f>IFERROR(VLOOKUP([2]Pointage!HG47,Feuil1!$A:$B,2,FALSE),"")</f>
        <v>C</v>
      </c>
      <c r="HD53" s="31" t="str">
        <f>IFERROR(VLOOKUP([2]Pointage!HH47,Feuil1!$A:$B,2,FALSE),"")</f>
        <v>C</v>
      </c>
      <c r="HE53" s="31" t="str">
        <f>IFERROR(VLOOKUP([2]Pointage!HI47,Feuil1!$A:$B,2,FALSE),"")</f>
        <v>C</v>
      </c>
      <c r="HF53" s="31" t="str">
        <f>IFERROR(VLOOKUP([2]Pointage!HJ47,Feuil1!$A:$B,2,FALSE),"")</f>
        <v/>
      </c>
      <c r="HG53" s="31" t="str">
        <f>IFERROR(VLOOKUP([2]Pointage!HK47,Feuil1!$A:$B,2,FALSE),"")</f>
        <v/>
      </c>
      <c r="HH53" s="31" t="str">
        <f>IFERROR(VLOOKUP([2]Pointage!HL47,Feuil1!$A:$B,2,FALSE),"")</f>
        <v>C</v>
      </c>
      <c r="HI53" s="82" t="str">
        <f>IFERROR(VLOOKUP([2]Pointage!HM47,Feuil1!$A:$B,2,FALSE),"")</f>
        <v>C</v>
      </c>
      <c r="HJ53" s="47" t="str">
        <f>IFERROR(VLOOKUP([2]Pointage!HN47,Feuil1!$A:$B,2,FALSE),"")</f>
        <v>C</v>
      </c>
      <c r="HK53" s="31" t="str">
        <f>IFERROR(VLOOKUP([2]Pointage!HO47,Feuil1!$A:$B,2,FALSE),"")</f>
        <v>C</v>
      </c>
      <c r="HL53" s="31" t="str">
        <f>IFERROR(VLOOKUP([2]Pointage!HP47,Feuil1!$A:$B,2,FALSE),"")</f>
        <v>C</v>
      </c>
      <c r="HM53" s="31" t="str">
        <f>IFERROR(VLOOKUP([2]Pointage!HQ47,Feuil1!$A:$B,2,FALSE),"")</f>
        <v/>
      </c>
      <c r="HN53" s="31" t="str">
        <f>IFERROR(VLOOKUP([2]Pointage!HR47,Feuil1!$A:$B,2,FALSE),"")</f>
        <v/>
      </c>
      <c r="HO53" s="31" t="str">
        <f>IFERROR(VLOOKUP([2]Pointage!HS47,Feuil1!$A:$B,2,FALSE),"")</f>
        <v/>
      </c>
      <c r="HP53" s="31" t="str">
        <f>IFERROR(VLOOKUP([2]Pointage!HT47,Feuil1!$A:$B,2,FALSE),"")</f>
        <v/>
      </c>
      <c r="HQ53" s="31" t="str">
        <f>IFERROR(VLOOKUP([2]Pointage!HU47,Feuil1!$A:$B,2,FALSE),"")</f>
        <v/>
      </c>
      <c r="HR53" s="31" t="str">
        <f>IFERROR(VLOOKUP([2]Pointage!HV47,Feuil1!$A:$B,2,FALSE),"")</f>
        <v/>
      </c>
      <c r="HS53" s="31" t="str">
        <f>IFERROR(VLOOKUP([2]Pointage!HW47,Feuil1!$A:$B,2,FALSE),"")</f>
        <v/>
      </c>
      <c r="HT53" s="31" t="str">
        <f>IFERROR(VLOOKUP([2]Pointage!HX47,Feuil1!$A:$B,2,FALSE),"")</f>
        <v/>
      </c>
      <c r="HU53" s="31" t="str">
        <f>IFERROR(VLOOKUP([2]Pointage!HY47,Feuil1!$A:$B,2,FALSE),"")</f>
        <v/>
      </c>
      <c r="HV53" s="31" t="str">
        <f>IFERROR(VLOOKUP([2]Pointage!HZ47,Feuil1!$A:$B,2,FALSE),"")</f>
        <v/>
      </c>
      <c r="HW53" s="31" t="str">
        <f>IFERROR(VLOOKUP([2]Pointage!IA47,Feuil1!$A:$B,2,FALSE),"")</f>
        <v/>
      </c>
      <c r="HX53" s="31" t="str">
        <f>IFERROR(VLOOKUP([2]Pointage!IB47,Feuil1!$A:$B,2,FALSE),"")</f>
        <v/>
      </c>
      <c r="HY53" s="31" t="str">
        <f>IFERROR(VLOOKUP([2]Pointage!IC47,Feuil1!$A:$B,2,FALSE),"")</f>
        <v/>
      </c>
      <c r="HZ53" s="31" t="str">
        <f>IFERROR(VLOOKUP([2]Pointage!ID47,Feuil1!$A:$B,2,FALSE),"")</f>
        <v/>
      </c>
      <c r="IA53" s="31" t="str">
        <f>IFERROR(VLOOKUP([2]Pointage!IE47,Feuil1!$A:$B,2,FALSE),"")</f>
        <v/>
      </c>
      <c r="IB53" s="31" t="str">
        <f>IFERROR(VLOOKUP([2]Pointage!IF47,Feuil1!$A:$B,2,FALSE),"")</f>
        <v/>
      </c>
      <c r="IC53" s="31" t="str">
        <f>IFERROR(VLOOKUP([2]Pointage!IG47,Feuil1!$A:$B,2,FALSE),"")</f>
        <v/>
      </c>
      <c r="ID53" s="31" t="str">
        <f>IFERROR(VLOOKUP([2]Pointage!IH47,Feuil1!$A:$B,2,FALSE),"")</f>
        <v/>
      </c>
      <c r="IE53" s="31" t="str">
        <f>IFERROR(VLOOKUP([2]Pointage!II47,Feuil1!$A:$B,2,FALSE),"")</f>
        <v/>
      </c>
      <c r="IF53" s="31" t="str">
        <f>IFERROR(VLOOKUP([2]Pointage!IJ47,Feuil1!$A:$B,2,FALSE),"")</f>
        <v/>
      </c>
      <c r="IG53" s="31" t="str">
        <f>IFERROR(VLOOKUP([2]Pointage!IK47,Feuil1!$A:$B,2,FALSE),"")</f>
        <v/>
      </c>
      <c r="IH53" s="31" t="str">
        <f>IFERROR(VLOOKUP([2]Pointage!IL47,Feuil1!$A:$B,2,FALSE),"")</f>
        <v/>
      </c>
      <c r="II53" s="31" t="str">
        <f>IFERROR(VLOOKUP([2]Pointage!IM47,Feuil1!$A:$B,2,FALSE),"")</f>
        <v/>
      </c>
      <c r="IJ53" s="31" t="str">
        <f>IFERROR(VLOOKUP([2]Pointage!IN47,Feuil1!$A:$B,2,FALSE),"")</f>
        <v/>
      </c>
      <c r="IK53" s="31" t="str">
        <f>IFERROR(VLOOKUP([2]Pointage!IO47,Feuil1!$A:$B,2,FALSE),"")</f>
        <v/>
      </c>
      <c r="IL53" s="31" t="str">
        <f>IFERROR(VLOOKUP([2]Pointage!IP47,Feuil1!$A:$B,2,FALSE),"")</f>
        <v/>
      </c>
      <c r="IM53" s="31" t="str">
        <f>IFERROR(VLOOKUP([2]Pointage!IQ47,Feuil1!$A:$B,2,FALSE),"")</f>
        <v/>
      </c>
      <c r="IN53" s="82" t="str">
        <f>IFERROR(VLOOKUP([2]Pointage!IR47,Feuil1!$A:$B,2,FALSE),"")</f>
        <v/>
      </c>
      <c r="IO53" s="47" t="str">
        <f>IFERROR(VLOOKUP([2]Pointage!IS47,Feuil1!$A:$B,2,FALSE),"")</f>
        <v/>
      </c>
      <c r="IP53" s="31" t="str">
        <f>IFERROR(VLOOKUP([2]Pointage!IT47,Feuil1!$A:$B,2,FALSE),"")</f>
        <v/>
      </c>
      <c r="IQ53" s="31" t="str">
        <f>IFERROR(VLOOKUP([2]Pointage!IU47,Feuil1!$A:$B,2,FALSE),"")</f>
        <v/>
      </c>
      <c r="IR53" s="31" t="str">
        <f>IFERROR(VLOOKUP([2]Pointage!IV47,Feuil1!$A:$B,2,FALSE),"")</f>
        <v/>
      </c>
      <c r="IS53" s="31" t="str">
        <f>IFERROR(VLOOKUP([2]Pointage!IW47,Feuil1!$A:$B,2,FALSE),"")</f>
        <v/>
      </c>
      <c r="IT53" s="31" t="str">
        <f>IFERROR(VLOOKUP([2]Pointage!IX47,Feuil1!$A:$B,2,FALSE),"")</f>
        <v/>
      </c>
      <c r="IU53" s="31" t="str">
        <f>IFERROR(VLOOKUP([2]Pointage!IY47,Feuil1!$A:$B,2,FALSE),"")</f>
        <v/>
      </c>
      <c r="IV53" s="31" t="str">
        <f>IFERROR(VLOOKUP([2]Pointage!IZ47,Feuil1!$A:$B,2,FALSE),"")</f>
        <v/>
      </c>
      <c r="IW53" s="31" t="str">
        <f>IFERROR(VLOOKUP([2]Pointage!JA47,Feuil1!$A:$B,2,FALSE),"")</f>
        <v/>
      </c>
      <c r="IX53" s="31" t="str">
        <f>IFERROR(VLOOKUP([2]Pointage!JB47,Feuil1!$A:$B,2,FALSE),"")</f>
        <v/>
      </c>
      <c r="IY53" s="31" t="str">
        <f>IFERROR(VLOOKUP([2]Pointage!JC47,Feuil1!$A:$B,2,FALSE),"")</f>
        <v/>
      </c>
      <c r="IZ53" s="31" t="str">
        <f>IFERROR(VLOOKUP([2]Pointage!JD47,Feuil1!$A:$B,2,FALSE),"")</f>
        <v/>
      </c>
      <c r="JA53" s="31" t="str">
        <f>IFERROR(VLOOKUP([2]Pointage!JE47,Feuil1!$A:$B,2,FALSE),"")</f>
        <v/>
      </c>
      <c r="JB53" s="31" t="str">
        <f>IFERROR(VLOOKUP([2]Pointage!JF47,Feuil1!$A:$B,2,FALSE),"")</f>
        <v/>
      </c>
      <c r="JC53" s="31" t="str">
        <f>IFERROR(VLOOKUP([2]Pointage!JG47,Feuil1!$A:$B,2,FALSE),"")</f>
        <v/>
      </c>
      <c r="JD53" s="31" t="str">
        <f>IFERROR(VLOOKUP([2]Pointage!JH47,Feuil1!$A:$B,2,FALSE),"")</f>
        <v/>
      </c>
      <c r="JE53" s="31" t="str">
        <f>IFERROR(VLOOKUP([2]Pointage!JI47,Feuil1!$A:$B,2,FALSE),"")</f>
        <v/>
      </c>
      <c r="JF53" s="31" t="str">
        <f>IFERROR(VLOOKUP([2]Pointage!JJ47,Feuil1!$A:$B,2,FALSE),"")</f>
        <v/>
      </c>
      <c r="JG53" s="31" t="str">
        <f>IFERROR(VLOOKUP([2]Pointage!JK47,Feuil1!$A:$B,2,FALSE),"")</f>
        <v/>
      </c>
      <c r="JH53" s="31" t="str">
        <f>IFERROR(VLOOKUP([2]Pointage!JL47,Feuil1!$A:$B,2,FALSE),"")</f>
        <v/>
      </c>
      <c r="JI53" s="31" t="str">
        <f>IFERROR(VLOOKUP([2]Pointage!JM47,Feuil1!$A:$B,2,FALSE),"")</f>
        <v/>
      </c>
      <c r="JJ53" s="31" t="str">
        <f>IFERROR(VLOOKUP([2]Pointage!JN47,Feuil1!$A:$B,2,FALSE),"")</f>
        <v/>
      </c>
      <c r="JK53" s="31" t="str">
        <f>IFERROR(VLOOKUP([2]Pointage!JO47,Feuil1!$A:$B,2,FALSE),"")</f>
        <v/>
      </c>
      <c r="JL53" s="31" t="str">
        <f>IFERROR(VLOOKUP([2]Pointage!JP47,Feuil1!$A:$B,2,FALSE),"")</f>
        <v/>
      </c>
      <c r="JM53" s="31" t="str">
        <f>IFERROR(VLOOKUP([2]Pointage!JQ47,Feuil1!$A:$B,2,FALSE),"")</f>
        <v/>
      </c>
      <c r="JN53" s="31" t="str">
        <f>IFERROR(VLOOKUP([2]Pointage!JR47,Feuil1!$A:$B,2,FALSE),"")</f>
        <v/>
      </c>
      <c r="JO53" s="31" t="str">
        <f>IFERROR(VLOOKUP([2]Pointage!JS47,Feuil1!$A:$B,2,FALSE),"")</f>
        <v/>
      </c>
      <c r="JP53" s="31" t="str">
        <f>IFERROR(VLOOKUP([2]Pointage!JT47,Feuil1!$A:$B,2,FALSE),"")</f>
        <v/>
      </c>
      <c r="JQ53" s="31" t="str">
        <f>IFERROR(VLOOKUP([2]Pointage!JU47,Feuil1!$A:$B,2,FALSE),"")</f>
        <v/>
      </c>
      <c r="JR53" s="82" t="str">
        <f>IFERROR(VLOOKUP([2]Pointage!JV47,Feuil1!$A:$B,2,FALSE),"")</f>
        <v/>
      </c>
      <c r="JS53" s="47" t="str">
        <f>IFERROR(VLOOKUP([2]Pointage!JW47,Feuil1!$A:$B,2,FALSE),"")</f>
        <v/>
      </c>
      <c r="JT53" s="31" t="str">
        <f>IFERROR(VLOOKUP([2]Pointage!JX47,Feuil1!$A:$B,2,FALSE),"")</f>
        <v/>
      </c>
      <c r="JU53" s="31" t="str">
        <f>IFERROR(VLOOKUP([2]Pointage!JY47,Feuil1!$A:$B,2,FALSE),"")</f>
        <v/>
      </c>
      <c r="JV53" s="31" t="str">
        <f>IFERROR(VLOOKUP([2]Pointage!JZ47,Feuil1!$A:$B,2,FALSE),"")</f>
        <v/>
      </c>
      <c r="JW53" s="31" t="str">
        <f>IFERROR(VLOOKUP([2]Pointage!KA47,Feuil1!$A:$B,2,FALSE),"")</f>
        <v/>
      </c>
      <c r="JX53" s="31" t="str">
        <f>IFERROR(VLOOKUP([2]Pointage!KB47,Feuil1!$A:$B,2,FALSE),"")</f>
        <v/>
      </c>
      <c r="JY53" s="31" t="str">
        <f>IFERROR(VLOOKUP([2]Pointage!KC47,Feuil1!$A:$B,2,FALSE),"")</f>
        <v/>
      </c>
      <c r="JZ53" s="31" t="str">
        <f>IFERROR(VLOOKUP([2]Pointage!KD47,Feuil1!$A:$B,2,FALSE),"")</f>
        <v/>
      </c>
      <c r="KA53" s="31" t="str">
        <f>IFERROR(VLOOKUP([2]Pointage!KE47,Feuil1!$A:$B,2,FALSE),"")</f>
        <v/>
      </c>
      <c r="KB53" s="31" t="str">
        <f>IFERROR(VLOOKUP([2]Pointage!KF47,Feuil1!$A:$B,2,FALSE),"")</f>
        <v/>
      </c>
      <c r="KC53" s="31" t="str">
        <f>IFERROR(VLOOKUP([2]Pointage!KG47,Feuil1!$A:$B,2,FALSE),"")</f>
        <v/>
      </c>
      <c r="KD53" s="31" t="str">
        <f>IFERROR(VLOOKUP([2]Pointage!KH47,Feuil1!$A:$B,2,FALSE),"")</f>
        <v/>
      </c>
      <c r="KE53" s="31" t="str">
        <f>IFERROR(VLOOKUP([2]Pointage!KI47,Feuil1!$A:$B,2,FALSE),"")</f>
        <v/>
      </c>
      <c r="KF53" s="31" t="str">
        <f>IFERROR(VLOOKUP([2]Pointage!KJ47,Feuil1!$A:$B,2,FALSE),"")</f>
        <v/>
      </c>
      <c r="KG53" s="31" t="str">
        <f>IFERROR(VLOOKUP([2]Pointage!KK47,Feuil1!$A:$B,2,FALSE),"")</f>
        <v/>
      </c>
      <c r="KH53" s="31" t="str">
        <f>IFERROR(VLOOKUP([2]Pointage!KL47,Feuil1!$A:$B,2,FALSE),"")</f>
        <v/>
      </c>
      <c r="KI53" s="31" t="str">
        <f>IFERROR(VLOOKUP([2]Pointage!KM47,Feuil1!$A:$B,2,FALSE),"")</f>
        <v/>
      </c>
      <c r="KJ53" s="31" t="str">
        <f>IFERROR(VLOOKUP([2]Pointage!KN47,Feuil1!$A:$B,2,FALSE),"")</f>
        <v/>
      </c>
      <c r="KK53" s="31" t="str">
        <f>IFERROR(VLOOKUP([2]Pointage!KO47,Feuil1!$A:$B,2,FALSE),"")</f>
        <v/>
      </c>
      <c r="KL53" s="31" t="str">
        <f>IFERROR(VLOOKUP([2]Pointage!KP47,Feuil1!$A:$B,2,FALSE),"")</f>
        <v/>
      </c>
      <c r="KM53" s="31" t="str">
        <f>IFERROR(VLOOKUP([2]Pointage!KQ47,Feuil1!$A:$B,2,FALSE),"")</f>
        <v/>
      </c>
      <c r="KN53" s="31" t="str">
        <f>IFERROR(VLOOKUP([2]Pointage!KR47,Feuil1!$A:$B,2,FALSE),"")</f>
        <v/>
      </c>
      <c r="KO53" s="31" t="str">
        <f>IFERROR(VLOOKUP([2]Pointage!KS47,Feuil1!$A:$B,2,FALSE),"")</f>
        <v/>
      </c>
      <c r="KP53" s="31" t="str">
        <f>IFERROR(VLOOKUP([2]Pointage!KT47,Feuil1!$A:$B,2,FALSE),"")</f>
        <v/>
      </c>
      <c r="KQ53" s="31" t="str">
        <f>IFERROR(VLOOKUP([2]Pointage!KU47,Feuil1!$A:$B,2,FALSE),"")</f>
        <v/>
      </c>
      <c r="KR53" s="31" t="str">
        <f>IFERROR(VLOOKUP([2]Pointage!KV47,Feuil1!$A:$B,2,FALSE),"")</f>
        <v/>
      </c>
      <c r="KS53" s="31" t="str">
        <f>IFERROR(VLOOKUP([2]Pointage!KW47,Feuil1!$A:$B,2,FALSE),"")</f>
        <v/>
      </c>
      <c r="KT53" s="31" t="str">
        <f>IFERROR(VLOOKUP([2]Pointage!KX47,Feuil1!$A:$B,2,FALSE),"")</f>
        <v/>
      </c>
      <c r="KU53" s="31" t="str">
        <f>IFERROR(VLOOKUP([2]Pointage!KY47,Feuil1!$A:$B,2,FALSE),"")</f>
        <v/>
      </c>
      <c r="KV53" s="31" t="str">
        <f>IFERROR(VLOOKUP([2]Pointage!KZ47,Feuil1!$A:$B,2,FALSE),"")</f>
        <v/>
      </c>
      <c r="KW53" s="82" t="str">
        <f>IFERROR(VLOOKUP([2]Pointage!LA47,Feuil1!$A:$B,2,FALSE),"")</f>
        <v/>
      </c>
      <c r="KX53" s="47" t="str">
        <f>IFERROR(VLOOKUP([2]Pointage!LB47,Feuil1!$A:$B,2,FALSE),"")</f>
        <v/>
      </c>
      <c r="KY53" s="31" t="str">
        <f>IFERROR(VLOOKUP([2]Pointage!LC47,Feuil1!$A:$B,2,FALSE),"")</f>
        <v/>
      </c>
      <c r="KZ53" s="31" t="str">
        <f>IFERROR(VLOOKUP([2]Pointage!LD47,Feuil1!$A:$B,2,FALSE),"")</f>
        <v/>
      </c>
      <c r="LA53" s="31" t="str">
        <f>IFERROR(VLOOKUP([2]Pointage!LE47,Feuil1!$A:$B,2,FALSE),"")</f>
        <v/>
      </c>
      <c r="LB53" s="31" t="str">
        <f>IFERROR(VLOOKUP([2]Pointage!LF47,Feuil1!$A:$B,2,FALSE),"")</f>
        <v/>
      </c>
      <c r="LC53" s="31" t="str">
        <f>IFERROR(VLOOKUP([2]Pointage!LG47,Feuil1!$A:$B,2,FALSE),"")</f>
        <v/>
      </c>
      <c r="LD53" s="31" t="str">
        <f>IFERROR(VLOOKUP([2]Pointage!LH47,Feuil1!$A:$B,2,FALSE),"")</f>
        <v/>
      </c>
      <c r="LE53" s="31" t="str">
        <f>IFERROR(VLOOKUP([2]Pointage!LI47,Feuil1!$A:$B,2,FALSE),"")</f>
        <v/>
      </c>
      <c r="LF53" s="31" t="str">
        <f>IFERROR(VLOOKUP([2]Pointage!LJ47,Feuil1!$A:$B,2,FALSE),"")</f>
        <v/>
      </c>
      <c r="LG53" s="31" t="str">
        <f>IFERROR(VLOOKUP([2]Pointage!LK47,Feuil1!$A:$B,2,FALSE),"")</f>
        <v/>
      </c>
      <c r="LH53" s="31" t="str">
        <f>IFERROR(VLOOKUP([2]Pointage!LL47,Feuil1!$A:$B,2,FALSE),"")</f>
        <v/>
      </c>
      <c r="LI53" s="31" t="str">
        <f>IFERROR(VLOOKUP([2]Pointage!LM47,Feuil1!$A:$B,2,FALSE),"")</f>
        <v/>
      </c>
      <c r="LJ53" s="31" t="str">
        <f>IFERROR(VLOOKUP([2]Pointage!LN47,Feuil1!$A:$B,2,FALSE),"")</f>
        <v/>
      </c>
      <c r="LK53" s="31" t="str">
        <f>IFERROR(VLOOKUP([2]Pointage!LO47,Feuil1!$A:$B,2,FALSE),"")</f>
        <v/>
      </c>
      <c r="LL53" s="31" t="str">
        <f>IFERROR(VLOOKUP([2]Pointage!LP47,Feuil1!$A:$B,2,FALSE),"")</f>
        <v/>
      </c>
      <c r="LM53" s="31" t="str">
        <f>IFERROR(VLOOKUP([2]Pointage!LQ47,Feuil1!$A:$B,2,FALSE),"")</f>
        <v/>
      </c>
      <c r="LN53" s="31" t="str">
        <f>IFERROR(VLOOKUP([2]Pointage!LR47,Feuil1!$A:$B,2,FALSE),"")</f>
        <v/>
      </c>
      <c r="LO53" s="31" t="str">
        <f>IFERROR(VLOOKUP([2]Pointage!LS47,Feuil1!$A:$B,2,FALSE),"")</f>
        <v/>
      </c>
      <c r="LP53" s="31" t="str">
        <f>IFERROR(VLOOKUP([2]Pointage!LT47,Feuil1!$A:$B,2,FALSE),"")</f>
        <v/>
      </c>
      <c r="LQ53" s="31" t="str">
        <f>IFERROR(VLOOKUP([2]Pointage!LU47,Feuil1!$A:$B,2,FALSE),"")</f>
        <v/>
      </c>
      <c r="LR53" s="31" t="str">
        <f>IFERROR(VLOOKUP([2]Pointage!LV47,Feuil1!$A:$B,2,FALSE),"")</f>
        <v/>
      </c>
      <c r="LS53" s="31" t="str">
        <f>IFERROR(VLOOKUP([2]Pointage!LW47,Feuil1!$A:$B,2,FALSE),"")</f>
        <v/>
      </c>
      <c r="LT53" s="31" t="str">
        <f>IFERROR(VLOOKUP([2]Pointage!LX47,Feuil1!$A:$B,2,FALSE),"")</f>
        <v/>
      </c>
      <c r="LU53" s="31" t="str">
        <f>IFERROR(VLOOKUP([2]Pointage!LY47,Feuil1!$A:$B,2,FALSE),"")</f>
        <v/>
      </c>
      <c r="LV53" s="31" t="str">
        <f>IFERROR(VLOOKUP([2]Pointage!LZ47,Feuil1!$A:$B,2,FALSE),"")</f>
        <v/>
      </c>
      <c r="LW53" s="31" t="str">
        <f>IFERROR(VLOOKUP([2]Pointage!MA47,Feuil1!$A:$B,2,FALSE),"")</f>
        <v/>
      </c>
      <c r="LX53" s="31" t="str">
        <f>IFERROR(VLOOKUP([2]Pointage!MB47,Feuil1!$A:$B,2,FALSE),"")</f>
        <v/>
      </c>
      <c r="LY53" s="31" t="str">
        <f>IFERROR(VLOOKUP([2]Pointage!MC47,Feuil1!$A:$B,2,FALSE),"")</f>
        <v/>
      </c>
      <c r="LZ53" s="31" t="str">
        <f>IFERROR(VLOOKUP([2]Pointage!MD47,Feuil1!$A:$B,2,FALSE),"")</f>
        <v/>
      </c>
      <c r="MA53" s="82" t="str">
        <f>IFERROR(VLOOKUP([2]Pointage!ME47,Feuil1!$A:$B,2,FALSE),"")</f>
        <v/>
      </c>
      <c r="MB53" s="47" t="str">
        <f>IFERROR(VLOOKUP([2]Pointage!MF47,Feuil1!$A:$B,2,FALSE),"")</f>
        <v/>
      </c>
      <c r="MC53" s="31" t="str">
        <f>IFERROR(VLOOKUP([2]Pointage!MG47,Feuil1!$A:$B,2,FALSE),"")</f>
        <v/>
      </c>
      <c r="MD53" s="31" t="str">
        <f>IFERROR(VLOOKUP([2]Pointage!MH47,Feuil1!$A:$B,2,FALSE),"")</f>
        <v/>
      </c>
      <c r="ME53" s="31" t="str">
        <f>IFERROR(VLOOKUP([2]Pointage!MI47,Feuil1!$A:$B,2,FALSE),"")</f>
        <v/>
      </c>
      <c r="MF53" s="31" t="str">
        <f>IFERROR(VLOOKUP([2]Pointage!MJ47,Feuil1!$A:$B,2,FALSE),"")</f>
        <v/>
      </c>
      <c r="MG53" s="31" t="str">
        <f>IFERROR(VLOOKUP([2]Pointage!MK47,Feuil1!$A:$B,2,FALSE),"")</f>
        <v/>
      </c>
      <c r="MH53" s="31" t="str">
        <f>IFERROR(VLOOKUP([2]Pointage!ML47,Feuil1!$A:$B,2,FALSE),"")</f>
        <v/>
      </c>
      <c r="MI53" s="31" t="str">
        <f>IFERROR(VLOOKUP([2]Pointage!MM47,Feuil1!$A:$B,2,FALSE),"")</f>
        <v/>
      </c>
      <c r="MJ53" s="31" t="str">
        <f>IFERROR(VLOOKUP([2]Pointage!MN47,Feuil1!$A:$B,2,FALSE),"")</f>
        <v/>
      </c>
      <c r="MK53" s="31" t="str">
        <f>IFERROR(VLOOKUP([2]Pointage!MO47,Feuil1!$A:$B,2,FALSE),"")</f>
        <v/>
      </c>
      <c r="ML53" s="31" t="str">
        <f>IFERROR(VLOOKUP([2]Pointage!MP47,Feuil1!$A:$B,2,FALSE),"")</f>
        <v/>
      </c>
      <c r="MM53" s="31" t="str">
        <f>IFERROR(VLOOKUP([2]Pointage!MQ47,Feuil1!$A:$B,2,FALSE),"")</f>
        <v/>
      </c>
      <c r="MN53" s="31" t="str">
        <f>IFERROR(VLOOKUP([2]Pointage!MR47,Feuil1!$A:$B,2,FALSE),"")</f>
        <v/>
      </c>
      <c r="MO53" s="31" t="str">
        <f>IFERROR(VLOOKUP([2]Pointage!MS47,Feuil1!$A:$B,2,FALSE),"")</f>
        <v/>
      </c>
      <c r="MP53" s="31" t="str">
        <f>IFERROR(VLOOKUP([2]Pointage!MT47,Feuil1!$A:$B,2,FALSE),"")</f>
        <v/>
      </c>
      <c r="MQ53" s="31" t="str">
        <f>IFERROR(VLOOKUP([2]Pointage!MU47,Feuil1!$A:$B,2,FALSE),"")</f>
        <v/>
      </c>
      <c r="MR53" s="31" t="str">
        <f>IFERROR(VLOOKUP([2]Pointage!MV47,Feuil1!$A:$B,2,FALSE),"")</f>
        <v/>
      </c>
      <c r="MS53" s="31" t="str">
        <f>IFERROR(VLOOKUP([2]Pointage!MW47,Feuil1!$A:$B,2,FALSE),"")</f>
        <v/>
      </c>
      <c r="MT53" s="31" t="str">
        <f>IFERROR(VLOOKUP([2]Pointage!MX47,Feuil1!$A:$B,2,FALSE),"")</f>
        <v/>
      </c>
      <c r="MU53" s="31" t="str">
        <f>IFERROR(VLOOKUP([2]Pointage!MY47,Feuil1!$A:$B,2,FALSE),"")</f>
        <v/>
      </c>
      <c r="MV53" s="31" t="str">
        <f>IFERROR(VLOOKUP([2]Pointage!MZ47,Feuil1!$A:$B,2,FALSE),"")</f>
        <v/>
      </c>
      <c r="MW53" s="31" t="str">
        <f>IFERROR(VLOOKUP([2]Pointage!NA47,Feuil1!$A:$B,2,FALSE),"")</f>
        <v/>
      </c>
      <c r="MX53" s="31" t="str">
        <f>IFERROR(VLOOKUP([2]Pointage!NB47,Feuil1!$A:$B,2,FALSE),"")</f>
        <v/>
      </c>
      <c r="MY53" s="31" t="str">
        <f>IFERROR(VLOOKUP([2]Pointage!NC47,Feuil1!$A:$B,2,FALSE),"")</f>
        <v/>
      </c>
      <c r="MZ53" s="31" t="str">
        <f>IFERROR(VLOOKUP([2]Pointage!ND47,Feuil1!$A:$B,2,FALSE),"")</f>
        <v/>
      </c>
      <c r="NA53" s="31" t="str">
        <f>IFERROR(VLOOKUP([2]Pointage!NE47,Feuil1!$A:$B,2,FALSE),"")</f>
        <v/>
      </c>
      <c r="NB53" s="31" t="str">
        <f>IFERROR(VLOOKUP([2]Pointage!NF47,Feuil1!$A:$B,2,FALSE),"")</f>
        <v/>
      </c>
      <c r="NC53" s="31" t="str">
        <f>IFERROR(VLOOKUP([2]Pointage!NG47,Feuil1!$A:$B,2,FALSE),"")</f>
        <v/>
      </c>
      <c r="ND53" s="31" t="str">
        <f>IFERROR(VLOOKUP([2]Pointage!NH47,Feuil1!$A:$B,2,FALSE),"")</f>
        <v/>
      </c>
      <c r="NE53" s="31" t="str">
        <f>IFERROR(VLOOKUP([2]Pointage!NI47,Feuil1!$A:$B,2,FALSE),"")</f>
        <v/>
      </c>
      <c r="NF53" s="48" t="str">
        <f>IFERROR(VLOOKUP([2]Pointage!NJ47,Feuil1!$A:$B,2,FALSE),"")</f>
        <v/>
      </c>
      <c r="NG53" s="52">
        <f>COUNTIF(Global!F53:NF53,"RTT")+(COUNTIF(Global!F53:NF53,"dRTT")/2)</f>
        <v>0</v>
      </c>
      <c r="NH53" s="42">
        <f>COUNTIF(Global!F53:NF53,"C")+(COUNTIF(Global!F53:NF53,"DC")/2)</f>
        <v>29</v>
      </c>
      <c r="NI53" s="42">
        <f>COUNTIF(Global!F53:NF53,"M")</f>
        <v>0</v>
      </c>
      <c r="NJ53" s="42">
        <f>COUNTIF(Global!G53:NG53,"AT")</f>
        <v>0</v>
      </c>
      <c r="NK53" s="42">
        <f>COUNTIF(Global!F53:NF53,"RD")</f>
        <v>0</v>
      </c>
      <c r="NL53" s="42">
        <f>COUNTIF(Global!F53:NF53,"RC")+(COUNTIF(Global!F53:NF53,"dRC")/2)</f>
        <v>0</v>
      </c>
      <c r="NM53" s="68">
        <f t="shared" ca="1" si="0"/>
        <v>4.0273972602739727</v>
      </c>
      <c r="NT53" s="33"/>
      <c r="NU53" s="33"/>
      <c r="NV53" s="28"/>
      <c r="NW53" s="28"/>
      <c r="NX53" s="29">
        <f>COUNTIF(F53:NF53,"C")++(COUNTIF(Global!F53:NF53,"DC")/2)</f>
        <v>29</v>
      </c>
      <c r="NY53" s="29"/>
      <c r="NZ53" s="29"/>
      <c r="OA53" s="29"/>
      <c r="OB53" s="29">
        <f>COUNTIF(Global!F53:NF53,"M")</f>
        <v>0</v>
      </c>
      <c r="OC53" s="30">
        <f t="shared" si="1"/>
        <v>-29</v>
      </c>
      <c r="OD53" s="30"/>
    </row>
    <row r="54" spans="1:394" ht="30" customHeight="1" x14ac:dyDescent="0.2">
      <c r="A54" s="18" t="s">
        <v>110</v>
      </c>
      <c r="B54" s="18" t="s">
        <v>263</v>
      </c>
      <c r="C54" s="18" t="s">
        <v>264</v>
      </c>
      <c r="D54" s="18" t="s">
        <v>265</v>
      </c>
      <c r="E54" s="24">
        <v>0</v>
      </c>
      <c r="F54" s="47" t="str">
        <f>IFERROR(VLOOKUP([2]Pointage!J48,Feuil1!$A:$B,2,FALSE),"")</f>
        <v/>
      </c>
      <c r="G54" s="31" t="str">
        <f>IFERROR(VLOOKUP([2]Pointage!K48,Feuil1!$A:$B,2,FALSE),"")</f>
        <v/>
      </c>
      <c r="H54" s="31" t="str">
        <f>IFERROR(VLOOKUP([2]Pointage!L48,Feuil1!$A:$B,2,FALSE),"")</f>
        <v/>
      </c>
      <c r="I54" s="31" t="str">
        <f>IFERROR(VLOOKUP([2]Pointage!M48,Feuil1!$A:$B,2,FALSE),"")</f>
        <v/>
      </c>
      <c r="J54" s="31" t="str">
        <f>IFERROR(VLOOKUP([2]Pointage!N48,Feuil1!$A:$B,2,FALSE),"")</f>
        <v/>
      </c>
      <c r="K54" s="31" t="str">
        <f>IFERROR(VLOOKUP([2]Pointage!O48,Feuil1!$A:$B,2,FALSE),"")</f>
        <v/>
      </c>
      <c r="L54" s="31" t="str">
        <f>IFERROR(VLOOKUP([2]Pointage!P48,Feuil1!$A:$B,2,FALSE),"")</f>
        <v/>
      </c>
      <c r="M54" s="31" t="str">
        <f>IFERROR(VLOOKUP([2]Pointage!Q48,Feuil1!$A:$B,2,FALSE),"")</f>
        <v>C</v>
      </c>
      <c r="N54" s="31" t="str">
        <f>IFERROR(VLOOKUP([2]Pointage!R48,Feuil1!$A:$B,2,FALSE),"")</f>
        <v>C</v>
      </c>
      <c r="O54" s="31" t="str">
        <f>IFERROR(VLOOKUP([2]Pointage!S48,Feuil1!$A:$B,2,FALSE),"")</f>
        <v>C</v>
      </c>
      <c r="P54" s="31" t="str">
        <f>IFERROR(VLOOKUP([2]Pointage!T48,Feuil1!$A:$B,2,FALSE),"")</f>
        <v>C</v>
      </c>
      <c r="Q54" s="31" t="str">
        <f>IFERROR(VLOOKUP([2]Pointage!U48,Feuil1!$A:$B,2,FALSE),"")</f>
        <v>C</v>
      </c>
      <c r="R54" s="31" t="str">
        <f>IFERROR(VLOOKUP([2]Pointage!V48,Feuil1!$A:$B,2,FALSE),"")</f>
        <v/>
      </c>
      <c r="S54" s="31" t="str">
        <f>IFERROR(VLOOKUP([2]Pointage!W48,Feuil1!$A:$B,2,FALSE),"")</f>
        <v/>
      </c>
      <c r="T54" s="31" t="str">
        <f>IFERROR(VLOOKUP([2]Pointage!X48,Feuil1!$A:$B,2,FALSE),"")</f>
        <v/>
      </c>
      <c r="U54" s="31" t="str">
        <f>IFERROR(VLOOKUP([2]Pointage!Y48,Feuil1!$A:$B,2,FALSE),"")</f>
        <v>DC</v>
      </c>
      <c r="V54" s="31" t="str">
        <f>IFERROR(VLOOKUP([2]Pointage!Z48,Feuil1!$A:$B,2,FALSE),"")</f>
        <v>M</v>
      </c>
      <c r="W54" s="31" t="str">
        <f>IFERROR(VLOOKUP([2]Pointage!AA48,Feuil1!$A:$B,2,FALSE),"")</f>
        <v>M</v>
      </c>
      <c r="X54" s="31" t="str">
        <f>IFERROR(VLOOKUP([2]Pointage!AB48,Feuil1!$A:$B,2,FALSE),"")</f>
        <v>M</v>
      </c>
      <c r="Y54" s="31" t="str">
        <f>IFERROR(VLOOKUP([2]Pointage!AC48,Feuil1!$A:$B,2,FALSE),"")</f>
        <v>M</v>
      </c>
      <c r="Z54" s="31" t="str">
        <f>IFERROR(VLOOKUP([2]Pointage!AD48,Feuil1!$A:$B,2,FALSE),"")</f>
        <v>M</v>
      </c>
      <c r="AA54" s="31" t="str">
        <f>IFERROR(VLOOKUP([2]Pointage!AE48,Feuil1!$A:$B,2,FALSE),"")</f>
        <v/>
      </c>
      <c r="AB54" s="31" t="str">
        <f>IFERROR(VLOOKUP([2]Pointage!AF48,Feuil1!$A:$B,2,FALSE),"")</f>
        <v/>
      </c>
      <c r="AC54" s="31" t="str">
        <f>IFERROR(VLOOKUP([2]Pointage!AG48,Feuil1!$A:$B,2,FALSE),"")</f>
        <v/>
      </c>
      <c r="AD54" s="31" t="str">
        <f>IFERROR(VLOOKUP([2]Pointage!AH48,Feuil1!$A:$B,2,FALSE),"")</f>
        <v/>
      </c>
      <c r="AE54" s="31" t="str">
        <f>IFERROR(VLOOKUP([2]Pointage!AI48,Feuil1!$A:$B,2,FALSE),"")</f>
        <v/>
      </c>
      <c r="AF54" s="31" t="str">
        <f>IFERROR(VLOOKUP([2]Pointage!AJ48,Feuil1!$A:$B,2,FALSE),"")</f>
        <v/>
      </c>
      <c r="AG54" s="31" t="str">
        <f>IFERROR(VLOOKUP([2]Pointage!AK48,Feuil1!$A:$B,2,FALSE),"")</f>
        <v/>
      </c>
      <c r="AH54" s="31" t="str">
        <f>IFERROR(VLOOKUP([2]Pointage!AL48,Feuil1!$A:$B,2,FALSE),"")</f>
        <v/>
      </c>
      <c r="AI54" s="31" t="str">
        <f>IFERROR(VLOOKUP([2]Pointage!AM48,Feuil1!$A:$B,2,FALSE),"")</f>
        <v/>
      </c>
      <c r="AJ54" s="82" t="str">
        <f>IFERROR(VLOOKUP([2]Pointage!AN48,Feuil1!$A:$B,2,FALSE),"")</f>
        <v/>
      </c>
      <c r="AK54" s="47" t="str">
        <f>IFERROR(VLOOKUP([2]Pointage!AO48,Feuil1!$A:$B,2,FALSE),"")</f>
        <v/>
      </c>
      <c r="AL54" s="31" t="str">
        <f>IFERROR(VLOOKUP([2]Pointage!AP48,Feuil1!$A:$B,2,FALSE),"")</f>
        <v/>
      </c>
      <c r="AM54" s="31" t="str">
        <f>IFERROR(VLOOKUP([2]Pointage!AQ48,Feuil1!$A:$B,2,FALSE),"")</f>
        <v/>
      </c>
      <c r="AN54" s="31" t="str">
        <f>IFERROR(VLOOKUP([2]Pointage!AR48,Feuil1!$A:$B,2,FALSE),"")</f>
        <v/>
      </c>
      <c r="AO54" s="31" t="str">
        <f>IFERROR(VLOOKUP([2]Pointage!AS48,Feuil1!$A:$B,2,FALSE),"")</f>
        <v/>
      </c>
      <c r="AP54" s="31" t="str">
        <f>IFERROR(VLOOKUP([2]Pointage!AT48,Feuil1!$A:$B,2,FALSE),"")</f>
        <v/>
      </c>
      <c r="AQ54" s="31" t="str">
        <f>IFERROR(VLOOKUP([2]Pointage!AU48,Feuil1!$A:$B,2,FALSE),"")</f>
        <v/>
      </c>
      <c r="AR54" s="31" t="str">
        <f>IFERROR(VLOOKUP([2]Pointage!AV48,Feuil1!$A:$B,2,FALSE),"")</f>
        <v/>
      </c>
      <c r="AS54" s="31" t="str">
        <f>IFERROR(VLOOKUP([2]Pointage!AW48,Feuil1!$A:$B,2,FALSE),"")</f>
        <v/>
      </c>
      <c r="AT54" s="31" t="str">
        <f>IFERROR(VLOOKUP([2]Pointage!AX48,Feuil1!$A:$B,2,FALSE),"")</f>
        <v/>
      </c>
      <c r="AU54" s="31" t="str">
        <f>IFERROR(VLOOKUP([2]Pointage!AY48,Feuil1!$A:$B,2,FALSE),"")</f>
        <v/>
      </c>
      <c r="AV54" s="31" t="str">
        <f>IFERROR(VLOOKUP([2]Pointage!AZ48,Feuil1!$A:$B,2,FALSE),"")</f>
        <v/>
      </c>
      <c r="AW54" s="31" t="str">
        <f>IFERROR(VLOOKUP([2]Pointage!BA48,Feuil1!$A:$B,2,FALSE),"")</f>
        <v>C</v>
      </c>
      <c r="AX54" s="31" t="str">
        <f>IFERROR(VLOOKUP([2]Pointage!BB48,Feuil1!$A:$B,2,FALSE),"")</f>
        <v>C</v>
      </c>
      <c r="AY54" s="31" t="str">
        <f>IFERROR(VLOOKUP([2]Pointage!BC48,Feuil1!$A:$B,2,FALSE),"")</f>
        <v>C</v>
      </c>
      <c r="AZ54" s="31" t="str">
        <f>IFERROR(VLOOKUP([2]Pointage!BD48,Feuil1!$A:$B,2,FALSE),"")</f>
        <v>C</v>
      </c>
      <c r="BA54" s="31" t="str">
        <f>IFERROR(VLOOKUP([2]Pointage!BE48,Feuil1!$A:$B,2,FALSE),"")</f>
        <v/>
      </c>
      <c r="BB54" s="31" t="str">
        <f>IFERROR(VLOOKUP([2]Pointage!BF48,Feuil1!$A:$B,2,FALSE),"")</f>
        <v/>
      </c>
      <c r="BC54" s="31" t="str">
        <f>IFERROR(VLOOKUP([2]Pointage!BG48,Feuil1!$A:$B,2,FALSE),"")</f>
        <v>C</v>
      </c>
      <c r="BD54" s="31" t="str">
        <f>IFERROR(VLOOKUP([2]Pointage!BH48,Feuil1!$A:$B,2,FALSE),"")</f>
        <v>C</v>
      </c>
      <c r="BE54" s="31" t="str">
        <f>IFERROR(VLOOKUP([2]Pointage!BI48,Feuil1!$A:$B,2,FALSE),"")</f>
        <v>C</v>
      </c>
      <c r="BF54" s="31" t="str">
        <f>IFERROR(VLOOKUP([2]Pointage!BJ48,Feuil1!$A:$B,2,FALSE),"")</f>
        <v>C</v>
      </c>
      <c r="BG54" s="31" t="str">
        <f>IFERROR(VLOOKUP([2]Pointage!BK48,Feuil1!$A:$B,2,FALSE),"")</f>
        <v>C</v>
      </c>
      <c r="BH54" s="31" t="str">
        <f>IFERROR(VLOOKUP([2]Pointage!BL48,Feuil1!$A:$B,2,FALSE),"")</f>
        <v/>
      </c>
      <c r="BI54" s="31" t="str">
        <f>IFERROR(VLOOKUP([2]Pointage!BM48,Feuil1!$A:$B,2,FALSE),"")</f>
        <v/>
      </c>
      <c r="BJ54" s="31" t="str">
        <f>IFERROR(VLOOKUP([2]Pointage!BN48,Feuil1!$A:$B,2,FALSE),"")</f>
        <v>C</v>
      </c>
      <c r="BK54" s="31" t="str">
        <f>IFERROR(VLOOKUP([2]Pointage!BO48,Feuil1!$A:$B,2,FALSE),"")</f>
        <v>C</v>
      </c>
      <c r="BL54" s="82" t="str">
        <f>IFERROR(VLOOKUP([2]Pointage!BP48,Feuil1!$A:$B,2,FALSE),"")</f>
        <v>C</v>
      </c>
      <c r="BM54" s="47" t="str">
        <f>IFERROR(VLOOKUP([2]Pointage!BQ48,Feuil1!$A:$B,2,FALSE),"")</f>
        <v>C</v>
      </c>
      <c r="BN54" s="31" t="str">
        <f>IFERROR(VLOOKUP([2]Pointage!BR48,Feuil1!$A:$B,2,FALSE),"")</f>
        <v>C</v>
      </c>
      <c r="BO54" s="31" t="str">
        <f>IFERROR(VLOOKUP([2]Pointage!BS48,Feuil1!$A:$B,2,FALSE),"")</f>
        <v/>
      </c>
      <c r="BP54" s="31" t="str">
        <f>IFERROR(VLOOKUP([2]Pointage!BT48,Feuil1!$A:$B,2,FALSE),"")</f>
        <v/>
      </c>
      <c r="BQ54" s="31" t="str">
        <f>IFERROR(VLOOKUP([2]Pointage!BU48,Feuil1!$A:$B,2,FALSE),"")</f>
        <v/>
      </c>
      <c r="BR54" s="31" t="str">
        <f>IFERROR(VLOOKUP([2]Pointage!BV48,Feuil1!$A:$B,2,FALSE),"")</f>
        <v/>
      </c>
      <c r="BS54" s="31" t="str">
        <f>IFERROR(VLOOKUP([2]Pointage!BW48,Feuil1!$A:$B,2,FALSE),"")</f>
        <v/>
      </c>
      <c r="BT54" s="31" t="str">
        <f>IFERROR(VLOOKUP([2]Pointage!BX48,Feuil1!$A:$B,2,FALSE),"")</f>
        <v/>
      </c>
      <c r="BU54" s="31" t="str">
        <f>IFERROR(VLOOKUP([2]Pointage!BY48,Feuil1!$A:$B,2,FALSE),"")</f>
        <v/>
      </c>
      <c r="BV54" s="31" t="str">
        <f>IFERROR(VLOOKUP([2]Pointage!BZ48,Feuil1!$A:$B,2,FALSE),"")</f>
        <v/>
      </c>
      <c r="BW54" s="31" t="str">
        <f>IFERROR(VLOOKUP([2]Pointage!CA48,Feuil1!$A:$B,2,FALSE),"")</f>
        <v/>
      </c>
      <c r="BX54" s="31" t="str">
        <f>IFERROR(VLOOKUP([2]Pointage!CB48,Feuil1!$A:$B,2,FALSE),"")</f>
        <v/>
      </c>
      <c r="BY54" s="31" t="str">
        <f>IFERROR(VLOOKUP([2]Pointage!CC48,Feuil1!$A:$B,2,FALSE),"")</f>
        <v/>
      </c>
      <c r="BZ54" s="31" t="str">
        <f>IFERROR(VLOOKUP([2]Pointage!CD48,Feuil1!$A:$B,2,FALSE),"")</f>
        <v/>
      </c>
      <c r="CA54" s="31" t="str">
        <f>IFERROR(VLOOKUP([2]Pointage!CE48,Feuil1!$A:$B,2,FALSE),"")</f>
        <v/>
      </c>
      <c r="CB54" s="31" t="str">
        <f>IFERROR(VLOOKUP([2]Pointage!CF48,Feuil1!$A:$B,2,FALSE),"")</f>
        <v/>
      </c>
      <c r="CC54" s="31" t="str">
        <f>IFERROR(VLOOKUP([2]Pointage!CG48,Feuil1!$A:$B,2,FALSE),"")</f>
        <v/>
      </c>
      <c r="CD54" s="31" t="str">
        <f>IFERROR(VLOOKUP([2]Pointage!CH48,Feuil1!$A:$B,2,FALSE),"")</f>
        <v/>
      </c>
      <c r="CE54" s="31" t="str">
        <f>IFERROR(VLOOKUP([2]Pointage!CI48,Feuil1!$A:$B,2,FALSE),"")</f>
        <v>C</v>
      </c>
      <c r="CF54" s="31" t="str">
        <f>IFERROR(VLOOKUP([2]Pointage!CJ48,Feuil1!$A:$B,2,FALSE),"")</f>
        <v>C</v>
      </c>
      <c r="CG54" s="31" t="str">
        <f>IFERROR(VLOOKUP([2]Pointage!CK48,Feuil1!$A:$B,2,FALSE),"")</f>
        <v>C</v>
      </c>
      <c r="CH54" s="31" t="str">
        <f>IFERROR(VLOOKUP([2]Pointage!CL48,Feuil1!$A:$B,2,FALSE),"")</f>
        <v>C</v>
      </c>
      <c r="CI54" s="31" t="str">
        <f>IFERROR(VLOOKUP([2]Pointage!CM48,Feuil1!$A:$B,2,FALSE),"")</f>
        <v>C</v>
      </c>
      <c r="CJ54" s="31" t="str">
        <f>IFERROR(VLOOKUP([2]Pointage!CN48,Feuil1!$A:$B,2,FALSE),"")</f>
        <v/>
      </c>
      <c r="CK54" s="31" t="str">
        <f>IFERROR(VLOOKUP([2]Pointage!CO48,Feuil1!$A:$B,2,FALSE),"")</f>
        <v/>
      </c>
      <c r="CL54" s="31" t="str">
        <f>IFERROR(VLOOKUP([2]Pointage!CP48,Feuil1!$A:$B,2,FALSE),"")</f>
        <v/>
      </c>
      <c r="CM54" s="31" t="str">
        <f>IFERROR(VLOOKUP([2]Pointage!CQ48,Feuil1!$A:$B,2,FALSE),"")</f>
        <v/>
      </c>
      <c r="CN54" s="31" t="str">
        <f>IFERROR(VLOOKUP([2]Pointage!CR48,Feuil1!$A:$B,2,FALSE),"")</f>
        <v/>
      </c>
      <c r="CO54" s="31" t="str">
        <f>IFERROR(VLOOKUP([2]Pointage!CS48,Feuil1!$A:$B,2,FALSE),"")</f>
        <v/>
      </c>
      <c r="CP54" s="31" t="str">
        <f>IFERROR(VLOOKUP([2]Pointage!CT48,Feuil1!$A:$B,2,FALSE),"")</f>
        <v/>
      </c>
      <c r="CQ54" s="82" t="str">
        <f>IFERROR(VLOOKUP([2]Pointage!CU48,Feuil1!$A:$B,2,FALSE),"")</f>
        <v/>
      </c>
      <c r="CR54" s="47" t="str">
        <f>IFERROR(VLOOKUP([2]Pointage!CV48,Feuil1!$A:$B,2,FALSE),"")</f>
        <v/>
      </c>
      <c r="CS54" s="31" t="str">
        <f>IFERROR(VLOOKUP([2]Pointage!CW48,Feuil1!$A:$B,2,FALSE),"")</f>
        <v/>
      </c>
      <c r="CT54" s="31" t="str">
        <f>IFERROR(VLOOKUP([2]Pointage!CX48,Feuil1!$A:$B,2,FALSE),"")</f>
        <v/>
      </c>
      <c r="CU54" s="31" t="str">
        <f>IFERROR(VLOOKUP([2]Pointage!CY48,Feuil1!$A:$B,2,FALSE),"")</f>
        <v/>
      </c>
      <c r="CV54" s="31" t="str">
        <f>IFERROR(VLOOKUP([2]Pointage!CZ48,Feuil1!$A:$B,2,FALSE),"")</f>
        <v/>
      </c>
      <c r="CW54" s="31" t="str">
        <f>IFERROR(VLOOKUP([2]Pointage!DA48,Feuil1!$A:$B,2,FALSE),"")</f>
        <v/>
      </c>
      <c r="CX54" s="31" t="str">
        <f>IFERROR(VLOOKUP([2]Pointage!DB48,Feuil1!$A:$B,2,FALSE),"")</f>
        <v/>
      </c>
      <c r="CY54" s="31" t="str">
        <f>IFERROR(VLOOKUP([2]Pointage!DC48,Feuil1!$A:$B,2,FALSE),"")</f>
        <v/>
      </c>
      <c r="CZ54" s="31" t="str">
        <f>IFERROR(VLOOKUP([2]Pointage!DD48,Feuil1!$A:$B,2,FALSE),"")</f>
        <v/>
      </c>
      <c r="DA54" s="31" t="str">
        <f>IFERROR(VLOOKUP([2]Pointage!DE48,Feuil1!$A:$B,2,FALSE),"")</f>
        <v/>
      </c>
      <c r="DB54" s="31" t="str">
        <f>IFERROR(VLOOKUP([2]Pointage!DF48,Feuil1!$A:$B,2,FALSE),"")</f>
        <v/>
      </c>
      <c r="DC54" s="31" t="str">
        <f>IFERROR(VLOOKUP([2]Pointage!DG48,Feuil1!$A:$B,2,FALSE),"")</f>
        <v/>
      </c>
      <c r="DD54" s="31" t="str">
        <f>IFERROR(VLOOKUP([2]Pointage!DH48,Feuil1!$A:$B,2,FALSE),"")</f>
        <v/>
      </c>
      <c r="DE54" s="31" t="str">
        <f>IFERROR(VLOOKUP([2]Pointage!DI48,Feuil1!$A:$B,2,FALSE),"")</f>
        <v/>
      </c>
      <c r="DF54" s="31" t="str">
        <f>IFERROR(VLOOKUP([2]Pointage!DJ48,Feuil1!$A:$B,2,FALSE),"")</f>
        <v/>
      </c>
      <c r="DG54" s="31" t="str">
        <f>IFERROR(VLOOKUP([2]Pointage!DK48,Feuil1!$A:$B,2,FALSE),"")</f>
        <v/>
      </c>
      <c r="DH54" s="31" t="str">
        <f>IFERROR(VLOOKUP([2]Pointage!DL48,Feuil1!$A:$B,2,FALSE),"")</f>
        <v/>
      </c>
      <c r="DI54" s="31" t="str">
        <f>IFERROR(VLOOKUP([2]Pointage!DM48,Feuil1!$A:$B,2,FALSE),"")</f>
        <v/>
      </c>
      <c r="DJ54" s="31" t="str">
        <f>IFERROR(VLOOKUP([2]Pointage!DN48,Feuil1!$A:$B,2,FALSE),"")</f>
        <v/>
      </c>
      <c r="DK54" s="31" t="str">
        <f>IFERROR(VLOOKUP([2]Pointage!DO48,Feuil1!$A:$B,2,FALSE),"")</f>
        <v/>
      </c>
      <c r="DL54" s="31" t="str">
        <f>IFERROR(VLOOKUP([2]Pointage!DP48,Feuil1!$A:$B,2,FALSE),"")</f>
        <v/>
      </c>
      <c r="DM54" s="31" t="str">
        <f>IFERROR(VLOOKUP([2]Pointage!DQ48,Feuil1!$A:$B,2,FALSE),"")</f>
        <v/>
      </c>
      <c r="DN54" s="31" t="str">
        <f>IFERROR(VLOOKUP([2]Pointage!DR48,Feuil1!$A:$B,2,FALSE),"")</f>
        <v>C</v>
      </c>
      <c r="DO54" s="31" t="str">
        <f>IFERROR(VLOOKUP([2]Pointage!DS48,Feuil1!$A:$B,2,FALSE),"")</f>
        <v>C</v>
      </c>
      <c r="DP54" s="31" t="str">
        <f>IFERROR(VLOOKUP([2]Pointage!DT48,Feuil1!$A:$B,2,FALSE),"")</f>
        <v>C</v>
      </c>
      <c r="DQ54" s="31" t="str">
        <f>IFERROR(VLOOKUP([2]Pointage!DU48,Feuil1!$A:$B,2,FALSE),"")</f>
        <v>C</v>
      </c>
      <c r="DR54" s="31" t="str">
        <f>IFERROR(VLOOKUP([2]Pointage!DV48,Feuil1!$A:$B,2,FALSE),"")</f>
        <v>C</v>
      </c>
      <c r="DS54" s="31" t="str">
        <f>IFERROR(VLOOKUP([2]Pointage!DW48,Feuil1!$A:$B,2,FALSE),"")</f>
        <v/>
      </c>
      <c r="DT54" s="31" t="str">
        <f>IFERROR(VLOOKUP([2]Pointage!DX48,Feuil1!$A:$B,2,FALSE),"")</f>
        <v/>
      </c>
      <c r="DU54" s="82" t="str">
        <f>IFERROR(VLOOKUP([2]Pointage!DY48,Feuil1!$A:$B,2,FALSE),"")</f>
        <v/>
      </c>
      <c r="DV54" s="47" t="str">
        <f>IFERROR(VLOOKUP([2]Pointage!DZ48,Feuil1!$A:$B,2,FALSE),"")</f>
        <v/>
      </c>
      <c r="DW54" s="31" t="str">
        <f>IFERROR(VLOOKUP([2]Pointage!EA48,Feuil1!$A:$B,2,FALSE),"")</f>
        <v/>
      </c>
      <c r="DX54" s="31" t="str">
        <f>IFERROR(VLOOKUP([2]Pointage!EB48,Feuil1!$A:$B,2,FALSE),"")</f>
        <v/>
      </c>
      <c r="DY54" s="31" t="str">
        <f>IFERROR(VLOOKUP([2]Pointage!EC48,Feuil1!$A:$B,2,FALSE),"")</f>
        <v/>
      </c>
      <c r="DZ54" s="31" t="str">
        <f>IFERROR(VLOOKUP([2]Pointage!ED48,Feuil1!$A:$B,2,FALSE),"")</f>
        <v/>
      </c>
      <c r="EA54" s="31" t="str">
        <f>IFERROR(VLOOKUP([2]Pointage!EE48,Feuil1!$A:$B,2,FALSE),"")</f>
        <v/>
      </c>
      <c r="EB54" s="31" t="str">
        <f>IFERROR(VLOOKUP([2]Pointage!EF48,Feuil1!$A:$B,2,FALSE),"")</f>
        <v/>
      </c>
      <c r="EC54" s="31" t="str">
        <f>IFERROR(VLOOKUP([2]Pointage!EG48,Feuil1!$A:$B,2,FALSE),"")</f>
        <v/>
      </c>
      <c r="ED54" s="31" t="str">
        <f>IFERROR(VLOOKUP([2]Pointage!EH48,Feuil1!$A:$B,2,FALSE),"")</f>
        <v/>
      </c>
      <c r="EE54" s="31" t="str">
        <f>IFERROR(VLOOKUP([2]Pointage!EI48,Feuil1!$A:$B,2,FALSE),"")</f>
        <v/>
      </c>
      <c r="EF54" s="31" t="str">
        <f>IFERROR(VLOOKUP([2]Pointage!EJ48,Feuil1!$A:$B,2,FALSE),"")</f>
        <v/>
      </c>
      <c r="EG54" s="31" t="str">
        <f>IFERROR(VLOOKUP([2]Pointage!EK48,Feuil1!$A:$B,2,FALSE),"")</f>
        <v/>
      </c>
      <c r="EH54" s="31" t="str">
        <f>IFERROR(VLOOKUP([2]Pointage!EL48,Feuil1!$A:$B,2,FALSE),"")</f>
        <v/>
      </c>
      <c r="EI54" s="31" t="str">
        <f>IFERROR(VLOOKUP([2]Pointage!EM48,Feuil1!$A:$B,2,FALSE),"")</f>
        <v/>
      </c>
      <c r="EJ54" s="31" t="str">
        <f>IFERROR(VLOOKUP([2]Pointage!EN48,Feuil1!$A:$B,2,FALSE),"")</f>
        <v/>
      </c>
      <c r="EK54" s="31" t="str">
        <f>IFERROR(VLOOKUP([2]Pointage!EO48,Feuil1!$A:$B,2,FALSE),"")</f>
        <v/>
      </c>
      <c r="EL54" s="31" t="str">
        <f>IFERROR(VLOOKUP([2]Pointage!EP48,Feuil1!$A:$B,2,FALSE),"")</f>
        <v/>
      </c>
      <c r="EM54" s="31" t="str">
        <f>IFERROR(VLOOKUP([2]Pointage!EQ48,Feuil1!$A:$B,2,FALSE),"")</f>
        <v/>
      </c>
      <c r="EN54" s="31" t="str">
        <f>IFERROR(VLOOKUP([2]Pointage!ER48,Feuil1!$A:$B,2,FALSE),"")</f>
        <v/>
      </c>
      <c r="EO54" s="31" t="str">
        <f>IFERROR(VLOOKUP([2]Pointage!ES48,Feuil1!$A:$B,2,FALSE),"")</f>
        <v/>
      </c>
      <c r="EP54" s="31" t="str">
        <f>IFERROR(VLOOKUP([2]Pointage!ET48,Feuil1!$A:$B,2,FALSE),"")</f>
        <v/>
      </c>
      <c r="EQ54" s="31" t="str">
        <f>IFERROR(VLOOKUP([2]Pointage!EU48,Feuil1!$A:$B,2,FALSE),"")</f>
        <v/>
      </c>
      <c r="ER54" s="31" t="str">
        <f>IFERROR(VLOOKUP([2]Pointage!EV48,Feuil1!$A:$B,2,FALSE),"")</f>
        <v/>
      </c>
      <c r="ES54" s="31" t="str">
        <f>IFERROR(VLOOKUP([2]Pointage!EW48,Feuil1!$A:$B,2,FALSE),"")</f>
        <v>RTT</v>
      </c>
      <c r="ET54" s="31" t="str">
        <f>IFERROR(VLOOKUP([2]Pointage!EX48,Feuil1!$A:$B,2,FALSE),"")</f>
        <v>RTT</v>
      </c>
      <c r="EU54" s="31" t="str">
        <f>IFERROR(VLOOKUP([2]Pointage!EY48,Feuil1!$A:$B,2,FALSE),"")</f>
        <v/>
      </c>
      <c r="EV54" s="31" t="str">
        <f>IFERROR(VLOOKUP([2]Pointage!EZ48,Feuil1!$A:$B,2,FALSE),"")</f>
        <v/>
      </c>
      <c r="EW54" s="31" t="str">
        <f>IFERROR(VLOOKUP([2]Pointage!FA48,Feuil1!$A:$B,2,FALSE),"")</f>
        <v/>
      </c>
      <c r="EX54" s="31" t="str">
        <f>IFERROR(VLOOKUP([2]Pointage!FB48,Feuil1!$A:$B,2,FALSE),"")</f>
        <v/>
      </c>
      <c r="EY54" s="31" t="str">
        <f>IFERROR(VLOOKUP([2]Pointage!FC48,Feuil1!$A:$B,2,FALSE),"")</f>
        <v/>
      </c>
      <c r="EZ54" s="82" t="str">
        <f>IFERROR(VLOOKUP([2]Pointage!FD48,Feuil1!$A:$B,2,FALSE),"")</f>
        <v/>
      </c>
      <c r="FA54" s="47" t="str">
        <f>IFERROR(VLOOKUP([2]Pointage!FE48,Feuil1!$A:$B,2,FALSE),"")</f>
        <v/>
      </c>
      <c r="FB54" s="31" t="str">
        <f>IFERROR(VLOOKUP([2]Pointage!FF48,Feuil1!$A:$B,2,FALSE),"")</f>
        <v/>
      </c>
      <c r="FC54" s="31" t="str">
        <f>IFERROR(VLOOKUP([2]Pointage!FG48,Feuil1!$A:$B,2,FALSE),"")</f>
        <v/>
      </c>
      <c r="FD54" s="31" t="str">
        <f>IFERROR(VLOOKUP([2]Pointage!FH48,Feuil1!$A:$B,2,FALSE),"")</f>
        <v/>
      </c>
      <c r="FE54" s="31" t="str">
        <f>IFERROR(VLOOKUP([2]Pointage!FI48,Feuil1!$A:$B,2,FALSE),"")</f>
        <v/>
      </c>
      <c r="FF54" s="31" t="str">
        <f>IFERROR(VLOOKUP([2]Pointage!FJ48,Feuil1!$A:$B,2,FALSE),"")</f>
        <v/>
      </c>
      <c r="FG54" s="31" t="str">
        <f>IFERROR(VLOOKUP([2]Pointage!FK48,Feuil1!$A:$B,2,FALSE),"")</f>
        <v/>
      </c>
      <c r="FH54" s="31" t="str">
        <f>IFERROR(VLOOKUP([2]Pointage!FL48,Feuil1!$A:$B,2,FALSE),"")</f>
        <v/>
      </c>
      <c r="FI54" s="31" t="str">
        <f>IFERROR(VLOOKUP([2]Pointage!FM48,Feuil1!$A:$B,2,FALSE),"")</f>
        <v/>
      </c>
      <c r="FJ54" s="31" t="str">
        <f>IFERROR(VLOOKUP([2]Pointage!FN48,Feuil1!$A:$B,2,FALSE),"")</f>
        <v/>
      </c>
      <c r="FK54" s="31" t="str">
        <f>IFERROR(VLOOKUP([2]Pointage!FO48,Feuil1!$A:$B,2,FALSE),"")</f>
        <v/>
      </c>
      <c r="FL54" s="31" t="str">
        <f>IFERROR(VLOOKUP([2]Pointage!FP48,Feuil1!$A:$B,2,FALSE),"")</f>
        <v/>
      </c>
      <c r="FM54" s="31" t="str">
        <f>IFERROR(VLOOKUP([2]Pointage!FQ48,Feuil1!$A:$B,2,FALSE),"")</f>
        <v/>
      </c>
      <c r="FN54" s="31" t="str">
        <f>IFERROR(VLOOKUP([2]Pointage!FR48,Feuil1!$A:$B,2,FALSE),"")</f>
        <v/>
      </c>
      <c r="FO54" s="31" t="str">
        <f>IFERROR(VLOOKUP([2]Pointage!FS48,Feuil1!$A:$B,2,FALSE),"")</f>
        <v/>
      </c>
      <c r="FP54" s="31" t="str">
        <f>IFERROR(VLOOKUP([2]Pointage!FT48,Feuil1!$A:$B,2,FALSE),"")</f>
        <v/>
      </c>
      <c r="FQ54" s="31" t="str">
        <f>IFERROR(VLOOKUP([2]Pointage!FU48,Feuil1!$A:$B,2,FALSE),"")</f>
        <v/>
      </c>
      <c r="FR54" s="31" t="str">
        <f>IFERROR(VLOOKUP([2]Pointage!FV48,Feuil1!$A:$B,2,FALSE),"")</f>
        <v/>
      </c>
      <c r="FS54" s="31" t="str">
        <f>IFERROR(VLOOKUP([2]Pointage!FW48,Feuil1!$A:$B,2,FALSE),"")</f>
        <v/>
      </c>
      <c r="FT54" s="31" t="str">
        <f>IFERROR(VLOOKUP([2]Pointage!FX48,Feuil1!$A:$B,2,FALSE),"")</f>
        <v/>
      </c>
      <c r="FU54" s="31" t="str">
        <f>IFERROR(VLOOKUP([2]Pointage!FY48,Feuil1!$A:$B,2,FALSE),"")</f>
        <v/>
      </c>
      <c r="FV54" s="31" t="str">
        <f>IFERROR(VLOOKUP([2]Pointage!FZ48,Feuil1!$A:$B,2,FALSE),"")</f>
        <v/>
      </c>
      <c r="FW54" s="31" t="str">
        <f>IFERROR(VLOOKUP([2]Pointage!GA48,Feuil1!$A:$B,2,FALSE),"")</f>
        <v/>
      </c>
      <c r="FX54" s="31" t="str">
        <f>IFERROR(VLOOKUP([2]Pointage!GB48,Feuil1!$A:$B,2,FALSE),"")</f>
        <v/>
      </c>
      <c r="FY54" s="31" t="str">
        <f>IFERROR(VLOOKUP([2]Pointage!GC48,Feuil1!$A:$B,2,FALSE),"")</f>
        <v>C</v>
      </c>
      <c r="FZ54" s="31" t="str">
        <f>IFERROR(VLOOKUP([2]Pointage!GD48,Feuil1!$A:$B,2,FALSE),"")</f>
        <v>C</v>
      </c>
      <c r="GA54" s="31" t="str">
        <f>IFERROR(VLOOKUP([2]Pointage!GE48,Feuil1!$A:$B,2,FALSE),"")</f>
        <v>C</v>
      </c>
      <c r="GB54" s="31" t="str">
        <f>IFERROR(VLOOKUP([2]Pointage!GF48,Feuil1!$A:$B,2,FALSE),"")</f>
        <v>C</v>
      </c>
      <c r="GC54" s="31" t="str">
        <f>IFERROR(VLOOKUP([2]Pointage!GG48,Feuil1!$A:$B,2,FALSE),"")</f>
        <v>C</v>
      </c>
      <c r="GD54" s="82" t="str">
        <f>IFERROR(VLOOKUP([2]Pointage!GH48,Feuil1!$A:$B,2,FALSE),"")</f>
        <v/>
      </c>
      <c r="GE54" s="47" t="str">
        <f>IFERROR(VLOOKUP([2]Pointage!GI48,Feuil1!$A:$B,2,FALSE),"")</f>
        <v/>
      </c>
      <c r="GF54" s="31" t="str">
        <f>IFERROR(VLOOKUP([2]Pointage!GJ48,Feuil1!$A:$B,2,FALSE),"")</f>
        <v>C</v>
      </c>
      <c r="GG54" s="31" t="str">
        <f>IFERROR(VLOOKUP([2]Pointage!GK48,Feuil1!$A:$B,2,FALSE),"")</f>
        <v>C</v>
      </c>
      <c r="GH54" s="31" t="str">
        <f>IFERROR(VLOOKUP([2]Pointage!GL48,Feuil1!$A:$B,2,FALSE),"")</f>
        <v>C</v>
      </c>
      <c r="GI54" s="31" t="str">
        <f>IFERROR(VLOOKUP([2]Pointage!GM48,Feuil1!$A:$B,2,FALSE),"")</f>
        <v>C</v>
      </c>
      <c r="GJ54" s="31" t="str">
        <f>IFERROR(VLOOKUP([2]Pointage!GN48,Feuil1!$A:$B,2,FALSE),"")</f>
        <v>C</v>
      </c>
      <c r="GK54" s="31" t="str">
        <f>IFERROR(VLOOKUP([2]Pointage!GO48,Feuil1!$A:$B,2,FALSE),"")</f>
        <v/>
      </c>
      <c r="GL54" s="31" t="str">
        <f>IFERROR(VLOOKUP([2]Pointage!GP48,Feuil1!$A:$B,2,FALSE),"")</f>
        <v/>
      </c>
      <c r="GM54" s="31" t="str">
        <f>IFERROR(VLOOKUP([2]Pointage!GQ48,Feuil1!$A:$B,2,FALSE),"")</f>
        <v>C</v>
      </c>
      <c r="GN54" s="31" t="str">
        <f>IFERROR(VLOOKUP([2]Pointage!GR48,Feuil1!$A:$B,2,FALSE),"")</f>
        <v>C</v>
      </c>
      <c r="GO54" s="31" t="str">
        <f>IFERROR(VLOOKUP([2]Pointage!GS48,Feuil1!$A:$B,2,FALSE),"")</f>
        <v>C</v>
      </c>
      <c r="GP54" s="31" t="str">
        <f>IFERROR(VLOOKUP([2]Pointage!GT48,Feuil1!$A:$B,2,FALSE),"")</f>
        <v>C</v>
      </c>
      <c r="GQ54" s="31" t="str">
        <f>IFERROR(VLOOKUP([2]Pointage!GU48,Feuil1!$A:$B,2,FALSE),"")</f>
        <v>C</v>
      </c>
      <c r="GR54" s="31" t="str">
        <f>IFERROR(VLOOKUP([2]Pointage!GV48,Feuil1!$A:$B,2,FALSE),"")</f>
        <v/>
      </c>
      <c r="GS54" s="31" t="str">
        <f>IFERROR(VLOOKUP([2]Pointage!GW48,Feuil1!$A:$B,2,FALSE),"")</f>
        <v/>
      </c>
      <c r="GT54" s="31" t="str">
        <f>IFERROR(VLOOKUP([2]Pointage!GX48,Feuil1!$A:$B,2,FALSE),"")</f>
        <v/>
      </c>
      <c r="GU54" s="31" t="str">
        <f>IFERROR(VLOOKUP([2]Pointage!GY48,Feuil1!$A:$B,2,FALSE),"")</f>
        <v/>
      </c>
      <c r="GV54" s="31" t="str">
        <f>IFERROR(VLOOKUP([2]Pointage!GZ48,Feuil1!$A:$B,2,FALSE),"")</f>
        <v/>
      </c>
      <c r="GW54" s="31" t="str">
        <f>IFERROR(VLOOKUP([2]Pointage!HA48,Feuil1!$A:$B,2,FALSE),"")</f>
        <v/>
      </c>
      <c r="GX54" s="31" t="str">
        <f>IFERROR(VLOOKUP([2]Pointage!HB48,Feuil1!$A:$B,2,FALSE),"")</f>
        <v/>
      </c>
      <c r="GY54" s="31" t="str">
        <f>IFERROR(VLOOKUP([2]Pointage!HC48,Feuil1!$A:$B,2,FALSE),"")</f>
        <v/>
      </c>
      <c r="GZ54" s="31" t="str">
        <f>IFERROR(VLOOKUP([2]Pointage!HD48,Feuil1!$A:$B,2,FALSE),"")</f>
        <v/>
      </c>
      <c r="HA54" s="31" t="str">
        <f>IFERROR(VLOOKUP([2]Pointage!HE48,Feuil1!$A:$B,2,FALSE),"")</f>
        <v/>
      </c>
      <c r="HB54" s="31" t="str">
        <f>IFERROR(VLOOKUP([2]Pointage!HF48,Feuil1!$A:$B,2,FALSE),"")</f>
        <v/>
      </c>
      <c r="HC54" s="31" t="str">
        <f>IFERROR(VLOOKUP([2]Pointage!HG48,Feuil1!$A:$B,2,FALSE),"")</f>
        <v/>
      </c>
      <c r="HD54" s="31" t="str">
        <f>IFERROR(VLOOKUP([2]Pointage!HH48,Feuil1!$A:$B,2,FALSE),"")</f>
        <v/>
      </c>
      <c r="HE54" s="31" t="str">
        <f>IFERROR(VLOOKUP([2]Pointage!HI48,Feuil1!$A:$B,2,FALSE),"")</f>
        <v/>
      </c>
      <c r="HF54" s="31" t="str">
        <f>IFERROR(VLOOKUP([2]Pointage!HJ48,Feuil1!$A:$B,2,FALSE),"")</f>
        <v/>
      </c>
      <c r="HG54" s="31" t="str">
        <f>IFERROR(VLOOKUP([2]Pointage!HK48,Feuil1!$A:$B,2,FALSE),"")</f>
        <v/>
      </c>
      <c r="HH54" s="31" t="str">
        <f>IFERROR(VLOOKUP([2]Pointage!HL48,Feuil1!$A:$B,2,FALSE),"")</f>
        <v/>
      </c>
      <c r="HI54" s="82" t="str">
        <f>IFERROR(VLOOKUP([2]Pointage!HM48,Feuil1!$A:$B,2,FALSE),"")</f>
        <v/>
      </c>
      <c r="HJ54" s="47" t="str">
        <f>IFERROR(VLOOKUP([2]Pointage!HN48,Feuil1!$A:$B,2,FALSE),"")</f>
        <v/>
      </c>
      <c r="HK54" s="31" t="str">
        <f>IFERROR(VLOOKUP([2]Pointage!HO48,Feuil1!$A:$B,2,FALSE),"")</f>
        <v/>
      </c>
      <c r="HL54" s="31" t="str">
        <f>IFERROR(VLOOKUP([2]Pointage!HP48,Feuil1!$A:$B,2,FALSE),"")</f>
        <v/>
      </c>
      <c r="HM54" s="31" t="str">
        <f>IFERROR(VLOOKUP([2]Pointage!HQ48,Feuil1!$A:$B,2,FALSE),"")</f>
        <v/>
      </c>
      <c r="HN54" s="31" t="str">
        <f>IFERROR(VLOOKUP([2]Pointage!HR48,Feuil1!$A:$B,2,FALSE),"")</f>
        <v/>
      </c>
      <c r="HO54" s="31" t="str">
        <f>IFERROR(VLOOKUP([2]Pointage!HS48,Feuil1!$A:$B,2,FALSE),"")</f>
        <v/>
      </c>
      <c r="HP54" s="31" t="str">
        <f>IFERROR(VLOOKUP([2]Pointage!HT48,Feuil1!$A:$B,2,FALSE),"")</f>
        <v/>
      </c>
      <c r="HQ54" s="31" t="str">
        <f>IFERROR(VLOOKUP([2]Pointage!HU48,Feuil1!$A:$B,2,FALSE),"")</f>
        <v/>
      </c>
      <c r="HR54" s="31" t="str">
        <f>IFERROR(VLOOKUP([2]Pointage!HV48,Feuil1!$A:$B,2,FALSE),"")</f>
        <v/>
      </c>
      <c r="HS54" s="31" t="str">
        <f>IFERROR(VLOOKUP([2]Pointage!HW48,Feuil1!$A:$B,2,FALSE),"")</f>
        <v/>
      </c>
      <c r="HT54" s="31" t="str">
        <f>IFERROR(VLOOKUP([2]Pointage!HX48,Feuil1!$A:$B,2,FALSE),"")</f>
        <v/>
      </c>
      <c r="HU54" s="31" t="str">
        <f>IFERROR(VLOOKUP([2]Pointage!HY48,Feuil1!$A:$B,2,FALSE),"")</f>
        <v/>
      </c>
      <c r="HV54" s="31" t="str">
        <f>IFERROR(VLOOKUP([2]Pointage!HZ48,Feuil1!$A:$B,2,FALSE),"")</f>
        <v/>
      </c>
      <c r="HW54" s="31" t="str">
        <f>IFERROR(VLOOKUP([2]Pointage!IA48,Feuil1!$A:$B,2,FALSE),"")</f>
        <v/>
      </c>
      <c r="HX54" s="31" t="str">
        <f>IFERROR(VLOOKUP([2]Pointage!IB48,Feuil1!$A:$B,2,FALSE),"")</f>
        <v/>
      </c>
      <c r="HY54" s="31" t="str">
        <f>IFERROR(VLOOKUP([2]Pointage!IC48,Feuil1!$A:$B,2,FALSE),"")</f>
        <v/>
      </c>
      <c r="HZ54" s="31" t="str">
        <f>IFERROR(VLOOKUP([2]Pointage!ID48,Feuil1!$A:$B,2,FALSE),"")</f>
        <v/>
      </c>
      <c r="IA54" s="31" t="str">
        <f>IFERROR(VLOOKUP([2]Pointage!IE48,Feuil1!$A:$B,2,FALSE),"")</f>
        <v/>
      </c>
      <c r="IB54" s="31" t="str">
        <f>IFERROR(VLOOKUP([2]Pointage!IF48,Feuil1!$A:$B,2,FALSE),"")</f>
        <v/>
      </c>
      <c r="IC54" s="31" t="str">
        <f>IFERROR(VLOOKUP([2]Pointage!IG48,Feuil1!$A:$B,2,FALSE),"")</f>
        <v/>
      </c>
      <c r="ID54" s="31" t="str">
        <f>IFERROR(VLOOKUP([2]Pointage!IH48,Feuil1!$A:$B,2,FALSE),"")</f>
        <v/>
      </c>
      <c r="IE54" s="31" t="str">
        <f>IFERROR(VLOOKUP([2]Pointage!II48,Feuil1!$A:$B,2,FALSE),"")</f>
        <v/>
      </c>
      <c r="IF54" s="31" t="str">
        <f>IFERROR(VLOOKUP([2]Pointage!IJ48,Feuil1!$A:$B,2,FALSE),"")</f>
        <v/>
      </c>
      <c r="IG54" s="31" t="str">
        <f>IFERROR(VLOOKUP([2]Pointage!IK48,Feuil1!$A:$B,2,FALSE),"")</f>
        <v/>
      </c>
      <c r="IH54" s="31" t="str">
        <f>IFERROR(VLOOKUP([2]Pointage!IL48,Feuil1!$A:$B,2,FALSE),"")</f>
        <v/>
      </c>
      <c r="II54" s="31" t="str">
        <f>IFERROR(VLOOKUP([2]Pointage!IM48,Feuil1!$A:$B,2,FALSE),"")</f>
        <v/>
      </c>
      <c r="IJ54" s="31" t="str">
        <f>IFERROR(VLOOKUP([2]Pointage!IN48,Feuil1!$A:$B,2,FALSE),"")</f>
        <v/>
      </c>
      <c r="IK54" s="31" t="str">
        <f>IFERROR(VLOOKUP([2]Pointage!IO48,Feuil1!$A:$B,2,FALSE),"")</f>
        <v/>
      </c>
      <c r="IL54" s="31" t="str">
        <f>IFERROR(VLOOKUP([2]Pointage!IP48,Feuil1!$A:$B,2,FALSE),"")</f>
        <v/>
      </c>
      <c r="IM54" s="31" t="str">
        <f>IFERROR(VLOOKUP([2]Pointage!IQ48,Feuil1!$A:$B,2,FALSE),"")</f>
        <v/>
      </c>
      <c r="IN54" s="82" t="str">
        <f>IFERROR(VLOOKUP([2]Pointage!IR48,Feuil1!$A:$B,2,FALSE),"")</f>
        <v/>
      </c>
      <c r="IO54" s="47" t="str">
        <f>IFERROR(VLOOKUP([2]Pointage!IS48,Feuil1!$A:$B,2,FALSE),"")</f>
        <v/>
      </c>
      <c r="IP54" s="31" t="str">
        <f>IFERROR(VLOOKUP([2]Pointage!IT48,Feuil1!$A:$B,2,FALSE),"")</f>
        <v/>
      </c>
      <c r="IQ54" s="31" t="str">
        <f>IFERROR(VLOOKUP([2]Pointage!IU48,Feuil1!$A:$B,2,FALSE),"")</f>
        <v/>
      </c>
      <c r="IR54" s="31" t="str">
        <f>IFERROR(VLOOKUP([2]Pointage!IV48,Feuil1!$A:$B,2,FALSE),"")</f>
        <v/>
      </c>
      <c r="IS54" s="31" t="str">
        <f>IFERROR(VLOOKUP([2]Pointage!IW48,Feuil1!$A:$B,2,FALSE),"")</f>
        <v/>
      </c>
      <c r="IT54" s="31" t="str">
        <f>IFERROR(VLOOKUP([2]Pointage!IX48,Feuil1!$A:$B,2,FALSE),"")</f>
        <v/>
      </c>
      <c r="IU54" s="31" t="str">
        <f>IFERROR(VLOOKUP([2]Pointage!IY48,Feuil1!$A:$B,2,FALSE),"")</f>
        <v/>
      </c>
      <c r="IV54" s="31" t="str">
        <f>IFERROR(VLOOKUP([2]Pointage!IZ48,Feuil1!$A:$B,2,FALSE),"")</f>
        <v/>
      </c>
      <c r="IW54" s="31" t="str">
        <f>IFERROR(VLOOKUP([2]Pointage!JA48,Feuil1!$A:$B,2,FALSE),"")</f>
        <v/>
      </c>
      <c r="IX54" s="31" t="str">
        <f>IFERROR(VLOOKUP([2]Pointage!JB48,Feuil1!$A:$B,2,FALSE),"")</f>
        <v/>
      </c>
      <c r="IY54" s="31" t="str">
        <f>IFERROR(VLOOKUP([2]Pointage!JC48,Feuil1!$A:$B,2,FALSE),"")</f>
        <v/>
      </c>
      <c r="IZ54" s="31" t="str">
        <f>IFERROR(VLOOKUP([2]Pointage!JD48,Feuil1!$A:$B,2,FALSE),"")</f>
        <v/>
      </c>
      <c r="JA54" s="31" t="str">
        <f>IFERROR(VLOOKUP([2]Pointage!JE48,Feuil1!$A:$B,2,FALSE),"")</f>
        <v/>
      </c>
      <c r="JB54" s="31" t="str">
        <f>IFERROR(VLOOKUP([2]Pointage!JF48,Feuil1!$A:$B,2,FALSE),"")</f>
        <v/>
      </c>
      <c r="JC54" s="31" t="str">
        <f>IFERROR(VLOOKUP([2]Pointage!JG48,Feuil1!$A:$B,2,FALSE),"")</f>
        <v/>
      </c>
      <c r="JD54" s="31" t="str">
        <f>IFERROR(VLOOKUP([2]Pointage!JH48,Feuil1!$A:$B,2,FALSE),"")</f>
        <v/>
      </c>
      <c r="JE54" s="31" t="str">
        <f>IFERROR(VLOOKUP([2]Pointage!JI48,Feuil1!$A:$B,2,FALSE),"")</f>
        <v/>
      </c>
      <c r="JF54" s="31" t="str">
        <f>IFERROR(VLOOKUP([2]Pointage!JJ48,Feuil1!$A:$B,2,FALSE),"")</f>
        <v/>
      </c>
      <c r="JG54" s="31" t="str">
        <f>IFERROR(VLOOKUP([2]Pointage!JK48,Feuil1!$A:$B,2,FALSE),"")</f>
        <v/>
      </c>
      <c r="JH54" s="31" t="str">
        <f>IFERROR(VLOOKUP([2]Pointage!JL48,Feuil1!$A:$B,2,FALSE),"")</f>
        <v/>
      </c>
      <c r="JI54" s="31" t="str">
        <f>IFERROR(VLOOKUP([2]Pointage!JM48,Feuil1!$A:$B,2,FALSE),"")</f>
        <v/>
      </c>
      <c r="JJ54" s="31" t="str">
        <f>IFERROR(VLOOKUP([2]Pointage!JN48,Feuil1!$A:$B,2,FALSE),"")</f>
        <v/>
      </c>
      <c r="JK54" s="31" t="str">
        <f>IFERROR(VLOOKUP([2]Pointage!JO48,Feuil1!$A:$B,2,FALSE),"")</f>
        <v/>
      </c>
      <c r="JL54" s="31" t="str">
        <f>IFERROR(VLOOKUP([2]Pointage!JP48,Feuil1!$A:$B,2,FALSE),"")</f>
        <v/>
      </c>
      <c r="JM54" s="31" t="str">
        <f>IFERROR(VLOOKUP([2]Pointage!JQ48,Feuil1!$A:$B,2,FALSE),"")</f>
        <v/>
      </c>
      <c r="JN54" s="31" t="str">
        <f>IFERROR(VLOOKUP([2]Pointage!JR48,Feuil1!$A:$B,2,FALSE),"")</f>
        <v/>
      </c>
      <c r="JO54" s="31" t="str">
        <f>IFERROR(VLOOKUP([2]Pointage!JS48,Feuil1!$A:$B,2,FALSE),"")</f>
        <v/>
      </c>
      <c r="JP54" s="31" t="str">
        <f>IFERROR(VLOOKUP([2]Pointage!JT48,Feuil1!$A:$B,2,FALSE),"")</f>
        <v/>
      </c>
      <c r="JQ54" s="31" t="str">
        <f>IFERROR(VLOOKUP([2]Pointage!JU48,Feuil1!$A:$B,2,FALSE),"")</f>
        <v/>
      </c>
      <c r="JR54" s="82" t="str">
        <f>IFERROR(VLOOKUP([2]Pointage!JV48,Feuil1!$A:$B,2,FALSE),"")</f>
        <v/>
      </c>
      <c r="JS54" s="47" t="str">
        <f>IFERROR(VLOOKUP([2]Pointage!JW48,Feuil1!$A:$B,2,FALSE),"")</f>
        <v/>
      </c>
      <c r="JT54" s="31" t="str">
        <f>IFERROR(VLOOKUP([2]Pointage!JX48,Feuil1!$A:$B,2,FALSE),"")</f>
        <v/>
      </c>
      <c r="JU54" s="31" t="str">
        <f>IFERROR(VLOOKUP([2]Pointage!JY48,Feuil1!$A:$B,2,FALSE),"")</f>
        <v/>
      </c>
      <c r="JV54" s="31" t="str">
        <f>IFERROR(VLOOKUP([2]Pointage!JZ48,Feuil1!$A:$B,2,FALSE),"")</f>
        <v/>
      </c>
      <c r="JW54" s="31" t="str">
        <f>IFERROR(VLOOKUP([2]Pointage!KA48,Feuil1!$A:$B,2,FALSE),"")</f>
        <v/>
      </c>
      <c r="JX54" s="31" t="str">
        <f>IFERROR(VLOOKUP([2]Pointage!KB48,Feuil1!$A:$B,2,FALSE),"")</f>
        <v/>
      </c>
      <c r="JY54" s="31" t="str">
        <f>IFERROR(VLOOKUP([2]Pointage!KC48,Feuil1!$A:$B,2,FALSE),"")</f>
        <v/>
      </c>
      <c r="JZ54" s="31" t="str">
        <f>IFERROR(VLOOKUP([2]Pointage!KD48,Feuil1!$A:$B,2,FALSE),"")</f>
        <v/>
      </c>
      <c r="KA54" s="31" t="str">
        <f>IFERROR(VLOOKUP([2]Pointage!KE48,Feuil1!$A:$B,2,FALSE),"")</f>
        <v/>
      </c>
      <c r="KB54" s="31" t="str">
        <f>IFERROR(VLOOKUP([2]Pointage!KF48,Feuil1!$A:$B,2,FALSE),"")</f>
        <v/>
      </c>
      <c r="KC54" s="31" t="str">
        <f>IFERROR(VLOOKUP([2]Pointage!KG48,Feuil1!$A:$B,2,FALSE),"")</f>
        <v/>
      </c>
      <c r="KD54" s="31" t="str">
        <f>IFERROR(VLOOKUP([2]Pointage!KH48,Feuil1!$A:$B,2,FALSE),"")</f>
        <v/>
      </c>
      <c r="KE54" s="31" t="str">
        <f>IFERROR(VLOOKUP([2]Pointage!KI48,Feuil1!$A:$B,2,FALSE),"")</f>
        <v/>
      </c>
      <c r="KF54" s="31" t="str">
        <f>IFERROR(VLOOKUP([2]Pointage!KJ48,Feuil1!$A:$B,2,FALSE),"")</f>
        <v/>
      </c>
      <c r="KG54" s="31" t="str">
        <f>IFERROR(VLOOKUP([2]Pointage!KK48,Feuil1!$A:$B,2,FALSE),"")</f>
        <v/>
      </c>
      <c r="KH54" s="31" t="str">
        <f>IFERROR(VLOOKUP([2]Pointage!KL48,Feuil1!$A:$B,2,FALSE),"")</f>
        <v/>
      </c>
      <c r="KI54" s="31" t="str">
        <f>IFERROR(VLOOKUP([2]Pointage!KM48,Feuil1!$A:$B,2,FALSE),"")</f>
        <v/>
      </c>
      <c r="KJ54" s="31" t="str">
        <f>IFERROR(VLOOKUP([2]Pointage!KN48,Feuil1!$A:$B,2,FALSE),"")</f>
        <v/>
      </c>
      <c r="KK54" s="31" t="str">
        <f>IFERROR(VLOOKUP([2]Pointage!KO48,Feuil1!$A:$B,2,FALSE),"")</f>
        <v/>
      </c>
      <c r="KL54" s="31" t="str">
        <f>IFERROR(VLOOKUP([2]Pointage!KP48,Feuil1!$A:$B,2,FALSE),"")</f>
        <v/>
      </c>
      <c r="KM54" s="31" t="str">
        <f>IFERROR(VLOOKUP([2]Pointage!KQ48,Feuil1!$A:$B,2,FALSE),"")</f>
        <v/>
      </c>
      <c r="KN54" s="31" t="str">
        <f>IFERROR(VLOOKUP([2]Pointage!KR48,Feuil1!$A:$B,2,FALSE),"")</f>
        <v/>
      </c>
      <c r="KO54" s="31" t="str">
        <f>IFERROR(VLOOKUP([2]Pointage!KS48,Feuil1!$A:$B,2,FALSE),"")</f>
        <v/>
      </c>
      <c r="KP54" s="31" t="str">
        <f>IFERROR(VLOOKUP([2]Pointage!KT48,Feuil1!$A:$B,2,FALSE),"")</f>
        <v/>
      </c>
      <c r="KQ54" s="31" t="str">
        <f>IFERROR(VLOOKUP([2]Pointage!KU48,Feuil1!$A:$B,2,FALSE),"")</f>
        <v/>
      </c>
      <c r="KR54" s="31" t="str">
        <f>IFERROR(VLOOKUP([2]Pointage!KV48,Feuil1!$A:$B,2,FALSE),"")</f>
        <v/>
      </c>
      <c r="KS54" s="31" t="str">
        <f>IFERROR(VLOOKUP([2]Pointage!KW48,Feuil1!$A:$B,2,FALSE),"")</f>
        <v/>
      </c>
      <c r="KT54" s="31" t="str">
        <f>IFERROR(VLOOKUP([2]Pointage!KX48,Feuil1!$A:$B,2,FALSE),"")</f>
        <v/>
      </c>
      <c r="KU54" s="31" t="str">
        <f>IFERROR(VLOOKUP([2]Pointage!KY48,Feuil1!$A:$B,2,FALSE),"")</f>
        <v/>
      </c>
      <c r="KV54" s="31" t="str">
        <f>IFERROR(VLOOKUP([2]Pointage!KZ48,Feuil1!$A:$B,2,FALSE),"")</f>
        <v/>
      </c>
      <c r="KW54" s="82" t="str">
        <f>IFERROR(VLOOKUP([2]Pointage!LA48,Feuil1!$A:$B,2,FALSE),"")</f>
        <v/>
      </c>
      <c r="KX54" s="47" t="str">
        <f>IFERROR(VLOOKUP([2]Pointage!LB48,Feuil1!$A:$B,2,FALSE),"")</f>
        <v/>
      </c>
      <c r="KY54" s="31" t="str">
        <f>IFERROR(VLOOKUP([2]Pointage!LC48,Feuil1!$A:$B,2,FALSE),"")</f>
        <v/>
      </c>
      <c r="KZ54" s="31" t="str">
        <f>IFERROR(VLOOKUP([2]Pointage!LD48,Feuil1!$A:$B,2,FALSE),"")</f>
        <v/>
      </c>
      <c r="LA54" s="31" t="str">
        <f>IFERROR(VLOOKUP([2]Pointage!LE48,Feuil1!$A:$B,2,FALSE),"")</f>
        <v/>
      </c>
      <c r="LB54" s="31" t="str">
        <f>IFERROR(VLOOKUP([2]Pointage!LF48,Feuil1!$A:$B,2,FALSE),"")</f>
        <v/>
      </c>
      <c r="LC54" s="31" t="str">
        <f>IFERROR(VLOOKUP([2]Pointage!LG48,Feuil1!$A:$B,2,FALSE),"")</f>
        <v/>
      </c>
      <c r="LD54" s="31" t="str">
        <f>IFERROR(VLOOKUP([2]Pointage!LH48,Feuil1!$A:$B,2,FALSE),"")</f>
        <v/>
      </c>
      <c r="LE54" s="31" t="str">
        <f>IFERROR(VLOOKUP([2]Pointage!LI48,Feuil1!$A:$B,2,FALSE),"")</f>
        <v/>
      </c>
      <c r="LF54" s="31" t="str">
        <f>IFERROR(VLOOKUP([2]Pointage!LJ48,Feuil1!$A:$B,2,FALSE),"")</f>
        <v/>
      </c>
      <c r="LG54" s="31" t="str">
        <f>IFERROR(VLOOKUP([2]Pointage!LK48,Feuil1!$A:$B,2,FALSE),"")</f>
        <v/>
      </c>
      <c r="LH54" s="31" t="str">
        <f>IFERROR(VLOOKUP([2]Pointage!LL48,Feuil1!$A:$B,2,FALSE),"")</f>
        <v/>
      </c>
      <c r="LI54" s="31" t="str">
        <f>IFERROR(VLOOKUP([2]Pointage!LM48,Feuil1!$A:$B,2,FALSE),"")</f>
        <v/>
      </c>
      <c r="LJ54" s="31" t="str">
        <f>IFERROR(VLOOKUP([2]Pointage!LN48,Feuil1!$A:$B,2,FALSE),"")</f>
        <v/>
      </c>
      <c r="LK54" s="31" t="str">
        <f>IFERROR(VLOOKUP([2]Pointage!LO48,Feuil1!$A:$B,2,FALSE),"")</f>
        <v/>
      </c>
      <c r="LL54" s="31" t="str">
        <f>IFERROR(VLOOKUP([2]Pointage!LP48,Feuil1!$A:$B,2,FALSE),"")</f>
        <v/>
      </c>
      <c r="LM54" s="31" t="str">
        <f>IFERROR(VLOOKUP([2]Pointage!LQ48,Feuil1!$A:$B,2,FALSE),"")</f>
        <v/>
      </c>
      <c r="LN54" s="31" t="str">
        <f>IFERROR(VLOOKUP([2]Pointage!LR48,Feuil1!$A:$B,2,FALSE),"")</f>
        <v/>
      </c>
      <c r="LO54" s="31" t="str">
        <f>IFERROR(VLOOKUP([2]Pointage!LS48,Feuil1!$A:$B,2,FALSE),"")</f>
        <v/>
      </c>
      <c r="LP54" s="31" t="str">
        <f>IFERROR(VLOOKUP([2]Pointage!LT48,Feuil1!$A:$B,2,FALSE),"")</f>
        <v/>
      </c>
      <c r="LQ54" s="31" t="str">
        <f>IFERROR(VLOOKUP([2]Pointage!LU48,Feuil1!$A:$B,2,FALSE),"")</f>
        <v/>
      </c>
      <c r="LR54" s="31" t="str">
        <f>IFERROR(VLOOKUP([2]Pointage!LV48,Feuil1!$A:$B,2,FALSE),"")</f>
        <v/>
      </c>
      <c r="LS54" s="31" t="str">
        <f>IFERROR(VLOOKUP([2]Pointage!LW48,Feuil1!$A:$B,2,FALSE),"")</f>
        <v/>
      </c>
      <c r="LT54" s="31" t="str">
        <f>IFERROR(VLOOKUP([2]Pointage!LX48,Feuil1!$A:$B,2,FALSE),"")</f>
        <v/>
      </c>
      <c r="LU54" s="31" t="str">
        <f>IFERROR(VLOOKUP([2]Pointage!LY48,Feuil1!$A:$B,2,FALSE),"")</f>
        <v/>
      </c>
      <c r="LV54" s="31" t="str">
        <f>IFERROR(VLOOKUP([2]Pointage!LZ48,Feuil1!$A:$B,2,FALSE),"")</f>
        <v/>
      </c>
      <c r="LW54" s="31" t="str">
        <f>IFERROR(VLOOKUP([2]Pointage!MA48,Feuil1!$A:$B,2,FALSE),"")</f>
        <v/>
      </c>
      <c r="LX54" s="31" t="str">
        <f>IFERROR(VLOOKUP([2]Pointage!MB48,Feuil1!$A:$B,2,FALSE),"")</f>
        <v/>
      </c>
      <c r="LY54" s="31" t="str">
        <f>IFERROR(VLOOKUP([2]Pointage!MC48,Feuil1!$A:$B,2,FALSE),"")</f>
        <v/>
      </c>
      <c r="LZ54" s="31" t="str">
        <f>IFERROR(VLOOKUP([2]Pointage!MD48,Feuil1!$A:$B,2,FALSE),"")</f>
        <v/>
      </c>
      <c r="MA54" s="82" t="str">
        <f>IFERROR(VLOOKUP([2]Pointage!ME48,Feuil1!$A:$B,2,FALSE),"")</f>
        <v/>
      </c>
      <c r="MB54" s="47" t="str">
        <f>IFERROR(VLOOKUP([2]Pointage!MF48,Feuil1!$A:$B,2,FALSE),"")</f>
        <v/>
      </c>
      <c r="MC54" s="31" t="str">
        <f>IFERROR(VLOOKUP([2]Pointage!MG48,Feuil1!$A:$B,2,FALSE),"")</f>
        <v/>
      </c>
      <c r="MD54" s="31" t="str">
        <f>IFERROR(VLOOKUP([2]Pointage!MH48,Feuil1!$A:$B,2,FALSE),"")</f>
        <v/>
      </c>
      <c r="ME54" s="31" t="str">
        <f>IFERROR(VLOOKUP([2]Pointage!MI48,Feuil1!$A:$B,2,FALSE),"")</f>
        <v/>
      </c>
      <c r="MF54" s="31" t="str">
        <f>IFERROR(VLOOKUP([2]Pointage!MJ48,Feuil1!$A:$B,2,FALSE),"")</f>
        <v/>
      </c>
      <c r="MG54" s="31" t="str">
        <f>IFERROR(VLOOKUP([2]Pointage!MK48,Feuil1!$A:$B,2,FALSE),"")</f>
        <v/>
      </c>
      <c r="MH54" s="31" t="str">
        <f>IFERROR(VLOOKUP([2]Pointage!ML48,Feuil1!$A:$B,2,FALSE),"")</f>
        <v/>
      </c>
      <c r="MI54" s="31" t="str">
        <f>IFERROR(VLOOKUP([2]Pointage!MM48,Feuil1!$A:$B,2,FALSE),"")</f>
        <v/>
      </c>
      <c r="MJ54" s="31" t="str">
        <f>IFERROR(VLOOKUP([2]Pointage!MN48,Feuil1!$A:$B,2,FALSE),"")</f>
        <v/>
      </c>
      <c r="MK54" s="31" t="str">
        <f>IFERROR(VLOOKUP([2]Pointage!MO48,Feuil1!$A:$B,2,FALSE),"")</f>
        <v/>
      </c>
      <c r="ML54" s="31" t="str">
        <f>IFERROR(VLOOKUP([2]Pointage!MP48,Feuil1!$A:$B,2,FALSE),"")</f>
        <v/>
      </c>
      <c r="MM54" s="31" t="str">
        <f>IFERROR(VLOOKUP([2]Pointage!MQ48,Feuil1!$A:$B,2,FALSE),"")</f>
        <v/>
      </c>
      <c r="MN54" s="31" t="str">
        <f>IFERROR(VLOOKUP([2]Pointage!MR48,Feuil1!$A:$B,2,FALSE),"")</f>
        <v/>
      </c>
      <c r="MO54" s="31" t="str">
        <f>IFERROR(VLOOKUP([2]Pointage!MS48,Feuil1!$A:$B,2,FALSE),"")</f>
        <v/>
      </c>
      <c r="MP54" s="31" t="str">
        <f>IFERROR(VLOOKUP([2]Pointage!MT48,Feuil1!$A:$B,2,FALSE),"")</f>
        <v/>
      </c>
      <c r="MQ54" s="31" t="str">
        <f>IFERROR(VLOOKUP([2]Pointage!MU48,Feuil1!$A:$B,2,FALSE),"")</f>
        <v/>
      </c>
      <c r="MR54" s="31" t="str">
        <f>IFERROR(VLOOKUP([2]Pointage!MV48,Feuil1!$A:$B,2,FALSE),"")</f>
        <v/>
      </c>
      <c r="MS54" s="31" t="str">
        <f>IFERROR(VLOOKUP([2]Pointage!MW48,Feuil1!$A:$B,2,FALSE),"")</f>
        <v/>
      </c>
      <c r="MT54" s="31" t="str">
        <f>IFERROR(VLOOKUP([2]Pointage!MX48,Feuil1!$A:$B,2,FALSE),"")</f>
        <v/>
      </c>
      <c r="MU54" s="31" t="str">
        <f>IFERROR(VLOOKUP([2]Pointage!MY48,Feuil1!$A:$B,2,FALSE),"")</f>
        <v/>
      </c>
      <c r="MV54" s="31" t="str">
        <f>IFERROR(VLOOKUP([2]Pointage!MZ48,Feuil1!$A:$B,2,FALSE),"")</f>
        <v/>
      </c>
      <c r="MW54" s="31" t="str">
        <f>IFERROR(VLOOKUP([2]Pointage!NA48,Feuil1!$A:$B,2,FALSE),"")</f>
        <v/>
      </c>
      <c r="MX54" s="31" t="str">
        <f>IFERROR(VLOOKUP([2]Pointage!NB48,Feuil1!$A:$B,2,FALSE),"")</f>
        <v/>
      </c>
      <c r="MY54" s="31" t="str">
        <f>IFERROR(VLOOKUP([2]Pointage!NC48,Feuil1!$A:$B,2,FALSE),"")</f>
        <v/>
      </c>
      <c r="MZ54" s="31" t="str">
        <f>IFERROR(VLOOKUP([2]Pointage!ND48,Feuil1!$A:$B,2,FALSE),"")</f>
        <v/>
      </c>
      <c r="NA54" s="31" t="str">
        <f>IFERROR(VLOOKUP([2]Pointage!NE48,Feuil1!$A:$B,2,FALSE),"")</f>
        <v/>
      </c>
      <c r="NB54" s="31" t="str">
        <f>IFERROR(VLOOKUP([2]Pointage!NF48,Feuil1!$A:$B,2,FALSE),"")</f>
        <v/>
      </c>
      <c r="NC54" s="31" t="str">
        <f>IFERROR(VLOOKUP([2]Pointage!NG48,Feuil1!$A:$B,2,FALSE),"")</f>
        <v/>
      </c>
      <c r="ND54" s="31" t="str">
        <f>IFERROR(VLOOKUP([2]Pointage!NH48,Feuil1!$A:$B,2,FALSE),"")</f>
        <v/>
      </c>
      <c r="NE54" s="31" t="str">
        <f>IFERROR(VLOOKUP([2]Pointage!NI48,Feuil1!$A:$B,2,FALSE),"")</f>
        <v/>
      </c>
      <c r="NF54" s="48" t="str">
        <f>IFERROR(VLOOKUP([2]Pointage!NJ48,Feuil1!$A:$B,2,FALSE),"")</f>
        <v/>
      </c>
      <c r="NG54" s="52">
        <f>COUNTIF(Global!F54:NF54,"RTT")+(COUNTIF(Global!F54:NF54,"dRTT")/2)</f>
        <v>2</v>
      </c>
      <c r="NH54" s="42">
        <f>COUNTIF(Global!F54:NF54,"C")+(COUNTIF(Global!F54:NF54,"DC")/2)</f>
        <v>44.5</v>
      </c>
      <c r="NI54" s="42">
        <f>COUNTIF(Global!F54:NF54,"M")</f>
        <v>5</v>
      </c>
      <c r="NJ54" s="42">
        <f>COUNTIF(Global!G54:NG54,"AT")</f>
        <v>0</v>
      </c>
      <c r="NK54" s="42">
        <f>COUNTIF(Global!F54:NF54,"RD")</f>
        <v>0</v>
      </c>
      <c r="NL54" s="42">
        <f>COUNTIF(Global!F54:NF54,"RC")+(COUNTIF(Global!F54:NF54,"dRC")/2)</f>
        <v>0</v>
      </c>
      <c r="NM54" s="68">
        <f t="shared" ca="1" si="0"/>
        <v>3.8904109589041096</v>
      </c>
      <c r="NT54" s="33"/>
      <c r="NU54" s="33"/>
      <c r="NV54" s="28"/>
      <c r="NW54" s="28"/>
      <c r="NX54" s="29">
        <f>COUNTIF(F54:NF54,"C")++(COUNTIF(Global!F54:NF54,"DC")/2)</f>
        <v>44.5</v>
      </c>
      <c r="NY54" s="29"/>
      <c r="NZ54" s="29"/>
      <c r="OA54" s="29"/>
      <c r="OB54" s="29">
        <f>COUNTIF(Global!F54:NF54,"M")</f>
        <v>5</v>
      </c>
      <c r="OC54" s="30">
        <f t="shared" si="1"/>
        <v>-44.5</v>
      </c>
      <c r="OD54" s="30"/>
    </row>
    <row r="55" spans="1:394" ht="30" customHeight="1" x14ac:dyDescent="0.2">
      <c r="A55" s="17" t="s">
        <v>111</v>
      </c>
      <c r="B55" s="17" t="s">
        <v>266</v>
      </c>
      <c r="C55" s="17" t="s">
        <v>267</v>
      </c>
      <c r="D55" s="17" t="s">
        <v>268</v>
      </c>
      <c r="E55" s="23">
        <v>0</v>
      </c>
      <c r="F55" s="47" t="str">
        <f>IFERROR(VLOOKUP([2]Pointage!J49,Feuil1!$A:$B,2,FALSE),"")</f>
        <v>M</v>
      </c>
      <c r="G55" s="31" t="str">
        <f>IFERROR(VLOOKUP([2]Pointage!K49,Feuil1!$A:$B,2,FALSE),"")</f>
        <v>M</v>
      </c>
      <c r="H55" s="31" t="str">
        <f>IFERROR(VLOOKUP([2]Pointage!L49,Feuil1!$A:$B,2,FALSE),"")</f>
        <v>M</v>
      </c>
      <c r="I55" s="31" t="str">
        <f>IFERROR(VLOOKUP([2]Pointage!M49,Feuil1!$A:$B,2,FALSE),"")</f>
        <v>M</v>
      </c>
      <c r="J55" s="31" t="str">
        <f>IFERROR(VLOOKUP([2]Pointage!N49,Feuil1!$A:$B,2,FALSE),"")</f>
        <v>M</v>
      </c>
      <c r="K55" s="31" t="str">
        <f>IFERROR(VLOOKUP([2]Pointage!O49,Feuil1!$A:$B,2,FALSE),"")</f>
        <v>M</v>
      </c>
      <c r="L55" s="31" t="str">
        <f>IFERROR(VLOOKUP([2]Pointage!P49,Feuil1!$A:$B,2,FALSE),"")</f>
        <v>M</v>
      </c>
      <c r="M55" s="31" t="str">
        <f>IFERROR(VLOOKUP([2]Pointage!Q49,Feuil1!$A:$B,2,FALSE),"")</f>
        <v>M</v>
      </c>
      <c r="N55" s="31" t="str">
        <f>IFERROR(VLOOKUP([2]Pointage!R49,Feuil1!$A:$B,2,FALSE),"")</f>
        <v>M</v>
      </c>
      <c r="O55" s="31" t="str">
        <f>IFERROR(VLOOKUP([2]Pointage!S49,Feuil1!$A:$B,2,FALSE),"")</f>
        <v>M</v>
      </c>
      <c r="P55" s="31" t="str">
        <f>IFERROR(VLOOKUP([2]Pointage!T49,Feuil1!$A:$B,2,FALSE),"")</f>
        <v>M</v>
      </c>
      <c r="Q55" s="31" t="str">
        <f>IFERROR(VLOOKUP([2]Pointage!U49,Feuil1!$A:$B,2,FALSE),"")</f>
        <v>M</v>
      </c>
      <c r="R55" s="31" t="str">
        <f>IFERROR(VLOOKUP([2]Pointage!V49,Feuil1!$A:$B,2,FALSE),"")</f>
        <v>M</v>
      </c>
      <c r="S55" s="31" t="str">
        <f>IFERROR(VLOOKUP([2]Pointage!W49,Feuil1!$A:$B,2,FALSE),"")</f>
        <v>M</v>
      </c>
      <c r="T55" s="31" t="str">
        <f>IFERROR(VLOOKUP([2]Pointage!X49,Feuil1!$A:$B,2,FALSE),"")</f>
        <v>M</v>
      </c>
      <c r="U55" s="31" t="str">
        <f>IFERROR(VLOOKUP([2]Pointage!Y49,Feuil1!$A:$B,2,FALSE),"")</f>
        <v>M</v>
      </c>
      <c r="V55" s="31" t="str">
        <f>IFERROR(VLOOKUP([2]Pointage!Z49,Feuil1!$A:$B,2,FALSE),"")</f>
        <v>M</v>
      </c>
      <c r="W55" s="31" t="str">
        <f>IFERROR(VLOOKUP([2]Pointage!AA49,Feuil1!$A:$B,2,FALSE),"")</f>
        <v>M</v>
      </c>
      <c r="X55" s="31" t="str">
        <f>IFERROR(VLOOKUP([2]Pointage!AB49,Feuil1!$A:$B,2,FALSE),"")</f>
        <v>M</v>
      </c>
      <c r="Y55" s="31" t="str">
        <f>IFERROR(VLOOKUP([2]Pointage!AC49,Feuil1!$A:$B,2,FALSE),"")</f>
        <v>M</v>
      </c>
      <c r="Z55" s="31" t="str">
        <f>IFERROR(VLOOKUP([2]Pointage!AD49,Feuil1!$A:$B,2,FALSE),"")</f>
        <v>M</v>
      </c>
      <c r="AA55" s="31" t="str">
        <f>IFERROR(VLOOKUP([2]Pointage!AE49,Feuil1!$A:$B,2,FALSE),"")</f>
        <v>M</v>
      </c>
      <c r="AB55" s="31" t="str">
        <f>IFERROR(VLOOKUP([2]Pointage!AF49,Feuil1!$A:$B,2,FALSE),"")</f>
        <v>M</v>
      </c>
      <c r="AC55" s="31" t="str">
        <f>IFERROR(VLOOKUP([2]Pointage!AG49,Feuil1!$A:$B,2,FALSE),"")</f>
        <v>M</v>
      </c>
      <c r="AD55" s="31" t="str">
        <f>IFERROR(VLOOKUP([2]Pointage!AH49,Feuil1!$A:$B,2,FALSE),"")</f>
        <v>M</v>
      </c>
      <c r="AE55" s="31" t="str">
        <f>IFERROR(VLOOKUP([2]Pointage!AI49,Feuil1!$A:$B,2,FALSE),"")</f>
        <v>M</v>
      </c>
      <c r="AF55" s="31" t="str">
        <f>IFERROR(VLOOKUP([2]Pointage!AJ49,Feuil1!$A:$B,2,FALSE),"")</f>
        <v>M</v>
      </c>
      <c r="AG55" s="31" t="str">
        <f>IFERROR(VLOOKUP([2]Pointage!AK49,Feuil1!$A:$B,2,FALSE),"")</f>
        <v>M</v>
      </c>
      <c r="AH55" s="31" t="str">
        <f>IFERROR(VLOOKUP([2]Pointage!AL49,Feuil1!$A:$B,2,FALSE),"")</f>
        <v>M</v>
      </c>
      <c r="AI55" s="31" t="str">
        <f>IFERROR(VLOOKUP([2]Pointage!AM49,Feuil1!$A:$B,2,FALSE),"")</f>
        <v>M</v>
      </c>
      <c r="AJ55" s="82" t="str">
        <f>IFERROR(VLOOKUP([2]Pointage!AN49,Feuil1!$A:$B,2,FALSE),"")</f>
        <v>M</v>
      </c>
      <c r="AK55" s="47" t="str">
        <f>IFERROR(VLOOKUP([2]Pointage!AO49,Feuil1!$A:$B,2,FALSE),"")</f>
        <v>M</v>
      </c>
      <c r="AL55" s="31" t="str">
        <f>IFERROR(VLOOKUP([2]Pointage!AP49,Feuil1!$A:$B,2,FALSE),"")</f>
        <v>M</v>
      </c>
      <c r="AM55" s="31" t="str">
        <f>IFERROR(VLOOKUP([2]Pointage!AQ49,Feuil1!$A:$B,2,FALSE),"")</f>
        <v>M</v>
      </c>
      <c r="AN55" s="31" t="str">
        <f>IFERROR(VLOOKUP([2]Pointage!AR49,Feuil1!$A:$B,2,FALSE),"")</f>
        <v>M</v>
      </c>
      <c r="AO55" s="31" t="str">
        <f>IFERROR(VLOOKUP([2]Pointage!AS49,Feuil1!$A:$B,2,FALSE),"")</f>
        <v>M</v>
      </c>
      <c r="AP55" s="31" t="str">
        <f>IFERROR(VLOOKUP([2]Pointage!AT49,Feuil1!$A:$B,2,FALSE),"")</f>
        <v>M</v>
      </c>
      <c r="AQ55" s="31" t="str">
        <f>IFERROR(VLOOKUP([2]Pointage!AU49,Feuil1!$A:$B,2,FALSE),"")</f>
        <v>M</v>
      </c>
      <c r="AR55" s="31" t="str">
        <f>IFERROR(VLOOKUP([2]Pointage!AV49,Feuil1!$A:$B,2,FALSE),"")</f>
        <v>M</v>
      </c>
      <c r="AS55" s="31" t="str">
        <f>IFERROR(VLOOKUP([2]Pointage!AW49,Feuil1!$A:$B,2,FALSE),"")</f>
        <v>M</v>
      </c>
      <c r="AT55" s="31" t="str">
        <f>IFERROR(VLOOKUP([2]Pointage!AX49,Feuil1!$A:$B,2,FALSE),"")</f>
        <v>M</v>
      </c>
      <c r="AU55" s="31" t="str">
        <f>IFERROR(VLOOKUP([2]Pointage!AY49,Feuil1!$A:$B,2,FALSE),"")</f>
        <v>M</v>
      </c>
      <c r="AV55" s="31" t="str">
        <f>IFERROR(VLOOKUP([2]Pointage!AZ49,Feuil1!$A:$B,2,FALSE),"")</f>
        <v>M</v>
      </c>
      <c r="AW55" s="31" t="str">
        <f>IFERROR(VLOOKUP([2]Pointage!BA49,Feuil1!$A:$B,2,FALSE),"")</f>
        <v>M</v>
      </c>
      <c r="AX55" s="31" t="str">
        <f>IFERROR(VLOOKUP([2]Pointage!BB49,Feuil1!$A:$B,2,FALSE),"")</f>
        <v>M</v>
      </c>
      <c r="AY55" s="31" t="str">
        <f>IFERROR(VLOOKUP([2]Pointage!BC49,Feuil1!$A:$B,2,FALSE),"")</f>
        <v>M</v>
      </c>
      <c r="AZ55" s="31" t="str">
        <f>IFERROR(VLOOKUP([2]Pointage!BD49,Feuil1!$A:$B,2,FALSE),"")</f>
        <v>M</v>
      </c>
      <c r="BA55" s="31" t="str">
        <f>IFERROR(VLOOKUP([2]Pointage!BE49,Feuil1!$A:$B,2,FALSE),"")</f>
        <v>M</v>
      </c>
      <c r="BB55" s="31" t="str">
        <f>IFERROR(VLOOKUP([2]Pointage!BF49,Feuil1!$A:$B,2,FALSE),"")</f>
        <v>M</v>
      </c>
      <c r="BC55" s="31" t="str">
        <f>IFERROR(VLOOKUP([2]Pointage!BG49,Feuil1!$A:$B,2,FALSE),"")</f>
        <v>M</v>
      </c>
      <c r="BD55" s="31" t="str">
        <f>IFERROR(VLOOKUP([2]Pointage!BH49,Feuil1!$A:$B,2,FALSE),"")</f>
        <v>M</v>
      </c>
      <c r="BE55" s="31" t="str">
        <f>IFERROR(VLOOKUP([2]Pointage!BI49,Feuil1!$A:$B,2,FALSE),"")</f>
        <v>M</v>
      </c>
      <c r="BF55" s="31" t="str">
        <f>IFERROR(VLOOKUP([2]Pointage!BJ49,Feuil1!$A:$B,2,FALSE),"")</f>
        <v>M</v>
      </c>
      <c r="BG55" s="31" t="str">
        <f>IFERROR(VLOOKUP([2]Pointage!BK49,Feuil1!$A:$B,2,FALSE),"")</f>
        <v>M</v>
      </c>
      <c r="BH55" s="31" t="str">
        <f>IFERROR(VLOOKUP([2]Pointage!BL49,Feuil1!$A:$B,2,FALSE),"")</f>
        <v>M</v>
      </c>
      <c r="BI55" s="31" t="str">
        <f>IFERROR(VLOOKUP([2]Pointage!BM49,Feuil1!$A:$B,2,FALSE),"")</f>
        <v>M</v>
      </c>
      <c r="BJ55" s="31" t="str">
        <f>IFERROR(VLOOKUP([2]Pointage!BN49,Feuil1!$A:$B,2,FALSE),"")</f>
        <v>M</v>
      </c>
      <c r="BK55" s="31" t="str">
        <f>IFERROR(VLOOKUP([2]Pointage!BO49,Feuil1!$A:$B,2,FALSE),"")</f>
        <v>M</v>
      </c>
      <c r="BL55" s="82" t="str">
        <f>IFERROR(VLOOKUP([2]Pointage!BP49,Feuil1!$A:$B,2,FALSE),"")</f>
        <v>M</v>
      </c>
      <c r="BM55" s="47" t="str">
        <f>IFERROR(VLOOKUP([2]Pointage!BQ49,Feuil1!$A:$B,2,FALSE),"")</f>
        <v>M</v>
      </c>
      <c r="BN55" s="31" t="str">
        <f>IFERROR(VLOOKUP([2]Pointage!BR49,Feuil1!$A:$B,2,FALSE),"")</f>
        <v>M</v>
      </c>
      <c r="BO55" s="31" t="str">
        <f>IFERROR(VLOOKUP([2]Pointage!BS49,Feuil1!$A:$B,2,FALSE),"")</f>
        <v>M</v>
      </c>
      <c r="BP55" s="31" t="str">
        <f>IFERROR(VLOOKUP([2]Pointage!BT49,Feuil1!$A:$B,2,FALSE),"")</f>
        <v>M</v>
      </c>
      <c r="BQ55" s="31" t="str">
        <f>IFERROR(VLOOKUP([2]Pointage!BU49,Feuil1!$A:$B,2,FALSE),"")</f>
        <v>M</v>
      </c>
      <c r="BR55" s="31" t="str">
        <f>IFERROR(VLOOKUP([2]Pointage!BV49,Feuil1!$A:$B,2,FALSE),"")</f>
        <v>M</v>
      </c>
      <c r="BS55" s="31" t="str">
        <f>IFERROR(VLOOKUP([2]Pointage!BW49,Feuil1!$A:$B,2,FALSE),"")</f>
        <v>M</v>
      </c>
      <c r="BT55" s="31" t="str">
        <f>IFERROR(VLOOKUP([2]Pointage!BX49,Feuil1!$A:$B,2,FALSE),"")</f>
        <v>M</v>
      </c>
      <c r="BU55" s="31" t="str">
        <f>IFERROR(VLOOKUP([2]Pointage!BY49,Feuil1!$A:$B,2,FALSE),"")</f>
        <v>M</v>
      </c>
      <c r="BV55" s="31" t="str">
        <f>IFERROR(VLOOKUP([2]Pointage!BZ49,Feuil1!$A:$B,2,FALSE),"")</f>
        <v>M</v>
      </c>
      <c r="BW55" s="31" t="str">
        <f>IFERROR(VLOOKUP([2]Pointage!CA49,Feuil1!$A:$B,2,FALSE),"")</f>
        <v>M</v>
      </c>
      <c r="BX55" s="31" t="str">
        <f>IFERROR(VLOOKUP([2]Pointage!CB49,Feuil1!$A:$B,2,FALSE),"")</f>
        <v>M</v>
      </c>
      <c r="BY55" s="31" t="str">
        <f>IFERROR(VLOOKUP([2]Pointage!CC49,Feuil1!$A:$B,2,FALSE),"")</f>
        <v>M</v>
      </c>
      <c r="BZ55" s="31" t="str">
        <f>IFERROR(VLOOKUP([2]Pointage!CD49,Feuil1!$A:$B,2,FALSE),"")</f>
        <v>M</v>
      </c>
      <c r="CA55" s="31" t="str">
        <f>IFERROR(VLOOKUP([2]Pointage!CE49,Feuil1!$A:$B,2,FALSE),"")</f>
        <v>M</v>
      </c>
      <c r="CB55" s="31" t="str">
        <f>IFERROR(VLOOKUP([2]Pointage!CF49,Feuil1!$A:$B,2,FALSE),"")</f>
        <v>M</v>
      </c>
      <c r="CC55" s="31" t="str">
        <f>IFERROR(VLOOKUP([2]Pointage!CG49,Feuil1!$A:$B,2,FALSE),"")</f>
        <v>M</v>
      </c>
      <c r="CD55" s="31" t="str">
        <f>IFERROR(VLOOKUP([2]Pointage!CH49,Feuil1!$A:$B,2,FALSE),"")</f>
        <v>M</v>
      </c>
      <c r="CE55" s="31" t="str">
        <f>IFERROR(VLOOKUP([2]Pointage!CI49,Feuil1!$A:$B,2,FALSE),"")</f>
        <v>M</v>
      </c>
      <c r="CF55" s="31" t="str">
        <f>IFERROR(VLOOKUP([2]Pointage!CJ49,Feuil1!$A:$B,2,FALSE),"")</f>
        <v>M</v>
      </c>
      <c r="CG55" s="31" t="str">
        <f>IFERROR(VLOOKUP([2]Pointage!CK49,Feuil1!$A:$B,2,FALSE),"")</f>
        <v>M</v>
      </c>
      <c r="CH55" s="31" t="str">
        <f>IFERROR(VLOOKUP([2]Pointage!CL49,Feuil1!$A:$B,2,FALSE),"")</f>
        <v>M</v>
      </c>
      <c r="CI55" s="31" t="str">
        <f>IFERROR(VLOOKUP([2]Pointage!CM49,Feuil1!$A:$B,2,FALSE),"")</f>
        <v>M</v>
      </c>
      <c r="CJ55" s="31" t="str">
        <f>IFERROR(VLOOKUP([2]Pointage!CN49,Feuil1!$A:$B,2,FALSE),"")</f>
        <v>M</v>
      </c>
      <c r="CK55" s="31" t="str">
        <f>IFERROR(VLOOKUP([2]Pointage!CO49,Feuil1!$A:$B,2,FALSE),"")</f>
        <v>M</v>
      </c>
      <c r="CL55" s="31" t="str">
        <f>IFERROR(VLOOKUP([2]Pointage!CP49,Feuil1!$A:$B,2,FALSE),"")</f>
        <v>M</v>
      </c>
      <c r="CM55" s="31" t="str">
        <f>IFERROR(VLOOKUP([2]Pointage!CQ49,Feuil1!$A:$B,2,FALSE),"")</f>
        <v>M</v>
      </c>
      <c r="CN55" s="31" t="str">
        <f>IFERROR(VLOOKUP([2]Pointage!CR49,Feuil1!$A:$B,2,FALSE),"")</f>
        <v>M</v>
      </c>
      <c r="CO55" s="31" t="str">
        <f>IFERROR(VLOOKUP([2]Pointage!CS49,Feuil1!$A:$B,2,FALSE),"")</f>
        <v>M</v>
      </c>
      <c r="CP55" s="31" t="str">
        <f>IFERROR(VLOOKUP([2]Pointage!CT49,Feuil1!$A:$B,2,FALSE),"")</f>
        <v>M</v>
      </c>
      <c r="CQ55" s="82" t="str">
        <f>IFERROR(VLOOKUP([2]Pointage!CU49,Feuil1!$A:$B,2,FALSE),"")</f>
        <v>M</v>
      </c>
      <c r="CR55" s="47" t="str">
        <f>IFERROR(VLOOKUP([2]Pointage!CV49,Feuil1!$A:$B,2,FALSE),"")</f>
        <v>M</v>
      </c>
      <c r="CS55" s="31" t="str">
        <f>IFERROR(VLOOKUP([2]Pointage!CW49,Feuil1!$A:$B,2,FALSE),"")</f>
        <v>M</v>
      </c>
      <c r="CT55" s="31" t="str">
        <f>IFERROR(VLOOKUP([2]Pointage!CX49,Feuil1!$A:$B,2,FALSE),"")</f>
        <v>M</v>
      </c>
      <c r="CU55" s="31" t="str">
        <f>IFERROR(VLOOKUP([2]Pointage!CY49,Feuil1!$A:$B,2,FALSE),"")</f>
        <v>M</v>
      </c>
      <c r="CV55" s="31" t="str">
        <f>IFERROR(VLOOKUP([2]Pointage!CZ49,Feuil1!$A:$B,2,FALSE),"")</f>
        <v>M</v>
      </c>
      <c r="CW55" s="31" t="str">
        <f>IFERROR(VLOOKUP([2]Pointage!DA49,Feuil1!$A:$B,2,FALSE),"")</f>
        <v>M</v>
      </c>
      <c r="CX55" s="31" t="str">
        <f>IFERROR(VLOOKUP([2]Pointage!DB49,Feuil1!$A:$B,2,FALSE),"")</f>
        <v>M</v>
      </c>
      <c r="CY55" s="31" t="str">
        <f>IFERROR(VLOOKUP([2]Pointage!DC49,Feuil1!$A:$B,2,FALSE),"")</f>
        <v>M</v>
      </c>
      <c r="CZ55" s="31" t="str">
        <f>IFERROR(VLOOKUP([2]Pointage!DD49,Feuil1!$A:$B,2,FALSE),"")</f>
        <v>M</v>
      </c>
      <c r="DA55" s="31" t="str">
        <f>IFERROR(VLOOKUP([2]Pointage!DE49,Feuil1!$A:$B,2,FALSE),"")</f>
        <v>M</v>
      </c>
      <c r="DB55" s="31" t="str">
        <f>IFERROR(VLOOKUP([2]Pointage!DF49,Feuil1!$A:$B,2,FALSE),"")</f>
        <v>M</v>
      </c>
      <c r="DC55" s="31" t="str">
        <f>IFERROR(VLOOKUP([2]Pointage!DG49,Feuil1!$A:$B,2,FALSE),"")</f>
        <v>M</v>
      </c>
      <c r="DD55" s="31" t="str">
        <f>IFERROR(VLOOKUP([2]Pointage!DH49,Feuil1!$A:$B,2,FALSE),"")</f>
        <v>M</v>
      </c>
      <c r="DE55" s="31" t="str">
        <f>IFERROR(VLOOKUP([2]Pointage!DI49,Feuil1!$A:$B,2,FALSE),"")</f>
        <v>M</v>
      </c>
      <c r="DF55" s="31" t="str">
        <f>IFERROR(VLOOKUP([2]Pointage!DJ49,Feuil1!$A:$B,2,FALSE),"")</f>
        <v>M</v>
      </c>
      <c r="DG55" s="31" t="str">
        <f>IFERROR(VLOOKUP([2]Pointage!DK49,Feuil1!$A:$B,2,FALSE),"")</f>
        <v>M</v>
      </c>
      <c r="DH55" s="31" t="str">
        <f>IFERROR(VLOOKUP([2]Pointage!DL49,Feuil1!$A:$B,2,FALSE),"")</f>
        <v>M</v>
      </c>
      <c r="DI55" s="31" t="str">
        <f>IFERROR(VLOOKUP([2]Pointage!DM49,Feuil1!$A:$B,2,FALSE),"")</f>
        <v>M</v>
      </c>
      <c r="DJ55" s="31" t="str">
        <f>IFERROR(VLOOKUP([2]Pointage!DN49,Feuil1!$A:$B,2,FALSE),"")</f>
        <v>M</v>
      </c>
      <c r="DK55" s="31" t="str">
        <f>IFERROR(VLOOKUP([2]Pointage!DO49,Feuil1!$A:$B,2,FALSE),"")</f>
        <v>M</v>
      </c>
      <c r="DL55" s="31" t="str">
        <f>IFERROR(VLOOKUP([2]Pointage!DP49,Feuil1!$A:$B,2,FALSE),"")</f>
        <v>M</v>
      </c>
      <c r="DM55" s="31" t="str">
        <f>IFERROR(VLOOKUP([2]Pointage!DQ49,Feuil1!$A:$B,2,FALSE),"")</f>
        <v>M</v>
      </c>
      <c r="DN55" s="31" t="str">
        <f>IFERROR(VLOOKUP([2]Pointage!DR49,Feuil1!$A:$B,2,FALSE),"")</f>
        <v>M</v>
      </c>
      <c r="DO55" s="31" t="str">
        <f>IFERROR(VLOOKUP([2]Pointage!DS49,Feuil1!$A:$B,2,FALSE),"")</f>
        <v>M</v>
      </c>
      <c r="DP55" s="31" t="str">
        <f>IFERROR(VLOOKUP([2]Pointage!DT49,Feuil1!$A:$B,2,FALSE),"")</f>
        <v>M</v>
      </c>
      <c r="DQ55" s="31" t="str">
        <f>IFERROR(VLOOKUP([2]Pointage!DU49,Feuil1!$A:$B,2,FALSE),"")</f>
        <v>M</v>
      </c>
      <c r="DR55" s="31" t="str">
        <f>IFERROR(VLOOKUP([2]Pointage!DV49,Feuil1!$A:$B,2,FALSE),"")</f>
        <v>M</v>
      </c>
      <c r="DS55" s="31" t="str">
        <f>IFERROR(VLOOKUP([2]Pointage!DW49,Feuil1!$A:$B,2,FALSE),"")</f>
        <v>M</v>
      </c>
      <c r="DT55" s="31" t="str">
        <f>IFERROR(VLOOKUP([2]Pointage!DX49,Feuil1!$A:$B,2,FALSE),"")</f>
        <v>M</v>
      </c>
      <c r="DU55" s="82" t="str">
        <f>IFERROR(VLOOKUP([2]Pointage!DY49,Feuil1!$A:$B,2,FALSE),"")</f>
        <v>M</v>
      </c>
      <c r="DV55" s="47" t="str">
        <f>IFERROR(VLOOKUP([2]Pointage!DZ49,Feuil1!$A:$B,2,FALSE),"")</f>
        <v>M</v>
      </c>
      <c r="DW55" s="31" t="str">
        <f>IFERROR(VLOOKUP([2]Pointage!EA49,Feuil1!$A:$B,2,FALSE),"")</f>
        <v>M</v>
      </c>
      <c r="DX55" s="31" t="str">
        <f>IFERROR(VLOOKUP([2]Pointage!EB49,Feuil1!$A:$B,2,FALSE),"")</f>
        <v>M</v>
      </c>
      <c r="DY55" s="31" t="str">
        <f>IFERROR(VLOOKUP([2]Pointage!EC49,Feuil1!$A:$B,2,FALSE),"")</f>
        <v>M</v>
      </c>
      <c r="DZ55" s="31" t="str">
        <f>IFERROR(VLOOKUP([2]Pointage!ED49,Feuil1!$A:$B,2,FALSE),"")</f>
        <v>M</v>
      </c>
      <c r="EA55" s="31" t="str">
        <f>IFERROR(VLOOKUP([2]Pointage!EE49,Feuil1!$A:$B,2,FALSE),"")</f>
        <v>M</v>
      </c>
      <c r="EB55" s="31" t="str">
        <f>IFERROR(VLOOKUP([2]Pointage!EF49,Feuil1!$A:$B,2,FALSE),"")</f>
        <v>M</v>
      </c>
      <c r="EC55" s="31" t="str">
        <f>IFERROR(VLOOKUP([2]Pointage!EG49,Feuil1!$A:$B,2,FALSE),"")</f>
        <v>M</v>
      </c>
      <c r="ED55" s="31" t="str">
        <f>IFERROR(VLOOKUP([2]Pointage!EH49,Feuil1!$A:$B,2,FALSE),"")</f>
        <v>M</v>
      </c>
      <c r="EE55" s="31" t="str">
        <f>IFERROR(VLOOKUP([2]Pointage!EI49,Feuil1!$A:$B,2,FALSE),"")</f>
        <v>M</v>
      </c>
      <c r="EF55" s="31" t="str">
        <f>IFERROR(VLOOKUP([2]Pointage!EJ49,Feuil1!$A:$B,2,FALSE),"")</f>
        <v>M</v>
      </c>
      <c r="EG55" s="31" t="str">
        <f>IFERROR(VLOOKUP([2]Pointage!EK49,Feuil1!$A:$B,2,FALSE),"")</f>
        <v>M</v>
      </c>
      <c r="EH55" s="31" t="str">
        <f>IFERROR(VLOOKUP([2]Pointage!EL49,Feuil1!$A:$B,2,FALSE),"")</f>
        <v>M</v>
      </c>
      <c r="EI55" s="31" t="str">
        <f>IFERROR(VLOOKUP([2]Pointage!EM49,Feuil1!$A:$B,2,FALSE),"")</f>
        <v>M</v>
      </c>
      <c r="EJ55" s="31" t="str">
        <f>IFERROR(VLOOKUP([2]Pointage!EN49,Feuil1!$A:$B,2,FALSE),"")</f>
        <v>M</v>
      </c>
      <c r="EK55" s="31" t="str">
        <f>IFERROR(VLOOKUP([2]Pointage!EO49,Feuil1!$A:$B,2,FALSE),"")</f>
        <v>M</v>
      </c>
      <c r="EL55" s="31" t="str">
        <f>IFERROR(VLOOKUP([2]Pointage!EP49,Feuil1!$A:$B,2,FALSE),"")</f>
        <v>M</v>
      </c>
      <c r="EM55" s="31" t="str">
        <f>IFERROR(VLOOKUP([2]Pointage!EQ49,Feuil1!$A:$B,2,FALSE),"")</f>
        <v>M</v>
      </c>
      <c r="EN55" s="31" t="str">
        <f>IFERROR(VLOOKUP([2]Pointage!ER49,Feuil1!$A:$B,2,FALSE),"")</f>
        <v>M</v>
      </c>
      <c r="EO55" s="31" t="str">
        <f>IFERROR(VLOOKUP([2]Pointage!ES49,Feuil1!$A:$B,2,FALSE),"")</f>
        <v>M</v>
      </c>
      <c r="EP55" s="31" t="str">
        <f>IFERROR(VLOOKUP([2]Pointage!ET49,Feuil1!$A:$B,2,FALSE),"")</f>
        <v>M</v>
      </c>
      <c r="EQ55" s="31" t="str">
        <f>IFERROR(VLOOKUP([2]Pointage!EU49,Feuil1!$A:$B,2,FALSE),"")</f>
        <v>M</v>
      </c>
      <c r="ER55" s="31" t="str">
        <f>IFERROR(VLOOKUP([2]Pointage!EV49,Feuil1!$A:$B,2,FALSE),"")</f>
        <v>M</v>
      </c>
      <c r="ES55" s="31" t="str">
        <f>IFERROR(VLOOKUP([2]Pointage!EW49,Feuil1!$A:$B,2,FALSE),"")</f>
        <v>M</v>
      </c>
      <c r="ET55" s="31" t="str">
        <f>IFERROR(VLOOKUP([2]Pointage!EX49,Feuil1!$A:$B,2,FALSE),"")</f>
        <v>M</v>
      </c>
      <c r="EU55" s="31" t="str">
        <f>IFERROR(VLOOKUP([2]Pointage!EY49,Feuil1!$A:$B,2,FALSE),"")</f>
        <v>M</v>
      </c>
      <c r="EV55" s="31" t="str">
        <f>IFERROR(VLOOKUP([2]Pointage!EZ49,Feuil1!$A:$B,2,FALSE),"")</f>
        <v>M</v>
      </c>
      <c r="EW55" s="31" t="str">
        <f>IFERROR(VLOOKUP([2]Pointage!FA49,Feuil1!$A:$B,2,FALSE),"")</f>
        <v>M</v>
      </c>
      <c r="EX55" s="31" t="str">
        <f>IFERROR(VLOOKUP([2]Pointage!FB49,Feuil1!$A:$B,2,FALSE),"")</f>
        <v>M</v>
      </c>
      <c r="EY55" s="31" t="str">
        <f>IFERROR(VLOOKUP([2]Pointage!FC49,Feuil1!$A:$B,2,FALSE),"")</f>
        <v>M</v>
      </c>
      <c r="EZ55" s="82" t="str">
        <f>IFERROR(VLOOKUP([2]Pointage!FD49,Feuil1!$A:$B,2,FALSE),"")</f>
        <v>M</v>
      </c>
      <c r="FA55" s="47" t="str">
        <f>IFERROR(VLOOKUP([2]Pointage!FE49,Feuil1!$A:$B,2,FALSE),"")</f>
        <v>M</v>
      </c>
      <c r="FB55" s="31" t="str">
        <f>IFERROR(VLOOKUP([2]Pointage!FF49,Feuil1!$A:$B,2,FALSE),"")</f>
        <v>M</v>
      </c>
      <c r="FC55" s="31" t="str">
        <f>IFERROR(VLOOKUP([2]Pointage!FG49,Feuil1!$A:$B,2,FALSE),"")</f>
        <v>M</v>
      </c>
      <c r="FD55" s="31" t="str">
        <f>IFERROR(VLOOKUP([2]Pointage!FH49,Feuil1!$A:$B,2,FALSE),"")</f>
        <v>M</v>
      </c>
      <c r="FE55" s="31" t="str">
        <f>IFERROR(VLOOKUP([2]Pointage!FI49,Feuil1!$A:$B,2,FALSE),"")</f>
        <v>M</v>
      </c>
      <c r="FF55" s="31" t="str">
        <f>IFERROR(VLOOKUP([2]Pointage!FJ49,Feuil1!$A:$B,2,FALSE),"")</f>
        <v>M</v>
      </c>
      <c r="FG55" s="31" t="str">
        <f>IFERROR(VLOOKUP([2]Pointage!FK49,Feuil1!$A:$B,2,FALSE),"")</f>
        <v>M</v>
      </c>
      <c r="FH55" s="31" t="str">
        <f>IFERROR(VLOOKUP([2]Pointage!FL49,Feuil1!$A:$B,2,FALSE),"")</f>
        <v>M</v>
      </c>
      <c r="FI55" s="31" t="str">
        <f>IFERROR(VLOOKUP([2]Pointage!FM49,Feuil1!$A:$B,2,FALSE),"")</f>
        <v>M</v>
      </c>
      <c r="FJ55" s="31" t="str">
        <f>IFERROR(VLOOKUP([2]Pointage!FN49,Feuil1!$A:$B,2,FALSE),"")</f>
        <v>M</v>
      </c>
      <c r="FK55" s="31" t="str">
        <f>IFERROR(VLOOKUP([2]Pointage!FO49,Feuil1!$A:$B,2,FALSE),"")</f>
        <v>M</v>
      </c>
      <c r="FL55" s="31" t="str">
        <f>IFERROR(VLOOKUP([2]Pointage!FP49,Feuil1!$A:$B,2,FALSE),"")</f>
        <v>M</v>
      </c>
      <c r="FM55" s="31" t="str">
        <f>IFERROR(VLOOKUP([2]Pointage!FQ49,Feuil1!$A:$B,2,FALSE),"")</f>
        <v>M</v>
      </c>
      <c r="FN55" s="31" t="str">
        <f>IFERROR(VLOOKUP([2]Pointage!FR49,Feuil1!$A:$B,2,FALSE),"")</f>
        <v>M</v>
      </c>
      <c r="FO55" s="31" t="str">
        <f>IFERROR(VLOOKUP([2]Pointage!FS49,Feuil1!$A:$B,2,FALSE),"")</f>
        <v>M</v>
      </c>
      <c r="FP55" s="31" t="str">
        <f>IFERROR(VLOOKUP([2]Pointage!FT49,Feuil1!$A:$B,2,FALSE),"")</f>
        <v>M</v>
      </c>
      <c r="FQ55" s="31" t="str">
        <f>IFERROR(VLOOKUP([2]Pointage!FU49,Feuil1!$A:$B,2,FALSE),"")</f>
        <v>M</v>
      </c>
      <c r="FR55" s="31" t="str">
        <f>IFERROR(VLOOKUP([2]Pointage!FV49,Feuil1!$A:$B,2,FALSE),"")</f>
        <v>M</v>
      </c>
      <c r="FS55" s="31" t="str">
        <f>IFERROR(VLOOKUP([2]Pointage!FW49,Feuil1!$A:$B,2,FALSE),"")</f>
        <v>M</v>
      </c>
      <c r="FT55" s="31" t="str">
        <f>IFERROR(VLOOKUP([2]Pointage!FX49,Feuil1!$A:$B,2,FALSE),"")</f>
        <v>M</v>
      </c>
      <c r="FU55" s="31" t="str">
        <f>IFERROR(VLOOKUP([2]Pointage!FY49,Feuil1!$A:$B,2,FALSE),"")</f>
        <v>M</v>
      </c>
      <c r="FV55" s="31" t="str">
        <f>IFERROR(VLOOKUP([2]Pointage!FZ49,Feuil1!$A:$B,2,FALSE),"")</f>
        <v>M</v>
      </c>
      <c r="FW55" s="31" t="str">
        <f>IFERROR(VLOOKUP([2]Pointage!GA49,Feuil1!$A:$B,2,FALSE),"")</f>
        <v>M</v>
      </c>
      <c r="FX55" s="31" t="str">
        <f>IFERROR(VLOOKUP([2]Pointage!GB49,Feuil1!$A:$B,2,FALSE),"")</f>
        <v>M</v>
      </c>
      <c r="FY55" s="31" t="str">
        <f>IFERROR(VLOOKUP([2]Pointage!GC49,Feuil1!$A:$B,2,FALSE),"")</f>
        <v>M</v>
      </c>
      <c r="FZ55" s="31" t="str">
        <f>IFERROR(VLOOKUP([2]Pointage!GD49,Feuil1!$A:$B,2,FALSE),"")</f>
        <v>M</v>
      </c>
      <c r="GA55" s="31" t="str">
        <f>IFERROR(VLOOKUP([2]Pointage!GE49,Feuil1!$A:$B,2,FALSE),"")</f>
        <v>M</v>
      </c>
      <c r="GB55" s="31" t="str">
        <f>IFERROR(VLOOKUP([2]Pointage!GF49,Feuil1!$A:$B,2,FALSE),"")</f>
        <v>M</v>
      </c>
      <c r="GC55" s="31" t="str">
        <f>IFERROR(VLOOKUP([2]Pointage!GG49,Feuil1!$A:$B,2,FALSE),"")</f>
        <v>M</v>
      </c>
      <c r="GD55" s="82" t="str">
        <f>IFERROR(VLOOKUP([2]Pointage!GH49,Feuil1!$A:$B,2,FALSE),"")</f>
        <v>M</v>
      </c>
      <c r="GE55" s="47" t="str">
        <f>IFERROR(VLOOKUP([2]Pointage!GI49,Feuil1!$A:$B,2,FALSE),"")</f>
        <v>M</v>
      </c>
      <c r="GF55" s="31" t="str">
        <f>IFERROR(VLOOKUP([2]Pointage!GJ49,Feuil1!$A:$B,2,FALSE),"")</f>
        <v>M</v>
      </c>
      <c r="GG55" s="31" t="str">
        <f>IFERROR(VLOOKUP([2]Pointage!GK49,Feuil1!$A:$B,2,FALSE),"")</f>
        <v>M</v>
      </c>
      <c r="GH55" s="31" t="str">
        <f>IFERROR(VLOOKUP([2]Pointage!GL49,Feuil1!$A:$B,2,FALSE),"")</f>
        <v>M</v>
      </c>
      <c r="GI55" s="31" t="str">
        <f>IFERROR(VLOOKUP([2]Pointage!GM49,Feuil1!$A:$B,2,FALSE),"")</f>
        <v>M</v>
      </c>
      <c r="GJ55" s="31" t="str">
        <f>IFERROR(VLOOKUP([2]Pointage!GN49,Feuil1!$A:$B,2,FALSE),"")</f>
        <v>M</v>
      </c>
      <c r="GK55" s="31" t="str">
        <f>IFERROR(VLOOKUP([2]Pointage!GO49,Feuil1!$A:$B,2,FALSE),"")</f>
        <v>M</v>
      </c>
      <c r="GL55" s="31" t="str">
        <f>IFERROR(VLOOKUP([2]Pointage!GP49,Feuil1!$A:$B,2,FALSE),"")</f>
        <v>M</v>
      </c>
      <c r="GM55" s="31" t="str">
        <f>IFERROR(VLOOKUP([2]Pointage!GQ49,Feuil1!$A:$B,2,FALSE),"")</f>
        <v>M</v>
      </c>
      <c r="GN55" s="31" t="str">
        <f>IFERROR(VLOOKUP([2]Pointage!GR49,Feuil1!$A:$B,2,FALSE),"")</f>
        <v>M</v>
      </c>
      <c r="GO55" s="31" t="str">
        <f>IFERROR(VLOOKUP([2]Pointage!GS49,Feuil1!$A:$B,2,FALSE),"")</f>
        <v>M</v>
      </c>
      <c r="GP55" s="31" t="str">
        <f>IFERROR(VLOOKUP([2]Pointage!GT49,Feuil1!$A:$B,2,FALSE),"")</f>
        <v>M</v>
      </c>
      <c r="GQ55" s="31" t="str">
        <f>IFERROR(VLOOKUP([2]Pointage!GU49,Feuil1!$A:$B,2,FALSE),"")</f>
        <v>M</v>
      </c>
      <c r="GR55" s="31" t="str">
        <f>IFERROR(VLOOKUP([2]Pointage!GV49,Feuil1!$A:$B,2,FALSE),"")</f>
        <v>M</v>
      </c>
      <c r="GS55" s="31" t="str">
        <f>IFERROR(VLOOKUP([2]Pointage!GW49,Feuil1!$A:$B,2,FALSE),"")</f>
        <v>M</v>
      </c>
      <c r="GT55" s="31" t="str">
        <f>IFERROR(VLOOKUP([2]Pointage!GX49,Feuil1!$A:$B,2,FALSE),"")</f>
        <v>M</v>
      </c>
      <c r="GU55" s="31" t="str">
        <f>IFERROR(VLOOKUP([2]Pointage!GY49,Feuil1!$A:$B,2,FALSE),"")</f>
        <v>M</v>
      </c>
      <c r="GV55" s="31" t="str">
        <f>IFERROR(VLOOKUP([2]Pointage!GZ49,Feuil1!$A:$B,2,FALSE),"")</f>
        <v>M</v>
      </c>
      <c r="GW55" s="31" t="str">
        <f>IFERROR(VLOOKUP([2]Pointage!HA49,Feuil1!$A:$B,2,FALSE),"")</f>
        <v>M</v>
      </c>
      <c r="GX55" s="31" t="str">
        <f>IFERROR(VLOOKUP([2]Pointage!HB49,Feuil1!$A:$B,2,FALSE),"")</f>
        <v>M</v>
      </c>
      <c r="GY55" s="31" t="str">
        <f>IFERROR(VLOOKUP([2]Pointage!HC49,Feuil1!$A:$B,2,FALSE),"")</f>
        <v>M</v>
      </c>
      <c r="GZ55" s="31" t="str">
        <f>IFERROR(VLOOKUP([2]Pointage!HD49,Feuil1!$A:$B,2,FALSE),"")</f>
        <v>M</v>
      </c>
      <c r="HA55" s="31" t="str">
        <f>IFERROR(VLOOKUP([2]Pointage!HE49,Feuil1!$A:$B,2,FALSE),"")</f>
        <v>M</v>
      </c>
      <c r="HB55" s="31" t="str">
        <f>IFERROR(VLOOKUP([2]Pointage!HF49,Feuil1!$A:$B,2,FALSE),"")</f>
        <v>M</v>
      </c>
      <c r="HC55" s="31" t="str">
        <f>IFERROR(VLOOKUP([2]Pointage!HG49,Feuil1!$A:$B,2,FALSE),"")</f>
        <v>M</v>
      </c>
      <c r="HD55" s="31" t="str">
        <f>IFERROR(VLOOKUP([2]Pointage!HH49,Feuil1!$A:$B,2,FALSE),"")</f>
        <v>M</v>
      </c>
      <c r="HE55" s="31" t="str">
        <f>IFERROR(VLOOKUP([2]Pointage!HI49,Feuil1!$A:$B,2,FALSE),"")</f>
        <v>M</v>
      </c>
      <c r="HF55" s="31" t="str">
        <f>IFERROR(VLOOKUP([2]Pointage!HJ49,Feuil1!$A:$B,2,FALSE),"")</f>
        <v/>
      </c>
      <c r="HG55" s="31" t="str">
        <f>IFERROR(VLOOKUP([2]Pointage!HK49,Feuil1!$A:$B,2,FALSE),"")</f>
        <v/>
      </c>
      <c r="HH55" s="31" t="str">
        <f>IFERROR(VLOOKUP([2]Pointage!HL49,Feuil1!$A:$B,2,FALSE),"")</f>
        <v/>
      </c>
      <c r="HI55" s="82" t="str">
        <f>IFERROR(VLOOKUP([2]Pointage!HM49,Feuil1!$A:$B,2,FALSE),"")</f>
        <v/>
      </c>
      <c r="HJ55" s="47" t="str">
        <f>IFERROR(VLOOKUP([2]Pointage!HN49,Feuil1!$A:$B,2,FALSE),"")</f>
        <v/>
      </c>
      <c r="HK55" s="31" t="str">
        <f>IFERROR(VLOOKUP([2]Pointage!HO49,Feuil1!$A:$B,2,FALSE),"")</f>
        <v/>
      </c>
      <c r="HL55" s="31" t="str">
        <f>IFERROR(VLOOKUP([2]Pointage!HP49,Feuil1!$A:$B,2,FALSE),"")</f>
        <v/>
      </c>
      <c r="HM55" s="31" t="str">
        <f>IFERROR(VLOOKUP([2]Pointage!HQ49,Feuil1!$A:$B,2,FALSE),"")</f>
        <v/>
      </c>
      <c r="HN55" s="31" t="str">
        <f>IFERROR(VLOOKUP([2]Pointage!HR49,Feuil1!$A:$B,2,FALSE),"")</f>
        <v/>
      </c>
      <c r="HO55" s="31" t="str">
        <f>IFERROR(VLOOKUP([2]Pointage!HS49,Feuil1!$A:$B,2,FALSE),"")</f>
        <v/>
      </c>
      <c r="HP55" s="31" t="str">
        <f>IFERROR(VLOOKUP([2]Pointage!HT49,Feuil1!$A:$B,2,FALSE),"")</f>
        <v/>
      </c>
      <c r="HQ55" s="31" t="str">
        <f>IFERROR(VLOOKUP([2]Pointage!HU49,Feuil1!$A:$B,2,FALSE),"")</f>
        <v/>
      </c>
      <c r="HR55" s="31" t="str">
        <f>IFERROR(VLOOKUP([2]Pointage!HV49,Feuil1!$A:$B,2,FALSE),"")</f>
        <v/>
      </c>
      <c r="HS55" s="31" t="str">
        <f>IFERROR(VLOOKUP([2]Pointage!HW49,Feuil1!$A:$B,2,FALSE),"")</f>
        <v/>
      </c>
      <c r="HT55" s="31" t="str">
        <f>IFERROR(VLOOKUP([2]Pointage!HX49,Feuil1!$A:$B,2,FALSE),"")</f>
        <v/>
      </c>
      <c r="HU55" s="31" t="str">
        <f>IFERROR(VLOOKUP([2]Pointage!HY49,Feuil1!$A:$B,2,FALSE),"")</f>
        <v/>
      </c>
      <c r="HV55" s="31" t="str">
        <f>IFERROR(VLOOKUP([2]Pointage!HZ49,Feuil1!$A:$B,2,FALSE),"")</f>
        <v/>
      </c>
      <c r="HW55" s="31" t="str">
        <f>IFERROR(VLOOKUP([2]Pointage!IA49,Feuil1!$A:$B,2,FALSE),"")</f>
        <v/>
      </c>
      <c r="HX55" s="31" t="str">
        <f>IFERROR(VLOOKUP([2]Pointage!IB49,Feuil1!$A:$B,2,FALSE),"")</f>
        <v/>
      </c>
      <c r="HY55" s="31" t="str">
        <f>IFERROR(VLOOKUP([2]Pointage!IC49,Feuil1!$A:$B,2,FALSE),"")</f>
        <v/>
      </c>
      <c r="HZ55" s="31" t="str">
        <f>IFERROR(VLOOKUP([2]Pointage!ID49,Feuil1!$A:$B,2,FALSE),"")</f>
        <v/>
      </c>
      <c r="IA55" s="31" t="str">
        <f>IFERROR(VLOOKUP([2]Pointage!IE49,Feuil1!$A:$B,2,FALSE),"")</f>
        <v/>
      </c>
      <c r="IB55" s="31" t="str">
        <f>IFERROR(VLOOKUP([2]Pointage!IF49,Feuil1!$A:$B,2,FALSE),"")</f>
        <v/>
      </c>
      <c r="IC55" s="31" t="str">
        <f>IFERROR(VLOOKUP([2]Pointage!IG49,Feuil1!$A:$B,2,FALSE),"")</f>
        <v/>
      </c>
      <c r="ID55" s="31" t="str">
        <f>IFERROR(VLOOKUP([2]Pointage!IH49,Feuil1!$A:$B,2,FALSE),"")</f>
        <v/>
      </c>
      <c r="IE55" s="31" t="str">
        <f>IFERROR(VLOOKUP([2]Pointage!II49,Feuil1!$A:$B,2,FALSE),"")</f>
        <v/>
      </c>
      <c r="IF55" s="31" t="str">
        <f>IFERROR(VLOOKUP([2]Pointage!IJ49,Feuil1!$A:$B,2,FALSE),"")</f>
        <v/>
      </c>
      <c r="IG55" s="31" t="str">
        <f>IFERROR(VLOOKUP([2]Pointage!IK49,Feuil1!$A:$B,2,FALSE),"")</f>
        <v/>
      </c>
      <c r="IH55" s="31" t="str">
        <f>IFERROR(VLOOKUP([2]Pointage!IL49,Feuil1!$A:$B,2,FALSE),"")</f>
        <v/>
      </c>
      <c r="II55" s="31" t="str">
        <f>IFERROR(VLOOKUP([2]Pointage!IM49,Feuil1!$A:$B,2,FALSE),"")</f>
        <v/>
      </c>
      <c r="IJ55" s="31" t="str">
        <f>IFERROR(VLOOKUP([2]Pointage!IN49,Feuil1!$A:$B,2,FALSE),"")</f>
        <v/>
      </c>
      <c r="IK55" s="31" t="str">
        <f>IFERROR(VLOOKUP([2]Pointage!IO49,Feuil1!$A:$B,2,FALSE),"")</f>
        <v/>
      </c>
      <c r="IL55" s="31" t="str">
        <f>IFERROR(VLOOKUP([2]Pointage!IP49,Feuil1!$A:$B,2,FALSE),"")</f>
        <v/>
      </c>
      <c r="IM55" s="31" t="str">
        <f>IFERROR(VLOOKUP([2]Pointage!IQ49,Feuil1!$A:$B,2,FALSE),"")</f>
        <v/>
      </c>
      <c r="IN55" s="82" t="str">
        <f>IFERROR(VLOOKUP([2]Pointage!IR49,Feuil1!$A:$B,2,FALSE),"")</f>
        <v/>
      </c>
      <c r="IO55" s="47" t="str">
        <f>IFERROR(VLOOKUP([2]Pointage!IS49,Feuil1!$A:$B,2,FALSE),"")</f>
        <v/>
      </c>
      <c r="IP55" s="31" t="str">
        <f>IFERROR(VLOOKUP([2]Pointage!IT49,Feuil1!$A:$B,2,FALSE),"")</f>
        <v/>
      </c>
      <c r="IQ55" s="31" t="str">
        <f>IFERROR(VLOOKUP([2]Pointage!IU49,Feuil1!$A:$B,2,FALSE),"")</f>
        <v/>
      </c>
      <c r="IR55" s="31" t="str">
        <f>IFERROR(VLOOKUP([2]Pointage!IV49,Feuil1!$A:$B,2,FALSE),"")</f>
        <v/>
      </c>
      <c r="IS55" s="31" t="str">
        <f>IFERROR(VLOOKUP([2]Pointage!IW49,Feuil1!$A:$B,2,FALSE),"")</f>
        <v/>
      </c>
      <c r="IT55" s="31" t="str">
        <f>IFERROR(VLOOKUP([2]Pointage!IX49,Feuil1!$A:$B,2,FALSE),"")</f>
        <v/>
      </c>
      <c r="IU55" s="31" t="str">
        <f>IFERROR(VLOOKUP([2]Pointage!IY49,Feuil1!$A:$B,2,FALSE),"")</f>
        <v/>
      </c>
      <c r="IV55" s="31" t="str">
        <f>IFERROR(VLOOKUP([2]Pointage!IZ49,Feuil1!$A:$B,2,FALSE),"")</f>
        <v/>
      </c>
      <c r="IW55" s="31" t="str">
        <f>IFERROR(VLOOKUP([2]Pointage!JA49,Feuil1!$A:$B,2,FALSE),"")</f>
        <v/>
      </c>
      <c r="IX55" s="31" t="str">
        <f>IFERROR(VLOOKUP([2]Pointage!JB49,Feuil1!$A:$B,2,FALSE),"")</f>
        <v/>
      </c>
      <c r="IY55" s="31" t="str">
        <f>IFERROR(VLOOKUP([2]Pointage!JC49,Feuil1!$A:$B,2,FALSE),"")</f>
        <v/>
      </c>
      <c r="IZ55" s="31" t="str">
        <f>IFERROR(VLOOKUP([2]Pointage!JD49,Feuil1!$A:$B,2,FALSE),"")</f>
        <v/>
      </c>
      <c r="JA55" s="31" t="str">
        <f>IFERROR(VLOOKUP([2]Pointage!JE49,Feuil1!$A:$B,2,FALSE),"")</f>
        <v/>
      </c>
      <c r="JB55" s="31" t="str">
        <f>IFERROR(VLOOKUP([2]Pointage!JF49,Feuil1!$A:$B,2,FALSE),"")</f>
        <v/>
      </c>
      <c r="JC55" s="31" t="str">
        <f>IFERROR(VLOOKUP([2]Pointage!JG49,Feuil1!$A:$B,2,FALSE),"")</f>
        <v/>
      </c>
      <c r="JD55" s="31" t="str">
        <f>IFERROR(VLOOKUP([2]Pointage!JH49,Feuil1!$A:$B,2,FALSE),"")</f>
        <v/>
      </c>
      <c r="JE55" s="31" t="str">
        <f>IFERROR(VLOOKUP([2]Pointage!JI49,Feuil1!$A:$B,2,FALSE),"")</f>
        <v/>
      </c>
      <c r="JF55" s="31" t="str">
        <f>IFERROR(VLOOKUP([2]Pointage!JJ49,Feuil1!$A:$B,2,FALSE),"")</f>
        <v/>
      </c>
      <c r="JG55" s="31" t="str">
        <f>IFERROR(VLOOKUP([2]Pointage!JK49,Feuil1!$A:$B,2,FALSE),"")</f>
        <v/>
      </c>
      <c r="JH55" s="31" t="str">
        <f>IFERROR(VLOOKUP([2]Pointage!JL49,Feuil1!$A:$B,2,FALSE),"")</f>
        <v/>
      </c>
      <c r="JI55" s="31" t="str">
        <f>IFERROR(VLOOKUP([2]Pointage!JM49,Feuil1!$A:$B,2,FALSE),"")</f>
        <v/>
      </c>
      <c r="JJ55" s="31" t="str">
        <f>IFERROR(VLOOKUP([2]Pointage!JN49,Feuil1!$A:$B,2,FALSE),"")</f>
        <v/>
      </c>
      <c r="JK55" s="31" t="str">
        <f>IFERROR(VLOOKUP([2]Pointage!JO49,Feuil1!$A:$B,2,FALSE),"")</f>
        <v/>
      </c>
      <c r="JL55" s="31" t="str">
        <f>IFERROR(VLOOKUP([2]Pointage!JP49,Feuil1!$A:$B,2,FALSE),"")</f>
        <v/>
      </c>
      <c r="JM55" s="31" t="str">
        <f>IFERROR(VLOOKUP([2]Pointage!JQ49,Feuil1!$A:$B,2,FALSE),"")</f>
        <v/>
      </c>
      <c r="JN55" s="31" t="str">
        <f>IFERROR(VLOOKUP([2]Pointage!JR49,Feuil1!$A:$B,2,FALSE),"")</f>
        <v/>
      </c>
      <c r="JO55" s="31" t="str">
        <f>IFERROR(VLOOKUP([2]Pointage!JS49,Feuil1!$A:$B,2,FALSE),"")</f>
        <v/>
      </c>
      <c r="JP55" s="31" t="str">
        <f>IFERROR(VLOOKUP([2]Pointage!JT49,Feuil1!$A:$B,2,FALSE),"")</f>
        <v/>
      </c>
      <c r="JQ55" s="31" t="str">
        <f>IFERROR(VLOOKUP([2]Pointage!JU49,Feuil1!$A:$B,2,FALSE),"")</f>
        <v/>
      </c>
      <c r="JR55" s="82" t="str">
        <f>IFERROR(VLOOKUP([2]Pointage!JV49,Feuil1!$A:$B,2,FALSE),"")</f>
        <v/>
      </c>
      <c r="JS55" s="47" t="str">
        <f>IFERROR(VLOOKUP([2]Pointage!JW49,Feuil1!$A:$B,2,FALSE),"")</f>
        <v/>
      </c>
      <c r="JT55" s="31" t="str">
        <f>IFERROR(VLOOKUP([2]Pointage!JX49,Feuil1!$A:$B,2,FALSE),"")</f>
        <v/>
      </c>
      <c r="JU55" s="31" t="str">
        <f>IFERROR(VLOOKUP([2]Pointage!JY49,Feuil1!$A:$B,2,FALSE),"")</f>
        <v/>
      </c>
      <c r="JV55" s="31" t="str">
        <f>IFERROR(VLOOKUP([2]Pointage!JZ49,Feuil1!$A:$B,2,FALSE),"")</f>
        <v/>
      </c>
      <c r="JW55" s="31" t="str">
        <f>IFERROR(VLOOKUP([2]Pointage!KA49,Feuil1!$A:$B,2,FALSE),"")</f>
        <v/>
      </c>
      <c r="JX55" s="31" t="str">
        <f>IFERROR(VLOOKUP([2]Pointage!KB49,Feuil1!$A:$B,2,FALSE),"")</f>
        <v/>
      </c>
      <c r="JY55" s="31" t="str">
        <f>IFERROR(VLOOKUP([2]Pointage!KC49,Feuil1!$A:$B,2,FALSE),"")</f>
        <v/>
      </c>
      <c r="JZ55" s="31" t="str">
        <f>IFERROR(VLOOKUP([2]Pointage!KD49,Feuil1!$A:$B,2,FALSE),"")</f>
        <v/>
      </c>
      <c r="KA55" s="31" t="str">
        <f>IFERROR(VLOOKUP([2]Pointage!KE49,Feuil1!$A:$B,2,FALSE),"")</f>
        <v/>
      </c>
      <c r="KB55" s="31" t="str">
        <f>IFERROR(VLOOKUP([2]Pointage!KF49,Feuil1!$A:$B,2,FALSE),"")</f>
        <v/>
      </c>
      <c r="KC55" s="31" t="str">
        <f>IFERROR(VLOOKUP([2]Pointage!KG49,Feuil1!$A:$B,2,FALSE),"")</f>
        <v/>
      </c>
      <c r="KD55" s="31" t="str">
        <f>IFERROR(VLOOKUP([2]Pointage!KH49,Feuil1!$A:$B,2,FALSE),"")</f>
        <v/>
      </c>
      <c r="KE55" s="31" t="str">
        <f>IFERROR(VLOOKUP([2]Pointage!KI49,Feuil1!$A:$B,2,FALSE),"")</f>
        <v/>
      </c>
      <c r="KF55" s="31" t="str">
        <f>IFERROR(VLOOKUP([2]Pointage!KJ49,Feuil1!$A:$B,2,FALSE),"")</f>
        <v/>
      </c>
      <c r="KG55" s="31" t="str">
        <f>IFERROR(VLOOKUP([2]Pointage!KK49,Feuil1!$A:$B,2,FALSE),"")</f>
        <v/>
      </c>
      <c r="KH55" s="31" t="str">
        <f>IFERROR(VLOOKUP([2]Pointage!KL49,Feuil1!$A:$B,2,FALSE),"")</f>
        <v/>
      </c>
      <c r="KI55" s="31" t="str">
        <f>IFERROR(VLOOKUP([2]Pointage!KM49,Feuil1!$A:$B,2,FALSE),"")</f>
        <v/>
      </c>
      <c r="KJ55" s="31" t="str">
        <f>IFERROR(VLOOKUP([2]Pointage!KN49,Feuil1!$A:$B,2,FALSE),"")</f>
        <v/>
      </c>
      <c r="KK55" s="31" t="str">
        <f>IFERROR(VLOOKUP([2]Pointage!KO49,Feuil1!$A:$B,2,FALSE),"")</f>
        <v/>
      </c>
      <c r="KL55" s="31" t="str">
        <f>IFERROR(VLOOKUP([2]Pointage!KP49,Feuil1!$A:$B,2,FALSE),"")</f>
        <v/>
      </c>
      <c r="KM55" s="31" t="str">
        <f>IFERROR(VLOOKUP([2]Pointage!KQ49,Feuil1!$A:$B,2,FALSE),"")</f>
        <v/>
      </c>
      <c r="KN55" s="31" t="str">
        <f>IFERROR(VLOOKUP([2]Pointage!KR49,Feuil1!$A:$B,2,FALSE),"")</f>
        <v/>
      </c>
      <c r="KO55" s="31" t="str">
        <f>IFERROR(VLOOKUP([2]Pointage!KS49,Feuil1!$A:$B,2,FALSE),"")</f>
        <v/>
      </c>
      <c r="KP55" s="31" t="str">
        <f>IFERROR(VLOOKUP([2]Pointage!KT49,Feuil1!$A:$B,2,FALSE),"")</f>
        <v/>
      </c>
      <c r="KQ55" s="31" t="str">
        <f>IFERROR(VLOOKUP([2]Pointage!KU49,Feuil1!$A:$B,2,FALSE),"")</f>
        <v/>
      </c>
      <c r="KR55" s="31" t="str">
        <f>IFERROR(VLOOKUP([2]Pointage!KV49,Feuil1!$A:$B,2,FALSE),"")</f>
        <v/>
      </c>
      <c r="KS55" s="31" t="str">
        <f>IFERROR(VLOOKUP([2]Pointage!KW49,Feuil1!$A:$B,2,FALSE),"")</f>
        <v/>
      </c>
      <c r="KT55" s="31" t="str">
        <f>IFERROR(VLOOKUP([2]Pointage!KX49,Feuil1!$A:$B,2,FALSE),"")</f>
        <v/>
      </c>
      <c r="KU55" s="31" t="str">
        <f>IFERROR(VLOOKUP([2]Pointage!KY49,Feuil1!$A:$B,2,FALSE),"")</f>
        <v/>
      </c>
      <c r="KV55" s="31" t="str">
        <f>IFERROR(VLOOKUP([2]Pointage!KZ49,Feuil1!$A:$B,2,FALSE),"")</f>
        <v/>
      </c>
      <c r="KW55" s="82" t="str">
        <f>IFERROR(VLOOKUP([2]Pointage!LA49,Feuil1!$A:$B,2,FALSE),"")</f>
        <v/>
      </c>
      <c r="KX55" s="47" t="str">
        <f>IFERROR(VLOOKUP([2]Pointage!LB49,Feuil1!$A:$B,2,FALSE),"")</f>
        <v/>
      </c>
      <c r="KY55" s="31" t="str">
        <f>IFERROR(VLOOKUP([2]Pointage!LC49,Feuil1!$A:$B,2,FALSE),"")</f>
        <v/>
      </c>
      <c r="KZ55" s="31" t="str">
        <f>IFERROR(VLOOKUP([2]Pointage!LD49,Feuil1!$A:$B,2,FALSE),"")</f>
        <v/>
      </c>
      <c r="LA55" s="31" t="str">
        <f>IFERROR(VLOOKUP([2]Pointage!LE49,Feuil1!$A:$B,2,FALSE),"")</f>
        <v/>
      </c>
      <c r="LB55" s="31" t="str">
        <f>IFERROR(VLOOKUP([2]Pointage!LF49,Feuil1!$A:$B,2,FALSE),"")</f>
        <v/>
      </c>
      <c r="LC55" s="31" t="str">
        <f>IFERROR(VLOOKUP([2]Pointage!LG49,Feuil1!$A:$B,2,FALSE),"")</f>
        <v/>
      </c>
      <c r="LD55" s="31" t="str">
        <f>IFERROR(VLOOKUP([2]Pointage!LH49,Feuil1!$A:$B,2,FALSE),"")</f>
        <v/>
      </c>
      <c r="LE55" s="31" t="str">
        <f>IFERROR(VLOOKUP([2]Pointage!LI49,Feuil1!$A:$B,2,FALSE),"")</f>
        <v/>
      </c>
      <c r="LF55" s="31" t="str">
        <f>IFERROR(VLOOKUP([2]Pointage!LJ49,Feuil1!$A:$B,2,FALSE),"")</f>
        <v/>
      </c>
      <c r="LG55" s="31" t="str">
        <f>IFERROR(VLOOKUP([2]Pointage!LK49,Feuil1!$A:$B,2,FALSE),"")</f>
        <v/>
      </c>
      <c r="LH55" s="31" t="str">
        <f>IFERROR(VLOOKUP([2]Pointage!LL49,Feuil1!$A:$B,2,FALSE),"")</f>
        <v/>
      </c>
      <c r="LI55" s="31" t="str">
        <f>IFERROR(VLOOKUP([2]Pointage!LM49,Feuil1!$A:$B,2,FALSE),"")</f>
        <v/>
      </c>
      <c r="LJ55" s="31" t="str">
        <f>IFERROR(VLOOKUP([2]Pointage!LN49,Feuil1!$A:$B,2,FALSE),"")</f>
        <v/>
      </c>
      <c r="LK55" s="31" t="str">
        <f>IFERROR(VLOOKUP([2]Pointage!LO49,Feuil1!$A:$B,2,FALSE),"")</f>
        <v/>
      </c>
      <c r="LL55" s="31" t="str">
        <f>IFERROR(VLOOKUP([2]Pointage!LP49,Feuil1!$A:$B,2,FALSE),"")</f>
        <v/>
      </c>
      <c r="LM55" s="31" t="str">
        <f>IFERROR(VLOOKUP([2]Pointage!LQ49,Feuil1!$A:$B,2,FALSE),"")</f>
        <v/>
      </c>
      <c r="LN55" s="31" t="str">
        <f>IFERROR(VLOOKUP([2]Pointage!LR49,Feuil1!$A:$B,2,FALSE),"")</f>
        <v/>
      </c>
      <c r="LO55" s="31" t="str">
        <f>IFERROR(VLOOKUP([2]Pointage!LS49,Feuil1!$A:$B,2,FALSE),"")</f>
        <v/>
      </c>
      <c r="LP55" s="31" t="str">
        <f>IFERROR(VLOOKUP([2]Pointage!LT49,Feuil1!$A:$B,2,FALSE),"")</f>
        <v/>
      </c>
      <c r="LQ55" s="31" t="str">
        <f>IFERROR(VLOOKUP([2]Pointage!LU49,Feuil1!$A:$B,2,FALSE),"")</f>
        <v/>
      </c>
      <c r="LR55" s="31" t="str">
        <f>IFERROR(VLOOKUP([2]Pointage!LV49,Feuil1!$A:$B,2,FALSE),"")</f>
        <v/>
      </c>
      <c r="LS55" s="31" t="str">
        <f>IFERROR(VLOOKUP([2]Pointage!LW49,Feuil1!$A:$B,2,FALSE),"")</f>
        <v/>
      </c>
      <c r="LT55" s="31" t="str">
        <f>IFERROR(VLOOKUP([2]Pointage!LX49,Feuil1!$A:$B,2,FALSE),"")</f>
        <v/>
      </c>
      <c r="LU55" s="31" t="str">
        <f>IFERROR(VLOOKUP([2]Pointage!LY49,Feuil1!$A:$B,2,FALSE),"")</f>
        <v/>
      </c>
      <c r="LV55" s="31" t="str">
        <f>IFERROR(VLOOKUP([2]Pointage!LZ49,Feuil1!$A:$B,2,FALSE),"")</f>
        <v/>
      </c>
      <c r="LW55" s="31" t="str">
        <f>IFERROR(VLOOKUP([2]Pointage!MA49,Feuil1!$A:$B,2,FALSE),"")</f>
        <v/>
      </c>
      <c r="LX55" s="31" t="str">
        <f>IFERROR(VLOOKUP([2]Pointage!MB49,Feuil1!$A:$B,2,FALSE),"")</f>
        <v/>
      </c>
      <c r="LY55" s="31" t="str">
        <f>IFERROR(VLOOKUP([2]Pointage!MC49,Feuil1!$A:$B,2,FALSE),"")</f>
        <v/>
      </c>
      <c r="LZ55" s="31" t="str">
        <f>IFERROR(VLOOKUP([2]Pointage!MD49,Feuil1!$A:$B,2,FALSE),"")</f>
        <v/>
      </c>
      <c r="MA55" s="82" t="str">
        <f>IFERROR(VLOOKUP([2]Pointage!ME49,Feuil1!$A:$B,2,FALSE),"")</f>
        <v/>
      </c>
      <c r="MB55" s="47" t="str">
        <f>IFERROR(VLOOKUP([2]Pointage!MF49,Feuil1!$A:$B,2,FALSE),"")</f>
        <v/>
      </c>
      <c r="MC55" s="31" t="str">
        <f>IFERROR(VLOOKUP([2]Pointage!MG49,Feuil1!$A:$B,2,FALSE),"")</f>
        <v/>
      </c>
      <c r="MD55" s="31" t="str">
        <f>IFERROR(VLOOKUP([2]Pointage!MH49,Feuil1!$A:$B,2,FALSE),"")</f>
        <v/>
      </c>
      <c r="ME55" s="31" t="str">
        <f>IFERROR(VLOOKUP([2]Pointage!MI49,Feuil1!$A:$B,2,FALSE),"")</f>
        <v/>
      </c>
      <c r="MF55" s="31" t="str">
        <f>IFERROR(VLOOKUP([2]Pointage!MJ49,Feuil1!$A:$B,2,FALSE),"")</f>
        <v/>
      </c>
      <c r="MG55" s="31" t="str">
        <f>IFERROR(VLOOKUP([2]Pointage!MK49,Feuil1!$A:$B,2,FALSE),"")</f>
        <v/>
      </c>
      <c r="MH55" s="31" t="str">
        <f>IFERROR(VLOOKUP([2]Pointage!ML49,Feuil1!$A:$B,2,FALSE),"")</f>
        <v/>
      </c>
      <c r="MI55" s="31" t="str">
        <f>IFERROR(VLOOKUP([2]Pointage!MM49,Feuil1!$A:$B,2,FALSE),"")</f>
        <v/>
      </c>
      <c r="MJ55" s="31" t="str">
        <f>IFERROR(VLOOKUP([2]Pointage!MN49,Feuil1!$A:$B,2,FALSE),"")</f>
        <v/>
      </c>
      <c r="MK55" s="31" t="str">
        <f>IFERROR(VLOOKUP([2]Pointage!MO49,Feuil1!$A:$B,2,FALSE),"")</f>
        <v/>
      </c>
      <c r="ML55" s="31" t="str">
        <f>IFERROR(VLOOKUP([2]Pointage!MP49,Feuil1!$A:$B,2,FALSE),"")</f>
        <v/>
      </c>
      <c r="MM55" s="31" t="str">
        <f>IFERROR(VLOOKUP([2]Pointage!MQ49,Feuil1!$A:$B,2,FALSE),"")</f>
        <v/>
      </c>
      <c r="MN55" s="31" t="str">
        <f>IFERROR(VLOOKUP([2]Pointage!MR49,Feuil1!$A:$B,2,FALSE),"")</f>
        <v/>
      </c>
      <c r="MO55" s="31" t="str">
        <f>IFERROR(VLOOKUP([2]Pointage!MS49,Feuil1!$A:$B,2,FALSE),"")</f>
        <v/>
      </c>
      <c r="MP55" s="31" t="str">
        <f>IFERROR(VLOOKUP([2]Pointage!MT49,Feuil1!$A:$B,2,FALSE),"")</f>
        <v/>
      </c>
      <c r="MQ55" s="31" t="str">
        <f>IFERROR(VLOOKUP([2]Pointage!MU49,Feuil1!$A:$B,2,FALSE),"")</f>
        <v/>
      </c>
      <c r="MR55" s="31" t="str">
        <f>IFERROR(VLOOKUP([2]Pointage!MV49,Feuil1!$A:$B,2,FALSE),"")</f>
        <v/>
      </c>
      <c r="MS55" s="31" t="str">
        <f>IFERROR(VLOOKUP([2]Pointage!MW49,Feuil1!$A:$B,2,FALSE),"")</f>
        <v/>
      </c>
      <c r="MT55" s="31" t="str">
        <f>IFERROR(VLOOKUP([2]Pointage!MX49,Feuil1!$A:$B,2,FALSE),"")</f>
        <v/>
      </c>
      <c r="MU55" s="31" t="str">
        <f>IFERROR(VLOOKUP([2]Pointage!MY49,Feuil1!$A:$B,2,FALSE),"")</f>
        <v/>
      </c>
      <c r="MV55" s="31" t="str">
        <f>IFERROR(VLOOKUP([2]Pointage!MZ49,Feuil1!$A:$B,2,FALSE),"")</f>
        <v/>
      </c>
      <c r="MW55" s="31" t="str">
        <f>IFERROR(VLOOKUP([2]Pointage!NA49,Feuil1!$A:$B,2,FALSE),"")</f>
        <v/>
      </c>
      <c r="MX55" s="31" t="str">
        <f>IFERROR(VLOOKUP([2]Pointage!NB49,Feuil1!$A:$B,2,FALSE),"")</f>
        <v/>
      </c>
      <c r="MY55" s="31" t="str">
        <f>IFERROR(VLOOKUP([2]Pointage!NC49,Feuil1!$A:$B,2,FALSE),"")</f>
        <v/>
      </c>
      <c r="MZ55" s="31" t="str">
        <f>IFERROR(VLOOKUP([2]Pointage!ND49,Feuil1!$A:$B,2,FALSE),"")</f>
        <v/>
      </c>
      <c r="NA55" s="31" t="str">
        <f>IFERROR(VLOOKUP([2]Pointage!NE49,Feuil1!$A:$B,2,FALSE),"")</f>
        <v/>
      </c>
      <c r="NB55" s="31" t="str">
        <f>IFERROR(VLOOKUP([2]Pointage!NF49,Feuil1!$A:$B,2,FALSE),"")</f>
        <v/>
      </c>
      <c r="NC55" s="31" t="str">
        <f>IFERROR(VLOOKUP([2]Pointage!NG49,Feuil1!$A:$B,2,FALSE),"")</f>
        <v/>
      </c>
      <c r="ND55" s="31" t="str">
        <f>IFERROR(VLOOKUP([2]Pointage!NH49,Feuil1!$A:$B,2,FALSE),"")</f>
        <v/>
      </c>
      <c r="NE55" s="31" t="str">
        <f>IFERROR(VLOOKUP([2]Pointage!NI49,Feuil1!$A:$B,2,FALSE),"")</f>
        <v/>
      </c>
      <c r="NF55" s="48" t="str">
        <f>IFERROR(VLOOKUP([2]Pointage!NJ49,Feuil1!$A:$B,2,FALSE),"")</f>
        <v/>
      </c>
      <c r="NG55" s="52">
        <f>COUNTIF(Global!F55:NF55,"RTT")+(COUNTIF(Global!F55:NF55,"dRTT")/2)</f>
        <v>0</v>
      </c>
      <c r="NH55" s="42">
        <f>COUNTIF(Global!F55:NF55,"C")+(COUNTIF(Global!F55:NF55,"DC")/2)</f>
        <v>0</v>
      </c>
      <c r="NI55" s="42">
        <f>COUNTIF(Global!F55:NF55,"M")</f>
        <v>208</v>
      </c>
      <c r="NJ55" s="42">
        <f>COUNTIF(Global!G55:NG55,"AT")</f>
        <v>0</v>
      </c>
      <c r="NK55" s="42">
        <f>COUNTIF(Global!F55:NF55,"RD")</f>
        <v>0</v>
      </c>
      <c r="NL55" s="42">
        <f>COUNTIF(Global!F55:NF55,"RC")+(COUNTIF(Global!F55:NF55,"dRC")/2)</f>
        <v>0</v>
      </c>
      <c r="NM55" s="68">
        <f t="shared" ca="1" si="0"/>
        <v>-1.6712328767123288</v>
      </c>
      <c r="NT55" s="33"/>
      <c r="NU55" s="33"/>
      <c r="NV55" s="28"/>
      <c r="NW55" s="28"/>
      <c r="NX55" s="29">
        <f>COUNTIF(F55:NF55,"C")++(COUNTIF(Global!F55:NF55,"DC")/2)</f>
        <v>0</v>
      </c>
      <c r="NY55" s="29"/>
      <c r="NZ55" s="29"/>
      <c r="OA55" s="29"/>
      <c r="OB55" s="29">
        <f>COUNTIF(Global!F55:NF55,"M")</f>
        <v>208</v>
      </c>
      <c r="OC55" s="30">
        <f t="shared" si="1"/>
        <v>0</v>
      </c>
      <c r="OD55" s="30"/>
    </row>
    <row r="56" spans="1:394" ht="30" customHeight="1" thickBot="1" x14ac:dyDescent="0.25">
      <c r="A56" s="17" t="s">
        <v>112</v>
      </c>
      <c r="B56" s="17" t="s">
        <v>269</v>
      </c>
      <c r="C56" s="17" t="s">
        <v>270</v>
      </c>
      <c r="D56" s="17" t="s">
        <v>271</v>
      </c>
      <c r="E56" s="23">
        <v>0</v>
      </c>
      <c r="F56" s="49" t="str">
        <f>IFERROR(VLOOKUP([2]Pointage!J50,Feuil1!$A:$B,2,FALSE),"")</f>
        <v/>
      </c>
      <c r="G56" s="50" t="str">
        <f>IFERROR(VLOOKUP([2]Pointage!K50,Feuil1!$A:$B,2,FALSE),"")</f>
        <v>M</v>
      </c>
      <c r="H56" s="50" t="str">
        <f>IFERROR(VLOOKUP([2]Pointage!L50,Feuil1!$A:$B,2,FALSE),"")</f>
        <v>M</v>
      </c>
      <c r="I56" s="50" t="str">
        <f>IFERROR(VLOOKUP([2]Pointage!M50,Feuil1!$A:$B,2,FALSE),"")</f>
        <v>M</v>
      </c>
      <c r="J56" s="50" t="str">
        <f>IFERROR(VLOOKUP([2]Pointage!N50,Feuil1!$A:$B,2,FALSE),"")</f>
        <v/>
      </c>
      <c r="K56" s="50" t="str">
        <f>IFERROR(VLOOKUP([2]Pointage!O50,Feuil1!$A:$B,2,FALSE),"")</f>
        <v/>
      </c>
      <c r="L56" s="50" t="str">
        <f>IFERROR(VLOOKUP([2]Pointage!P50,Feuil1!$A:$B,2,FALSE),"")</f>
        <v/>
      </c>
      <c r="M56" s="50" t="str">
        <f>IFERROR(VLOOKUP([2]Pointage!Q50,Feuil1!$A:$B,2,FALSE),"")</f>
        <v>C</v>
      </c>
      <c r="N56" s="50" t="str">
        <f>IFERROR(VLOOKUP([2]Pointage!R50,Feuil1!$A:$B,2,FALSE),"")</f>
        <v>C</v>
      </c>
      <c r="O56" s="50" t="str">
        <f>IFERROR(VLOOKUP([2]Pointage!S50,Feuil1!$A:$B,2,FALSE),"")</f>
        <v>C</v>
      </c>
      <c r="P56" s="50" t="str">
        <f>IFERROR(VLOOKUP([2]Pointage!T50,Feuil1!$A:$B,2,FALSE),"")</f>
        <v>C</v>
      </c>
      <c r="Q56" s="50" t="str">
        <f>IFERROR(VLOOKUP([2]Pointage!U50,Feuil1!$A:$B,2,FALSE),"")</f>
        <v>C</v>
      </c>
      <c r="R56" s="50" t="str">
        <f>IFERROR(VLOOKUP([2]Pointage!V50,Feuil1!$A:$B,2,FALSE),"")</f>
        <v/>
      </c>
      <c r="S56" s="50" t="str">
        <f>IFERROR(VLOOKUP([2]Pointage!W50,Feuil1!$A:$B,2,FALSE),"")</f>
        <v/>
      </c>
      <c r="T56" s="50" t="str">
        <f>IFERROR(VLOOKUP([2]Pointage!X50,Feuil1!$A:$B,2,FALSE),"")</f>
        <v/>
      </c>
      <c r="U56" s="50" t="str">
        <f>IFERROR(VLOOKUP([2]Pointage!Y50,Feuil1!$A:$B,2,FALSE),"")</f>
        <v/>
      </c>
      <c r="V56" s="50" t="str">
        <f>IFERROR(VLOOKUP([2]Pointage!Z50,Feuil1!$A:$B,2,FALSE),"")</f>
        <v/>
      </c>
      <c r="W56" s="50" t="str">
        <f>IFERROR(VLOOKUP([2]Pointage!AA50,Feuil1!$A:$B,2,FALSE),"")</f>
        <v/>
      </c>
      <c r="X56" s="50" t="str">
        <f>IFERROR(VLOOKUP([2]Pointage!AB50,Feuil1!$A:$B,2,FALSE),"")</f>
        <v/>
      </c>
      <c r="Y56" s="50" t="str">
        <f>IFERROR(VLOOKUP([2]Pointage!AC50,Feuil1!$A:$B,2,FALSE),"")</f>
        <v/>
      </c>
      <c r="Z56" s="50" t="str">
        <f>IFERROR(VLOOKUP([2]Pointage!AD50,Feuil1!$A:$B,2,FALSE),"")</f>
        <v/>
      </c>
      <c r="AA56" s="50" t="str">
        <f>IFERROR(VLOOKUP([2]Pointage!AE50,Feuil1!$A:$B,2,FALSE),"")</f>
        <v/>
      </c>
      <c r="AB56" s="50" t="str">
        <f>IFERROR(VLOOKUP([2]Pointage!AF50,Feuil1!$A:$B,2,FALSE),"")</f>
        <v/>
      </c>
      <c r="AC56" s="50" t="str">
        <f>IFERROR(VLOOKUP([2]Pointage!AG50,Feuil1!$A:$B,2,FALSE),"")</f>
        <v/>
      </c>
      <c r="AD56" s="50" t="str">
        <f>IFERROR(VLOOKUP([2]Pointage!AH50,Feuil1!$A:$B,2,FALSE),"")</f>
        <v/>
      </c>
      <c r="AE56" s="50" t="str">
        <f>IFERROR(VLOOKUP([2]Pointage!AI50,Feuil1!$A:$B,2,FALSE),"")</f>
        <v/>
      </c>
      <c r="AF56" s="50" t="str">
        <f>IFERROR(VLOOKUP([2]Pointage!AJ50,Feuil1!$A:$B,2,FALSE),"")</f>
        <v/>
      </c>
      <c r="AG56" s="50" t="str">
        <f>IFERROR(VLOOKUP([2]Pointage!AK50,Feuil1!$A:$B,2,FALSE),"")</f>
        <v/>
      </c>
      <c r="AH56" s="50" t="str">
        <f>IFERROR(VLOOKUP([2]Pointage!AL50,Feuil1!$A:$B,2,FALSE),"")</f>
        <v/>
      </c>
      <c r="AI56" s="50" t="str">
        <f>IFERROR(VLOOKUP([2]Pointage!AM50,Feuil1!$A:$B,2,FALSE),"")</f>
        <v/>
      </c>
      <c r="AJ56" s="83" t="str">
        <f>IFERROR(VLOOKUP([2]Pointage!AN50,Feuil1!$A:$B,2,FALSE),"")</f>
        <v/>
      </c>
      <c r="AK56" s="49" t="str">
        <f>IFERROR(VLOOKUP([2]Pointage!AO50,Feuil1!$A:$B,2,FALSE),"")</f>
        <v/>
      </c>
      <c r="AL56" s="50" t="str">
        <f>IFERROR(VLOOKUP([2]Pointage!AP50,Feuil1!$A:$B,2,FALSE),"")</f>
        <v/>
      </c>
      <c r="AM56" s="50" t="str">
        <f>IFERROR(VLOOKUP([2]Pointage!AQ50,Feuil1!$A:$B,2,FALSE),"")</f>
        <v/>
      </c>
      <c r="AN56" s="50" t="str">
        <f>IFERROR(VLOOKUP([2]Pointage!AR50,Feuil1!$A:$B,2,FALSE),"")</f>
        <v/>
      </c>
      <c r="AO56" s="50" t="str">
        <f>IFERROR(VLOOKUP([2]Pointage!AS50,Feuil1!$A:$B,2,FALSE),"")</f>
        <v/>
      </c>
      <c r="AP56" s="50" t="str">
        <f>IFERROR(VLOOKUP([2]Pointage!AT50,Feuil1!$A:$B,2,FALSE),"")</f>
        <v/>
      </c>
      <c r="AQ56" s="50" t="str">
        <f>IFERROR(VLOOKUP([2]Pointage!AU50,Feuil1!$A:$B,2,FALSE),"")</f>
        <v/>
      </c>
      <c r="AR56" s="50" t="str">
        <f>IFERROR(VLOOKUP([2]Pointage!AV50,Feuil1!$A:$B,2,FALSE),"")</f>
        <v/>
      </c>
      <c r="AS56" s="50" t="str">
        <f>IFERROR(VLOOKUP([2]Pointage!AW50,Feuil1!$A:$B,2,FALSE),"")</f>
        <v/>
      </c>
      <c r="AT56" s="50" t="str">
        <f>IFERROR(VLOOKUP([2]Pointage!AX50,Feuil1!$A:$B,2,FALSE),"")</f>
        <v/>
      </c>
      <c r="AU56" s="50" t="str">
        <f>IFERROR(VLOOKUP([2]Pointage!AY50,Feuil1!$A:$B,2,FALSE),"")</f>
        <v/>
      </c>
      <c r="AV56" s="50" t="str">
        <f>IFERROR(VLOOKUP([2]Pointage!AZ50,Feuil1!$A:$B,2,FALSE),"")</f>
        <v/>
      </c>
      <c r="AW56" s="50" t="str">
        <f>IFERROR(VLOOKUP([2]Pointage!BA50,Feuil1!$A:$B,2,FALSE),"")</f>
        <v/>
      </c>
      <c r="AX56" s="50" t="str">
        <f>IFERROR(VLOOKUP([2]Pointage!BB50,Feuil1!$A:$B,2,FALSE),"")</f>
        <v/>
      </c>
      <c r="AY56" s="50" t="str">
        <f>IFERROR(VLOOKUP([2]Pointage!BC50,Feuil1!$A:$B,2,FALSE),"")</f>
        <v/>
      </c>
      <c r="AZ56" s="50" t="str">
        <f>IFERROR(VLOOKUP([2]Pointage!BD50,Feuil1!$A:$B,2,FALSE),"")</f>
        <v/>
      </c>
      <c r="BA56" s="50" t="str">
        <f>IFERROR(VLOOKUP([2]Pointage!BE50,Feuil1!$A:$B,2,FALSE),"")</f>
        <v/>
      </c>
      <c r="BB56" s="50" t="str">
        <f>IFERROR(VLOOKUP([2]Pointage!BF50,Feuil1!$A:$B,2,FALSE),"")</f>
        <v/>
      </c>
      <c r="BC56" s="50" t="str">
        <f>IFERROR(VLOOKUP([2]Pointage!BG50,Feuil1!$A:$B,2,FALSE),"")</f>
        <v/>
      </c>
      <c r="BD56" s="50" t="str">
        <f>IFERROR(VLOOKUP([2]Pointage!BH50,Feuil1!$A:$B,2,FALSE),"")</f>
        <v/>
      </c>
      <c r="BE56" s="50" t="str">
        <f>IFERROR(VLOOKUP([2]Pointage!BI50,Feuil1!$A:$B,2,FALSE),"")</f>
        <v/>
      </c>
      <c r="BF56" s="50" t="str">
        <f>IFERROR(VLOOKUP([2]Pointage!BJ50,Feuil1!$A:$B,2,FALSE),"")</f>
        <v/>
      </c>
      <c r="BG56" s="50" t="str">
        <f>IFERROR(VLOOKUP([2]Pointage!BK50,Feuil1!$A:$B,2,FALSE),"")</f>
        <v/>
      </c>
      <c r="BH56" s="50" t="str">
        <f>IFERROR(VLOOKUP([2]Pointage!BL50,Feuil1!$A:$B,2,FALSE),"")</f>
        <v/>
      </c>
      <c r="BI56" s="50" t="str">
        <f>IFERROR(VLOOKUP([2]Pointage!BM50,Feuil1!$A:$B,2,FALSE),"")</f>
        <v/>
      </c>
      <c r="BJ56" s="50" t="str">
        <f>IFERROR(VLOOKUP([2]Pointage!BN50,Feuil1!$A:$B,2,FALSE),"")</f>
        <v/>
      </c>
      <c r="BK56" s="50" t="str">
        <f>IFERROR(VLOOKUP([2]Pointage!BO50,Feuil1!$A:$B,2,FALSE),"")</f>
        <v/>
      </c>
      <c r="BL56" s="83" t="str">
        <f>IFERROR(VLOOKUP([2]Pointage!BP50,Feuil1!$A:$B,2,FALSE),"")</f>
        <v/>
      </c>
      <c r="BM56" s="49" t="str">
        <f>IFERROR(VLOOKUP([2]Pointage!BQ50,Feuil1!$A:$B,2,FALSE),"")</f>
        <v/>
      </c>
      <c r="BN56" s="50" t="str">
        <f>IFERROR(VLOOKUP([2]Pointage!BR50,Feuil1!$A:$B,2,FALSE),"")</f>
        <v/>
      </c>
      <c r="BO56" s="50" t="str">
        <f>IFERROR(VLOOKUP([2]Pointage!BS50,Feuil1!$A:$B,2,FALSE),"")</f>
        <v/>
      </c>
      <c r="BP56" s="50" t="str">
        <f>IFERROR(VLOOKUP([2]Pointage!BT50,Feuil1!$A:$B,2,FALSE),"")</f>
        <v/>
      </c>
      <c r="BQ56" s="50" t="str">
        <f>IFERROR(VLOOKUP([2]Pointage!BU50,Feuil1!$A:$B,2,FALSE),"")</f>
        <v/>
      </c>
      <c r="BR56" s="50" t="str">
        <f>IFERROR(VLOOKUP([2]Pointage!BV50,Feuil1!$A:$B,2,FALSE),"")</f>
        <v/>
      </c>
      <c r="BS56" s="50" t="str">
        <f>IFERROR(VLOOKUP([2]Pointage!BW50,Feuil1!$A:$B,2,FALSE),"")</f>
        <v/>
      </c>
      <c r="BT56" s="50" t="str">
        <f>IFERROR(VLOOKUP([2]Pointage!BX50,Feuil1!$A:$B,2,FALSE),"")</f>
        <v/>
      </c>
      <c r="BU56" s="50" t="str">
        <f>IFERROR(VLOOKUP([2]Pointage!BY50,Feuil1!$A:$B,2,FALSE),"")</f>
        <v/>
      </c>
      <c r="BV56" s="50" t="str">
        <f>IFERROR(VLOOKUP([2]Pointage!BZ50,Feuil1!$A:$B,2,FALSE),"")</f>
        <v/>
      </c>
      <c r="BW56" s="50" t="str">
        <f>IFERROR(VLOOKUP([2]Pointage!CA50,Feuil1!$A:$B,2,FALSE),"")</f>
        <v/>
      </c>
      <c r="BX56" s="50" t="str">
        <f>IFERROR(VLOOKUP([2]Pointage!CB50,Feuil1!$A:$B,2,FALSE),"")</f>
        <v/>
      </c>
      <c r="BY56" s="50" t="str">
        <f>IFERROR(VLOOKUP([2]Pointage!CC50,Feuil1!$A:$B,2,FALSE),"")</f>
        <v/>
      </c>
      <c r="BZ56" s="50" t="str">
        <f>IFERROR(VLOOKUP([2]Pointage!CD50,Feuil1!$A:$B,2,FALSE),"")</f>
        <v/>
      </c>
      <c r="CA56" s="50" t="str">
        <f>IFERROR(VLOOKUP([2]Pointage!CE50,Feuil1!$A:$B,2,FALSE),"")</f>
        <v/>
      </c>
      <c r="CB56" s="50" t="str">
        <f>IFERROR(VLOOKUP([2]Pointage!CF50,Feuil1!$A:$B,2,FALSE),"")</f>
        <v>C</v>
      </c>
      <c r="CC56" s="50" t="str">
        <f>IFERROR(VLOOKUP([2]Pointage!CG50,Feuil1!$A:$B,2,FALSE),"")</f>
        <v/>
      </c>
      <c r="CD56" s="50" t="str">
        <f>IFERROR(VLOOKUP([2]Pointage!CH50,Feuil1!$A:$B,2,FALSE),"")</f>
        <v/>
      </c>
      <c r="CE56" s="50" t="str">
        <f>IFERROR(VLOOKUP([2]Pointage!CI50,Feuil1!$A:$B,2,FALSE),"")</f>
        <v/>
      </c>
      <c r="CF56" s="50" t="str">
        <f>IFERROR(VLOOKUP([2]Pointage!CJ50,Feuil1!$A:$B,2,FALSE),"")</f>
        <v/>
      </c>
      <c r="CG56" s="50" t="str">
        <f>IFERROR(VLOOKUP([2]Pointage!CK50,Feuil1!$A:$B,2,FALSE),"")</f>
        <v/>
      </c>
      <c r="CH56" s="50" t="str">
        <f>IFERROR(VLOOKUP([2]Pointage!CL50,Feuil1!$A:$B,2,FALSE),"")</f>
        <v/>
      </c>
      <c r="CI56" s="50" t="str">
        <f>IFERROR(VLOOKUP([2]Pointage!CM50,Feuil1!$A:$B,2,FALSE),"")</f>
        <v/>
      </c>
      <c r="CJ56" s="50" t="str">
        <f>IFERROR(VLOOKUP([2]Pointage!CN50,Feuil1!$A:$B,2,FALSE),"")</f>
        <v/>
      </c>
      <c r="CK56" s="50" t="str">
        <f>IFERROR(VLOOKUP([2]Pointage!CO50,Feuil1!$A:$B,2,FALSE),"")</f>
        <v/>
      </c>
      <c r="CL56" s="50" t="str">
        <f>IFERROR(VLOOKUP([2]Pointage!CP50,Feuil1!$A:$B,2,FALSE),"")</f>
        <v/>
      </c>
      <c r="CM56" s="50" t="str">
        <f>IFERROR(VLOOKUP([2]Pointage!CQ50,Feuil1!$A:$B,2,FALSE),"")</f>
        <v/>
      </c>
      <c r="CN56" s="50" t="str">
        <f>IFERROR(VLOOKUP([2]Pointage!CR50,Feuil1!$A:$B,2,FALSE),"")</f>
        <v/>
      </c>
      <c r="CO56" s="50" t="str">
        <f>IFERROR(VLOOKUP([2]Pointage!CS50,Feuil1!$A:$B,2,FALSE),"")</f>
        <v/>
      </c>
      <c r="CP56" s="50" t="str">
        <f>IFERROR(VLOOKUP([2]Pointage!CT50,Feuil1!$A:$B,2,FALSE),"")</f>
        <v/>
      </c>
      <c r="CQ56" s="83" t="str">
        <f>IFERROR(VLOOKUP([2]Pointage!CU50,Feuil1!$A:$B,2,FALSE),"")</f>
        <v/>
      </c>
      <c r="CR56" s="49" t="str">
        <f>IFERROR(VLOOKUP([2]Pointage!CV50,Feuil1!$A:$B,2,FALSE),"")</f>
        <v/>
      </c>
      <c r="CS56" s="50" t="str">
        <f>IFERROR(VLOOKUP([2]Pointage!CW50,Feuil1!$A:$B,2,FALSE),"")</f>
        <v/>
      </c>
      <c r="CT56" s="50" t="str">
        <f>IFERROR(VLOOKUP([2]Pointage!CX50,Feuil1!$A:$B,2,FALSE),"")</f>
        <v/>
      </c>
      <c r="CU56" s="50" t="str">
        <f>IFERROR(VLOOKUP([2]Pointage!CY50,Feuil1!$A:$B,2,FALSE),"")</f>
        <v/>
      </c>
      <c r="CV56" s="50" t="str">
        <f>IFERROR(VLOOKUP([2]Pointage!CZ50,Feuil1!$A:$B,2,FALSE),"")</f>
        <v/>
      </c>
      <c r="CW56" s="50" t="str">
        <f>IFERROR(VLOOKUP([2]Pointage!DA50,Feuil1!$A:$B,2,FALSE),"")</f>
        <v/>
      </c>
      <c r="CX56" s="50" t="str">
        <f>IFERROR(VLOOKUP([2]Pointage!DB50,Feuil1!$A:$B,2,FALSE),"")</f>
        <v/>
      </c>
      <c r="CY56" s="50" t="str">
        <f>IFERROR(VLOOKUP([2]Pointage!DC50,Feuil1!$A:$B,2,FALSE),"")</f>
        <v/>
      </c>
      <c r="CZ56" s="50" t="str">
        <f>IFERROR(VLOOKUP([2]Pointage!DD50,Feuil1!$A:$B,2,FALSE),"")</f>
        <v/>
      </c>
      <c r="DA56" s="50" t="str">
        <f>IFERROR(VLOOKUP([2]Pointage!DE50,Feuil1!$A:$B,2,FALSE),"")</f>
        <v/>
      </c>
      <c r="DB56" s="50" t="str">
        <f>IFERROR(VLOOKUP([2]Pointage!DF50,Feuil1!$A:$B,2,FALSE),"")</f>
        <v/>
      </c>
      <c r="DC56" s="50" t="str">
        <f>IFERROR(VLOOKUP([2]Pointage!DG50,Feuil1!$A:$B,2,FALSE),"")</f>
        <v/>
      </c>
      <c r="DD56" s="50" t="str">
        <f>IFERROR(VLOOKUP([2]Pointage!DH50,Feuil1!$A:$B,2,FALSE),"")</f>
        <v/>
      </c>
      <c r="DE56" s="50" t="str">
        <f>IFERROR(VLOOKUP([2]Pointage!DI50,Feuil1!$A:$B,2,FALSE),"")</f>
        <v/>
      </c>
      <c r="DF56" s="50" t="str">
        <f>IFERROR(VLOOKUP([2]Pointage!DJ50,Feuil1!$A:$B,2,FALSE),"")</f>
        <v/>
      </c>
      <c r="DG56" s="50" t="str">
        <f>IFERROR(VLOOKUP([2]Pointage!DK50,Feuil1!$A:$B,2,FALSE),"")</f>
        <v/>
      </c>
      <c r="DH56" s="50" t="str">
        <f>IFERROR(VLOOKUP([2]Pointage!DL50,Feuil1!$A:$B,2,FALSE),"")</f>
        <v/>
      </c>
      <c r="DI56" s="50" t="str">
        <f>IFERROR(VLOOKUP([2]Pointage!DM50,Feuil1!$A:$B,2,FALSE),"")</f>
        <v/>
      </c>
      <c r="DJ56" s="50" t="str">
        <f>IFERROR(VLOOKUP([2]Pointage!DN50,Feuil1!$A:$B,2,FALSE),"")</f>
        <v/>
      </c>
      <c r="DK56" s="50" t="str">
        <f>IFERROR(VLOOKUP([2]Pointage!DO50,Feuil1!$A:$B,2,FALSE),"")</f>
        <v/>
      </c>
      <c r="DL56" s="50" t="str">
        <f>IFERROR(VLOOKUP([2]Pointage!DP50,Feuil1!$A:$B,2,FALSE),"")</f>
        <v/>
      </c>
      <c r="DM56" s="50" t="str">
        <f>IFERROR(VLOOKUP([2]Pointage!DQ50,Feuil1!$A:$B,2,FALSE),"")</f>
        <v/>
      </c>
      <c r="DN56" s="50" t="str">
        <f>IFERROR(VLOOKUP([2]Pointage!DR50,Feuil1!$A:$B,2,FALSE),"")</f>
        <v/>
      </c>
      <c r="DO56" s="50" t="str">
        <f>IFERROR(VLOOKUP([2]Pointage!DS50,Feuil1!$A:$B,2,FALSE),"")</f>
        <v/>
      </c>
      <c r="DP56" s="50" t="str">
        <f>IFERROR(VLOOKUP([2]Pointage!DT50,Feuil1!$A:$B,2,FALSE),"")</f>
        <v/>
      </c>
      <c r="DQ56" s="50" t="str">
        <f>IFERROR(VLOOKUP([2]Pointage!DU50,Feuil1!$A:$B,2,FALSE),"")</f>
        <v/>
      </c>
      <c r="DR56" s="50" t="str">
        <f>IFERROR(VLOOKUP([2]Pointage!DV50,Feuil1!$A:$B,2,FALSE),"")</f>
        <v/>
      </c>
      <c r="DS56" s="50" t="str">
        <f>IFERROR(VLOOKUP([2]Pointage!DW50,Feuil1!$A:$B,2,FALSE),"")</f>
        <v/>
      </c>
      <c r="DT56" s="50" t="str">
        <f>IFERROR(VLOOKUP([2]Pointage!DX50,Feuil1!$A:$B,2,FALSE),"")</f>
        <v/>
      </c>
      <c r="DU56" s="83" t="str">
        <f>IFERROR(VLOOKUP([2]Pointage!DY50,Feuil1!$A:$B,2,FALSE),"")</f>
        <v/>
      </c>
      <c r="DV56" s="49" t="str">
        <f>IFERROR(VLOOKUP([2]Pointage!DZ50,Feuil1!$A:$B,2,FALSE),"")</f>
        <v/>
      </c>
      <c r="DW56" s="50" t="str">
        <f>IFERROR(VLOOKUP([2]Pointage!EA50,Feuil1!$A:$B,2,FALSE),"")</f>
        <v/>
      </c>
      <c r="DX56" s="50" t="str">
        <f>IFERROR(VLOOKUP([2]Pointage!EB50,Feuil1!$A:$B,2,FALSE),"")</f>
        <v/>
      </c>
      <c r="DY56" s="50" t="str">
        <f>IFERROR(VLOOKUP([2]Pointage!EC50,Feuil1!$A:$B,2,FALSE),"")</f>
        <v/>
      </c>
      <c r="DZ56" s="50" t="str">
        <f>IFERROR(VLOOKUP([2]Pointage!ED50,Feuil1!$A:$B,2,FALSE),"")</f>
        <v/>
      </c>
      <c r="EA56" s="50" t="str">
        <f>IFERROR(VLOOKUP([2]Pointage!EE50,Feuil1!$A:$B,2,FALSE),"")</f>
        <v/>
      </c>
      <c r="EB56" s="50" t="str">
        <f>IFERROR(VLOOKUP([2]Pointage!EF50,Feuil1!$A:$B,2,FALSE),"")</f>
        <v/>
      </c>
      <c r="EC56" s="50" t="str">
        <f>IFERROR(VLOOKUP([2]Pointage!EG50,Feuil1!$A:$B,2,FALSE),"")</f>
        <v/>
      </c>
      <c r="ED56" s="50" t="str">
        <f>IFERROR(VLOOKUP([2]Pointage!EH50,Feuil1!$A:$B,2,FALSE),"")</f>
        <v/>
      </c>
      <c r="EE56" s="50" t="str">
        <f>IFERROR(VLOOKUP([2]Pointage!EI50,Feuil1!$A:$B,2,FALSE),"")</f>
        <v/>
      </c>
      <c r="EF56" s="50" t="str">
        <f>IFERROR(VLOOKUP([2]Pointage!EJ50,Feuil1!$A:$B,2,FALSE),"")</f>
        <v/>
      </c>
      <c r="EG56" s="50" t="str">
        <f>IFERROR(VLOOKUP([2]Pointage!EK50,Feuil1!$A:$B,2,FALSE),"")</f>
        <v/>
      </c>
      <c r="EH56" s="50" t="str">
        <f>IFERROR(VLOOKUP([2]Pointage!EL50,Feuil1!$A:$B,2,FALSE),"")</f>
        <v/>
      </c>
      <c r="EI56" s="50" t="str">
        <f>IFERROR(VLOOKUP([2]Pointage!EM50,Feuil1!$A:$B,2,FALSE),"")</f>
        <v>C</v>
      </c>
      <c r="EJ56" s="50" t="str">
        <f>IFERROR(VLOOKUP([2]Pointage!EN50,Feuil1!$A:$B,2,FALSE),"")</f>
        <v>C</v>
      </c>
      <c r="EK56" s="50" t="str">
        <f>IFERROR(VLOOKUP([2]Pointage!EO50,Feuil1!$A:$B,2,FALSE),"")</f>
        <v>C</v>
      </c>
      <c r="EL56" s="50" t="str">
        <f>IFERROR(VLOOKUP([2]Pointage!EP50,Feuil1!$A:$B,2,FALSE),"")</f>
        <v>C</v>
      </c>
      <c r="EM56" s="50" t="str">
        <f>IFERROR(VLOOKUP([2]Pointage!EQ50,Feuil1!$A:$B,2,FALSE),"")</f>
        <v>C</v>
      </c>
      <c r="EN56" s="50" t="str">
        <f>IFERROR(VLOOKUP([2]Pointage!ER50,Feuil1!$A:$B,2,FALSE),"")</f>
        <v/>
      </c>
      <c r="EO56" s="50" t="str">
        <f>IFERROR(VLOOKUP([2]Pointage!ES50,Feuil1!$A:$B,2,FALSE),"")</f>
        <v/>
      </c>
      <c r="EP56" s="50" t="str">
        <f>IFERROR(VLOOKUP([2]Pointage!ET50,Feuil1!$A:$B,2,FALSE),"")</f>
        <v/>
      </c>
      <c r="EQ56" s="50" t="str">
        <f>IFERROR(VLOOKUP([2]Pointage!EU50,Feuil1!$A:$B,2,FALSE),"")</f>
        <v/>
      </c>
      <c r="ER56" s="50" t="str">
        <f>IFERROR(VLOOKUP([2]Pointage!EV50,Feuil1!$A:$B,2,FALSE),"")</f>
        <v/>
      </c>
      <c r="ES56" s="50" t="str">
        <f>IFERROR(VLOOKUP([2]Pointage!EW50,Feuil1!$A:$B,2,FALSE),"")</f>
        <v/>
      </c>
      <c r="ET56" s="50" t="str">
        <f>IFERROR(VLOOKUP([2]Pointage!EX50,Feuil1!$A:$B,2,FALSE),"")</f>
        <v/>
      </c>
      <c r="EU56" s="50" t="str">
        <f>IFERROR(VLOOKUP([2]Pointage!EY50,Feuil1!$A:$B,2,FALSE),"")</f>
        <v/>
      </c>
      <c r="EV56" s="50" t="str">
        <f>IFERROR(VLOOKUP([2]Pointage!EZ50,Feuil1!$A:$B,2,FALSE),"")</f>
        <v/>
      </c>
      <c r="EW56" s="50" t="str">
        <f>IFERROR(VLOOKUP([2]Pointage!FA50,Feuil1!$A:$B,2,FALSE),"")</f>
        <v>RTT</v>
      </c>
      <c r="EX56" s="50" t="str">
        <f>IFERROR(VLOOKUP([2]Pointage!FB50,Feuil1!$A:$B,2,FALSE),"")</f>
        <v>RTT</v>
      </c>
      <c r="EY56" s="50" t="str">
        <f>IFERROR(VLOOKUP([2]Pointage!FC50,Feuil1!$A:$B,2,FALSE),"")</f>
        <v>RTT</v>
      </c>
      <c r="EZ56" s="83" t="str">
        <f>IFERROR(VLOOKUP([2]Pointage!FD50,Feuil1!$A:$B,2,FALSE),"")</f>
        <v>C</v>
      </c>
      <c r="FA56" s="49" t="str">
        <f>IFERROR(VLOOKUP([2]Pointage!FE50,Feuil1!$A:$B,2,FALSE),"")</f>
        <v>C</v>
      </c>
      <c r="FB56" s="50" t="str">
        <f>IFERROR(VLOOKUP([2]Pointage!FF50,Feuil1!$A:$B,2,FALSE),"")</f>
        <v/>
      </c>
      <c r="FC56" s="50" t="str">
        <f>IFERROR(VLOOKUP([2]Pointage!FG50,Feuil1!$A:$B,2,FALSE),"")</f>
        <v/>
      </c>
      <c r="FD56" s="50" t="str">
        <f>IFERROR(VLOOKUP([2]Pointage!FH50,Feuil1!$A:$B,2,FALSE),"")</f>
        <v/>
      </c>
      <c r="FE56" s="50" t="str">
        <f>IFERROR(VLOOKUP([2]Pointage!FI50,Feuil1!$A:$B,2,FALSE),"")</f>
        <v/>
      </c>
      <c r="FF56" s="50" t="str">
        <f>IFERROR(VLOOKUP([2]Pointage!FJ50,Feuil1!$A:$B,2,FALSE),"")</f>
        <v/>
      </c>
      <c r="FG56" s="50" t="str">
        <f>IFERROR(VLOOKUP([2]Pointage!FK50,Feuil1!$A:$B,2,FALSE),"")</f>
        <v/>
      </c>
      <c r="FH56" s="50" t="str">
        <f>IFERROR(VLOOKUP([2]Pointage!FL50,Feuil1!$A:$B,2,FALSE),"")</f>
        <v/>
      </c>
      <c r="FI56" s="50" t="str">
        <f>IFERROR(VLOOKUP([2]Pointage!FM50,Feuil1!$A:$B,2,FALSE),"")</f>
        <v/>
      </c>
      <c r="FJ56" s="50" t="str">
        <f>IFERROR(VLOOKUP([2]Pointage!FN50,Feuil1!$A:$B,2,FALSE),"")</f>
        <v/>
      </c>
      <c r="FK56" s="50" t="str">
        <f>IFERROR(VLOOKUP([2]Pointage!FO50,Feuil1!$A:$B,2,FALSE),"")</f>
        <v/>
      </c>
      <c r="FL56" s="50" t="str">
        <f>IFERROR(VLOOKUP([2]Pointage!FP50,Feuil1!$A:$B,2,FALSE),"")</f>
        <v/>
      </c>
      <c r="FM56" s="50" t="str">
        <f>IFERROR(VLOOKUP([2]Pointage!FQ50,Feuil1!$A:$B,2,FALSE),"")</f>
        <v/>
      </c>
      <c r="FN56" s="50" t="str">
        <f>IFERROR(VLOOKUP([2]Pointage!FR50,Feuil1!$A:$B,2,FALSE),"")</f>
        <v/>
      </c>
      <c r="FO56" s="50" t="str">
        <f>IFERROR(VLOOKUP([2]Pointage!FS50,Feuil1!$A:$B,2,FALSE),"")</f>
        <v/>
      </c>
      <c r="FP56" s="50" t="str">
        <f>IFERROR(VLOOKUP([2]Pointage!FT50,Feuil1!$A:$B,2,FALSE),"")</f>
        <v/>
      </c>
      <c r="FQ56" s="50" t="str">
        <f>IFERROR(VLOOKUP([2]Pointage!FU50,Feuil1!$A:$B,2,FALSE),"")</f>
        <v/>
      </c>
      <c r="FR56" s="50" t="str">
        <f>IFERROR(VLOOKUP([2]Pointage!FV50,Feuil1!$A:$B,2,FALSE),"")</f>
        <v/>
      </c>
      <c r="FS56" s="50" t="str">
        <f>IFERROR(VLOOKUP([2]Pointage!FW50,Feuil1!$A:$B,2,FALSE),"")</f>
        <v/>
      </c>
      <c r="FT56" s="50" t="str">
        <f>IFERROR(VLOOKUP([2]Pointage!FX50,Feuil1!$A:$B,2,FALSE),"")</f>
        <v/>
      </c>
      <c r="FU56" s="50" t="str">
        <f>IFERROR(VLOOKUP([2]Pointage!FY50,Feuil1!$A:$B,2,FALSE),"")</f>
        <v/>
      </c>
      <c r="FV56" s="50" t="str">
        <f>IFERROR(VLOOKUP([2]Pointage!FZ50,Feuil1!$A:$B,2,FALSE),"")</f>
        <v/>
      </c>
      <c r="FW56" s="50" t="str">
        <f>IFERROR(VLOOKUP([2]Pointage!GA50,Feuil1!$A:$B,2,FALSE),"")</f>
        <v/>
      </c>
      <c r="FX56" s="50" t="str">
        <f>IFERROR(VLOOKUP([2]Pointage!GB50,Feuil1!$A:$B,2,FALSE),"")</f>
        <v/>
      </c>
      <c r="FY56" s="50" t="str">
        <f>IFERROR(VLOOKUP([2]Pointage!GC50,Feuil1!$A:$B,2,FALSE),"")</f>
        <v/>
      </c>
      <c r="FZ56" s="50" t="str">
        <f>IFERROR(VLOOKUP([2]Pointage!GD50,Feuil1!$A:$B,2,FALSE),"")</f>
        <v/>
      </c>
      <c r="GA56" s="50" t="str">
        <f>IFERROR(VLOOKUP([2]Pointage!GE50,Feuil1!$A:$B,2,FALSE),"")</f>
        <v/>
      </c>
      <c r="GB56" s="50" t="str">
        <f>IFERROR(VLOOKUP([2]Pointage!GF50,Feuil1!$A:$B,2,FALSE),"")</f>
        <v/>
      </c>
      <c r="GC56" s="50" t="str">
        <f>IFERROR(VLOOKUP([2]Pointage!GG50,Feuil1!$A:$B,2,FALSE),"")</f>
        <v/>
      </c>
      <c r="GD56" s="83" t="str">
        <f>IFERROR(VLOOKUP([2]Pointage!GH50,Feuil1!$A:$B,2,FALSE),"")</f>
        <v/>
      </c>
      <c r="GE56" s="49" t="str">
        <f>IFERROR(VLOOKUP([2]Pointage!GI50,Feuil1!$A:$B,2,FALSE),"")</f>
        <v/>
      </c>
      <c r="GF56" s="50" t="str">
        <f>IFERROR(VLOOKUP([2]Pointage!GJ50,Feuil1!$A:$B,2,FALSE),"")</f>
        <v/>
      </c>
      <c r="GG56" s="50" t="str">
        <f>IFERROR(VLOOKUP([2]Pointage!GK50,Feuil1!$A:$B,2,FALSE),"")</f>
        <v/>
      </c>
      <c r="GH56" s="50" t="str">
        <f>IFERROR(VLOOKUP([2]Pointage!GL50,Feuil1!$A:$B,2,FALSE),"")</f>
        <v/>
      </c>
      <c r="GI56" s="50" t="str">
        <f>IFERROR(VLOOKUP([2]Pointage!GM50,Feuil1!$A:$B,2,FALSE),"")</f>
        <v/>
      </c>
      <c r="GJ56" s="50" t="str">
        <f>IFERROR(VLOOKUP([2]Pointage!GN50,Feuil1!$A:$B,2,FALSE),"")</f>
        <v/>
      </c>
      <c r="GK56" s="50" t="str">
        <f>IFERROR(VLOOKUP([2]Pointage!GO50,Feuil1!$A:$B,2,FALSE),"")</f>
        <v/>
      </c>
      <c r="GL56" s="50" t="str">
        <f>IFERROR(VLOOKUP([2]Pointage!GP50,Feuil1!$A:$B,2,FALSE),"")</f>
        <v/>
      </c>
      <c r="GM56" s="50" t="str">
        <f>IFERROR(VLOOKUP([2]Pointage!GQ50,Feuil1!$A:$B,2,FALSE),"")</f>
        <v/>
      </c>
      <c r="GN56" s="50" t="str">
        <f>IFERROR(VLOOKUP([2]Pointage!GR50,Feuil1!$A:$B,2,FALSE),"")</f>
        <v/>
      </c>
      <c r="GO56" s="50" t="str">
        <f>IFERROR(VLOOKUP([2]Pointage!GS50,Feuil1!$A:$B,2,FALSE),"")</f>
        <v/>
      </c>
      <c r="GP56" s="50" t="str">
        <f>IFERROR(VLOOKUP([2]Pointage!GT50,Feuil1!$A:$B,2,FALSE),"")</f>
        <v/>
      </c>
      <c r="GQ56" s="50" t="str">
        <f>IFERROR(VLOOKUP([2]Pointage!GU50,Feuil1!$A:$B,2,FALSE),"")</f>
        <v/>
      </c>
      <c r="GR56" s="50" t="str">
        <f>IFERROR(VLOOKUP([2]Pointage!GV50,Feuil1!$A:$B,2,FALSE),"")</f>
        <v/>
      </c>
      <c r="GS56" s="50" t="str">
        <f>IFERROR(VLOOKUP([2]Pointage!GW50,Feuil1!$A:$B,2,FALSE),"")</f>
        <v/>
      </c>
      <c r="GT56" s="50" t="str">
        <f>IFERROR(VLOOKUP([2]Pointage!GX50,Feuil1!$A:$B,2,FALSE),"")</f>
        <v/>
      </c>
      <c r="GU56" s="50" t="str">
        <f>IFERROR(VLOOKUP([2]Pointage!GY50,Feuil1!$A:$B,2,FALSE),"")</f>
        <v/>
      </c>
      <c r="GV56" s="50" t="str">
        <f>IFERROR(VLOOKUP([2]Pointage!GZ50,Feuil1!$A:$B,2,FALSE),"")</f>
        <v/>
      </c>
      <c r="GW56" s="50" t="str">
        <f>IFERROR(VLOOKUP([2]Pointage!HA50,Feuil1!$A:$B,2,FALSE),"")</f>
        <v/>
      </c>
      <c r="GX56" s="50" t="str">
        <f>IFERROR(VLOOKUP([2]Pointage!HB50,Feuil1!$A:$B,2,FALSE),"")</f>
        <v/>
      </c>
      <c r="GY56" s="50" t="str">
        <f>IFERROR(VLOOKUP([2]Pointage!HC50,Feuil1!$A:$B,2,FALSE),"")</f>
        <v/>
      </c>
      <c r="GZ56" s="50" t="str">
        <f>IFERROR(VLOOKUP([2]Pointage!HD50,Feuil1!$A:$B,2,FALSE),"")</f>
        <v/>
      </c>
      <c r="HA56" s="50" t="str">
        <f>IFERROR(VLOOKUP([2]Pointage!HE50,Feuil1!$A:$B,2,FALSE),"")</f>
        <v/>
      </c>
      <c r="HB56" s="50" t="str">
        <f>IFERROR(VLOOKUP([2]Pointage!HF50,Feuil1!$A:$B,2,FALSE),"")</f>
        <v/>
      </c>
      <c r="HC56" s="50" t="str">
        <f>IFERROR(VLOOKUP([2]Pointage!HG50,Feuil1!$A:$B,2,FALSE),"")</f>
        <v/>
      </c>
      <c r="HD56" s="50" t="str">
        <f>IFERROR(VLOOKUP([2]Pointage!HH50,Feuil1!$A:$B,2,FALSE),"")</f>
        <v/>
      </c>
      <c r="HE56" s="50" t="str">
        <f>IFERROR(VLOOKUP([2]Pointage!HI50,Feuil1!$A:$B,2,FALSE),"")</f>
        <v/>
      </c>
      <c r="HF56" s="50" t="str">
        <f>IFERROR(VLOOKUP([2]Pointage!HJ50,Feuil1!$A:$B,2,FALSE),"")</f>
        <v/>
      </c>
      <c r="HG56" s="50" t="str">
        <f>IFERROR(VLOOKUP([2]Pointage!HK50,Feuil1!$A:$B,2,FALSE),"")</f>
        <v/>
      </c>
      <c r="HH56" s="50" t="str">
        <f>IFERROR(VLOOKUP([2]Pointage!HL50,Feuil1!$A:$B,2,FALSE),"")</f>
        <v/>
      </c>
      <c r="HI56" s="83" t="str">
        <f>IFERROR(VLOOKUP([2]Pointage!HM50,Feuil1!$A:$B,2,FALSE),"")</f>
        <v/>
      </c>
      <c r="HJ56" s="49" t="str">
        <f>IFERROR(VLOOKUP([2]Pointage!HN50,Feuil1!$A:$B,2,FALSE),"")</f>
        <v/>
      </c>
      <c r="HK56" s="50" t="str">
        <f>IFERROR(VLOOKUP([2]Pointage!HO50,Feuil1!$A:$B,2,FALSE),"")</f>
        <v/>
      </c>
      <c r="HL56" s="50" t="str">
        <f>IFERROR(VLOOKUP([2]Pointage!HP50,Feuil1!$A:$B,2,FALSE),"")</f>
        <v/>
      </c>
      <c r="HM56" s="50" t="str">
        <f>IFERROR(VLOOKUP([2]Pointage!HQ50,Feuil1!$A:$B,2,FALSE),"")</f>
        <v/>
      </c>
      <c r="HN56" s="50" t="str">
        <f>IFERROR(VLOOKUP([2]Pointage!HR50,Feuil1!$A:$B,2,FALSE),"")</f>
        <v/>
      </c>
      <c r="HO56" s="50" t="str">
        <f>IFERROR(VLOOKUP([2]Pointage!HS50,Feuil1!$A:$B,2,FALSE),"")</f>
        <v/>
      </c>
      <c r="HP56" s="50" t="str">
        <f>IFERROR(VLOOKUP([2]Pointage!HT50,Feuil1!$A:$B,2,FALSE),"")</f>
        <v/>
      </c>
      <c r="HQ56" s="50" t="str">
        <f>IFERROR(VLOOKUP([2]Pointage!HU50,Feuil1!$A:$B,2,FALSE),"")</f>
        <v/>
      </c>
      <c r="HR56" s="50" t="str">
        <f>IFERROR(VLOOKUP([2]Pointage!HV50,Feuil1!$A:$B,2,FALSE),"")</f>
        <v/>
      </c>
      <c r="HS56" s="50" t="str">
        <f>IFERROR(VLOOKUP([2]Pointage!HW50,Feuil1!$A:$B,2,FALSE),"")</f>
        <v/>
      </c>
      <c r="HT56" s="50" t="str">
        <f>IFERROR(VLOOKUP([2]Pointage!HX50,Feuil1!$A:$B,2,FALSE),"")</f>
        <v/>
      </c>
      <c r="HU56" s="50" t="str">
        <f>IFERROR(VLOOKUP([2]Pointage!HY50,Feuil1!$A:$B,2,FALSE),"")</f>
        <v/>
      </c>
      <c r="HV56" s="50" t="str">
        <f>IFERROR(VLOOKUP([2]Pointage!HZ50,Feuil1!$A:$B,2,FALSE),"")</f>
        <v/>
      </c>
      <c r="HW56" s="50" t="str">
        <f>IFERROR(VLOOKUP([2]Pointage!IA50,Feuil1!$A:$B,2,FALSE),"")</f>
        <v/>
      </c>
      <c r="HX56" s="50" t="str">
        <f>IFERROR(VLOOKUP([2]Pointage!IB50,Feuil1!$A:$B,2,FALSE),"")</f>
        <v/>
      </c>
      <c r="HY56" s="50" t="str">
        <f>IFERROR(VLOOKUP([2]Pointage!IC50,Feuil1!$A:$B,2,FALSE),"")</f>
        <v/>
      </c>
      <c r="HZ56" s="50" t="str">
        <f>IFERROR(VLOOKUP([2]Pointage!ID50,Feuil1!$A:$B,2,FALSE),"")</f>
        <v/>
      </c>
      <c r="IA56" s="50" t="str">
        <f>IFERROR(VLOOKUP([2]Pointage!IE50,Feuil1!$A:$B,2,FALSE),"")</f>
        <v/>
      </c>
      <c r="IB56" s="50" t="str">
        <f>IFERROR(VLOOKUP([2]Pointage!IF50,Feuil1!$A:$B,2,FALSE),"")</f>
        <v/>
      </c>
      <c r="IC56" s="50" t="str">
        <f>IFERROR(VLOOKUP([2]Pointage!IG50,Feuil1!$A:$B,2,FALSE),"")</f>
        <v/>
      </c>
      <c r="ID56" s="50" t="str">
        <f>IFERROR(VLOOKUP([2]Pointage!IH50,Feuil1!$A:$B,2,FALSE),"")</f>
        <v/>
      </c>
      <c r="IE56" s="50" t="str">
        <f>IFERROR(VLOOKUP([2]Pointage!II50,Feuil1!$A:$B,2,FALSE),"")</f>
        <v/>
      </c>
      <c r="IF56" s="50" t="str">
        <f>IFERROR(VLOOKUP([2]Pointage!IJ50,Feuil1!$A:$B,2,FALSE),"")</f>
        <v/>
      </c>
      <c r="IG56" s="50" t="str">
        <f>IFERROR(VLOOKUP([2]Pointage!IK50,Feuil1!$A:$B,2,FALSE),"")</f>
        <v/>
      </c>
      <c r="IH56" s="50" t="str">
        <f>IFERROR(VLOOKUP([2]Pointage!IL50,Feuil1!$A:$B,2,FALSE),"")</f>
        <v/>
      </c>
      <c r="II56" s="50" t="str">
        <f>IFERROR(VLOOKUP([2]Pointage!IM50,Feuil1!$A:$B,2,FALSE),"")</f>
        <v/>
      </c>
      <c r="IJ56" s="50" t="str">
        <f>IFERROR(VLOOKUP([2]Pointage!IN50,Feuil1!$A:$B,2,FALSE),"")</f>
        <v>C</v>
      </c>
      <c r="IK56" s="50" t="str">
        <f>IFERROR(VLOOKUP([2]Pointage!IO50,Feuil1!$A:$B,2,FALSE),"")</f>
        <v>C</v>
      </c>
      <c r="IL56" s="50" t="str">
        <f>IFERROR(VLOOKUP([2]Pointage!IP50,Feuil1!$A:$B,2,FALSE),"")</f>
        <v>C</v>
      </c>
      <c r="IM56" s="50" t="str">
        <f>IFERROR(VLOOKUP([2]Pointage!IQ50,Feuil1!$A:$B,2,FALSE),"")</f>
        <v>C</v>
      </c>
      <c r="IN56" s="83" t="str">
        <f>IFERROR(VLOOKUP([2]Pointage!IR50,Feuil1!$A:$B,2,FALSE),"")</f>
        <v>C</v>
      </c>
      <c r="IO56" s="49" t="str">
        <f>IFERROR(VLOOKUP([2]Pointage!IS50,Feuil1!$A:$B,2,FALSE),"")</f>
        <v/>
      </c>
      <c r="IP56" s="50" t="str">
        <f>IFERROR(VLOOKUP([2]Pointage!IT50,Feuil1!$A:$B,2,FALSE),"")</f>
        <v/>
      </c>
      <c r="IQ56" s="50" t="str">
        <f>IFERROR(VLOOKUP([2]Pointage!IU50,Feuil1!$A:$B,2,FALSE),"")</f>
        <v>C</v>
      </c>
      <c r="IR56" s="50" t="str">
        <f>IFERROR(VLOOKUP([2]Pointage!IV50,Feuil1!$A:$B,2,FALSE),"")</f>
        <v>C</v>
      </c>
      <c r="IS56" s="50" t="str">
        <f>IFERROR(VLOOKUP([2]Pointage!IW50,Feuil1!$A:$B,2,FALSE),"")</f>
        <v>C</v>
      </c>
      <c r="IT56" s="50" t="str">
        <f>IFERROR(VLOOKUP([2]Pointage!IX50,Feuil1!$A:$B,2,FALSE),"")</f>
        <v>C</v>
      </c>
      <c r="IU56" s="50" t="str">
        <f>IFERROR(VLOOKUP([2]Pointage!IY50,Feuil1!$A:$B,2,FALSE),"")</f>
        <v>C</v>
      </c>
      <c r="IV56" s="50" t="str">
        <f>IFERROR(VLOOKUP([2]Pointage!IZ50,Feuil1!$A:$B,2,FALSE),"")</f>
        <v/>
      </c>
      <c r="IW56" s="50" t="str">
        <f>IFERROR(VLOOKUP([2]Pointage!JA50,Feuil1!$A:$B,2,FALSE),"")</f>
        <v/>
      </c>
      <c r="IX56" s="50" t="str">
        <f>IFERROR(VLOOKUP([2]Pointage!JB50,Feuil1!$A:$B,2,FALSE),"")</f>
        <v>C</v>
      </c>
      <c r="IY56" s="50" t="str">
        <f>IFERROR(VLOOKUP([2]Pointage!JC50,Feuil1!$A:$B,2,FALSE),"")</f>
        <v>C</v>
      </c>
      <c r="IZ56" s="50" t="str">
        <f>IFERROR(VLOOKUP([2]Pointage!JD50,Feuil1!$A:$B,2,FALSE),"")</f>
        <v>C</v>
      </c>
      <c r="JA56" s="50" t="str">
        <f>IFERROR(VLOOKUP([2]Pointage!JE50,Feuil1!$A:$B,2,FALSE),"")</f>
        <v>C</v>
      </c>
      <c r="JB56" s="50" t="str">
        <f>IFERROR(VLOOKUP([2]Pointage!JF50,Feuil1!$A:$B,2,FALSE),"")</f>
        <v>C</v>
      </c>
      <c r="JC56" s="50" t="str">
        <f>IFERROR(VLOOKUP([2]Pointage!JG50,Feuil1!$A:$B,2,FALSE),"")</f>
        <v/>
      </c>
      <c r="JD56" s="50" t="str">
        <f>IFERROR(VLOOKUP([2]Pointage!JH50,Feuil1!$A:$B,2,FALSE),"")</f>
        <v/>
      </c>
      <c r="JE56" s="50" t="str">
        <f>IFERROR(VLOOKUP([2]Pointage!JI50,Feuil1!$A:$B,2,FALSE),"")</f>
        <v/>
      </c>
      <c r="JF56" s="50" t="str">
        <f>IFERROR(VLOOKUP([2]Pointage!JJ50,Feuil1!$A:$B,2,FALSE),"")</f>
        <v/>
      </c>
      <c r="JG56" s="50" t="str">
        <f>IFERROR(VLOOKUP([2]Pointage!JK50,Feuil1!$A:$B,2,FALSE),"")</f>
        <v/>
      </c>
      <c r="JH56" s="50" t="str">
        <f>IFERROR(VLOOKUP([2]Pointage!JL50,Feuil1!$A:$B,2,FALSE),"")</f>
        <v/>
      </c>
      <c r="JI56" s="50" t="str">
        <f>IFERROR(VLOOKUP([2]Pointage!JM50,Feuil1!$A:$B,2,FALSE),"")</f>
        <v/>
      </c>
      <c r="JJ56" s="50" t="str">
        <f>IFERROR(VLOOKUP([2]Pointage!JN50,Feuil1!$A:$B,2,FALSE),"")</f>
        <v/>
      </c>
      <c r="JK56" s="50" t="str">
        <f>IFERROR(VLOOKUP([2]Pointage!JO50,Feuil1!$A:$B,2,FALSE),"")</f>
        <v/>
      </c>
      <c r="JL56" s="50" t="str">
        <f>IFERROR(VLOOKUP([2]Pointage!JP50,Feuil1!$A:$B,2,FALSE),"")</f>
        <v/>
      </c>
      <c r="JM56" s="50" t="str">
        <f>IFERROR(VLOOKUP([2]Pointage!JQ50,Feuil1!$A:$B,2,FALSE),"")</f>
        <v/>
      </c>
      <c r="JN56" s="50" t="str">
        <f>IFERROR(VLOOKUP([2]Pointage!JR50,Feuil1!$A:$B,2,FALSE),"")</f>
        <v/>
      </c>
      <c r="JO56" s="50" t="str">
        <f>IFERROR(VLOOKUP([2]Pointage!JS50,Feuil1!$A:$B,2,FALSE),"")</f>
        <v/>
      </c>
      <c r="JP56" s="50" t="str">
        <f>IFERROR(VLOOKUP([2]Pointage!JT50,Feuil1!$A:$B,2,FALSE),"")</f>
        <v/>
      </c>
      <c r="JQ56" s="50" t="str">
        <f>IFERROR(VLOOKUP([2]Pointage!JU50,Feuil1!$A:$B,2,FALSE),"")</f>
        <v/>
      </c>
      <c r="JR56" s="83" t="str">
        <f>IFERROR(VLOOKUP([2]Pointage!JV50,Feuil1!$A:$B,2,FALSE),"")</f>
        <v/>
      </c>
      <c r="JS56" s="49" t="str">
        <f>IFERROR(VLOOKUP([2]Pointage!JW50,Feuil1!$A:$B,2,FALSE),"")</f>
        <v/>
      </c>
      <c r="JT56" s="50" t="str">
        <f>IFERROR(VLOOKUP([2]Pointage!JX50,Feuil1!$A:$B,2,FALSE),"")</f>
        <v/>
      </c>
      <c r="JU56" s="50" t="str">
        <f>IFERROR(VLOOKUP([2]Pointage!JY50,Feuil1!$A:$B,2,FALSE),"")</f>
        <v/>
      </c>
      <c r="JV56" s="50" t="str">
        <f>IFERROR(VLOOKUP([2]Pointage!JZ50,Feuil1!$A:$B,2,FALSE),"")</f>
        <v/>
      </c>
      <c r="JW56" s="50" t="str">
        <f>IFERROR(VLOOKUP([2]Pointage!KA50,Feuil1!$A:$B,2,FALSE),"")</f>
        <v/>
      </c>
      <c r="JX56" s="50" t="str">
        <f>IFERROR(VLOOKUP([2]Pointage!KB50,Feuil1!$A:$B,2,FALSE),"")</f>
        <v/>
      </c>
      <c r="JY56" s="50" t="str">
        <f>IFERROR(VLOOKUP([2]Pointage!KC50,Feuil1!$A:$B,2,FALSE),"")</f>
        <v/>
      </c>
      <c r="JZ56" s="50" t="str">
        <f>IFERROR(VLOOKUP([2]Pointage!KD50,Feuil1!$A:$B,2,FALSE),"")</f>
        <v/>
      </c>
      <c r="KA56" s="50" t="str">
        <f>IFERROR(VLOOKUP([2]Pointage!KE50,Feuil1!$A:$B,2,FALSE),"")</f>
        <v/>
      </c>
      <c r="KB56" s="50" t="str">
        <f>IFERROR(VLOOKUP([2]Pointage!KF50,Feuil1!$A:$B,2,FALSE),"")</f>
        <v/>
      </c>
      <c r="KC56" s="50" t="str">
        <f>IFERROR(VLOOKUP([2]Pointage!KG50,Feuil1!$A:$B,2,FALSE),"")</f>
        <v/>
      </c>
      <c r="KD56" s="50" t="str">
        <f>IFERROR(VLOOKUP([2]Pointage!KH50,Feuil1!$A:$B,2,FALSE),"")</f>
        <v/>
      </c>
      <c r="KE56" s="50" t="str">
        <f>IFERROR(VLOOKUP([2]Pointage!KI50,Feuil1!$A:$B,2,FALSE),"")</f>
        <v/>
      </c>
      <c r="KF56" s="50" t="str">
        <f>IFERROR(VLOOKUP([2]Pointage!KJ50,Feuil1!$A:$B,2,FALSE),"")</f>
        <v/>
      </c>
      <c r="KG56" s="50" t="str">
        <f>IFERROR(VLOOKUP([2]Pointage!KK50,Feuil1!$A:$B,2,FALSE),"")</f>
        <v/>
      </c>
      <c r="KH56" s="50" t="str">
        <f>IFERROR(VLOOKUP([2]Pointage!KL50,Feuil1!$A:$B,2,FALSE),"")</f>
        <v/>
      </c>
      <c r="KI56" s="50" t="str">
        <f>IFERROR(VLOOKUP([2]Pointage!KM50,Feuil1!$A:$B,2,FALSE),"")</f>
        <v/>
      </c>
      <c r="KJ56" s="50" t="str">
        <f>IFERROR(VLOOKUP([2]Pointage!KN50,Feuil1!$A:$B,2,FALSE),"")</f>
        <v/>
      </c>
      <c r="KK56" s="50" t="str">
        <f>IFERROR(VLOOKUP([2]Pointage!KO50,Feuil1!$A:$B,2,FALSE),"")</f>
        <v/>
      </c>
      <c r="KL56" s="50" t="str">
        <f>IFERROR(VLOOKUP([2]Pointage!KP50,Feuil1!$A:$B,2,FALSE),"")</f>
        <v/>
      </c>
      <c r="KM56" s="50" t="str">
        <f>IFERROR(VLOOKUP([2]Pointage!KQ50,Feuil1!$A:$B,2,FALSE),"")</f>
        <v/>
      </c>
      <c r="KN56" s="50" t="str">
        <f>IFERROR(VLOOKUP([2]Pointage!KR50,Feuil1!$A:$B,2,FALSE),"")</f>
        <v/>
      </c>
      <c r="KO56" s="50" t="str">
        <f>IFERROR(VLOOKUP([2]Pointage!KS50,Feuil1!$A:$B,2,FALSE),"")</f>
        <v/>
      </c>
      <c r="KP56" s="50" t="str">
        <f>IFERROR(VLOOKUP([2]Pointage!KT50,Feuil1!$A:$B,2,FALSE),"")</f>
        <v/>
      </c>
      <c r="KQ56" s="50" t="str">
        <f>IFERROR(VLOOKUP([2]Pointage!KU50,Feuil1!$A:$B,2,FALSE),"")</f>
        <v/>
      </c>
      <c r="KR56" s="50" t="str">
        <f>IFERROR(VLOOKUP([2]Pointage!KV50,Feuil1!$A:$B,2,FALSE),"")</f>
        <v/>
      </c>
      <c r="KS56" s="50" t="str">
        <f>IFERROR(VLOOKUP([2]Pointage!KW50,Feuil1!$A:$B,2,FALSE),"")</f>
        <v/>
      </c>
      <c r="KT56" s="50" t="str">
        <f>IFERROR(VLOOKUP([2]Pointage!KX50,Feuil1!$A:$B,2,FALSE),"")</f>
        <v/>
      </c>
      <c r="KU56" s="50" t="str">
        <f>IFERROR(VLOOKUP([2]Pointage!KY50,Feuil1!$A:$B,2,FALSE),"")</f>
        <v/>
      </c>
      <c r="KV56" s="50" t="str">
        <f>IFERROR(VLOOKUP([2]Pointage!KZ50,Feuil1!$A:$B,2,FALSE),"")</f>
        <v/>
      </c>
      <c r="KW56" s="83" t="str">
        <f>IFERROR(VLOOKUP([2]Pointage!LA50,Feuil1!$A:$B,2,FALSE),"")</f>
        <v/>
      </c>
      <c r="KX56" s="49" t="str">
        <f>IFERROR(VLOOKUP([2]Pointage!LB50,Feuil1!$A:$B,2,FALSE),"")</f>
        <v/>
      </c>
      <c r="KY56" s="50" t="str">
        <f>IFERROR(VLOOKUP([2]Pointage!LC50,Feuil1!$A:$B,2,FALSE),"")</f>
        <v/>
      </c>
      <c r="KZ56" s="50" t="str">
        <f>IFERROR(VLOOKUP([2]Pointage!LD50,Feuil1!$A:$B,2,FALSE),"")</f>
        <v/>
      </c>
      <c r="LA56" s="50" t="str">
        <f>IFERROR(VLOOKUP([2]Pointage!LE50,Feuil1!$A:$B,2,FALSE),"")</f>
        <v/>
      </c>
      <c r="LB56" s="50" t="str">
        <f>IFERROR(VLOOKUP([2]Pointage!LF50,Feuil1!$A:$B,2,FALSE),"")</f>
        <v/>
      </c>
      <c r="LC56" s="50" t="str">
        <f>IFERROR(VLOOKUP([2]Pointage!LG50,Feuil1!$A:$B,2,FALSE),"")</f>
        <v/>
      </c>
      <c r="LD56" s="50" t="str">
        <f>IFERROR(VLOOKUP([2]Pointage!LH50,Feuil1!$A:$B,2,FALSE),"")</f>
        <v/>
      </c>
      <c r="LE56" s="50" t="str">
        <f>IFERROR(VLOOKUP([2]Pointage!LI50,Feuil1!$A:$B,2,FALSE),"")</f>
        <v/>
      </c>
      <c r="LF56" s="50" t="str">
        <f>IFERROR(VLOOKUP([2]Pointage!LJ50,Feuil1!$A:$B,2,FALSE),"")</f>
        <v/>
      </c>
      <c r="LG56" s="50" t="str">
        <f>IFERROR(VLOOKUP([2]Pointage!LK50,Feuil1!$A:$B,2,FALSE),"")</f>
        <v/>
      </c>
      <c r="LH56" s="50" t="str">
        <f>IFERROR(VLOOKUP([2]Pointage!LL50,Feuil1!$A:$B,2,FALSE),"")</f>
        <v/>
      </c>
      <c r="LI56" s="50" t="str">
        <f>IFERROR(VLOOKUP([2]Pointage!LM50,Feuil1!$A:$B,2,FALSE),"")</f>
        <v/>
      </c>
      <c r="LJ56" s="50" t="str">
        <f>IFERROR(VLOOKUP([2]Pointage!LN50,Feuil1!$A:$B,2,FALSE),"")</f>
        <v/>
      </c>
      <c r="LK56" s="50" t="str">
        <f>IFERROR(VLOOKUP([2]Pointage!LO50,Feuil1!$A:$B,2,FALSE),"")</f>
        <v/>
      </c>
      <c r="LL56" s="50" t="str">
        <f>IFERROR(VLOOKUP([2]Pointage!LP50,Feuil1!$A:$B,2,FALSE),"")</f>
        <v/>
      </c>
      <c r="LM56" s="50" t="str">
        <f>IFERROR(VLOOKUP([2]Pointage!LQ50,Feuil1!$A:$B,2,FALSE),"")</f>
        <v/>
      </c>
      <c r="LN56" s="50" t="str">
        <f>IFERROR(VLOOKUP([2]Pointage!LR50,Feuil1!$A:$B,2,FALSE),"")</f>
        <v/>
      </c>
      <c r="LO56" s="50" t="str">
        <f>IFERROR(VLOOKUP([2]Pointage!LS50,Feuil1!$A:$B,2,FALSE),"")</f>
        <v/>
      </c>
      <c r="LP56" s="50" t="str">
        <f>IFERROR(VLOOKUP([2]Pointage!LT50,Feuil1!$A:$B,2,FALSE),"")</f>
        <v/>
      </c>
      <c r="LQ56" s="50" t="str">
        <f>IFERROR(VLOOKUP([2]Pointage!LU50,Feuil1!$A:$B,2,FALSE),"")</f>
        <v/>
      </c>
      <c r="LR56" s="50" t="str">
        <f>IFERROR(VLOOKUP([2]Pointage!LV50,Feuil1!$A:$B,2,FALSE),"")</f>
        <v/>
      </c>
      <c r="LS56" s="50" t="str">
        <f>IFERROR(VLOOKUP([2]Pointage!LW50,Feuil1!$A:$B,2,FALSE),"")</f>
        <v/>
      </c>
      <c r="LT56" s="50" t="str">
        <f>IFERROR(VLOOKUP([2]Pointage!LX50,Feuil1!$A:$B,2,FALSE),"")</f>
        <v/>
      </c>
      <c r="LU56" s="50" t="str">
        <f>IFERROR(VLOOKUP([2]Pointage!LY50,Feuil1!$A:$B,2,FALSE),"")</f>
        <v/>
      </c>
      <c r="LV56" s="50" t="str">
        <f>IFERROR(VLOOKUP([2]Pointage!LZ50,Feuil1!$A:$B,2,FALSE),"")</f>
        <v/>
      </c>
      <c r="LW56" s="50" t="str">
        <f>IFERROR(VLOOKUP([2]Pointage!MA50,Feuil1!$A:$B,2,FALSE),"")</f>
        <v/>
      </c>
      <c r="LX56" s="50" t="str">
        <f>IFERROR(VLOOKUP([2]Pointage!MB50,Feuil1!$A:$B,2,FALSE),"")</f>
        <v/>
      </c>
      <c r="LY56" s="50" t="str">
        <f>IFERROR(VLOOKUP([2]Pointage!MC50,Feuil1!$A:$B,2,FALSE),"")</f>
        <v/>
      </c>
      <c r="LZ56" s="50" t="str">
        <f>IFERROR(VLOOKUP([2]Pointage!MD50,Feuil1!$A:$B,2,FALSE),"")</f>
        <v/>
      </c>
      <c r="MA56" s="83" t="str">
        <f>IFERROR(VLOOKUP([2]Pointage!ME50,Feuil1!$A:$B,2,FALSE),"")</f>
        <v/>
      </c>
      <c r="MB56" s="49" t="str">
        <f>IFERROR(VLOOKUP([2]Pointage!MF50,Feuil1!$A:$B,2,FALSE),"")</f>
        <v/>
      </c>
      <c r="MC56" s="50" t="str">
        <f>IFERROR(VLOOKUP([2]Pointage!MG50,Feuil1!$A:$B,2,FALSE),"")</f>
        <v/>
      </c>
      <c r="MD56" s="50" t="str">
        <f>IFERROR(VLOOKUP([2]Pointage!MH50,Feuil1!$A:$B,2,FALSE),"")</f>
        <v/>
      </c>
      <c r="ME56" s="50" t="str">
        <f>IFERROR(VLOOKUP([2]Pointage!MI50,Feuil1!$A:$B,2,FALSE),"")</f>
        <v/>
      </c>
      <c r="MF56" s="50" t="str">
        <f>IFERROR(VLOOKUP([2]Pointage!MJ50,Feuil1!$A:$B,2,FALSE),"")</f>
        <v/>
      </c>
      <c r="MG56" s="50" t="str">
        <f>IFERROR(VLOOKUP([2]Pointage!MK50,Feuil1!$A:$B,2,FALSE),"")</f>
        <v/>
      </c>
      <c r="MH56" s="50" t="str">
        <f>IFERROR(VLOOKUP([2]Pointage!ML50,Feuil1!$A:$B,2,FALSE),"")</f>
        <v/>
      </c>
      <c r="MI56" s="50" t="str">
        <f>IFERROR(VLOOKUP([2]Pointage!MM50,Feuil1!$A:$B,2,FALSE),"")</f>
        <v/>
      </c>
      <c r="MJ56" s="50" t="str">
        <f>IFERROR(VLOOKUP([2]Pointage!MN50,Feuil1!$A:$B,2,FALSE),"")</f>
        <v/>
      </c>
      <c r="MK56" s="50" t="str">
        <f>IFERROR(VLOOKUP([2]Pointage!MO50,Feuil1!$A:$B,2,FALSE),"")</f>
        <v/>
      </c>
      <c r="ML56" s="50" t="str">
        <f>IFERROR(VLOOKUP([2]Pointage!MP50,Feuil1!$A:$B,2,FALSE),"")</f>
        <v/>
      </c>
      <c r="MM56" s="50" t="str">
        <f>IFERROR(VLOOKUP([2]Pointage!MQ50,Feuil1!$A:$B,2,FALSE),"")</f>
        <v/>
      </c>
      <c r="MN56" s="50" t="str">
        <f>IFERROR(VLOOKUP([2]Pointage!MR50,Feuil1!$A:$B,2,FALSE),"")</f>
        <v/>
      </c>
      <c r="MO56" s="50" t="str">
        <f>IFERROR(VLOOKUP([2]Pointage!MS50,Feuil1!$A:$B,2,FALSE),"")</f>
        <v/>
      </c>
      <c r="MP56" s="50" t="str">
        <f>IFERROR(VLOOKUP([2]Pointage!MT50,Feuil1!$A:$B,2,FALSE),"")</f>
        <v/>
      </c>
      <c r="MQ56" s="50" t="str">
        <f>IFERROR(VLOOKUP([2]Pointage!MU50,Feuil1!$A:$B,2,FALSE),"")</f>
        <v/>
      </c>
      <c r="MR56" s="50" t="str">
        <f>IFERROR(VLOOKUP([2]Pointage!MV50,Feuil1!$A:$B,2,FALSE),"")</f>
        <v/>
      </c>
      <c r="MS56" s="50" t="str">
        <f>IFERROR(VLOOKUP([2]Pointage!MW50,Feuil1!$A:$B,2,FALSE),"")</f>
        <v/>
      </c>
      <c r="MT56" s="50" t="str">
        <f>IFERROR(VLOOKUP([2]Pointage!MX50,Feuil1!$A:$B,2,FALSE),"")</f>
        <v/>
      </c>
      <c r="MU56" s="50" t="str">
        <f>IFERROR(VLOOKUP([2]Pointage!MY50,Feuil1!$A:$B,2,FALSE),"")</f>
        <v/>
      </c>
      <c r="MV56" s="50" t="str">
        <f>IFERROR(VLOOKUP([2]Pointage!MZ50,Feuil1!$A:$B,2,FALSE),"")</f>
        <v/>
      </c>
      <c r="MW56" s="50" t="str">
        <f>IFERROR(VLOOKUP([2]Pointage!NA50,Feuil1!$A:$B,2,FALSE),"")</f>
        <v/>
      </c>
      <c r="MX56" s="50" t="str">
        <f>IFERROR(VLOOKUP([2]Pointage!NB50,Feuil1!$A:$B,2,FALSE),"")</f>
        <v/>
      </c>
      <c r="MY56" s="50" t="str">
        <f>IFERROR(VLOOKUP([2]Pointage!NC50,Feuil1!$A:$B,2,FALSE),"")</f>
        <v/>
      </c>
      <c r="MZ56" s="50" t="str">
        <f>IFERROR(VLOOKUP([2]Pointage!ND50,Feuil1!$A:$B,2,FALSE),"")</f>
        <v/>
      </c>
      <c r="NA56" s="50" t="str">
        <f>IFERROR(VLOOKUP([2]Pointage!NE50,Feuil1!$A:$B,2,FALSE),"")</f>
        <v/>
      </c>
      <c r="NB56" s="50" t="str">
        <f>IFERROR(VLOOKUP([2]Pointage!NF50,Feuil1!$A:$B,2,FALSE),"")</f>
        <v/>
      </c>
      <c r="NC56" s="50" t="str">
        <f>IFERROR(VLOOKUP([2]Pointage!NG50,Feuil1!$A:$B,2,FALSE),"")</f>
        <v/>
      </c>
      <c r="ND56" s="50" t="str">
        <f>IFERROR(VLOOKUP([2]Pointage!NH50,Feuil1!$A:$B,2,FALSE),"")</f>
        <v/>
      </c>
      <c r="NE56" s="50" t="str">
        <f>IFERROR(VLOOKUP([2]Pointage!NI50,Feuil1!$A:$B,2,FALSE),"")</f>
        <v/>
      </c>
      <c r="NF56" s="51" t="str">
        <f>IFERROR(VLOOKUP([2]Pointage!NJ50,Feuil1!$A:$B,2,FALSE),"")</f>
        <v/>
      </c>
      <c r="NG56" s="52">
        <f>COUNTIF(Global!F56:NF56,"RTT")+(COUNTIF(Global!F56:NF56,"dRTT")/2)</f>
        <v>3</v>
      </c>
      <c r="NH56" s="42">
        <f>COUNTIF(Global!F56:NF56,"C")+(COUNTIF(Global!F56:NF56,"DC")/2)</f>
        <v>28</v>
      </c>
      <c r="NI56" s="42">
        <f>COUNTIF(Global!F56:NF56,"M")</f>
        <v>3</v>
      </c>
      <c r="NJ56" s="42">
        <f>COUNTIF(Global!G56:NG56,"AT")</f>
        <v>0</v>
      </c>
      <c r="NK56" s="42">
        <f>COUNTIF(Global!F56:NF56,"RD")</f>
        <v>0</v>
      </c>
      <c r="NL56" s="42">
        <f>COUNTIF(Global!F56:NF56,"RC")+(COUNTIF(Global!F56:NF56,"dRC")/2)</f>
        <v>0</v>
      </c>
      <c r="NM56" s="68">
        <f t="shared" ca="1" si="0"/>
        <v>3.945205479452055</v>
      </c>
      <c r="NT56" s="33"/>
      <c r="NU56" s="33"/>
      <c r="NV56" s="28"/>
      <c r="NW56" s="28"/>
      <c r="NX56" s="29">
        <f>COUNTIF(F56:NF56,"C")++(COUNTIF(Global!F56:NF56,"DC")/2)</f>
        <v>28</v>
      </c>
      <c r="NY56" s="29"/>
      <c r="NZ56" s="29"/>
      <c r="OA56" s="29"/>
      <c r="OB56" s="29">
        <f>COUNTIF(Global!F56:NF56,"M")</f>
        <v>3</v>
      </c>
      <c r="OC56" s="30">
        <f t="shared" si="1"/>
        <v>-28</v>
      </c>
      <c r="OD56" s="30"/>
    </row>
    <row r="57" spans="1:394" x14ac:dyDescent="0.2">
      <c r="AK57" s="39"/>
      <c r="AL57" s="39"/>
      <c r="AM57" s="39"/>
      <c r="AN57" s="39"/>
      <c r="AO57" s="39"/>
      <c r="AP57" s="39"/>
      <c r="AQ57" s="39"/>
      <c r="AR57" s="39"/>
      <c r="AS57" s="39"/>
      <c r="AT57" s="39"/>
      <c r="AU57" s="39"/>
      <c r="AV57" s="39"/>
      <c r="AW57" s="39"/>
      <c r="AX57" s="39"/>
      <c r="AY57" s="39"/>
      <c r="AZ57" s="39"/>
      <c r="BA57" s="39"/>
      <c r="BB57" s="39"/>
      <c r="BC57" s="39"/>
      <c r="BD57" s="39"/>
      <c r="BE57" s="39"/>
      <c r="BF57" s="39"/>
      <c r="BG57" s="39"/>
      <c r="BH57" s="39"/>
      <c r="BI57" s="39"/>
      <c r="BJ57" s="39"/>
      <c r="BK57" s="39"/>
      <c r="BL57" s="39"/>
      <c r="BM57" s="39"/>
      <c r="BN57" s="39"/>
      <c r="BO57" s="39"/>
      <c r="BP57" s="39"/>
      <c r="BQ57" s="39"/>
      <c r="BR57" s="39"/>
      <c r="BS57" s="39"/>
      <c r="BT57" s="39"/>
      <c r="BU57" s="39"/>
      <c r="BV57" s="39"/>
      <c r="BW57" s="39"/>
      <c r="BX57" s="39"/>
      <c r="BY57" s="39"/>
      <c r="BZ57" s="39"/>
      <c r="CA57" s="39"/>
      <c r="CB57" s="39"/>
      <c r="CC57" s="39"/>
      <c r="CD57" s="39"/>
      <c r="CE57" s="39"/>
      <c r="CF57" s="39"/>
      <c r="CG57" s="39"/>
      <c r="CH57" s="39"/>
      <c r="CI57" s="39"/>
      <c r="CJ57" s="39"/>
      <c r="CK57" s="39"/>
      <c r="CL57" s="39"/>
      <c r="CM57" s="39"/>
      <c r="CN57" s="39"/>
      <c r="CO57" s="39"/>
      <c r="CP57" s="39"/>
      <c r="CQ57" s="39"/>
      <c r="CR57" s="39"/>
      <c r="CS57" s="39"/>
      <c r="CT57" s="39"/>
      <c r="CU57" s="39"/>
      <c r="CV57" s="39"/>
      <c r="CW57" s="39"/>
      <c r="CX57" s="39"/>
      <c r="CY57" s="39"/>
      <c r="CZ57" s="39"/>
      <c r="DA57" s="39"/>
      <c r="DB57" s="39"/>
      <c r="DC57" s="39"/>
      <c r="DD57" s="39"/>
      <c r="DE57" s="39"/>
      <c r="DF57" s="39"/>
      <c r="DG57" s="39"/>
      <c r="DH57" s="39"/>
      <c r="DI57" s="39"/>
      <c r="DJ57" s="39"/>
      <c r="DK57" s="39"/>
      <c r="DL57" s="39"/>
      <c r="DM57" s="39"/>
      <c r="DN57" s="39"/>
      <c r="DO57" s="39"/>
      <c r="DP57" s="39"/>
      <c r="DQ57" s="39"/>
      <c r="DR57" s="39"/>
      <c r="DS57" s="39"/>
      <c r="DT57" s="39"/>
      <c r="DU57" s="39"/>
      <c r="DV57" s="39"/>
      <c r="DW57" s="39"/>
      <c r="DX57" s="39"/>
      <c r="DY57" s="39"/>
      <c r="DZ57" s="39"/>
      <c r="EA57" s="39"/>
      <c r="EB57" s="39"/>
      <c r="EC57" s="39"/>
      <c r="ED57" s="39"/>
      <c r="EE57" s="39"/>
      <c r="EF57" s="39"/>
      <c r="EG57" s="39"/>
      <c r="EH57" s="39"/>
      <c r="EI57" s="39"/>
      <c r="EJ57" s="39"/>
      <c r="EK57" s="39"/>
      <c r="EL57" s="39"/>
      <c r="EM57" s="39"/>
      <c r="EN57" s="39"/>
      <c r="EO57" s="39"/>
      <c r="EP57" s="39"/>
      <c r="EQ57" s="39"/>
      <c r="ER57" s="39"/>
      <c r="ES57" s="39"/>
      <c r="ET57" s="39"/>
      <c r="EU57" s="39"/>
      <c r="EV57" s="39"/>
      <c r="EW57" s="39"/>
      <c r="EX57" s="39"/>
      <c r="EY57" s="39"/>
      <c r="EZ57" s="39"/>
      <c r="FA57" s="39"/>
      <c r="FB57" s="39"/>
      <c r="FC57" s="39"/>
      <c r="FD57" s="39"/>
      <c r="FE57" s="39"/>
      <c r="FF57" s="39"/>
      <c r="FG57" s="39"/>
      <c r="FH57" s="39"/>
      <c r="FI57" s="39"/>
      <c r="FJ57" s="39"/>
      <c r="FK57" s="39"/>
      <c r="FL57" s="39"/>
      <c r="FM57" s="39"/>
      <c r="FN57" s="39"/>
      <c r="FO57" s="39"/>
      <c r="FP57" s="39"/>
      <c r="FQ57" s="39"/>
      <c r="FR57" s="39"/>
      <c r="FS57" s="39"/>
      <c r="FT57" s="39"/>
      <c r="FU57" s="39"/>
      <c r="FV57" s="39"/>
      <c r="FW57" s="39"/>
      <c r="FX57" s="39"/>
      <c r="FY57" s="39"/>
      <c r="FZ57" s="39"/>
      <c r="GA57" s="39"/>
      <c r="GB57" s="39"/>
      <c r="GC57" s="39"/>
      <c r="GD57" s="39"/>
      <c r="GE57" s="39"/>
      <c r="GF57" s="39"/>
      <c r="GG57" s="39"/>
      <c r="GH57" s="39"/>
      <c r="GI57" s="39"/>
      <c r="GJ57" s="39"/>
      <c r="GK57" s="39"/>
      <c r="GL57" s="39"/>
      <c r="GM57" s="39"/>
      <c r="GN57" s="39"/>
      <c r="GO57" s="39"/>
      <c r="GP57" s="39"/>
      <c r="GQ57" s="39"/>
      <c r="GR57" s="39"/>
      <c r="GS57" s="39"/>
      <c r="GT57" s="39"/>
      <c r="GU57" s="39"/>
      <c r="GV57" s="39"/>
      <c r="GW57" s="39"/>
      <c r="GX57" s="39"/>
      <c r="GY57" s="39"/>
      <c r="GZ57" s="39"/>
      <c r="HA57" s="39"/>
      <c r="HB57" s="39"/>
      <c r="HC57" s="39"/>
      <c r="HD57" s="39"/>
      <c r="HE57" s="39"/>
      <c r="HF57" s="39"/>
      <c r="HG57" s="39"/>
      <c r="HH57" s="39"/>
      <c r="HI57" s="39"/>
      <c r="HJ57" s="39"/>
      <c r="HK57" s="39"/>
      <c r="HL57" s="39"/>
      <c r="HM57" s="39"/>
      <c r="HN57" s="39"/>
      <c r="HO57" s="39"/>
      <c r="HP57" s="39"/>
      <c r="HQ57" s="39"/>
      <c r="HR57" s="39"/>
      <c r="HS57" s="39"/>
      <c r="HT57" s="39"/>
      <c r="HU57" s="39"/>
      <c r="HV57" s="39"/>
      <c r="HW57" s="39"/>
      <c r="HX57" s="39"/>
      <c r="HY57" s="39"/>
      <c r="HZ57" s="39"/>
      <c r="IA57" s="39"/>
      <c r="IB57" s="39"/>
      <c r="IC57" s="39"/>
      <c r="ID57" s="39"/>
      <c r="IE57" s="39"/>
      <c r="IF57" s="39"/>
      <c r="IG57" s="39"/>
      <c r="IH57" s="39"/>
      <c r="II57" s="39"/>
      <c r="IJ57" s="39"/>
      <c r="IK57" s="39"/>
      <c r="IL57" s="39"/>
      <c r="IM57" s="39"/>
      <c r="IN57" s="39"/>
      <c r="IO57" s="39"/>
      <c r="IP57" s="39"/>
      <c r="IQ57" s="39"/>
      <c r="IR57" s="39"/>
      <c r="IS57" s="39"/>
      <c r="IT57" s="39"/>
      <c r="IU57" s="39"/>
      <c r="IV57" s="39"/>
      <c r="IW57" s="39"/>
      <c r="IX57" s="39"/>
      <c r="IY57" s="39"/>
      <c r="IZ57" s="39"/>
      <c r="JA57" s="39"/>
      <c r="JB57" s="39"/>
      <c r="JC57" s="39"/>
      <c r="JD57" s="39"/>
      <c r="JE57" s="39"/>
      <c r="JF57" s="39"/>
      <c r="JG57" s="39"/>
      <c r="JH57" s="39"/>
      <c r="JI57" s="39"/>
      <c r="JJ57" s="39"/>
      <c r="JK57" s="39"/>
      <c r="JL57" s="39"/>
      <c r="JM57" s="39"/>
      <c r="JN57" s="39"/>
      <c r="JO57" s="39"/>
      <c r="JP57" s="39"/>
      <c r="JQ57" s="39"/>
      <c r="JR57" s="39"/>
      <c r="JS57" s="39"/>
      <c r="JT57" s="39"/>
      <c r="JU57" s="39"/>
      <c r="JV57" s="39"/>
      <c r="JW57" s="39"/>
      <c r="JX57" s="39"/>
      <c r="JY57" s="39"/>
      <c r="JZ57" s="39"/>
      <c r="KA57" s="39"/>
      <c r="KB57" s="39"/>
      <c r="KC57" s="39"/>
      <c r="KD57" s="39"/>
      <c r="KE57" s="39"/>
      <c r="KF57" s="39"/>
      <c r="KG57" s="39"/>
      <c r="KH57" s="39"/>
      <c r="KI57" s="39"/>
      <c r="KJ57" s="39"/>
      <c r="KK57" s="39"/>
      <c r="KL57" s="39"/>
      <c r="KM57" s="39"/>
      <c r="KN57" s="39"/>
      <c r="KO57" s="39"/>
      <c r="KP57" s="39"/>
      <c r="KQ57" s="39"/>
      <c r="KR57" s="39"/>
      <c r="KS57" s="39"/>
      <c r="KT57" s="39"/>
      <c r="KU57" s="39"/>
      <c r="KV57" s="39"/>
      <c r="KW57" s="39"/>
      <c r="KX57" s="39"/>
      <c r="KY57" s="39"/>
      <c r="KZ57" s="39"/>
      <c r="LA57" s="39"/>
      <c r="LB57" s="39"/>
      <c r="LC57" s="39"/>
      <c r="LD57" s="39"/>
      <c r="LE57" s="39"/>
      <c r="LF57" s="39"/>
      <c r="LG57" s="39"/>
      <c r="LH57" s="39"/>
      <c r="LI57" s="39"/>
      <c r="LJ57" s="39"/>
      <c r="LK57" s="39"/>
      <c r="LL57" s="39"/>
      <c r="LM57" s="39"/>
      <c r="LN57" s="39"/>
      <c r="LO57" s="39"/>
      <c r="LP57" s="39"/>
      <c r="LQ57" s="39"/>
      <c r="LR57" s="39"/>
      <c r="LS57" s="39"/>
      <c r="LT57" s="39"/>
      <c r="LU57" s="39"/>
      <c r="LV57" s="39"/>
      <c r="LW57" s="39"/>
      <c r="LX57" s="39"/>
      <c r="LY57" s="39"/>
      <c r="LZ57" s="39"/>
      <c r="MA57" s="39"/>
      <c r="MB57" s="39"/>
      <c r="MC57" s="39"/>
      <c r="MD57" s="39"/>
      <c r="ME57" s="39"/>
      <c r="MF57" s="39"/>
      <c r="MG57" s="39"/>
      <c r="MH57" s="39"/>
      <c r="MI57" s="39"/>
      <c r="MJ57" s="39"/>
      <c r="MK57" s="39"/>
      <c r="ML57" s="39"/>
      <c r="MM57" s="39"/>
      <c r="MN57" s="39"/>
      <c r="MO57" s="39"/>
      <c r="MP57" s="39"/>
      <c r="MQ57" s="39"/>
      <c r="MR57" s="39"/>
      <c r="MS57" s="39"/>
      <c r="MT57" s="39"/>
      <c r="MU57" s="39"/>
      <c r="MV57" s="39"/>
      <c r="MW57" s="39"/>
      <c r="MX57" s="39"/>
      <c r="MY57" s="39"/>
      <c r="MZ57" s="39"/>
      <c r="NA57" s="39"/>
      <c r="NB57" s="39"/>
      <c r="NC57" s="39"/>
      <c r="ND57" s="39"/>
      <c r="NE57" s="39"/>
      <c r="NF57" s="39"/>
    </row>
  </sheetData>
  <autoFilter ref="A6:OD56">
    <filterColumn colId="4">
      <customFilters>
        <customFilter operator="notEqual" val="oui"/>
      </customFilters>
    </filterColumn>
    <filterColumn colId="383" showButton="0"/>
    <filterColumn colId="385" showButton="0"/>
    <filterColumn colId="387" showButton="0"/>
    <filterColumn colId="388" showButton="0"/>
    <filterColumn colId="389" showButton="0"/>
    <filterColumn colId="390" showButton="0"/>
    <filterColumn colId="392" showButton="0"/>
  </autoFilter>
  <mergeCells count="28">
    <mergeCell ref="IO5:JR5"/>
    <mergeCell ref="G3:H3"/>
    <mergeCell ref="F5:AJ5"/>
    <mergeCell ref="AK5:BL5"/>
    <mergeCell ref="BM5:CQ5"/>
    <mergeCell ref="J3:K3"/>
    <mergeCell ref="CR5:DU5"/>
    <mergeCell ref="DV5:EZ5"/>
    <mergeCell ref="FA5:GD5"/>
    <mergeCell ref="GE5:HI5"/>
    <mergeCell ref="HJ5:IN5"/>
    <mergeCell ref="U3:V3"/>
    <mergeCell ref="AC3:AD3"/>
    <mergeCell ref="AH3:AI3"/>
    <mergeCell ref="JS5:KW5"/>
    <mergeCell ref="KX5:MA5"/>
    <mergeCell ref="MB5:NF5"/>
    <mergeCell ref="NG6:NG7"/>
    <mergeCell ref="NH6:NH7"/>
    <mergeCell ref="NI6:NI7"/>
    <mergeCell ref="NT6:NU6"/>
    <mergeCell ref="NV6:NW6"/>
    <mergeCell ref="NX6:OB6"/>
    <mergeCell ref="OC6:OD6"/>
    <mergeCell ref="NK6:NK7"/>
    <mergeCell ref="NL6:NL7"/>
    <mergeCell ref="NM6:NM7"/>
    <mergeCell ref="NJ6:NJ7"/>
  </mergeCells>
  <conditionalFormatting sqref="F8:NF56">
    <cfRule type="expression" dxfId="211" priority="4">
      <formula>F8=CléPersonnalisée4</formula>
    </cfRule>
    <cfRule type="expression" dxfId="210" priority="5">
      <formula>F8=CléPersonnalisée5</formula>
    </cfRule>
    <cfRule type="expression" dxfId="209" priority="6">
      <formula>F8=CléPersonnalisée3</formula>
    </cfRule>
    <cfRule type="expression" dxfId="208" priority="8">
      <formula>F8=CléPersonnalisée2</formula>
    </cfRule>
    <cfRule type="expression" dxfId="207" priority="9">
      <formula>F8=CléPersonnalisée1</formula>
    </cfRule>
    <cfRule type="expression" dxfId="206" priority="10">
      <formula>F8=CléMaladie</formula>
    </cfRule>
    <cfRule type="expression" dxfId="205" priority="11">
      <formula>F8=CléPersonnel</formula>
    </cfRule>
    <cfRule type="expression" dxfId="204" priority="12" stopIfTrue="1">
      <formula>F8=CléCongé</formula>
    </cfRule>
    <cfRule type="expression" dxfId="203" priority="13" stopIfTrue="1">
      <formula>F8=CléDemiCongés</formula>
    </cfRule>
    <cfRule type="expression" dxfId="202" priority="14">
      <formula>F8=""</formula>
    </cfRule>
  </conditionalFormatting>
  <conditionalFormatting sqref="F6:NF56">
    <cfRule type="expression" dxfId="201" priority="2" stopIfTrue="1">
      <formula>WEEKDAY(F$1)=7</formula>
    </cfRule>
    <cfRule type="expression" dxfId="200" priority="3" stopIfTrue="1">
      <formula>WEEKDAY(F$1)=1</formula>
    </cfRule>
  </conditionalFormatting>
  <pageMargins left="0.7" right="0.7" top="0.75" bottom="0.75" header="0.3" footer="0.3"/>
  <pageSetup paperSize="9" orientation="portrait" verticalDpi="0" r:id="rId1"/>
  <ignoredErrors>
    <ignoredError sqref="G1" formula="1"/>
    <ignoredError sqref="NG9:NL56 NG8:NL8" unlockedFormula="1"/>
  </ignoredErrors>
  <extLst>
    <ext xmlns:x14="http://schemas.microsoft.com/office/spreadsheetml/2009/9/main" uri="{78C0D931-6437-407d-A8EE-F0AAD7539E65}">
      <x14:conditionalFormattings>
        <x14:conditionalFormatting xmlns:xm="http://schemas.microsoft.com/office/excel/2006/main">
          <x14:cfRule type="expression" priority="1" stopIfTrue="1" id="{28571AF7-7D29-B64B-8046-FAC144CF01B7}">
            <xm:f>F$1=VLOOKUP(F$1,JFériés!$D$1:$D$11,1,FALSE)</xm:f>
            <x14:dxf>
              <font>
                <color theme="1"/>
              </font>
              <fill>
                <patternFill>
                  <bgColor theme="5" tint="0.59996337778862885"/>
                </patternFill>
              </fill>
            </x14:dxf>
          </x14:cfRule>
          <xm:sqref>F6:NF56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3" enableFormatConditionsCalculation="0">
    <tabColor rgb="FF1D1E11"/>
    <pageSetUpPr fitToPage="1"/>
  </sheetPr>
  <dimension ref="A1:AV56"/>
  <sheetViews>
    <sheetView showGridLines="0" tabSelected="1" topLeftCell="D1" zoomScale="80" zoomScaleNormal="80" zoomScalePageLayoutView="80" workbookViewId="0">
      <selection activeCell="AU8" sqref="AU8"/>
    </sheetView>
  </sheetViews>
  <sheetFormatPr baseColWidth="10" defaultColWidth="8.83203125" defaultRowHeight="15" x14ac:dyDescent="0.2"/>
  <cols>
    <col min="1" max="1" width="9" style="1" customWidth="1"/>
    <col min="2" max="4" width="25.6640625" style="1" customWidth="1"/>
    <col min="5" max="5" width="6.1640625" style="1" bestFit="1" customWidth="1"/>
    <col min="6" max="36" width="4.6640625" style="1" customWidth="1"/>
    <col min="37" max="37" width="13.83203125" style="98" customWidth="1"/>
    <col min="38" max="38" width="15" style="104" customWidth="1"/>
    <col min="39" max="40" width="13.1640625" customWidth="1"/>
    <col min="41" max="41" width="11.5" bestFit="1" customWidth="1"/>
    <col min="42" max="42" width="14.83203125" bestFit="1" customWidth="1"/>
    <col min="43" max="43" width="12" bestFit="1" customWidth="1"/>
    <col min="44" max="44" width="10.33203125" bestFit="1" customWidth="1"/>
    <col min="45" max="45" width="10" bestFit="1" customWidth="1"/>
    <col min="46" max="46" width="11.5" bestFit="1" customWidth="1"/>
    <col min="47" max="1029" width="9.1640625" customWidth="1"/>
  </cols>
  <sheetData>
    <row r="1" spans="1:48" ht="52" x14ac:dyDescent="0.2">
      <c r="F1" s="61">
        <f>Global!F1</f>
        <v>43101</v>
      </c>
      <c r="G1" s="61">
        <f>Global!G1</f>
        <v>43102</v>
      </c>
      <c r="H1" s="61">
        <f>Global!H1</f>
        <v>43103</v>
      </c>
      <c r="I1" s="61">
        <f>Global!I1</f>
        <v>43104</v>
      </c>
      <c r="J1" s="61">
        <f>Global!J1</f>
        <v>43105</v>
      </c>
      <c r="K1" s="61">
        <f>Global!K1</f>
        <v>43106</v>
      </c>
      <c r="L1" s="61">
        <f>Global!L1</f>
        <v>43107</v>
      </c>
      <c r="M1" s="61">
        <f>Global!M1</f>
        <v>43108</v>
      </c>
      <c r="N1" s="61">
        <f>Global!N1</f>
        <v>43109</v>
      </c>
      <c r="O1" s="61">
        <f>Global!O1</f>
        <v>43110</v>
      </c>
      <c r="P1" s="61">
        <f>Global!P1</f>
        <v>43111</v>
      </c>
      <c r="Q1" s="61">
        <f>Global!Q1</f>
        <v>43112</v>
      </c>
      <c r="R1" s="61">
        <f>Global!R1</f>
        <v>43113</v>
      </c>
      <c r="S1" s="61">
        <f>Global!S1</f>
        <v>43114</v>
      </c>
      <c r="T1" s="61">
        <f>Global!T1</f>
        <v>43115</v>
      </c>
      <c r="U1" s="61">
        <f>Global!U1</f>
        <v>43116</v>
      </c>
      <c r="V1" s="61">
        <f>Global!V1</f>
        <v>43117</v>
      </c>
      <c r="W1" s="61">
        <f>Global!W1</f>
        <v>43118</v>
      </c>
      <c r="X1" s="61">
        <f>Global!X1</f>
        <v>43119</v>
      </c>
      <c r="Y1" s="61">
        <f>Global!Y1</f>
        <v>43120</v>
      </c>
      <c r="Z1" s="61">
        <f>Global!Z1</f>
        <v>43121</v>
      </c>
      <c r="AA1" s="61">
        <f>Global!AA1</f>
        <v>43122</v>
      </c>
      <c r="AB1" s="61">
        <f>Global!AB1</f>
        <v>43123</v>
      </c>
      <c r="AC1" s="61">
        <f>Global!AC1</f>
        <v>43124</v>
      </c>
      <c r="AD1" s="61">
        <f>Global!AD1</f>
        <v>43125</v>
      </c>
      <c r="AE1" s="61">
        <f>Global!AE1</f>
        <v>43126</v>
      </c>
      <c r="AF1" s="61">
        <f>Global!AF1</f>
        <v>43127</v>
      </c>
      <c r="AG1" s="61">
        <f>Global!AG1</f>
        <v>43128</v>
      </c>
      <c r="AH1" s="61">
        <f>Global!AH1</f>
        <v>43129</v>
      </c>
      <c r="AI1" s="61">
        <f>Global!AI1</f>
        <v>43130</v>
      </c>
      <c r="AJ1" s="61">
        <f>Global!AJ1</f>
        <v>43131</v>
      </c>
      <c r="AK1" s="106"/>
    </row>
    <row r="2" spans="1:48" ht="50.25" customHeight="1" x14ac:dyDescent="0.2">
      <c r="A2" s="3" t="s">
        <v>0</v>
      </c>
      <c r="B2" s="3"/>
      <c r="C2" s="3"/>
      <c r="D2" s="3"/>
      <c r="E2" s="3"/>
      <c r="Y2" s="1" t="str">
        <f>IFERROR(VLOOKUP(F12,Feuil1!A:B,2,FALSE),"")</f>
        <v/>
      </c>
    </row>
    <row r="3" spans="1:48"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K3" s="99" t="s">
        <v>293</v>
      </c>
      <c r="AL3" s="98" t="s">
        <v>293</v>
      </c>
    </row>
    <row r="4" spans="1:48" ht="15" customHeight="1" thickBot="1" x14ac:dyDescent="0.25">
      <c r="A4" s="10">
        <f>AnnéeCalendrier</f>
        <v>2018</v>
      </c>
      <c r="D4" s="95" t="s">
        <v>294</v>
      </c>
      <c r="E4" s="96">
        <v>10</v>
      </c>
      <c r="AK4" s="107"/>
    </row>
    <row r="5" spans="1:48" ht="30" customHeight="1" thickBot="1" x14ac:dyDescent="0.25">
      <c r="A5" s="72" t="s">
        <v>12</v>
      </c>
      <c r="B5" s="9"/>
      <c r="C5" s="72"/>
      <c r="D5" s="95" t="s">
        <v>303</v>
      </c>
      <c r="E5" s="96">
        <f>NETWORKDAYS(F1,AJ1,JFériés!D2:D11)</f>
        <v>22</v>
      </c>
      <c r="F5" s="139" t="s">
        <v>11</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1"/>
      <c r="AK5" s="100"/>
      <c r="AL5" s="110"/>
    </row>
    <row r="6" spans="1:48" ht="15" customHeight="1" x14ac:dyDescent="0.2">
      <c r="B6" s="10"/>
      <c r="C6" s="10"/>
      <c r="D6" s="10"/>
      <c r="E6" s="10"/>
      <c r="F6" s="88" t="str">
        <f>TEXT(WEEKDAY(DATE(AnnéeCalendrier,1,1),1),"jjj")</f>
        <v>lun</v>
      </c>
      <c r="G6" s="89" t="str">
        <f>TEXT(WEEKDAY(DATE(AnnéeCalendrier,1,2),1),"jjj")</f>
        <v>mar</v>
      </c>
      <c r="H6" s="89" t="str">
        <f>TEXT(WEEKDAY(DATE(AnnéeCalendrier,1,3),1),"jjj")</f>
        <v>mer</v>
      </c>
      <c r="I6" s="89" t="str">
        <f>TEXT(WEEKDAY(DATE(AnnéeCalendrier,1,4),1),"jjj")</f>
        <v>jeu</v>
      </c>
      <c r="J6" s="89" t="str">
        <f>TEXT(WEEKDAY(DATE(AnnéeCalendrier,1,5),1),"jjj")</f>
        <v>ven</v>
      </c>
      <c r="K6" s="89" t="str">
        <f>TEXT(WEEKDAY(DATE(AnnéeCalendrier,1,6),1),"jjj")</f>
        <v>sam</v>
      </c>
      <c r="L6" s="89" t="str">
        <f>TEXT(WEEKDAY(DATE(AnnéeCalendrier,1,7),1),"jjj")</f>
        <v>dim</v>
      </c>
      <c r="M6" s="89" t="str">
        <f>TEXT(WEEKDAY(DATE(AnnéeCalendrier,1,8),1),"jjj")</f>
        <v>lun</v>
      </c>
      <c r="N6" s="89" t="str">
        <f>TEXT(WEEKDAY(DATE(AnnéeCalendrier,1,9),1),"jjj")</f>
        <v>mar</v>
      </c>
      <c r="O6" s="89" t="str">
        <f>TEXT(WEEKDAY(DATE(AnnéeCalendrier,1,10),1),"jjj")</f>
        <v>mer</v>
      </c>
      <c r="P6" s="89" t="str">
        <f>TEXT(WEEKDAY(DATE(AnnéeCalendrier,1,11),1),"jjj")</f>
        <v>jeu</v>
      </c>
      <c r="Q6" s="89" t="str">
        <f>TEXT(WEEKDAY(DATE(AnnéeCalendrier,1,12),1),"jjj")</f>
        <v>ven</v>
      </c>
      <c r="R6" s="89" t="str">
        <f>TEXT(WEEKDAY(DATE(AnnéeCalendrier,1,13),1),"jjj")</f>
        <v>sam</v>
      </c>
      <c r="S6" s="89" t="str">
        <f>TEXT(WEEKDAY(DATE(AnnéeCalendrier,1,14),1),"jjj")</f>
        <v>dim</v>
      </c>
      <c r="T6" s="89" t="str">
        <f>TEXT(WEEKDAY(DATE(AnnéeCalendrier,1,15),1),"jjj")</f>
        <v>lun</v>
      </c>
      <c r="U6" s="89" t="str">
        <f>TEXT(WEEKDAY(DATE(AnnéeCalendrier,1,16),1),"jjj")</f>
        <v>mar</v>
      </c>
      <c r="V6" s="89" t="str">
        <f>TEXT(WEEKDAY(DATE(AnnéeCalendrier,1,17),1),"jjj")</f>
        <v>mer</v>
      </c>
      <c r="W6" s="89" t="str">
        <f>TEXT(WEEKDAY(DATE(AnnéeCalendrier,1,18),1),"jjj")</f>
        <v>jeu</v>
      </c>
      <c r="X6" s="89" t="str">
        <f>TEXT(WEEKDAY(DATE(AnnéeCalendrier,1,19),1),"jjj")</f>
        <v>ven</v>
      </c>
      <c r="Y6" s="89" t="str">
        <f>TEXT(WEEKDAY(DATE(AnnéeCalendrier,1,20),1),"jjj")</f>
        <v>sam</v>
      </c>
      <c r="Z6" s="89" t="str">
        <f>TEXT(WEEKDAY(DATE(AnnéeCalendrier,1,21),1),"jjj")</f>
        <v>dim</v>
      </c>
      <c r="AA6" s="89" t="str">
        <f>TEXT(WEEKDAY(DATE(AnnéeCalendrier,1,22),1),"jjj")</f>
        <v>lun</v>
      </c>
      <c r="AB6" s="89" t="str">
        <f>TEXT(WEEKDAY(DATE(AnnéeCalendrier,1,23),1),"jjj")</f>
        <v>mar</v>
      </c>
      <c r="AC6" s="89" t="str">
        <f>TEXT(WEEKDAY(DATE(AnnéeCalendrier,1,24),1),"jjj")</f>
        <v>mer</v>
      </c>
      <c r="AD6" s="89" t="str">
        <f>TEXT(WEEKDAY(DATE(AnnéeCalendrier,1,25),1),"jjj")</f>
        <v>jeu</v>
      </c>
      <c r="AE6" s="89" t="str">
        <f>TEXT(WEEKDAY(DATE(AnnéeCalendrier,1,26),1),"jjj")</f>
        <v>ven</v>
      </c>
      <c r="AF6" s="89" t="str">
        <f>TEXT(WEEKDAY(DATE(AnnéeCalendrier,1,27),1),"jjj")</f>
        <v>sam</v>
      </c>
      <c r="AG6" s="89" t="str">
        <f>TEXT(WEEKDAY(DATE(AnnéeCalendrier,1,28),1),"jjj")</f>
        <v>dim</v>
      </c>
      <c r="AH6" s="89" t="str">
        <f>TEXT(WEEKDAY(DATE(AnnéeCalendrier,1,29),1),"jjj")</f>
        <v>lun</v>
      </c>
      <c r="AI6" s="89" t="str">
        <f>TEXT(WEEKDAY(DATE(AnnéeCalendrier,1,30),1),"jjj")</f>
        <v>mar</v>
      </c>
      <c r="AJ6" s="90" t="str">
        <f>TEXT(WEEKDAY(DATE(AnnéeCalendrier,1,31),1),"jjj")</f>
        <v>mer</v>
      </c>
      <c r="AK6" s="100"/>
    </row>
    <row r="7" spans="1:48" ht="15" customHeight="1" thickBot="1" x14ac:dyDescent="0.25">
      <c r="A7" s="36" t="s">
        <v>63</v>
      </c>
      <c r="B7" s="36" t="s">
        <v>128</v>
      </c>
      <c r="C7" s="36" t="s">
        <v>129</v>
      </c>
      <c r="D7" s="36" t="s">
        <v>13</v>
      </c>
      <c r="E7" s="43" t="s">
        <v>113</v>
      </c>
      <c r="F7" s="91" t="s">
        <v>14</v>
      </c>
      <c r="G7" s="92" t="s">
        <v>15</v>
      </c>
      <c r="H7" s="92" t="s">
        <v>16</v>
      </c>
      <c r="I7" s="92" t="s">
        <v>17</v>
      </c>
      <c r="J7" s="92" t="s">
        <v>18</v>
      </c>
      <c r="K7" s="92" t="s">
        <v>19</v>
      </c>
      <c r="L7" s="92" t="s">
        <v>20</v>
      </c>
      <c r="M7" s="92" t="s">
        <v>21</v>
      </c>
      <c r="N7" s="92" t="s">
        <v>22</v>
      </c>
      <c r="O7" s="92" t="s">
        <v>23</v>
      </c>
      <c r="P7" s="92" t="s">
        <v>24</v>
      </c>
      <c r="Q7" s="92" t="s">
        <v>25</v>
      </c>
      <c r="R7" s="92" t="s">
        <v>26</v>
      </c>
      <c r="S7" s="92" t="s">
        <v>27</v>
      </c>
      <c r="T7" s="92" t="s">
        <v>28</v>
      </c>
      <c r="U7" s="92" t="s">
        <v>29</v>
      </c>
      <c r="V7" s="92" t="s">
        <v>30</v>
      </c>
      <c r="W7" s="92" t="s">
        <v>31</v>
      </c>
      <c r="X7" s="92" t="s">
        <v>32</v>
      </c>
      <c r="Y7" s="92" t="s">
        <v>33</v>
      </c>
      <c r="Z7" s="92" t="s">
        <v>34</v>
      </c>
      <c r="AA7" s="92" t="s">
        <v>35</v>
      </c>
      <c r="AB7" s="92" t="s">
        <v>36</v>
      </c>
      <c r="AC7" s="92" t="s">
        <v>37</v>
      </c>
      <c r="AD7" s="92" t="s">
        <v>38</v>
      </c>
      <c r="AE7" s="92" t="s">
        <v>39</v>
      </c>
      <c r="AF7" s="92" t="s">
        <v>40</v>
      </c>
      <c r="AG7" s="92" t="s">
        <v>41</v>
      </c>
      <c r="AH7" s="92" t="s">
        <v>42</v>
      </c>
      <c r="AI7" s="92" t="s">
        <v>43</v>
      </c>
      <c r="AJ7" s="150" t="s">
        <v>44</v>
      </c>
      <c r="AK7" s="149" t="s">
        <v>273</v>
      </c>
      <c r="AL7" s="101" t="s">
        <v>272</v>
      </c>
      <c r="AM7" s="36" t="s">
        <v>9</v>
      </c>
      <c r="AN7" s="36" t="s">
        <v>293</v>
      </c>
      <c r="AO7" s="73" t="s">
        <v>288</v>
      </c>
      <c r="AP7" s="73" t="s">
        <v>304</v>
      </c>
      <c r="AQ7" t="s">
        <v>295</v>
      </c>
      <c r="AR7" t="s">
        <v>296</v>
      </c>
      <c r="AS7" t="s">
        <v>305</v>
      </c>
      <c r="AT7" t="s">
        <v>306</v>
      </c>
      <c r="AU7" t="s">
        <v>307</v>
      </c>
      <c r="AV7" t="s">
        <v>308</v>
      </c>
    </row>
    <row r="8" spans="1:48" ht="30" customHeight="1" x14ac:dyDescent="0.2">
      <c r="A8" s="41" t="s">
        <v>64</v>
      </c>
      <c r="B8" s="22" t="s">
        <v>130</v>
      </c>
      <c r="C8" s="22" t="s">
        <v>131</v>
      </c>
      <c r="D8" s="22" t="s">
        <v>132</v>
      </c>
      <c r="E8" s="44">
        <v>0</v>
      </c>
      <c r="F8" s="78" t="str">
        <f>Global!F8</f>
        <v/>
      </c>
      <c r="G8" s="79" t="str">
        <f>Global!G8</f>
        <v/>
      </c>
      <c r="H8" s="79" t="str">
        <f>Global!H8</f>
        <v/>
      </c>
      <c r="I8" s="79" t="str">
        <f>Global!I8</f>
        <v/>
      </c>
      <c r="J8" s="79" t="str">
        <f>Global!J8</f>
        <v/>
      </c>
      <c r="K8" s="79" t="str">
        <f>Global!K8</f>
        <v/>
      </c>
      <c r="L8" s="79" t="str">
        <f>Global!L8</f>
        <v/>
      </c>
      <c r="M8" s="79" t="str">
        <f>Global!M8</f>
        <v/>
      </c>
      <c r="N8" s="79" t="str">
        <f>Global!N8</f>
        <v/>
      </c>
      <c r="O8" s="79" t="str">
        <f>Global!O8</f>
        <v/>
      </c>
      <c r="P8" s="79" t="str">
        <f>Global!P8</f>
        <v/>
      </c>
      <c r="Q8" s="79" t="str">
        <f>Global!Q8</f>
        <v/>
      </c>
      <c r="R8" s="79" t="str">
        <f>Global!R8</f>
        <v/>
      </c>
      <c r="S8" s="79" t="str">
        <f>Global!S8</f>
        <v/>
      </c>
      <c r="T8" s="79" t="str">
        <f>Global!T8</f>
        <v/>
      </c>
      <c r="U8" s="79" t="str">
        <f>Global!U8</f>
        <v/>
      </c>
      <c r="V8" s="79" t="str">
        <f>Global!V8</f>
        <v/>
      </c>
      <c r="W8" s="79" t="str">
        <f>Global!W8</f>
        <v/>
      </c>
      <c r="X8" s="79" t="str">
        <f>Global!X8</f>
        <v/>
      </c>
      <c r="Y8" s="79" t="str">
        <f>Global!Y8</f>
        <v/>
      </c>
      <c r="Z8" s="79" t="str">
        <f>Global!Z8</f>
        <v/>
      </c>
      <c r="AA8" s="79" t="str">
        <f>Global!AA8</f>
        <v/>
      </c>
      <c r="AB8" s="79" t="str">
        <f>Global!AB8</f>
        <v/>
      </c>
      <c r="AC8" s="79" t="str">
        <f>Global!AC8</f>
        <v/>
      </c>
      <c r="AD8" s="79" t="str">
        <f>Global!AD8</f>
        <v/>
      </c>
      <c r="AE8" s="79" t="str">
        <f>Global!AE8</f>
        <v/>
      </c>
      <c r="AF8" s="79" t="str">
        <f>Global!AF8</f>
        <v/>
      </c>
      <c r="AG8" s="79" t="str">
        <f>Global!AG8</f>
        <v/>
      </c>
      <c r="AH8" s="79" t="str">
        <f>Global!AH8</f>
        <v/>
      </c>
      <c r="AI8" s="79" t="str">
        <f>Global!AI8</f>
        <v/>
      </c>
      <c r="AJ8" s="80" t="str">
        <f>Global!AJ8</f>
        <v/>
      </c>
      <c r="AK8" s="108">
        <f>COUNTIF(Janvier[[#This Row],[1]:[31]],"RTT")+(COUNTIF(Janvier[[#This Row],[1]:[31]],"dRTT")/2)</f>
        <v>0</v>
      </c>
      <c r="AL8" s="109">
        <f>COUNTIF(Janvier[[#This Row],[1]:[31]],"C")+(COUNTIF(Janvier[[#This Row],[1]:[31]],"DC")/2)</f>
        <v>0</v>
      </c>
      <c r="AM8" s="22">
        <f>COUNTIF(Janvier[[#This Row],[1]:[31]],"M")</f>
        <v>0</v>
      </c>
      <c r="AN8" s="22">
        <f>COUNTIF(Janvier[[#This Row],[1]:[31]],"AT")</f>
        <v>0</v>
      </c>
      <c r="AO8" s="84">
        <f>IF(AND(Janvier[[#This Row],[Maladie]]=0,Janvier[[#This Row],[AT]]=0),((10*(_xlfn.DAYS("31/01/2018","01/01/2018")+1))/365),((_xlfn.DAYS("31/01/2018","01/01/2018")+1-(Janvier[[#This Row],[Maladie]]+Janvier[[#This Row],[AT]]))*((10*(_xlfn.DAYS("31/01/2018","01/01/2018")+1))/365))/(_xlfn.DAYS("31/01/2018","01/01/2018")+1))</f>
        <v>0.84931506849315064</v>
      </c>
      <c r="AP8" s="85">
        <f>$E$5-(COUNTIF(Janvier[[#This Row],[1]:[31]],"C")+COUNTIF(Janvier[[#This Row],[1]:[31]],"RTT")+Janvier[[#This Row],[Maladie]]+Janvier[[#This Row],[AT]])</f>
        <v>22</v>
      </c>
      <c r="AQ8">
        <f>SUMPRODUCT((F8:AJ8="")*(WEEKDAY($F$1:$AJ$1)&lt;6)*(COUNTIF(JFériés!$D$2:$D$11,$F$1:$AJ$1)=0))</f>
        <v>22</v>
      </c>
      <c r="AR8" s="152">
        <f>SUMPRODUCT(IF(Janvier[[#This Row],[RTT Pris]]+Janvier[[#This Row],[CP Pris]]+Janvier[[#This Row],[Maladie]]+Janvier[[#This Row],[AT]]=0,0,Janvier[[#This Row],[RTT Pris]]+Janvier[[#This Row],[CP Pris]]+Janvier[[#This Row],[Maladie]]+Janvier[[#This Row],[AT]])*(WEEKDAY($F$1:$AJ$1)&lt;6)*(COUNTIF(JFériés!$D$2:$D$11,$F$1:$AJ$1)=0))</f>
        <v>0</v>
      </c>
      <c r="AS8">
        <f>IF(Janvier[[#This Row],[RTT Pris]]+Janvier[[#This Row],[CP Pris]]+Janvier[[#This Row],[Maladie]]+Janvier[[#This Row],[AT]]=0,0,Janvier[[#This Row],[RTT Pris]]+Janvier[[#This Row],[CP Pris]]+Janvier[[#This Row],[Maladie]]+Janvier[[#This Row],[AT]])</f>
        <v>0</v>
      </c>
      <c r="AT8" s="151">
        <f>$E$5-Janvier[[#This Row],[Colonne3]]</f>
        <v>22</v>
      </c>
      <c r="AU8" s="152" t="e">
        <f t="shared" ref="AU8:AU39" si="0">WEEKDAY(F1:AJ1,1)</f>
        <v>#VALUE!</v>
      </c>
      <c r="AV8" s="152" t="str">
        <f t="shared" ref="AV8:AV39" si="1">IF(WEEKDAY(K1,1)="M",0,"")</f>
        <v/>
      </c>
    </row>
    <row r="9" spans="1:48" ht="30" customHeight="1" x14ac:dyDescent="0.2">
      <c r="A9" s="13" t="s">
        <v>65</v>
      </c>
      <c r="B9" s="22" t="s">
        <v>130</v>
      </c>
      <c r="C9" s="22" t="s">
        <v>133</v>
      </c>
      <c r="D9" s="22" t="s">
        <v>134</v>
      </c>
      <c r="E9" s="44">
        <v>0</v>
      </c>
      <c r="F9" s="47" t="str">
        <f>Global!F9</f>
        <v/>
      </c>
      <c r="G9" s="31" t="str">
        <f>Global!G9</f>
        <v/>
      </c>
      <c r="H9" s="31" t="str">
        <f>Global!H9</f>
        <v/>
      </c>
      <c r="I9" s="31" t="str">
        <f>Global!I9</f>
        <v/>
      </c>
      <c r="J9" s="31" t="str">
        <f>Global!J9</f>
        <v/>
      </c>
      <c r="K9" s="31" t="str">
        <f>Global!K9</f>
        <v/>
      </c>
      <c r="L9" s="31" t="str">
        <f>Global!L9</f>
        <v/>
      </c>
      <c r="M9" s="31" t="str">
        <f>Global!M9</f>
        <v/>
      </c>
      <c r="N9" s="31" t="str">
        <f>Global!N9</f>
        <v/>
      </c>
      <c r="O9" s="31" t="str">
        <f>Global!O9</f>
        <v/>
      </c>
      <c r="P9" s="31" t="str">
        <f>Global!P9</f>
        <v/>
      </c>
      <c r="Q9" s="31" t="str">
        <f>Global!Q9</f>
        <v/>
      </c>
      <c r="R9" s="31" t="str">
        <f>Global!R9</f>
        <v/>
      </c>
      <c r="S9" s="31" t="str">
        <f>Global!S9</f>
        <v/>
      </c>
      <c r="T9" s="31" t="str">
        <f>Global!T9</f>
        <v/>
      </c>
      <c r="U9" s="31" t="str">
        <f>Global!U9</f>
        <v/>
      </c>
      <c r="V9" s="31" t="str">
        <f>Global!V9</f>
        <v/>
      </c>
      <c r="W9" s="31" t="str">
        <f>Global!W9</f>
        <v/>
      </c>
      <c r="X9" s="31" t="str">
        <f>Global!X9</f>
        <v/>
      </c>
      <c r="Y9" s="31" t="str">
        <f>Global!Y9</f>
        <v/>
      </c>
      <c r="Z9" s="31" t="str">
        <f>Global!Z9</f>
        <v/>
      </c>
      <c r="AA9" s="31" t="str">
        <f>Global!AA9</f>
        <v/>
      </c>
      <c r="AB9" s="31" t="str">
        <f>Global!AB9</f>
        <v/>
      </c>
      <c r="AC9" s="31" t="str">
        <f>Global!AC9</f>
        <v/>
      </c>
      <c r="AD9" s="31" t="str">
        <f>Global!AD9</f>
        <v/>
      </c>
      <c r="AE9" s="31" t="str">
        <f>Global!AE9</f>
        <v/>
      </c>
      <c r="AF9" s="31" t="str">
        <f>Global!AF9</f>
        <v/>
      </c>
      <c r="AG9" s="31" t="str">
        <f>Global!AG9</f>
        <v/>
      </c>
      <c r="AH9" s="31" t="str">
        <f>Global!AH9</f>
        <v/>
      </c>
      <c r="AI9" s="31" t="str">
        <f>Global!AI9</f>
        <v/>
      </c>
      <c r="AJ9" s="48" t="str">
        <f>Global!AJ9</f>
        <v/>
      </c>
      <c r="AK9" s="108">
        <f>COUNTIF(Janvier[[#This Row],[1]:[31]],"RTT")+(COUNTIF(Janvier[[#This Row],[1]:[31]],"dRTT")/2)</f>
        <v>0</v>
      </c>
      <c r="AL9" s="109">
        <f>COUNTIF(Janvier[[#This Row],[1]:[31]],"C")+(COUNTIF(Janvier[[#This Row],[1]:[31]],"DC")/2)</f>
        <v>0</v>
      </c>
      <c r="AM9" s="22">
        <f>COUNTIF(Janvier[[#This Row],[1]:[31]],"M")</f>
        <v>0</v>
      </c>
      <c r="AN9" s="22">
        <f>COUNTIF(Janvier[[#This Row],[1]:[31]],"AT")</f>
        <v>0</v>
      </c>
      <c r="AO9" s="84">
        <f>IF(AND(Janvier[[#This Row],[Maladie]]=0,Janvier[[#This Row],[AT]]=0),((10*(_xlfn.DAYS("31/01/2018","01/01/2018")+1))/365),((_xlfn.DAYS("31/01/2018","01/01/2018")+1-(Janvier[[#This Row],[Maladie]]+Janvier[[#This Row],[AT]]))*((10*(_xlfn.DAYS("31/01/2018","01/01/2018")+1))/365))/(_xlfn.DAYS("31/01/2018","01/01/2018")+1))</f>
        <v>0.84931506849315064</v>
      </c>
      <c r="AP9" s="85">
        <f>$E$5-(COUNTIF(Janvier[[#This Row],[1]:[31]],"C")+COUNTIF(Janvier[[#This Row],[1]:[31]],"RTT")+Janvier[[#This Row],[Maladie]]+Janvier[[#This Row],[AT]])</f>
        <v>22</v>
      </c>
      <c r="AQ9">
        <f>SUMPRODUCT((F9:AJ9="")*(WEEKDAY($F$1:$AJ$1)&lt;6)*(COUNTIF(JFériés!$D$2:$D$11,$F$1:$AJ$1)=0))</f>
        <v>22</v>
      </c>
      <c r="AR9" s="152">
        <f>SUMPRODUCT(IF(Janvier[[#This Row],[RTT Pris]]+Janvier[[#This Row],[CP Pris]]+Janvier[[#This Row],[Maladie]]+Janvier[[#This Row],[AT]]=0,0,Janvier[[#This Row],[RTT Pris]]+Janvier[[#This Row],[CP Pris]]+Janvier[[#This Row],[Maladie]]+Janvier[[#This Row],[AT]])*(WEEKDAY($F$1:$AJ$1)&lt;6)*(COUNTIF(JFériés!$D$2:$D$11,$F$1:$AJ$1)=0))</f>
        <v>0</v>
      </c>
      <c r="AS9">
        <f>IF(Janvier[[#This Row],[RTT Pris]]+Janvier[[#This Row],[CP Pris]]+Janvier[[#This Row],[Maladie]]+Janvier[[#This Row],[AT]]=0,0,Janvier[[#This Row],[RTT Pris]]+Janvier[[#This Row],[CP Pris]]+Janvier[[#This Row],[Maladie]]+Janvier[[#This Row],[AT]])</f>
        <v>0</v>
      </c>
      <c r="AT9">
        <f>$E$5-Janvier[[#This Row],[Colonne3]]</f>
        <v>22</v>
      </c>
      <c r="AU9" s="152" t="e">
        <f t="shared" si="0"/>
        <v>#VALUE!</v>
      </c>
      <c r="AV9" s="152" t="str">
        <f t="shared" si="1"/>
        <v/>
      </c>
    </row>
    <row r="10" spans="1:48" ht="30" customHeight="1" x14ac:dyDescent="0.2">
      <c r="A10" s="14" t="s">
        <v>66</v>
      </c>
      <c r="B10" s="22" t="s">
        <v>135</v>
      </c>
      <c r="C10" s="22" t="s">
        <v>136</v>
      </c>
      <c r="D10" s="22" t="s">
        <v>137</v>
      </c>
      <c r="E10" s="44">
        <v>0</v>
      </c>
      <c r="F10" s="47" t="str">
        <f>Global!F10</f>
        <v/>
      </c>
      <c r="G10" s="31" t="str">
        <f>Global!G10</f>
        <v/>
      </c>
      <c r="H10" s="31" t="str">
        <f>Global!H10</f>
        <v/>
      </c>
      <c r="I10" s="31" t="str">
        <f>Global!I10</f>
        <v/>
      </c>
      <c r="J10" s="31" t="str">
        <f>Global!J10</f>
        <v/>
      </c>
      <c r="K10" s="31" t="str">
        <f>Global!K10</f>
        <v/>
      </c>
      <c r="L10" s="31" t="str">
        <f>Global!L10</f>
        <v/>
      </c>
      <c r="M10" s="31" t="str">
        <f>Global!M10</f>
        <v/>
      </c>
      <c r="N10" s="31" t="str">
        <f>Global!N10</f>
        <v/>
      </c>
      <c r="O10" s="31" t="str">
        <f>Global!O10</f>
        <v/>
      </c>
      <c r="P10" s="31" t="str">
        <f>Global!P10</f>
        <v/>
      </c>
      <c r="Q10" s="31" t="str">
        <f>Global!Q10</f>
        <v/>
      </c>
      <c r="R10" s="31" t="str">
        <f>Global!R10</f>
        <v/>
      </c>
      <c r="S10" s="31" t="str">
        <f>Global!S10</f>
        <v/>
      </c>
      <c r="T10" s="31" t="str">
        <f>Global!T10</f>
        <v/>
      </c>
      <c r="U10" s="31" t="str">
        <f>Global!U10</f>
        <v/>
      </c>
      <c r="V10" s="31" t="str">
        <f>Global!V10</f>
        <v/>
      </c>
      <c r="W10" s="31" t="str">
        <f>Global!W10</f>
        <v/>
      </c>
      <c r="X10" s="31" t="str">
        <f>Global!X10</f>
        <v/>
      </c>
      <c r="Y10" s="31" t="str">
        <f>Global!Y10</f>
        <v/>
      </c>
      <c r="Z10" s="31" t="str">
        <f>Global!Z10</f>
        <v/>
      </c>
      <c r="AA10" s="31" t="str">
        <f>Global!AA10</f>
        <v/>
      </c>
      <c r="AB10" s="31" t="str">
        <f>Global!AB10</f>
        <v/>
      </c>
      <c r="AC10" s="31" t="str">
        <f>Global!AC10</f>
        <v/>
      </c>
      <c r="AD10" s="31" t="str">
        <f>Global!AD10</f>
        <v/>
      </c>
      <c r="AE10" s="31" t="str">
        <f>Global!AE10</f>
        <v/>
      </c>
      <c r="AF10" s="31" t="str">
        <f>Global!AF10</f>
        <v/>
      </c>
      <c r="AG10" s="31" t="str">
        <f>Global!AG10</f>
        <v/>
      </c>
      <c r="AH10" s="31" t="str">
        <f>Global!AH10</f>
        <v/>
      </c>
      <c r="AI10" s="31" t="str">
        <f>Global!AI10</f>
        <v/>
      </c>
      <c r="AJ10" s="48" t="str">
        <f>Global!AJ10</f>
        <v/>
      </c>
      <c r="AK10" s="108">
        <f>COUNTIF(Janvier[[#This Row],[1]:[31]],"RTT")+(COUNTIF(Janvier[[#This Row],[1]:[31]],"dRTT")/2)</f>
        <v>0</v>
      </c>
      <c r="AL10" s="109">
        <f>COUNTIF(Janvier[[#This Row],[1]:[31]],"C")+(COUNTIF(Janvier[[#This Row],[1]:[31]],"DC")/2)</f>
        <v>0</v>
      </c>
      <c r="AM10" s="22">
        <f>COUNTIF(Janvier[[#This Row],[1]:[31]],"M")</f>
        <v>0</v>
      </c>
      <c r="AN10" s="22">
        <f>COUNTIF(Janvier[[#This Row],[1]:[31]],"AT")</f>
        <v>0</v>
      </c>
      <c r="AO10" s="84">
        <f>IF(AND(Janvier[[#This Row],[Maladie]]=0,Janvier[[#This Row],[AT]]=0),((10*(_xlfn.DAYS("31/01/2018","01/01/2018")+1))/365),((_xlfn.DAYS("31/01/2018","01/01/2018")+1-(Janvier[[#This Row],[Maladie]]+Janvier[[#This Row],[AT]]))*((10*(_xlfn.DAYS("31/01/2018","01/01/2018")+1))/365))/(_xlfn.DAYS("31/01/2018","01/01/2018")+1))</f>
        <v>0.84931506849315064</v>
      </c>
      <c r="AP10" s="85">
        <f>$E$5-(COUNTIF(Janvier[[#This Row],[1]:[31]],"C")+COUNTIF(Janvier[[#This Row],[1]:[31]],"RTT")+Janvier[[#This Row],[Maladie]]+Janvier[[#This Row],[AT]])</f>
        <v>22</v>
      </c>
      <c r="AQ10">
        <f>SUMPRODUCT((F10:AJ10="")*(WEEKDAY($F$1:$AJ$1)&lt;6)*(COUNTIF(JFériés!$D$2:$D$11,$F$1:$AJ$1)=0))</f>
        <v>22</v>
      </c>
      <c r="AR10" s="152">
        <f>SUMPRODUCT(IF(Janvier[[#This Row],[RTT Pris]]+Janvier[[#This Row],[CP Pris]]+Janvier[[#This Row],[Maladie]]+Janvier[[#This Row],[AT]]=0,0,Janvier[[#This Row],[RTT Pris]]+Janvier[[#This Row],[CP Pris]]+Janvier[[#This Row],[Maladie]]+Janvier[[#This Row],[AT]])*(WEEKDAY($F$1:$AJ$1)&lt;6)*(COUNTIF(JFériés!$D$2:$D$11,$F$1:$AJ$1)=0))</f>
        <v>0</v>
      </c>
      <c r="AS10">
        <f>IF(Janvier[[#This Row],[RTT Pris]]+Janvier[[#This Row],[CP Pris]]+Janvier[[#This Row],[Maladie]]+Janvier[[#This Row],[AT]]=0,0,Janvier[[#This Row],[RTT Pris]]+Janvier[[#This Row],[CP Pris]]+Janvier[[#This Row],[Maladie]]+Janvier[[#This Row],[AT]])</f>
        <v>0</v>
      </c>
      <c r="AT10">
        <f>$E$5-Janvier[[#This Row],[Colonne3]]</f>
        <v>22</v>
      </c>
      <c r="AU10" s="152" t="e">
        <f t="shared" si="0"/>
        <v>#VALUE!</v>
      </c>
      <c r="AV10" s="152" t="str">
        <f t="shared" si="1"/>
        <v/>
      </c>
    </row>
    <row r="11" spans="1:48" ht="30" customHeight="1" x14ac:dyDescent="0.2">
      <c r="A11" s="15" t="s">
        <v>67</v>
      </c>
      <c r="B11" s="22" t="s">
        <v>138</v>
      </c>
      <c r="C11" s="22" t="s">
        <v>139</v>
      </c>
      <c r="D11" s="22" t="s">
        <v>140</v>
      </c>
      <c r="E11" s="44">
        <v>0</v>
      </c>
      <c r="F11" s="47" t="str">
        <f>Global!F11</f>
        <v/>
      </c>
      <c r="G11" s="31" t="str">
        <f>Global!G11</f>
        <v/>
      </c>
      <c r="H11" s="31" t="str">
        <f>Global!H11</f>
        <v/>
      </c>
      <c r="I11" s="31" t="str">
        <f>Global!I11</f>
        <v/>
      </c>
      <c r="J11" s="31" t="str">
        <f>Global!J11</f>
        <v/>
      </c>
      <c r="K11" s="31" t="str">
        <f>Global!K11</f>
        <v/>
      </c>
      <c r="L11" s="31" t="str">
        <f>Global!L11</f>
        <v/>
      </c>
      <c r="M11" s="31" t="str">
        <f>Global!M11</f>
        <v/>
      </c>
      <c r="N11" s="31" t="str">
        <f>Global!N11</f>
        <v/>
      </c>
      <c r="O11" s="31" t="str">
        <f>Global!O11</f>
        <v/>
      </c>
      <c r="P11" s="31" t="str">
        <f>Global!P11</f>
        <v/>
      </c>
      <c r="Q11" s="31" t="str">
        <f>Global!Q11</f>
        <v/>
      </c>
      <c r="R11" s="31" t="str">
        <f>Global!R11</f>
        <v/>
      </c>
      <c r="S11" s="31" t="str">
        <f>Global!S11</f>
        <v/>
      </c>
      <c r="T11" s="31" t="str">
        <f>Global!T11</f>
        <v/>
      </c>
      <c r="U11" s="31" t="str">
        <f>Global!U11</f>
        <v/>
      </c>
      <c r="V11" s="31" t="str">
        <f>Global!V11</f>
        <v/>
      </c>
      <c r="W11" s="31" t="str">
        <f>Global!W11</f>
        <v/>
      </c>
      <c r="X11" s="31" t="str">
        <f>Global!X11</f>
        <v/>
      </c>
      <c r="Y11" s="31" t="str">
        <f>Global!Y11</f>
        <v/>
      </c>
      <c r="Z11" s="31" t="str">
        <f>Global!Z11</f>
        <v/>
      </c>
      <c r="AA11" s="31" t="str">
        <f>Global!AA11</f>
        <v/>
      </c>
      <c r="AB11" s="31" t="str">
        <f>Global!AB11</f>
        <v/>
      </c>
      <c r="AC11" s="31" t="str">
        <f>Global!AC11</f>
        <v/>
      </c>
      <c r="AD11" s="31" t="str">
        <f>Global!AD11</f>
        <v/>
      </c>
      <c r="AE11" s="31" t="str">
        <f>Global!AE11</f>
        <v/>
      </c>
      <c r="AF11" s="31" t="str">
        <f>Global!AF11</f>
        <v/>
      </c>
      <c r="AG11" s="31" t="str">
        <f>Global!AG11</f>
        <v/>
      </c>
      <c r="AH11" s="31" t="str">
        <f>Global!AH11</f>
        <v>RTT</v>
      </c>
      <c r="AI11" s="31" t="str">
        <f>Global!AI11</f>
        <v>RTT</v>
      </c>
      <c r="AJ11" s="48" t="str">
        <f>Global!AJ11</f>
        <v>RTT</v>
      </c>
      <c r="AK11" s="108">
        <f>COUNTIF(Janvier[[#This Row],[1]:[31]],"RTT")+(COUNTIF(Janvier[[#This Row],[1]:[31]],"dRTT")/2)</f>
        <v>3</v>
      </c>
      <c r="AL11" s="109">
        <f>COUNTIF(Janvier[[#This Row],[1]:[31]],"C")+(COUNTIF(Janvier[[#This Row],[1]:[31]],"DC")/2)</f>
        <v>0</v>
      </c>
      <c r="AM11" s="22">
        <f>COUNTIF(Janvier[[#This Row],[1]:[31]],"M")</f>
        <v>0</v>
      </c>
      <c r="AN11" s="22">
        <f>COUNTIF(Janvier[[#This Row],[1]:[31]],"AT")</f>
        <v>0</v>
      </c>
      <c r="AO11" s="84">
        <f>IF(AND(Janvier[[#This Row],[Maladie]]=0,Janvier[[#This Row],[AT]]=0),((10*(_xlfn.DAYS("31/01/2018","01/01/2018")+1))/365),((_xlfn.DAYS("31/01/2018","01/01/2018")+1-(Janvier[[#This Row],[Maladie]]+Janvier[[#This Row],[AT]]))*((10*(_xlfn.DAYS("31/01/2018","01/01/2018")+1))/365))/(_xlfn.DAYS("31/01/2018","01/01/2018")+1))</f>
        <v>0.84931506849315064</v>
      </c>
      <c r="AP11" s="85">
        <f>$E$5-(COUNTIF(Janvier[[#This Row],[1]:[31]],"C")+COUNTIF(Janvier[[#This Row],[1]:[31]],"RTT")+Janvier[[#This Row],[Maladie]]+Janvier[[#This Row],[AT]])</f>
        <v>19</v>
      </c>
      <c r="AQ11">
        <f>SUMPRODUCT((F11:AJ11="")*(WEEKDAY($F$1:$AJ$1)&lt;6)*(COUNTIF(JFériés!$D$2:$D$11,$F$1:$AJ$1)=0))</f>
        <v>19</v>
      </c>
      <c r="AR11" s="152">
        <f>SUMPRODUCT(IF(Janvier[[#This Row],[RTT Pris]]+Janvier[[#This Row],[CP Pris]]+Janvier[[#This Row],[Maladie]]+Janvier[[#This Row],[AT]]=0,0,Janvier[[#This Row],[RTT Pris]]+Janvier[[#This Row],[CP Pris]]+Janvier[[#This Row],[Maladie]]+Janvier[[#This Row],[AT]])*(WEEKDAY($F$1:$AJ$1)&lt;6)*(COUNTIF(JFériés!$D$2:$D$11,$F$1:$AJ$1)=0))</f>
        <v>66</v>
      </c>
      <c r="AS11">
        <f>IF(Janvier[[#This Row],[RTT Pris]]+Janvier[[#This Row],[CP Pris]]+Janvier[[#This Row],[Maladie]]+Janvier[[#This Row],[AT]]=0,0,Janvier[[#This Row],[RTT Pris]]+Janvier[[#This Row],[CP Pris]]+Janvier[[#This Row],[Maladie]]+Janvier[[#This Row],[AT]])</f>
        <v>3</v>
      </c>
      <c r="AT11">
        <f>$E$5-Janvier[[#This Row],[Colonne3]]</f>
        <v>19</v>
      </c>
      <c r="AU11" s="152" t="e">
        <f t="shared" si="0"/>
        <v>#VALUE!</v>
      </c>
      <c r="AV11" s="152" t="str">
        <f t="shared" si="1"/>
        <v/>
      </c>
    </row>
    <row r="12" spans="1:48" ht="30" customHeight="1" x14ac:dyDescent="0.2">
      <c r="A12" s="15" t="s">
        <v>68</v>
      </c>
      <c r="B12" s="22" t="s">
        <v>141</v>
      </c>
      <c r="C12" s="22" t="s">
        <v>142</v>
      </c>
      <c r="D12" s="22" t="s">
        <v>143</v>
      </c>
      <c r="E12" s="44">
        <v>0</v>
      </c>
      <c r="F12" s="47" t="str">
        <f>Global!F12</f>
        <v/>
      </c>
      <c r="G12" s="31" t="str">
        <f>Global!G12</f>
        <v>C</v>
      </c>
      <c r="H12" s="31" t="str">
        <f>Global!H12</f>
        <v>C</v>
      </c>
      <c r="I12" s="31" t="str">
        <f>Global!I12</f>
        <v>C</v>
      </c>
      <c r="J12" s="31" t="str">
        <f>Global!J12</f>
        <v>C</v>
      </c>
      <c r="K12" s="31" t="str">
        <f>Global!K12</f>
        <v/>
      </c>
      <c r="L12" s="31" t="str">
        <f>Global!L12</f>
        <v/>
      </c>
      <c r="M12" s="31" t="str">
        <f>Global!M12</f>
        <v>C</v>
      </c>
      <c r="N12" s="31" t="str">
        <f>Global!N12</f>
        <v/>
      </c>
      <c r="O12" s="31" t="str">
        <f>Global!O12</f>
        <v/>
      </c>
      <c r="P12" s="31" t="str">
        <f>Global!P12</f>
        <v/>
      </c>
      <c r="Q12" s="31" t="str">
        <f>Global!Q12</f>
        <v/>
      </c>
      <c r="R12" s="31" t="str">
        <f>Global!R12</f>
        <v/>
      </c>
      <c r="S12" s="31" t="str">
        <f>Global!S12</f>
        <v/>
      </c>
      <c r="T12" s="31" t="str">
        <f>Global!T12</f>
        <v>C</v>
      </c>
      <c r="U12" s="31" t="str">
        <f>Global!U12</f>
        <v/>
      </c>
      <c r="V12" s="31" t="str">
        <f>Global!V12</f>
        <v/>
      </c>
      <c r="W12" s="31" t="str">
        <f>Global!W12</f>
        <v/>
      </c>
      <c r="X12" s="31" t="str">
        <f>Global!X12</f>
        <v/>
      </c>
      <c r="Y12" s="31" t="str">
        <f>Global!Y12</f>
        <v/>
      </c>
      <c r="Z12" s="31" t="str">
        <f>Global!Z12</f>
        <v/>
      </c>
      <c r="AA12" s="31" t="str">
        <f>Global!AA12</f>
        <v/>
      </c>
      <c r="AB12" s="31" t="str">
        <f>Global!AB12</f>
        <v/>
      </c>
      <c r="AC12" s="31" t="str">
        <f>Global!AC12</f>
        <v/>
      </c>
      <c r="AD12" s="31" t="str">
        <f>Global!AD12</f>
        <v/>
      </c>
      <c r="AE12" s="31" t="str">
        <f>Global!AE12</f>
        <v/>
      </c>
      <c r="AF12" s="31" t="str">
        <f>Global!AF12</f>
        <v/>
      </c>
      <c r="AG12" s="31" t="str">
        <f>Global!AG12</f>
        <v/>
      </c>
      <c r="AH12" s="31" t="str">
        <f>Global!AH12</f>
        <v/>
      </c>
      <c r="AI12" s="31" t="str">
        <f>Global!AI12</f>
        <v/>
      </c>
      <c r="AJ12" s="48" t="str">
        <f>Global!AJ12</f>
        <v/>
      </c>
      <c r="AK12" s="108">
        <f>COUNTIF(Janvier[[#This Row],[1]:[31]],"RTT")+(COUNTIF(Janvier[[#This Row],[1]:[31]],"dRTT")/2)</f>
        <v>0</v>
      </c>
      <c r="AL12" s="109">
        <f>COUNTIF(Janvier[[#This Row],[1]:[31]],"C")+(COUNTIF(Janvier[[#This Row],[1]:[31]],"DC")/2)</f>
        <v>6</v>
      </c>
      <c r="AM12" s="22">
        <f>COUNTIF(Janvier[[#This Row],[1]:[31]],"M")</f>
        <v>0</v>
      </c>
      <c r="AN12" s="22">
        <f>COUNTIF(Janvier[[#This Row],[1]:[31]],"AT")</f>
        <v>0</v>
      </c>
      <c r="AO12" s="84">
        <f>IF(AND(Janvier[[#This Row],[Maladie]]=0,Janvier[[#This Row],[AT]]=0),((10*(_xlfn.DAYS("31/01/2018","01/01/2018")+1))/365),((_xlfn.DAYS("31/01/2018","01/01/2018")+1-(Janvier[[#This Row],[Maladie]]+Janvier[[#This Row],[AT]]))*((10*(_xlfn.DAYS("31/01/2018","01/01/2018")+1))/365))/(_xlfn.DAYS("31/01/2018","01/01/2018")+1))</f>
        <v>0.84931506849315064</v>
      </c>
      <c r="AP12" s="85">
        <f>$E$5-(COUNTIF(Janvier[[#This Row],[1]:[31]],"C")+COUNTIF(Janvier[[#This Row],[1]:[31]],"RTT")+Janvier[[#This Row],[Maladie]]+Janvier[[#This Row],[AT]])</f>
        <v>16</v>
      </c>
      <c r="AQ12">
        <f>SUMPRODUCT((F12:AJ12="")*(WEEKDAY($F$1:$AJ$1)&lt;6)*(COUNTIF(JFériés!$D$2:$D$11,$F$1:$AJ$1)=0))</f>
        <v>17</v>
      </c>
      <c r="AR12" s="152">
        <f>SUMPRODUCT(IF(Janvier[[#This Row],[RTT Pris]]+Janvier[[#This Row],[CP Pris]]+Janvier[[#This Row],[Maladie]]+Janvier[[#This Row],[AT]]=0,0,Janvier[[#This Row],[RTT Pris]]+Janvier[[#This Row],[CP Pris]]+Janvier[[#This Row],[Maladie]]+Janvier[[#This Row],[AT]])*(WEEKDAY($F$1:$AJ$1)&lt;6)*(COUNTIF(JFériés!$D$2:$D$11,$F$1:$AJ$1)=0))</f>
        <v>132</v>
      </c>
      <c r="AS12">
        <f>IF(Janvier[[#This Row],[RTT Pris]]+Janvier[[#This Row],[CP Pris]]+Janvier[[#This Row],[Maladie]]+Janvier[[#This Row],[AT]]=0,0,Janvier[[#This Row],[RTT Pris]]+Janvier[[#This Row],[CP Pris]]+Janvier[[#This Row],[Maladie]]+Janvier[[#This Row],[AT]])</f>
        <v>6</v>
      </c>
      <c r="AT12">
        <f>$E$5-Janvier[[#This Row],[Colonne3]]</f>
        <v>16</v>
      </c>
      <c r="AU12" s="152" t="e">
        <f t="shared" si="0"/>
        <v>#VALUE!</v>
      </c>
      <c r="AV12" s="152" t="str">
        <f t="shared" si="1"/>
        <v/>
      </c>
    </row>
    <row r="13" spans="1:48" ht="30" customHeight="1" x14ac:dyDescent="0.2">
      <c r="A13" s="13" t="s">
        <v>69</v>
      </c>
      <c r="B13" s="22" t="s">
        <v>144</v>
      </c>
      <c r="C13" s="22" t="s">
        <v>145</v>
      </c>
      <c r="D13" s="22" t="s">
        <v>146</v>
      </c>
      <c r="E13" s="44">
        <v>0</v>
      </c>
      <c r="F13" s="47" t="str">
        <f>Global!F13</f>
        <v/>
      </c>
      <c r="G13" s="31" t="str">
        <f>Global!G13</f>
        <v/>
      </c>
      <c r="H13" s="31" t="str">
        <f>Global!H13</f>
        <v/>
      </c>
      <c r="I13" s="31" t="str">
        <f>Global!I13</f>
        <v/>
      </c>
      <c r="J13" s="31" t="str">
        <f>Global!J13</f>
        <v/>
      </c>
      <c r="K13" s="31" t="str">
        <f>Global!K13</f>
        <v/>
      </c>
      <c r="L13" s="31" t="str">
        <f>Global!L13</f>
        <v/>
      </c>
      <c r="M13" s="31" t="str">
        <f>Global!M13</f>
        <v/>
      </c>
      <c r="N13" s="31" t="str">
        <f>Global!N13</f>
        <v/>
      </c>
      <c r="O13" s="31" t="str">
        <f>Global!O13</f>
        <v/>
      </c>
      <c r="P13" s="31" t="str">
        <f>Global!P13</f>
        <v>DC</v>
      </c>
      <c r="Q13" s="31" t="str">
        <f>Global!Q13</f>
        <v/>
      </c>
      <c r="R13" s="31" t="str">
        <f>Global!R13</f>
        <v/>
      </c>
      <c r="S13" s="31" t="str">
        <f>Global!S13</f>
        <v/>
      </c>
      <c r="T13" s="31" t="str">
        <f>Global!T13</f>
        <v/>
      </c>
      <c r="U13" s="31" t="str">
        <f>Global!U13</f>
        <v/>
      </c>
      <c r="V13" s="31" t="str">
        <f>Global!V13</f>
        <v/>
      </c>
      <c r="W13" s="31" t="str">
        <f>Global!W13</f>
        <v>AT</v>
      </c>
      <c r="X13" s="31" t="str">
        <f>Global!X13</f>
        <v>AT</v>
      </c>
      <c r="Y13" s="31" t="str">
        <f>Global!Y13</f>
        <v>AT</v>
      </c>
      <c r="Z13" s="31" t="str">
        <f>Global!Z13</f>
        <v>AT</v>
      </c>
      <c r="AA13" s="31" t="str">
        <f>Global!AA13</f>
        <v>AT</v>
      </c>
      <c r="AB13" s="31" t="str">
        <f>Global!AB13</f>
        <v>AT</v>
      </c>
      <c r="AC13" s="31" t="str">
        <f>Global!AC13</f>
        <v>AT</v>
      </c>
      <c r="AD13" s="31" t="str">
        <f>Global!AD13</f>
        <v>AT</v>
      </c>
      <c r="AE13" s="31" t="str">
        <f>Global!AE13</f>
        <v>AT</v>
      </c>
      <c r="AF13" s="31" t="str">
        <f>Global!AF13</f>
        <v>AT</v>
      </c>
      <c r="AG13" s="31" t="str">
        <f>Global!AG13</f>
        <v>AT</v>
      </c>
      <c r="AH13" s="31" t="str">
        <f>Global!AH13</f>
        <v>AT</v>
      </c>
      <c r="AI13" s="31" t="str">
        <f>Global!AI13</f>
        <v>AT</v>
      </c>
      <c r="AJ13" s="48" t="str">
        <f>Global!AJ13</f>
        <v>AT</v>
      </c>
      <c r="AK13" s="108">
        <f>COUNTIF(Janvier[[#This Row],[1]:[31]],"RTT")+(COUNTIF(Janvier[[#This Row],[1]:[31]],"dRTT")/2)</f>
        <v>0</v>
      </c>
      <c r="AL13" s="109">
        <f>COUNTIF(Janvier[[#This Row],[1]:[31]],"C")+(COUNTIF(Janvier[[#This Row],[1]:[31]],"DC")/2)</f>
        <v>0.5</v>
      </c>
      <c r="AM13" s="22">
        <f>COUNTIF(Janvier[[#This Row],[1]:[31]],"M")</f>
        <v>0</v>
      </c>
      <c r="AN13" s="22">
        <f>COUNTIF(Janvier[[#This Row],[1]:[31]],"AT")</f>
        <v>14</v>
      </c>
      <c r="AO13" s="84">
        <f>IF(AND(Janvier[[#This Row],[Maladie]]=0,Janvier[[#This Row],[AT]]=0),((10*(_xlfn.DAYS("31/01/2018","01/01/2018")+1))/365),((_xlfn.DAYS("31/01/2018","01/01/2018")+1-(Janvier[[#This Row],[Maladie]]+Janvier[[#This Row],[AT]]))*((10*(_xlfn.DAYS("31/01/2018","01/01/2018")+1))/365))/(_xlfn.DAYS("31/01/2018","01/01/2018")+1))</f>
        <v>0.46575342465753422</v>
      </c>
      <c r="AP13" s="85">
        <f>$E$5-(COUNTIF(Janvier[[#This Row],[1]:[31]],"C")+COUNTIF(Janvier[[#This Row],[1]:[31]],"RTT")+Janvier[[#This Row],[Maladie]]+Janvier[[#This Row],[AT]])</f>
        <v>8</v>
      </c>
      <c r="AQ13">
        <f>SUMPRODUCT((F13:AJ13="")*(WEEKDAY($F$1:$AJ$1)&lt;6)*(COUNTIF(JFériés!$D$2:$D$11,$F$1:$AJ$1)=0))</f>
        <v>11</v>
      </c>
      <c r="AR13" s="152">
        <f>SUMPRODUCT(IF(Janvier[[#This Row],[RTT Pris]]+Janvier[[#This Row],[CP Pris]]+Janvier[[#This Row],[Maladie]]+Janvier[[#This Row],[AT]]=0,0,Janvier[[#This Row],[RTT Pris]]+Janvier[[#This Row],[CP Pris]]+Janvier[[#This Row],[Maladie]]+Janvier[[#This Row],[AT]])*(WEEKDAY($F$1:$AJ$1)&lt;6)*(COUNTIF(JFériés!$D$2:$D$11,$F$1:$AJ$1)=0))</f>
        <v>319</v>
      </c>
      <c r="AS13">
        <f>IF(Janvier[[#This Row],[RTT Pris]]+Janvier[[#This Row],[CP Pris]]+Janvier[[#This Row],[Maladie]]+Janvier[[#This Row],[AT]]=0,0,Janvier[[#This Row],[RTT Pris]]+Janvier[[#This Row],[CP Pris]]+Janvier[[#This Row],[Maladie]]+Janvier[[#This Row],[AT]])</f>
        <v>14.5</v>
      </c>
      <c r="AT13">
        <f>$E$5-Janvier[[#This Row],[Colonne3]]</f>
        <v>7.5</v>
      </c>
      <c r="AU13" s="152" t="e">
        <f t="shared" si="0"/>
        <v>#VALUE!</v>
      </c>
      <c r="AV13" s="152" t="e">
        <f t="shared" si="1"/>
        <v>#VALUE!</v>
      </c>
    </row>
    <row r="14" spans="1:48" ht="30" customHeight="1" x14ac:dyDescent="0.2">
      <c r="A14" s="15" t="s">
        <v>70</v>
      </c>
      <c r="B14" s="22" t="s">
        <v>147</v>
      </c>
      <c r="C14" s="22" t="s">
        <v>148</v>
      </c>
      <c r="D14" s="22" t="s">
        <v>149</v>
      </c>
      <c r="E14" s="44">
        <v>0</v>
      </c>
      <c r="F14" s="47" t="str">
        <f>Global!F14</f>
        <v/>
      </c>
      <c r="G14" s="31" t="str">
        <f>Global!G14</f>
        <v/>
      </c>
      <c r="H14" s="31" t="str">
        <f>Global!H14</f>
        <v/>
      </c>
      <c r="I14" s="31" t="str">
        <f>Global!I14</f>
        <v/>
      </c>
      <c r="J14" s="31" t="str">
        <f>Global!J14</f>
        <v/>
      </c>
      <c r="K14" s="31" t="str">
        <f>Global!K14</f>
        <v/>
      </c>
      <c r="L14" s="31" t="str">
        <f>Global!L14</f>
        <v/>
      </c>
      <c r="M14" s="31" t="str">
        <f>Global!M14</f>
        <v/>
      </c>
      <c r="N14" s="31" t="str">
        <f>Global!N14</f>
        <v/>
      </c>
      <c r="O14" s="31" t="str">
        <f>Global!O14</f>
        <v/>
      </c>
      <c r="P14" s="31" t="str">
        <f>Global!P14</f>
        <v/>
      </c>
      <c r="Q14" s="31" t="str">
        <f>Global!Q14</f>
        <v/>
      </c>
      <c r="R14" s="31" t="str">
        <f>Global!R14</f>
        <v/>
      </c>
      <c r="S14" s="31" t="str">
        <f>Global!S14</f>
        <v/>
      </c>
      <c r="T14" s="31" t="str">
        <f>Global!T14</f>
        <v/>
      </c>
      <c r="U14" s="31" t="str">
        <f>Global!U14</f>
        <v/>
      </c>
      <c r="V14" s="31" t="str">
        <f>Global!V14</f>
        <v/>
      </c>
      <c r="W14" s="31" t="str">
        <f>Global!W14</f>
        <v/>
      </c>
      <c r="X14" s="31" t="str">
        <f>Global!X14</f>
        <v/>
      </c>
      <c r="Y14" s="31" t="str">
        <f>Global!Y14</f>
        <v/>
      </c>
      <c r="Z14" s="31" t="str">
        <f>Global!Z14</f>
        <v/>
      </c>
      <c r="AA14" s="31" t="str">
        <f>Global!AA14</f>
        <v/>
      </c>
      <c r="AB14" s="31" t="str">
        <f>Global!AB14</f>
        <v/>
      </c>
      <c r="AC14" s="31" t="str">
        <f>Global!AC14</f>
        <v/>
      </c>
      <c r="AD14" s="31" t="str">
        <f>Global!AD14</f>
        <v/>
      </c>
      <c r="AE14" s="31" t="str">
        <f>Global!AE14</f>
        <v/>
      </c>
      <c r="AF14" s="31" t="str">
        <f>Global!AF14</f>
        <v/>
      </c>
      <c r="AG14" s="31" t="str">
        <f>Global!AG14</f>
        <v/>
      </c>
      <c r="AH14" s="31" t="str">
        <f>Global!AH14</f>
        <v/>
      </c>
      <c r="AI14" s="31" t="str">
        <f>Global!AI14</f>
        <v/>
      </c>
      <c r="AJ14" s="48" t="str">
        <f>Global!AJ14</f>
        <v/>
      </c>
      <c r="AK14" s="108">
        <f>COUNTIF(Janvier[[#This Row],[1]:[31]],"RTT")+(COUNTIF(Janvier[[#This Row],[1]:[31]],"dRTT")/2)</f>
        <v>0</v>
      </c>
      <c r="AL14" s="109">
        <f>COUNTIF(Janvier[[#This Row],[1]:[31]],"C")+(COUNTIF(Janvier[[#This Row],[1]:[31]],"DC")/2)</f>
        <v>0</v>
      </c>
      <c r="AM14" s="22">
        <f>COUNTIF(Janvier[[#This Row],[1]:[31]],"M")</f>
        <v>0</v>
      </c>
      <c r="AN14" s="22">
        <f>COUNTIF(Janvier[[#This Row],[1]:[31]],"AT")</f>
        <v>0</v>
      </c>
      <c r="AO14" s="84">
        <f>IF(AND(Janvier[[#This Row],[Maladie]]=0,Janvier[[#This Row],[AT]]=0),((10*(_xlfn.DAYS("31/01/2018","01/01/2018")+1))/365),((_xlfn.DAYS("31/01/2018","01/01/2018")+1-(Janvier[[#This Row],[Maladie]]+Janvier[[#This Row],[AT]]))*((10*(_xlfn.DAYS("31/01/2018","01/01/2018")+1))/365))/(_xlfn.DAYS("31/01/2018","01/01/2018")+1))</f>
        <v>0.84931506849315064</v>
      </c>
      <c r="AP14" s="85">
        <f>$E$5-(COUNTIF(Janvier[[#This Row],[1]:[31]],"C")+COUNTIF(Janvier[[#This Row],[1]:[31]],"RTT")+Janvier[[#This Row],[Maladie]]+Janvier[[#This Row],[AT]])</f>
        <v>22</v>
      </c>
      <c r="AQ14">
        <f>SUMPRODUCT((F14:AJ14="")*(WEEKDAY($F$1:$AJ$1)&lt;6)*(COUNTIF(JFériés!$D$2:$D$11,$F$1:$AJ$1)=0))</f>
        <v>22</v>
      </c>
      <c r="AR14" s="152">
        <f>SUMPRODUCT(IF(Janvier[[#This Row],[RTT Pris]]+Janvier[[#This Row],[CP Pris]]+Janvier[[#This Row],[Maladie]]+Janvier[[#This Row],[AT]]=0,0,Janvier[[#This Row],[RTT Pris]]+Janvier[[#This Row],[CP Pris]]+Janvier[[#This Row],[Maladie]]+Janvier[[#This Row],[AT]])*(WEEKDAY($F$1:$AJ$1)&lt;6)*(COUNTIF(JFériés!$D$2:$D$11,$F$1:$AJ$1)=0))</f>
        <v>0</v>
      </c>
      <c r="AS14">
        <f>IF(Janvier[[#This Row],[RTT Pris]]+Janvier[[#This Row],[CP Pris]]+Janvier[[#This Row],[Maladie]]+Janvier[[#This Row],[AT]]=0,0,Janvier[[#This Row],[RTT Pris]]+Janvier[[#This Row],[CP Pris]]+Janvier[[#This Row],[Maladie]]+Janvier[[#This Row],[AT]])</f>
        <v>0</v>
      </c>
      <c r="AT14">
        <f>$E$5-Janvier[[#This Row],[Colonne3]]</f>
        <v>22</v>
      </c>
      <c r="AU14" s="152" t="e">
        <f t="shared" si="0"/>
        <v>#VALUE!</v>
      </c>
      <c r="AV14" s="152" t="str">
        <f t="shared" si="1"/>
        <v/>
      </c>
    </row>
    <row r="15" spans="1:48" ht="30" customHeight="1" x14ac:dyDescent="0.2">
      <c r="A15" s="15" t="s">
        <v>71</v>
      </c>
      <c r="B15" s="22" t="s">
        <v>150</v>
      </c>
      <c r="C15" s="22" t="s">
        <v>151</v>
      </c>
      <c r="D15" s="22" t="s">
        <v>152</v>
      </c>
      <c r="E15" s="44">
        <v>0</v>
      </c>
      <c r="F15" s="47" t="str">
        <f>Global!F15</f>
        <v/>
      </c>
      <c r="G15" s="31" t="str">
        <f>Global!G15</f>
        <v/>
      </c>
      <c r="H15" s="31" t="str">
        <f>Global!H15</f>
        <v/>
      </c>
      <c r="I15" s="31" t="str">
        <f>Global!I15</f>
        <v/>
      </c>
      <c r="J15" s="31" t="str">
        <f>Global!J15</f>
        <v/>
      </c>
      <c r="K15" s="31" t="str">
        <f>Global!K15</f>
        <v/>
      </c>
      <c r="L15" s="31" t="str">
        <f>Global!L15</f>
        <v/>
      </c>
      <c r="M15" s="31" t="str">
        <f>Global!M15</f>
        <v/>
      </c>
      <c r="N15" s="31" t="str">
        <f>Global!N15</f>
        <v/>
      </c>
      <c r="O15" s="31" t="str">
        <f>Global!O15</f>
        <v/>
      </c>
      <c r="P15" s="31" t="str">
        <f>Global!P15</f>
        <v/>
      </c>
      <c r="Q15" s="31" t="str">
        <f>Global!Q15</f>
        <v/>
      </c>
      <c r="R15" s="31" t="str">
        <f>Global!R15</f>
        <v/>
      </c>
      <c r="S15" s="31" t="str">
        <f>Global!S15</f>
        <v/>
      </c>
      <c r="T15" s="31" t="str">
        <f>Global!T15</f>
        <v/>
      </c>
      <c r="U15" s="31" t="str">
        <f>Global!U15</f>
        <v/>
      </c>
      <c r="V15" s="31" t="str">
        <f>Global!V15</f>
        <v/>
      </c>
      <c r="W15" s="31" t="str">
        <f>Global!W15</f>
        <v/>
      </c>
      <c r="X15" s="31" t="str">
        <f>Global!X15</f>
        <v/>
      </c>
      <c r="Y15" s="31" t="str">
        <f>Global!Y15</f>
        <v/>
      </c>
      <c r="Z15" s="31" t="str">
        <f>Global!Z15</f>
        <v/>
      </c>
      <c r="AA15" s="31" t="str">
        <f>Global!AA15</f>
        <v/>
      </c>
      <c r="AB15" s="31" t="str">
        <f>Global!AB15</f>
        <v/>
      </c>
      <c r="AC15" s="31" t="str">
        <f>Global!AC15</f>
        <v/>
      </c>
      <c r="AD15" s="31" t="str">
        <f>Global!AD15</f>
        <v>C</v>
      </c>
      <c r="AE15" s="31" t="str">
        <f>Global!AE15</f>
        <v/>
      </c>
      <c r="AF15" s="31" t="str">
        <f>Global!AF15</f>
        <v/>
      </c>
      <c r="AG15" s="31" t="str">
        <f>Global!AG15</f>
        <v/>
      </c>
      <c r="AH15" s="31" t="str">
        <f>Global!AH15</f>
        <v/>
      </c>
      <c r="AI15" s="31" t="str">
        <f>Global!AI15</f>
        <v/>
      </c>
      <c r="AJ15" s="48" t="str">
        <f>Global!AJ15</f>
        <v/>
      </c>
      <c r="AK15" s="108">
        <f>COUNTIF(Janvier[[#This Row],[1]:[31]],"RTT")+(COUNTIF(Janvier[[#This Row],[1]:[31]],"dRTT")/2)</f>
        <v>0</v>
      </c>
      <c r="AL15" s="109">
        <f>COUNTIF(Janvier[[#This Row],[1]:[31]],"C")+(COUNTIF(Janvier[[#This Row],[1]:[31]],"DC")/2)</f>
        <v>1</v>
      </c>
      <c r="AM15" s="22">
        <f>COUNTIF(Janvier[[#This Row],[1]:[31]],"M")</f>
        <v>0</v>
      </c>
      <c r="AN15" s="22">
        <f>COUNTIF(Janvier[[#This Row],[1]:[31]],"AT")</f>
        <v>0</v>
      </c>
      <c r="AO15" s="84">
        <f>IF(AND(Janvier[[#This Row],[Maladie]]=0,Janvier[[#This Row],[AT]]=0),((10*(_xlfn.DAYS("31/01/2018","01/01/2018")+1))/365),((_xlfn.DAYS("31/01/2018","01/01/2018")+1-(Janvier[[#This Row],[Maladie]]+Janvier[[#This Row],[AT]]))*((10*(_xlfn.DAYS("31/01/2018","01/01/2018")+1))/365))/(_xlfn.DAYS("31/01/2018","01/01/2018")+1))</f>
        <v>0.84931506849315064</v>
      </c>
      <c r="AP15" s="85">
        <f>$E$5-(COUNTIF(Janvier[[#This Row],[1]:[31]],"C")+COUNTIF(Janvier[[#This Row],[1]:[31]],"RTT")+Janvier[[#This Row],[Maladie]]+Janvier[[#This Row],[AT]])</f>
        <v>21</v>
      </c>
      <c r="AQ15">
        <f>SUMPRODUCT((F15:AJ15="")*(WEEKDAY($F$1:$AJ$1)&lt;6)*(COUNTIF(JFériés!$D$2:$D$11,$F$1:$AJ$1)=0))</f>
        <v>21</v>
      </c>
      <c r="AR15" s="152">
        <f>SUMPRODUCT(IF(Janvier[[#This Row],[RTT Pris]]+Janvier[[#This Row],[CP Pris]]+Janvier[[#This Row],[Maladie]]+Janvier[[#This Row],[AT]]=0,0,Janvier[[#This Row],[RTT Pris]]+Janvier[[#This Row],[CP Pris]]+Janvier[[#This Row],[Maladie]]+Janvier[[#This Row],[AT]])*(WEEKDAY($F$1:$AJ$1)&lt;6)*(COUNTIF(JFériés!$D$2:$D$11,$F$1:$AJ$1)=0))</f>
        <v>22</v>
      </c>
      <c r="AS15">
        <f>IF(Janvier[[#This Row],[RTT Pris]]+Janvier[[#This Row],[CP Pris]]+Janvier[[#This Row],[Maladie]]+Janvier[[#This Row],[AT]]=0,0,Janvier[[#This Row],[RTT Pris]]+Janvier[[#This Row],[CP Pris]]+Janvier[[#This Row],[Maladie]]+Janvier[[#This Row],[AT]])</f>
        <v>1</v>
      </c>
      <c r="AT15">
        <f>$E$5-Janvier[[#This Row],[Colonne3]]</f>
        <v>21</v>
      </c>
      <c r="AU15" s="152" t="e">
        <f t="shared" si="0"/>
        <v>#VALUE!</v>
      </c>
      <c r="AV15" s="152" t="e">
        <f t="shared" si="1"/>
        <v>#VALUE!</v>
      </c>
    </row>
    <row r="16" spans="1:48" ht="30" customHeight="1" x14ac:dyDescent="0.2">
      <c r="A16" s="15" t="s">
        <v>72</v>
      </c>
      <c r="B16" s="22" t="s">
        <v>153</v>
      </c>
      <c r="C16" s="22" t="s">
        <v>154</v>
      </c>
      <c r="D16" s="22" t="s">
        <v>155</v>
      </c>
      <c r="E16" s="44">
        <v>0</v>
      </c>
      <c r="F16" s="47" t="str">
        <f>Global!F16</f>
        <v/>
      </c>
      <c r="G16" s="31" t="str">
        <f>Global!G16</f>
        <v/>
      </c>
      <c r="H16" s="31" t="str">
        <f>Global!H16</f>
        <v/>
      </c>
      <c r="I16" s="31" t="str">
        <f>Global!I16</f>
        <v/>
      </c>
      <c r="J16" s="31" t="str">
        <f>Global!J16</f>
        <v/>
      </c>
      <c r="K16" s="31" t="str">
        <f>Global!K16</f>
        <v/>
      </c>
      <c r="L16" s="31" t="str">
        <f>Global!L16</f>
        <v/>
      </c>
      <c r="M16" s="31" t="str">
        <f>Global!M16</f>
        <v/>
      </c>
      <c r="N16" s="31" t="str">
        <f>Global!N16</f>
        <v/>
      </c>
      <c r="O16" s="31" t="str">
        <f>Global!O16</f>
        <v/>
      </c>
      <c r="P16" s="31" t="str">
        <f>Global!P16</f>
        <v/>
      </c>
      <c r="Q16" s="31" t="str">
        <f>Global!Q16</f>
        <v/>
      </c>
      <c r="R16" s="31" t="str">
        <f>Global!R16</f>
        <v/>
      </c>
      <c r="S16" s="31" t="str">
        <f>Global!S16</f>
        <v/>
      </c>
      <c r="T16" s="31" t="str">
        <f>Global!T16</f>
        <v/>
      </c>
      <c r="U16" s="31" t="str">
        <f>Global!U16</f>
        <v/>
      </c>
      <c r="V16" s="31" t="str">
        <f>Global!V16</f>
        <v/>
      </c>
      <c r="W16" s="31" t="str">
        <f>Global!W16</f>
        <v/>
      </c>
      <c r="X16" s="31" t="str">
        <f>Global!X16</f>
        <v/>
      </c>
      <c r="Y16" s="31" t="str">
        <f>Global!Y16</f>
        <v/>
      </c>
      <c r="Z16" s="31" t="str">
        <f>Global!Z16</f>
        <v/>
      </c>
      <c r="AA16" s="31" t="str">
        <f>Global!AA16</f>
        <v/>
      </c>
      <c r="AB16" s="31" t="str">
        <f>Global!AB16</f>
        <v/>
      </c>
      <c r="AC16" s="31" t="str">
        <f>Global!AC16</f>
        <v/>
      </c>
      <c r="AD16" s="31" t="str">
        <f>Global!AD16</f>
        <v/>
      </c>
      <c r="AE16" s="31" t="str">
        <f>Global!AE16</f>
        <v/>
      </c>
      <c r="AF16" s="31" t="str">
        <f>Global!AF16</f>
        <v/>
      </c>
      <c r="AG16" s="31" t="str">
        <f>Global!AG16</f>
        <v/>
      </c>
      <c r="AH16" s="31" t="str">
        <f>Global!AH16</f>
        <v/>
      </c>
      <c r="AI16" s="31" t="str">
        <f>Global!AI16</f>
        <v/>
      </c>
      <c r="AJ16" s="48" t="str">
        <f>Global!AJ16</f>
        <v/>
      </c>
      <c r="AK16" s="108">
        <f>COUNTIF(Janvier[[#This Row],[1]:[31]],"RTT")+(COUNTIF(Janvier[[#This Row],[1]:[31]],"dRTT")/2)</f>
        <v>0</v>
      </c>
      <c r="AL16" s="109">
        <f>COUNTIF(Janvier[[#This Row],[1]:[31]],"C")+(COUNTIF(Janvier[[#This Row],[1]:[31]],"DC")/2)</f>
        <v>0</v>
      </c>
      <c r="AM16" s="22">
        <f>COUNTIF(Janvier[[#This Row],[1]:[31]],"M")</f>
        <v>0</v>
      </c>
      <c r="AN16" s="22">
        <f>COUNTIF(Janvier[[#This Row],[1]:[31]],"AT")</f>
        <v>0</v>
      </c>
      <c r="AO16" s="84">
        <f>IF(AND(Janvier[[#This Row],[Maladie]]=0,Janvier[[#This Row],[AT]]=0),((10*(_xlfn.DAYS("31/01/2018","01/01/2018")+1))/365),((_xlfn.DAYS("31/01/2018","01/01/2018")+1-(Janvier[[#This Row],[Maladie]]+Janvier[[#This Row],[AT]]))*((10*(_xlfn.DAYS("31/01/2018","01/01/2018")+1))/365))/(_xlfn.DAYS("31/01/2018","01/01/2018")+1))</f>
        <v>0.84931506849315064</v>
      </c>
      <c r="AP16" s="85">
        <f>$E$5-(COUNTIF(Janvier[[#This Row],[1]:[31]],"C")+COUNTIF(Janvier[[#This Row],[1]:[31]],"RTT")+Janvier[[#This Row],[Maladie]]+Janvier[[#This Row],[AT]])</f>
        <v>22</v>
      </c>
      <c r="AQ16">
        <f>SUMPRODUCT((F16:AJ16="")*(WEEKDAY($F$1:$AJ$1)&lt;6)*(COUNTIF(JFériés!$D$2:$D$11,$F$1:$AJ$1)=0))</f>
        <v>22</v>
      </c>
      <c r="AR16" s="152">
        <f>SUMPRODUCT(IF(Janvier[[#This Row],[RTT Pris]]+Janvier[[#This Row],[CP Pris]]+Janvier[[#This Row],[Maladie]]+Janvier[[#This Row],[AT]]=0,0,Janvier[[#This Row],[RTT Pris]]+Janvier[[#This Row],[CP Pris]]+Janvier[[#This Row],[Maladie]]+Janvier[[#This Row],[AT]])*(WEEKDAY($F$1:$AJ$1)&lt;6)*(COUNTIF(JFériés!$D$2:$D$11,$F$1:$AJ$1)=0))</f>
        <v>0</v>
      </c>
      <c r="AS16">
        <f>IF(Janvier[[#This Row],[RTT Pris]]+Janvier[[#This Row],[CP Pris]]+Janvier[[#This Row],[Maladie]]+Janvier[[#This Row],[AT]]=0,0,Janvier[[#This Row],[RTT Pris]]+Janvier[[#This Row],[CP Pris]]+Janvier[[#This Row],[Maladie]]+Janvier[[#This Row],[AT]])</f>
        <v>0</v>
      </c>
      <c r="AT16">
        <f>$E$5-Janvier[[#This Row],[Colonne3]]</f>
        <v>22</v>
      </c>
      <c r="AU16" s="152" t="e">
        <f t="shared" si="0"/>
        <v>#VALUE!</v>
      </c>
      <c r="AV16" s="152" t="e">
        <f t="shared" si="1"/>
        <v>#VALUE!</v>
      </c>
    </row>
    <row r="17" spans="1:48" ht="30" customHeight="1" x14ac:dyDescent="0.2">
      <c r="A17" s="15" t="s">
        <v>73</v>
      </c>
      <c r="B17" s="22" t="s">
        <v>156</v>
      </c>
      <c r="C17" s="22" t="s">
        <v>157</v>
      </c>
      <c r="D17" s="22" t="s">
        <v>158</v>
      </c>
      <c r="E17" s="44">
        <v>0</v>
      </c>
      <c r="F17" s="47" t="str">
        <f>Global!F17</f>
        <v/>
      </c>
      <c r="G17" s="31" t="str">
        <f>Global!G17</f>
        <v/>
      </c>
      <c r="H17" s="31" t="str">
        <f>Global!H17</f>
        <v/>
      </c>
      <c r="I17" s="31" t="str">
        <f>Global!I17</f>
        <v/>
      </c>
      <c r="J17" s="31" t="str">
        <f>Global!J17</f>
        <v/>
      </c>
      <c r="K17" s="31" t="str">
        <f>Global!K17</f>
        <v/>
      </c>
      <c r="L17" s="31" t="str">
        <f>Global!L17</f>
        <v/>
      </c>
      <c r="M17" s="31" t="str">
        <f>Global!M17</f>
        <v/>
      </c>
      <c r="N17" s="31" t="str">
        <f>Global!N17</f>
        <v/>
      </c>
      <c r="O17" s="31" t="str">
        <f>Global!O17</f>
        <v/>
      </c>
      <c r="P17" s="31" t="str">
        <f>Global!P17</f>
        <v/>
      </c>
      <c r="Q17" s="31" t="str">
        <f>Global!Q17</f>
        <v/>
      </c>
      <c r="R17" s="31" t="str">
        <f>Global!R17</f>
        <v/>
      </c>
      <c r="S17" s="31" t="str">
        <f>Global!S17</f>
        <v/>
      </c>
      <c r="T17" s="31" t="str">
        <f>Global!T17</f>
        <v/>
      </c>
      <c r="U17" s="31" t="str">
        <f>Global!U17</f>
        <v/>
      </c>
      <c r="V17" s="31" t="str">
        <f>Global!V17</f>
        <v/>
      </c>
      <c r="W17" s="31" t="str">
        <f>Global!W17</f>
        <v/>
      </c>
      <c r="X17" s="31" t="str">
        <f>Global!X17</f>
        <v/>
      </c>
      <c r="Y17" s="31" t="str">
        <f>Global!Y17</f>
        <v/>
      </c>
      <c r="Z17" s="31" t="str">
        <f>Global!Z17</f>
        <v/>
      </c>
      <c r="AA17" s="31" t="str">
        <f>Global!AA17</f>
        <v/>
      </c>
      <c r="AB17" s="31" t="str">
        <f>Global!AB17</f>
        <v/>
      </c>
      <c r="AC17" s="31" t="str">
        <f>Global!AC17</f>
        <v/>
      </c>
      <c r="AD17" s="31" t="str">
        <f>Global!AD17</f>
        <v/>
      </c>
      <c r="AE17" s="31" t="str">
        <f>Global!AE17</f>
        <v/>
      </c>
      <c r="AF17" s="31" t="str">
        <f>Global!AF17</f>
        <v/>
      </c>
      <c r="AG17" s="31" t="str">
        <f>Global!AG17</f>
        <v/>
      </c>
      <c r="AH17" s="31" t="str">
        <f>Global!AH17</f>
        <v/>
      </c>
      <c r="AI17" s="31" t="str">
        <f>Global!AI17</f>
        <v/>
      </c>
      <c r="AJ17" s="48" t="str">
        <f>Global!AJ17</f>
        <v/>
      </c>
      <c r="AK17" s="108">
        <f>COUNTIF(Janvier[[#This Row],[1]:[31]],"RTT")+(COUNTIF(Janvier[[#This Row],[1]:[31]],"dRTT")/2)</f>
        <v>0</v>
      </c>
      <c r="AL17" s="109">
        <f>COUNTIF(Janvier[[#This Row],[1]:[31]],"C")+(COUNTIF(Janvier[[#This Row],[1]:[31]],"DC")/2)</f>
        <v>0</v>
      </c>
      <c r="AM17" s="22">
        <f>COUNTIF(Janvier[[#This Row],[1]:[31]],"M")</f>
        <v>0</v>
      </c>
      <c r="AN17" s="22">
        <f>COUNTIF(Janvier[[#This Row],[1]:[31]],"AT")</f>
        <v>0</v>
      </c>
      <c r="AO17" s="84">
        <f>IF(AND(Janvier[[#This Row],[Maladie]]=0,Janvier[[#This Row],[AT]]=0),((10*(_xlfn.DAYS("31/01/2018","01/01/2018")+1))/365),((_xlfn.DAYS("31/01/2018","01/01/2018")+1-(Janvier[[#This Row],[Maladie]]+Janvier[[#This Row],[AT]]))*((10*(_xlfn.DAYS("31/01/2018","01/01/2018")+1))/365))/(_xlfn.DAYS("31/01/2018","01/01/2018")+1))</f>
        <v>0.84931506849315064</v>
      </c>
      <c r="AP17" s="85">
        <f>$E$5-(COUNTIF(Janvier[[#This Row],[1]:[31]],"C")+COUNTIF(Janvier[[#This Row],[1]:[31]],"RTT")+Janvier[[#This Row],[Maladie]]+Janvier[[#This Row],[AT]])</f>
        <v>22</v>
      </c>
      <c r="AQ17">
        <f>SUMPRODUCT((F17:AJ17="")*(WEEKDAY($F$1:$AJ$1)&lt;6)*(COUNTIF(JFériés!$D$2:$D$11,$F$1:$AJ$1)=0))</f>
        <v>22</v>
      </c>
      <c r="AR17" s="152">
        <f>SUMPRODUCT(IF(Janvier[[#This Row],[RTT Pris]]+Janvier[[#This Row],[CP Pris]]+Janvier[[#This Row],[Maladie]]+Janvier[[#This Row],[AT]]=0,0,Janvier[[#This Row],[RTT Pris]]+Janvier[[#This Row],[CP Pris]]+Janvier[[#This Row],[Maladie]]+Janvier[[#This Row],[AT]])*(WEEKDAY($F$1:$AJ$1)&lt;6)*(COUNTIF(JFériés!$D$2:$D$11,$F$1:$AJ$1)=0))</f>
        <v>0</v>
      </c>
      <c r="AS17">
        <f>IF(Janvier[[#This Row],[RTT Pris]]+Janvier[[#This Row],[CP Pris]]+Janvier[[#This Row],[Maladie]]+Janvier[[#This Row],[AT]]=0,0,Janvier[[#This Row],[RTT Pris]]+Janvier[[#This Row],[CP Pris]]+Janvier[[#This Row],[Maladie]]+Janvier[[#This Row],[AT]])</f>
        <v>0</v>
      </c>
      <c r="AT17">
        <f>$E$5-Janvier[[#This Row],[Colonne3]]</f>
        <v>22</v>
      </c>
      <c r="AU17" s="152" t="e">
        <f t="shared" si="0"/>
        <v>#VALUE!</v>
      </c>
      <c r="AV17" s="152" t="e">
        <f t="shared" si="1"/>
        <v>#VALUE!</v>
      </c>
    </row>
    <row r="18" spans="1:48" ht="30" customHeight="1" x14ac:dyDescent="0.2">
      <c r="A18" s="15" t="s">
        <v>74</v>
      </c>
      <c r="B18" s="22" t="s">
        <v>159</v>
      </c>
      <c r="C18" s="22" t="s">
        <v>160</v>
      </c>
      <c r="D18" s="22" t="s">
        <v>161</v>
      </c>
      <c r="E18" s="44" t="s">
        <v>162</v>
      </c>
      <c r="F18" s="47" t="str">
        <f>Global!F18</f>
        <v/>
      </c>
      <c r="G18" s="31" t="str">
        <f>Global!G18</f>
        <v/>
      </c>
      <c r="H18" s="31" t="str">
        <f>Global!H18</f>
        <v/>
      </c>
      <c r="I18" s="31" t="str">
        <f>Global!I18</f>
        <v/>
      </c>
      <c r="J18" s="31" t="str">
        <f>Global!J18</f>
        <v/>
      </c>
      <c r="K18" s="31" t="str">
        <f>Global!K18</f>
        <v/>
      </c>
      <c r="L18" s="31" t="str">
        <f>Global!L18</f>
        <v/>
      </c>
      <c r="M18" s="31" t="str">
        <f>Global!M18</f>
        <v/>
      </c>
      <c r="N18" s="31" t="str">
        <f>Global!N18</f>
        <v/>
      </c>
      <c r="O18" s="31" t="str">
        <f>Global!O18</f>
        <v/>
      </c>
      <c r="P18" s="31" t="str">
        <f>Global!P18</f>
        <v/>
      </c>
      <c r="Q18" s="31" t="str">
        <f>Global!Q18</f>
        <v/>
      </c>
      <c r="R18" s="31" t="str">
        <f>Global!R18</f>
        <v/>
      </c>
      <c r="S18" s="31" t="str">
        <f>Global!S18</f>
        <v/>
      </c>
      <c r="T18" s="31" t="str">
        <f>Global!T18</f>
        <v/>
      </c>
      <c r="U18" s="31" t="str">
        <f>Global!U18</f>
        <v/>
      </c>
      <c r="V18" s="31" t="str">
        <f>Global!V18</f>
        <v/>
      </c>
      <c r="W18" s="31" t="str">
        <f>Global!W18</f>
        <v>C</v>
      </c>
      <c r="X18" s="31" t="str">
        <f>Global!X18</f>
        <v/>
      </c>
      <c r="Y18" s="31" t="str">
        <f>Global!Y18</f>
        <v/>
      </c>
      <c r="Z18" s="31" t="str">
        <f>Global!Z18</f>
        <v/>
      </c>
      <c r="AA18" s="31" t="str">
        <f>Global!AA18</f>
        <v/>
      </c>
      <c r="AB18" s="31" t="str">
        <f>Global!AB18</f>
        <v/>
      </c>
      <c r="AC18" s="31" t="str">
        <f>Global!AC18</f>
        <v/>
      </c>
      <c r="AD18" s="31" t="str">
        <f>Global!AD18</f>
        <v/>
      </c>
      <c r="AE18" s="31" t="str">
        <f>Global!AE18</f>
        <v/>
      </c>
      <c r="AF18" s="31" t="str">
        <f>Global!AF18</f>
        <v/>
      </c>
      <c r="AG18" s="31" t="str">
        <f>Global!AG18</f>
        <v/>
      </c>
      <c r="AH18" s="31" t="str">
        <f>Global!AH18</f>
        <v/>
      </c>
      <c r="AI18" s="31" t="str">
        <f>Global!AI18</f>
        <v/>
      </c>
      <c r="AJ18" s="48" t="str">
        <f>Global!AJ18</f>
        <v/>
      </c>
      <c r="AK18" s="108">
        <f>COUNTIF(Janvier[[#This Row],[1]:[31]],"RTT")+(COUNTIF(Janvier[[#This Row],[1]:[31]],"dRTT")/2)</f>
        <v>0</v>
      </c>
      <c r="AL18" s="109">
        <f>COUNTIF(Janvier[[#This Row],[1]:[31]],"C")+(COUNTIF(Janvier[[#This Row],[1]:[31]],"DC")/2)</f>
        <v>1</v>
      </c>
      <c r="AM18" s="22">
        <f>COUNTIF(Janvier[[#This Row],[1]:[31]],"M")</f>
        <v>0</v>
      </c>
      <c r="AN18" s="22">
        <f>COUNTIF(Janvier[[#This Row],[1]:[31]],"AT")</f>
        <v>0</v>
      </c>
      <c r="AO18" s="84">
        <f>IF(AND(Janvier[[#This Row],[Maladie]]=0,Janvier[[#This Row],[AT]]=0),((10*(_xlfn.DAYS("31/01/2018","01/01/2018")+1))/365),((_xlfn.DAYS("31/01/2018","01/01/2018")+1-(Janvier[[#This Row],[Maladie]]+Janvier[[#This Row],[AT]]))*((10*(_xlfn.DAYS("31/01/2018","01/01/2018")+1))/365))/(_xlfn.DAYS("31/01/2018","01/01/2018")+1))</f>
        <v>0.84931506849315064</v>
      </c>
      <c r="AP18" s="85">
        <f>$E$5-(COUNTIF(Janvier[[#This Row],[1]:[31]],"C")+COUNTIF(Janvier[[#This Row],[1]:[31]],"RTT")+Janvier[[#This Row],[Maladie]]+Janvier[[#This Row],[AT]])</f>
        <v>21</v>
      </c>
      <c r="AQ18">
        <f>SUMPRODUCT((F18:AJ18="")*(WEEKDAY($F$1:$AJ$1)&lt;6)*(COUNTIF(JFériés!$D$2:$D$11,$F$1:$AJ$1)=0))</f>
        <v>21</v>
      </c>
      <c r="AR18" s="152">
        <f>SUMPRODUCT(IF(Janvier[[#This Row],[RTT Pris]]+Janvier[[#This Row],[CP Pris]]+Janvier[[#This Row],[Maladie]]+Janvier[[#This Row],[AT]]=0,0,Janvier[[#This Row],[RTT Pris]]+Janvier[[#This Row],[CP Pris]]+Janvier[[#This Row],[Maladie]]+Janvier[[#This Row],[AT]])*(WEEKDAY($F$1:$AJ$1)&lt;6)*(COUNTIF(JFériés!$D$2:$D$11,$F$1:$AJ$1)=0))</f>
        <v>22</v>
      </c>
      <c r="AS18">
        <f>IF(Janvier[[#This Row],[RTT Pris]]+Janvier[[#This Row],[CP Pris]]+Janvier[[#This Row],[Maladie]]+Janvier[[#This Row],[AT]]=0,0,Janvier[[#This Row],[RTT Pris]]+Janvier[[#This Row],[CP Pris]]+Janvier[[#This Row],[Maladie]]+Janvier[[#This Row],[AT]])</f>
        <v>1</v>
      </c>
      <c r="AT18">
        <f>$E$5-Janvier[[#This Row],[Colonne3]]</f>
        <v>21</v>
      </c>
      <c r="AU18" s="152" t="e">
        <f t="shared" si="0"/>
        <v>#VALUE!</v>
      </c>
      <c r="AV18" s="152" t="e">
        <f t="shared" si="1"/>
        <v>#VALUE!</v>
      </c>
    </row>
    <row r="19" spans="1:48" ht="30" customHeight="1" x14ac:dyDescent="0.2">
      <c r="A19" s="15" t="s">
        <v>75</v>
      </c>
      <c r="B19" s="22" t="s">
        <v>163</v>
      </c>
      <c r="C19" s="22" t="s">
        <v>164</v>
      </c>
      <c r="D19" s="22" t="s">
        <v>165</v>
      </c>
      <c r="E19" s="44">
        <v>0</v>
      </c>
      <c r="F19" s="47" t="str">
        <f>Global!F19</f>
        <v/>
      </c>
      <c r="G19" s="31" t="str">
        <f>Global!G19</f>
        <v/>
      </c>
      <c r="H19" s="31" t="str">
        <f>Global!H19</f>
        <v/>
      </c>
      <c r="I19" s="31" t="str">
        <f>Global!I19</f>
        <v/>
      </c>
      <c r="J19" s="31" t="str">
        <f>Global!J19</f>
        <v/>
      </c>
      <c r="K19" s="31" t="str">
        <f>Global!K19</f>
        <v/>
      </c>
      <c r="L19" s="31" t="str">
        <f>Global!L19</f>
        <v/>
      </c>
      <c r="M19" s="31" t="str">
        <f>Global!M19</f>
        <v/>
      </c>
      <c r="N19" s="31" t="str">
        <f>Global!N19</f>
        <v/>
      </c>
      <c r="O19" s="31" t="str">
        <f>Global!O19</f>
        <v/>
      </c>
      <c r="P19" s="31" t="str">
        <f>Global!P19</f>
        <v/>
      </c>
      <c r="Q19" s="31" t="str">
        <f>Global!Q19</f>
        <v/>
      </c>
      <c r="R19" s="31" t="str">
        <f>Global!R19</f>
        <v/>
      </c>
      <c r="S19" s="31" t="str">
        <f>Global!S19</f>
        <v/>
      </c>
      <c r="T19" s="31" t="str">
        <f>Global!T19</f>
        <v/>
      </c>
      <c r="U19" s="31" t="str">
        <f>Global!U19</f>
        <v/>
      </c>
      <c r="V19" s="31" t="str">
        <f>Global!V19</f>
        <v/>
      </c>
      <c r="W19" s="31" t="str">
        <f>Global!W19</f>
        <v/>
      </c>
      <c r="X19" s="31" t="str">
        <f>Global!X19</f>
        <v/>
      </c>
      <c r="Y19" s="31" t="str">
        <f>Global!Y19</f>
        <v/>
      </c>
      <c r="Z19" s="31" t="str">
        <f>Global!Z19</f>
        <v/>
      </c>
      <c r="AA19" s="31" t="str">
        <f>Global!AA19</f>
        <v/>
      </c>
      <c r="AB19" s="31" t="str">
        <f>Global!AB19</f>
        <v/>
      </c>
      <c r="AC19" s="31" t="str">
        <f>Global!AC19</f>
        <v/>
      </c>
      <c r="AD19" s="31" t="str">
        <f>Global!AD19</f>
        <v/>
      </c>
      <c r="AE19" s="31" t="str">
        <f>Global!AE19</f>
        <v/>
      </c>
      <c r="AF19" s="31" t="str">
        <f>Global!AF19</f>
        <v/>
      </c>
      <c r="AG19" s="31" t="str">
        <f>Global!AG19</f>
        <v/>
      </c>
      <c r="AH19" s="31" t="str">
        <f>Global!AH19</f>
        <v/>
      </c>
      <c r="AI19" s="31" t="str">
        <f>Global!AI19</f>
        <v/>
      </c>
      <c r="AJ19" s="48" t="str">
        <f>Global!AJ19</f>
        <v/>
      </c>
      <c r="AK19" s="108">
        <f>COUNTIF(Janvier[[#This Row],[1]:[31]],"RTT")+(COUNTIF(Janvier[[#This Row],[1]:[31]],"dRTT")/2)</f>
        <v>0</v>
      </c>
      <c r="AL19" s="109">
        <f>COUNTIF(Janvier[[#This Row],[1]:[31]],"C")+(COUNTIF(Janvier[[#This Row],[1]:[31]],"DC")/2)</f>
        <v>0</v>
      </c>
      <c r="AM19" s="22">
        <f>COUNTIF(Janvier[[#This Row],[1]:[31]],"M")</f>
        <v>0</v>
      </c>
      <c r="AN19" s="22">
        <f>COUNTIF(Janvier[[#This Row],[1]:[31]],"AT")</f>
        <v>0</v>
      </c>
      <c r="AO19" s="84">
        <f>IF(AND(Janvier[[#This Row],[Maladie]]=0,Janvier[[#This Row],[AT]]=0),((10*(_xlfn.DAYS("31/01/2018","01/01/2018")+1))/365),((_xlfn.DAYS("31/01/2018","01/01/2018")+1-(Janvier[[#This Row],[Maladie]]+Janvier[[#This Row],[AT]]))*((10*(_xlfn.DAYS("31/01/2018","01/01/2018")+1))/365))/(_xlfn.DAYS("31/01/2018","01/01/2018")+1))</f>
        <v>0.84931506849315064</v>
      </c>
      <c r="AP19" s="85">
        <f>$E$5-(COUNTIF(Janvier[[#This Row],[1]:[31]],"C")+COUNTIF(Janvier[[#This Row],[1]:[31]],"RTT")+Janvier[[#This Row],[Maladie]]+Janvier[[#This Row],[AT]])</f>
        <v>22</v>
      </c>
      <c r="AQ19">
        <f>SUMPRODUCT((F19:AJ19="")*(WEEKDAY($F$1:$AJ$1)&lt;6)*(COUNTIF(JFériés!$D$2:$D$11,$F$1:$AJ$1)=0))</f>
        <v>22</v>
      </c>
      <c r="AR19" s="152">
        <f>SUMPRODUCT(IF(Janvier[[#This Row],[RTT Pris]]+Janvier[[#This Row],[CP Pris]]+Janvier[[#This Row],[Maladie]]+Janvier[[#This Row],[AT]]=0,0,Janvier[[#This Row],[RTT Pris]]+Janvier[[#This Row],[CP Pris]]+Janvier[[#This Row],[Maladie]]+Janvier[[#This Row],[AT]])*(WEEKDAY($F$1:$AJ$1)&lt;6)*(COUNTIF(JFériés!$D$2:$D$11,$F$1:$AJ$1)=0))</f>
        <v>0</v>
      </c>
      <c r="AS19">
        <f>IF(Janvier[[#This Row],[RTT Pris]]+Janvier[[#This Row],[CP Pris]]+Janvier[[#This Row],[Maladie]]+Janvier[[#This Row],[AT]]=0,0,Janvier[[#This Row],[RTT Pris]]+Janvier[[#This Row],[CP Pris]]+Janvier[[#This Row],[Maladie]]+Janvier[[#This Row],[AT]])</f>
        <v>0</v>
      </c>
      <c r="AT19">
        <f>$E$5-Janvier[[#This Row],[Colonne3]]</f>
        <v>22</v>
      </c>
      <c r="AU19" s="152" t="e">
        <f t="shared" si="0"/>
        <v>#VALUE!</v>
      </c>
      <c r="AV19" s="152" t="e">
        <f t="shared" si="1"/>
        <v>#VALUE!</v>
      </c>
    </row>
    <row r="20" spans="1:48" ht="30" customHeight="1" x14ac:dyDescent="0.2">
      <c r="A20" s="15" t="s">
        <v>76</v>
      </c>
      <c r="B20" s="22" t="s">
        <v>166</v>
      </c>
      <c r="C20" s="22" t="s">
        <v>151</v>
      </c>
      <c r="D20" s="22" t="s">
        <v>167</v>
      </c>
      <c r="E20" s="44">
        <v>0</v>
      </c>
      <c r="F20" s="47" t="str">
        <f>Global!F20</f>
        <v/>
      </c>
      <c r="G20" s="31" t="str">
        <f>Global!G20</f>
        <v/>
      </c>
      <c r="H20" s="31" t="str">
        <f>Global!H20</f>
        <v/>
      </c>
      <c r="I20" s="31" t="str">
        <f>Global!I20</f>
        <v/>
      </c>
      <c r="J20" s="31" t="str">
        <f>Global!J20</f>
        <v/>
      </c>
      <c r="K20" s="31" t="str">
        <f>Global!K20</f>
        <v/>
      </c>
      <c r="L20" s="31" t="str">
        <f>Global!L20</f>
        <v/>
      </c>
      <c r="M20" s="31" t="str">
        <f>Global!M20</f>
        <v/>
      </c>
      <c r="N20" s="31" t="str">
        <f>Global!N20</f>
        <v/>
      </c>
      <c r="O20" s="31" t="str">
        <f>Global!O20</f>
        <v/>
      </c>
      <c r="P20" s="31" t="str">
        <f>Global!P20</f>
        <v/>
      </c>
      <c r="Q20" s="31" t="str">
        <f>Global!Q20</f>
        <v/>
      </c>
      <c r="R20" s="31" t="str">
        <f>Global!R20</f>
        <v/>
      </c>
      <c r="S20" s="31" t="str">
        <f>Global!S20</f>
        <v/>
      </c>
      <c r="T20" s="31" t="str">
        <f>Global!T20</f>
        <v>C</v>
      </c>
      <c r="U20" s="31" t="str">
        <f>Global!U20</f>
        <v>C</v>
      </c>
      <c r="V20" s="31" t="str">
        <f>Global!V20</f>
        <v>C</v>
      </c>
      <c r="W20" s="31" t="str">
        <f>Global!W20</f>
        <v>RTT</v>
      </c>
      <c r="X20" s="31" t="str">
        <f>Global!X20</f>
        <v>RTT</v>
      </c>
      <c r="Y20" s="31" t="str">
        <f>Global!Y20</f>
        <v/>
      </c>
      <c r="Z20" s="31" t="str">
        <f>Global!Z20</f>
        <v/>
      </c>
      <c r="AA20" s="31" t="str">
        <f>Global!AA20</f>
        <v>RTT</v>
      </c>
      <c r="AB20" s="31" t="str">
        <f>Global!AB20</f>
        <v>RTT</v>
      </c>
      <c r="AC20" s="31" t="str">
        <f>Global!AC20</f>
        <v>RTT</v>
      </c>
      <c r="AD20" s="31" t="str">
        <f>Global!AD20</f>
        <v>RTT</v>
      </c>
      <c r="AE20" s="31" t="str">
        <f>Global!AE20</f>
        <v>RTT</v>
      </c>
      <c r="AF20" s="31" t="str">
        <f>Global!AF20</f>
        <v/>
      </c>
      <c r="AG20" s="31" t="str">
        <f>Global!AG20</f>
        <v/>
      </c>
      <c r="AH20" s="31" t="str">
        <f>Global!AH20</f>
        <v/>
      </c>
      <c r="AI20" s="31" t="str">
        <f>Global!AI20</f>
        <v/>
      </c>
      <c r="AJ20" s="48" t="str">
        <f>Global!AJ20</f>
        <v/>
      </c>
      <c r="AK20" s="108">
        <f>COUNTIF(Janvier[[#This Row],[1]:[31]],"RTT")+(COUNTIF(Janvier[[#This Row],[1]:[31]],"dRTT")/2)</f>
        <v>7</v>
      </c>
      <c r="AL20" s="109">
        <f>COUNTIF(Janvier[[#This Row],[1]:[31]],"C")+(COUNTIF(Janvier[[#This Row],[1]:[31]],"DC")/2)</f>
        <v>3</v>
      </c>
      <c r="AM20" s="22">
        <f>COUNTIF(Janvier[[#This Row],[1]:[31]],"M")</f>
        <v>0</v>
      </c>
      <c r="AN20" s="22">
        <f>COUNTIF(Janvier[[#This Row],[1]:[31]],"AT")</f>
        <v>0</v>
      </c>
      <c r="AO20" s="84">
        <f>IF(AND(Janvier[[#This Row],[Maladie]]=0,Janvier[[#This Row],[AT]]=0),((10*(_xlfn.DAYS("31/01/2018","01/01/2018")+1))/365),((_xlfn.DAYS("31/01/2018","01/01/2018")+1-(Janvier[[#This Row],[Maladie]]+Janvier[[#This Row],[AT]]))*((10*(_xlfn.DAYS("31/01/2018","01/01/2018")+1))/365))/(_xlfn.DAYS("31/01/2018","01/01/2018")+1))</f>
        <v>0.84931506849315064</v>
      </c>
      <c r="AP20" s="85">
        <f>$E$5-(COUNTIF(Janvier[[#This Row],[1]:[31]],"C")+COUNTIF(Janvier[[#This Row],[1]:[31]],"RTT")+Janvier[[#This Row],[Maladie]]+Janvier[[#This Row],[AT]])</f>
        <v>12</v>
      </c>
      <c r="AQ20">
        <f>SUMPRODUCT((F20:AJ20="")*(WEEKDAY($F$1:$AJ$1)&lt;6)*(COUNTIF(JFériés!$D$2:$D$11,$F$1:$AJ$1)=0))</f>
        <v>14</v>
      </c>
      <c r="AR20" s="152">
        <f>SUMPRODUCT(IF(Janvier[[#This Row],[RTT Pris]]+Janvier[[#This Row],[CP Pris]]+Janvier[[#This Row],[Maladie]]+Janvier[[#This Row],[AT]]=0,0,Janvier[[#This Row],[RTT Pris]]+Janvier[[#This Row],[CP Pris]]+Janvier[[#This Row],[Maladie]]+Janvier[[#This Row],[AT]])*(WEEKDAY($F$1:$AJ$1)&lt;6)*(COUNTIF(JFériés!$D$2:$D$11,$F$1:$AJ$1)=0))</f>
        <v>220</v>
      </c>
      <c r="AS20">
        <f>IF(Janvier[[#This Row],[RTT Pris]]+Janvier[[#This Row],[CP Pris]]+Janvier[[#This Row],[Maladie]]+Janvier[[#This Row],[AT]]=0,0,Janvier[[#This Row],[RTT Pris]]+Janvier[[#This Row],[CP Pris]]+Janvier[[#This Row],[Maladie]]+Janvier[[#This Row],[AT]])</f>
        <v>10</v>
      </c>
      <c r="AT20">
        <f>$E$5-Janvier[[#This Row],[Colonne3]]</f>
        <v>12</v>
      </c>
      <c r="AU20" s="152" t="e">
        <f t="shared" si="0"/>
        <v>#VALUE!</v>
      </c>
      <c r="AV20" s="152" t="e">
        <f t="shared" si="1"/>
        <v>#VALUE!</v>
      </c>
    </row>
    <row r="21" spans="1:48" ht="30" customHeight="1" x14ac:dyDescent="0.2">
      <c r="A21" s="15" t="s">
        <v>77</v>
      </c>
      <c r="B21" s="22" t="s">
        <v>168</v>
      </c>
      <c r="C21" s="22" t="s">
        <v>169</v>
      </c>
      <c r="D21" s="22" t="s">
        <v>170</v>
      </c>
      <c r="E21" s="44">
        <v>0</v>
      </c>
      <c r="F21" s="47" t="str">
        <f>Global!F21</f>
        <v/>
      </c>
      <c r="G21" s="31" t="str">
        <f>Global!G21</f>
        <v/>
      </c>
      <c r="H21" s="31" t="str">
        <f>Global!H21</f>
        <v/>
      </c>
      <c r="I21" s="31" t="str">
        <f>Global!I21</f>
        <v/>
      </c>
      <c r="J21" s="31" t="str">
        <f>Global!J21</f>
        <v/>
      </c>
      <c r="K21" s="31" t="str">
        <f>Global!K21</f>
        <v/>
      </c>
      <c r="L21" s="31" t="str">
        <f>Global!L21</f>
        <v/>
      </c>
      <c r="M21" s="31" t="str">
        <f>Global!M21</f>
        <v/>
      </c>
      <c r="N21" s="31" t="str">
        <f>Global!N21</f>
        <v/>
      </c>
      <c r="O21" s="31" t="str">
        <f>Global!O21</f>
        <v/>
      </c>
      <c r="P21" s="31" t="str">
        <f>Global!P21</f>
        <v/>
      </c>
      <c r="Q21" s="31" t="str">
        <f>Global!Q21</f>
        <v/>
      </c>
      <c r="R21" s="31" t="str">
        <f>Global!R21</f>
        <v/>
      </c>
      <c r="S21" s="31" t="str">
        <f>Global!S21</f>
        <v/>
      </c>
      <c r="T21" s="31" t="str">
        <f>Global!T21</f>
        <v/>
      </c>
      <c r="U21" s="31" t="str">
        <f>Global!U21</f>
        <v/>
      </c>
      <c r="V21" s="31" t="str">
        <f>Global!V21</f>
        <v/>
      </c>
      <c r="W21" s="31" t="str">
        <f>Global!W21</f>
        <v/>
      </c>
      <c r="X21" s="31" t="str">
        <f>Global!X21</f>
        <v/>
      </c>
      <c r="Y21" s="31" t="str">
        <f>Global!Y21</f>
        <v/>
      </c>
      <c r="Z21" s="31" t="str">
        <f>Global!Z21</f>
        <v/>
      </c>
      <c r="AA21" s="31" t="str">
        <f>Global!AA21</f>
        <v/>
      </c>
      <c r="AB21" s="31" t="str">
        <f>Global!AB21</f>
        <v/>
      </c>
      <c r="AC21" s="31" t="str">
        <f>Global!AC21</f>
        <v/>
      </c>
      <c r="AD21" s="31" t="str">
        <f>Global!AD21</f>
        <v/>
      </c>
      <c r="AE21" s="31" t="str">
        <f>Global!AE21</f>
        <v/>
      </c>
      <c r="AF21" s="31" t="str">
        <f>Global!AF21</f>
        <v/>
      </c>
      <c r="AG21" s="31" t="str">
        <f>Global!AG21</f>
        <v/>
      </c>
      <c r="AH21" s="31" t="str">
        <f>Global!AH21</f>
        <v/>
      </c>
      <c r="AI21" s="31" t="str">
        <f>Global!AI21</f>
        <v/>
      </c>
      <c r="AJ21" s="48" t="str">
        <f>Global!AJ21</f>
        <v>C</v>
      </c>
      <c r="AK21" s="108">
        <f>COUNTIF(Janvier[[#This Row],[1]:[31]],"RTT")+(COUNTIF(Janvier[[#This Row],[1]:[31]],"dRTT")/2)</f>
        <v>0</v>
      </c>
      <c r="AL21" s="109">
        <f>COUNTIF(Janvier[[#This Row],[1]:[31]],"C")+(COUNTIF(Janvier[[#This Row],[1]:[31]],"DC")/2)</f>
        <v>1</v>
      </c>
      <c r="AM21" s="22">
        <f>COUNTIF(Janvier[[#This Row],[1]:[31]],"M")</f>
        <v>0</v>
      </c>
      <c r="AN21" s="22">
        <f>COUNTIF(Janvier[[#This Row],[1]:[31]],"AT")</f>
        <v>0</v>
      </c>
      <c r="AO21" s="84">
        <f>IF(AND(Janvier[[#This Row],[Maladie]]=0,Janvier[[#This Row],[AT]]=0),((10*(_xlfn.DAYS("31/01/2018","01/01/2018")+1))/365),((_xlfn.DAYS("31/01/2018","01/01/2018")+1-(Janvier[[#This Row],[Maladie]]+Janvier[[#This Row],[AT]]))*((10*(_xlfn.DAYS("31/01/2018","01/01/2018")+1))/365))/(_xlfn.DAYS("31/01/2018","01/01/2018")+1))</f>
        <v>0.84931506849315064</v>
      </c>
      <c r="AP21" s="85">
        <f>$E$5-(COUNTIF(Janvier[[#This Row],[1]:[31]],"C")+COUNTIF(Janvier[[#This Row],[1]:[31]],"RTT")+Janvier[[#This Row],[Maladie]]+Janvier[[#This Row],[AT]])</f>
        <v>21</v>
      </c>
      <c r="AQ21">
        <f>SUMPRODUCT((F21:AJ21="")*(WEEKDAY($F$1:$AJ$1)&lt;6)*(COUNTIF(JFériés!$D$2:$D$11,$F$1:$AJ$1)=0))</f>
        <v>21</v>
      </c>
      <c r="AR21" s="152">
        <f>SUMPRODUCT(IF(Janvier[[#This Row],[RTT Pris]]+Janvier[[#This Row],[CP Pris]]+Janvier[[#This Row],[Maladie]]+Janvier[[#This Row],[AT]]=0,0,Janvier[[#This Row],[RTT Pris]]+Janvier[[#This Row],[CP Pris]]+Janvier[[#This Row],[Maladie]]+Janvier[[#This Row],[AT]])*(WEEKDAY($F$1:$AJ$1)&lt;6)*(COUNTIF(JFériés!$D$2:$D$11,$F$1:$AJ$1)=0))</f>
        <v>22</v>
      </c>
      <c r="AS21">
        <f>IF(Janvier[[#This Row],[RTT Pris]]+Janvier[[#This Row],[CP Pris]]+Janvier[[#This Row],[Maladie]]+Janvier[[#This Row],[AT]]=0,0,Janvier[[#This Row],[RTT Pris]]+Janvier[[#This Row],[CP Pris]]+Janvier[[#This Row],[Maladie]]+Janvier[[#This Row],[AT]])</f>
        <v>1</v>
      </c>
      <c r="AT21">
        <f>$E$5-Janvier[[#This Row],[Colonne3]]</f>
        <v>21</v>
      </c>
      <c r="AU21" s="152" t="e">
        <f t="shared" si="0"/>
        <v>#VALUE!</v>
      </c>
      <c r="AV21" s="152" t="e">
        <f t="shared" si="1"/>
        <v>#VALUE!</v>
      </c>
    </row>
    <row r="22" spans="1:48" ht="30" customHeight="1" x14ac:dyDescent="0.2">
      <c r="A22" s="13" t="s">
        <v>78</v>
      </c>
      <c r="B22" s="22" t="s">
        <v>171</v>
      </c>
      <c r="C22" s="22" t="s">
        <v>172</v>
      </c>
      <c r="D22" s="22" t="s">
        <v>173</v>
      </c>
      <c r="E22" s="44">
        <v>0</v>
      </c>
      <c r="F22" s="47" t="str">
        <f>Global!F22</f>
        <v/>
      </c>
      <c r="G22" s="31" t="str">
        <f>Global!G22</f>
        <v/>
      </c>
      <c r="H22" s="31" t="str">
        <f>Global!H22</f>
        <v/>
      </c>
      <c r="I22" s="31" t="str">
        <f>Global!I22</f>
        <v/>
      </c>
      <c r="J22" s="31" t="str">
        <f>Global!J22</f>
        <v/>
      </c>
      <c r="K22" s="31" t="str">
        <f>Global!K22</f>
        <v/>
      </c>
      <c r="L22" s="31" t="str">
        <f>Global!L22</f>
        <v/>
      </c>
      <c r="M22" s="31" t="str">
        <f>Global!M22</f>
        <v/>
      </c>
      <c r="N22" s="31" t="str">
        <f>Global!N22</f>
        <v/>
      </c>
      <c r="O22" s="31" t="str">
        <f>Global!O22</f>
        <v/>
      </c>
      <c r="P22" s="31" t="str">
        <f>Global!P22</f>
        <v/>
      </c>
      <c r="Q22" s="31" t="str">
        <f>Global!Q22</f>
        <v/>
      </c>
      <c r="R22" s="31" t="str">
        <f>Global!R22</f>
        <v/>
      </c>
      <c r="S22" s="31" t="str">
        <f>Global!S22</f>
        <v/>
      </c>
      <c r="T22" s="31" t="str">
        <f>Global!T22</f>
        <v/>
      </c>
      <c r="U22" s="31" t="str">
        <f>Global!U22</f>
        <v/>
      </c>
      <c r="V22" s="31" t="str">
        <f>Global!V22</f>
        <v/>
      </c>
      <c r="W22" s="31" t="str">
        <f>Global!W22</f>
        <v/>
      </c>
      <c r="X22" s="31" t="str">
        <f>Global!X22</f>
        <v/>
      </c>
      <c r="Y22" s="31" t="str">
        <f>Global!Y22</f>
        <v/>
      </c>
      <c r="Z22" s="31" t="str">
        <f>Global!Z22</f>
        <v/>
      </c>
      <c r="AA22" s="31" t="str">
        <f>Global!AA22</f>
        <v/>
      </c>
      <c r="AB22" s="31" t="str">
        <f>Global!AB22</f>
        <v/>
      </c>
      <c r="AC22" s="31" t="str">
        <f>Global!AC22</f>
        <v/>
      </c>
      <c r="AD22" s="31" t="str">
        <f>Global!AD22</f>
        <v/>
      </c>
      <c r="AE22" s="31" t="str">
        <f>Global!AE22</f>
        <v/>
      </c>
      <c r="AF22" s="31" t="str">
        <f>Global!AF22</f>
        <v/>
      </c>
      <c r="AG22" s="31" t="str">
        <f>Global!AG22</f>
        <v/>
      </c>
      <c r="AH22" s="31" t="str">
        <f>Global!AH22</f>
        <v/>
      </c>
      <c r="AI22" s="31" t="str">
        <f>Global!AI22</f>
        <v/>
      </c>
      <c r="AJ22" s="48" t="str">
        <f>Global!AJ22</f>
        <v/>
      </c>
      <c r="AK22" s="108">
        <f>COUNTIF(Janvier[[#This Row],[1]:[31]],"RTT")+(COUNTIF(Janvier[[#This Row],[1]:[31]],"dRTT")/2)</f>
        <v>0</v>
      </c>
      <c r="AL22" s="109">
        <f>COUNTIF(Janvier[[#This Row],[1]:[31]],"C")+(COUNTIF(Janvier[[#This Row],[1]:[31]],"DC")/2)</f>
        <v>0</v>
      </c>
      <c r="AM22" s="22">
        <f>COUNTIF(Janvier[[#This Row],[1]:[31]],"M")</f>
        <v>0</v>
      </c>
      <c r="AN22" s="22">
        <f>COUNTIF(Janvier[[#This Row],[1]:[31]],"AT")</f>
        <v>0</v>
      </c>
      <c r="AO22" s="84">
        <f>IF(AND(Janvier[[#This Row],[Maladie]]=0,Janvier[[#This Row],[AT]]=0),((10*(_xlfn.DAYS("31/01/2018","01/01/2018")+1))/365),((_xlfn.DAYS("31/01/2018","01/01/2018")+1-(Janvier[[#This Row],[Maladie]]+Janvier[[#This Row],[AT]]))*((10*(_xlfn.DAYS("31/01/2018","01/01/2018")+1))/365))/(_xlfn.DAYS("31/01/2018","01/01/2018")+1))</f>
        <v>0.84931506849315064</v>
      </c>
      <c r="AP22" s="85">
        <f>$E$5-(COUNTIF(Janvier[[#This Row],[1]:[31]],"C")+COUNTIF(Janvier[[#This Row],[1]:[31]],"RTT")+Janvier[[#This Row],[Maladie]]+Janvier[[#This Row],[AT]])</f>
        <v>22</v>
      </c>
      <c r="AQ22">
        <f>SUMPRODUCT((F22:AJ22="")*(WEEKDAY($F$1:$AJ$1)&lt;6)*(COUNTIF(JFériés!$D$2:$D$11,$F$1:$AJ$1)=0))</f>
        <v>22</v>
      </c>
      <c r="AR22" s="152">
        <f>SUMPRODUCT(IF(Janvier[[#This Row],[RTT Pris]]+Janvier[[#This Row],[CP Pris]]+Janvier[[#This Row],[Maladie]]+Janvier[[#This Row],[AT]]=0,0,Janvier[[#This Row],[RTT Pris]]+Janvier[[#This Row],[CP Pris]]+Janvier[[#This Row],[Maladie]]+Janvier[[#This Row],[AT]])*(WEEKDAY($F$1:$AJ$1)&lt;6)*(COUNTIF(JFériés!$D$2:$D$11,$F$1:$AJ$1)=0))</f>
        <v>0</v>
      </c>
      <c r="AS22">
        <f>IF(Janvier[[#This Row],[RTT Pris]]+Janvier[[#This Row],[CP Pris]]+Janvier[[#This Row],[Maladie]]+Janvier[[#This Row],[AT]]=0,0,Janvier[[#This Row],[RTT Pris]]+Janvier[[#This Row],[CP Pris]]+Janvier[[#This Row],[Maladie]]+Janvier[[#This Row],[AT]])</f>
        <v>0</v>
      </c>
      <c r="AT22">
        <f>$E$5-Janvier[[#This Row],[Colonne3]]</f>
        <v>22</v>
      </c>
      <c r="AU22" s="152" t="e">
        <f t="shared" si="0"/>
        <v>#VALUE!</v>
      </c>
      <c r="AV22" s="152" t="e">
        <f t="shared" si="1"/>
        <v>#VALUE!</v>
      </c>
    </row>
    <row r="23" spans="1:48" ht="30" customHeight="1" x14ac:dyDescent="0.2">
      <c r="A23" s="13" t="s">
        <v>79</v>
      </c>
      <c r="B23" s="22" t="s">
        <v>174</v>
      </c>
      <c r="C23" s="22" t="s">
        <v>175</v>
      </c>
      <c r="D23" s="22" t="s">
        <v>176</v>
      </c>
      <c r="E23" s="44">
        <v>0</v>
      </c>
      <c r="F23" s="47" t="str">
        <f>Global!F23</f>
        <v/>
      </c>
      <c r="G23" s="31" t="str">
        <f>Global!G23</f>
        <v/>
      </c>
      <c r="H23" s="31" t="str">
        <f>Global!H23</f>
        <v/>
      </c>
      <c r="I23" s="31" t="str">
        <f>Global!I23</f>
        <v/>
      </c>
      <c r="J23" s="31" t="str">
        <f>Global!J23</f>
        <v/>
      </c>
      <c r="K23" s="31" t="str">
        <f>Global!K23</f>
        <v/>
      </c>
      <c r="L23" s="31" t="str">
        <f>Global!L23</f>
        <v/>
      </c>
      <c r="M23" s="31" t="str">
        <f>Global!M23</f>
        <v/>
      </c>
      <c r="N23" s="31" t="str">
        <f>Global!N23</f>
        <v/>
      </c>
      <c r="O23" s="31" t="str">
        <f>Global!O23</f>
        <v/>
      </c>
      <c r="P23" s="31" t="str">
        <f>Global!P23</f>
        <v/>
      </c>
      <c r="Q23" s="31" t="str">
        <f>Global!Q23</f>
        <v/>
      </c>
      <c r="R23" s="31" t="str">
        <f>Global!R23</f>
        <v/>
      </c>
      <c r="S23" s="31" t="str">
        <f>Global!S23</f>
        <v/>
      </c>
      <c r="T23" s="31" t="str">
        <f>Global!T23</f>
        <v/>
      </c>
      <c r="U23" s="31" t="str">
        <f>Global!U23</f>
        <v/>
      </c>
      <c r="V23" s="31" t="str">
        <f>Global!V23</f>
        <v/>
      </c>
      <c r="W23" s="31" t="str">
        <f>Global!W23</f>
        <v/>
      </c>
      <c r="X23" s="31" t="str">
        <f>Global!X23</f>
        <v/>
      </c>
      <c r="Y23" s="31" t="str">
        <f>Global!Y23</f>
        <v/>
      </c>
      <c r="Z23" s="31" t="str">
        <f>Global!Z23</f>
        <v/>
      </c>
      <c r="AA23" s="31" t="str">
        <f>Global!AA23</f>
        <v/>
      </c>
      <c r="AB23" s="31" t="str">
        <f>Global!AB23</f>
        <v/>
      </c>
      <c r="AC23" s="31" t="str">
        <f>Global!AC23</f>
        <v/>
      </c>
      <c r="AD23" s="31" t="str">
        <f>Global!AD23</f>
        <v/>
      </c>
      <c r="AE23" s="31" t="str">
        <f>Global!AE23</f>
        <v/>
      </c>
      <c r="AF23" s="31" t="str">
        <f>Global!AF23</f>
        <v/>
      </c>
      <c r="AG23" s="31" t="str">
        <f>Global!AG23</f>
        <v/>
      </c>
      <c r="AH23" s="31" t="str">
        <f>Global!AH23</f>
        <v/>
      </c>
      <c r="AI23" s="31" t="str">
        <f>Global!AI23</f>
        <v/>
      </c>
      <c r="AJ23" s="48" t="str">
        <f>Global!AJ23</f>
        <v/>
      </c>
      <c r="AK23" s="108">
        <f>COUNTIF(Janvier[[#This Row],[1]:[31]],"RTT")+(COUNTIF(Janvier[[#This Row],[1]:[31]],"dRTT")/2)</f>
        <v>0</v>
      </c>
      <c r="AL23" s="109">
        <f>COUNTIF(Janvier[[#This Row],[1]:[31]],"C")+(COUNTIF(Janvier[[#This Row],[1]:[31]],"DC")/2)</f>
        <v>0</v>
      </c>
      <c r="AM23" s="22">
        <f>COUNTIF(Janvier[[#This Row],[1]:[31]],"M")</f>
        <v>0</v>
      </c>
      <c r="AN23" s="22">
        <f>COUNTIF(Janvier[[#This Row],[1]:[31]],"AT")</f>
        <v>0</v>
      </c>
      <c r="AO23" s="84">
        <f>IF(AND(Janvier[[#This Row],[Maladie]]=0,Janvier[[#This Row],[AT]]=0),((10*(_xlfn.DAYS("31/01/2018","01/01/2018")+1))/365),((_xlfn.DAYS("31/01/2018","01/01/2018")+1-(Janvier[[#This Row],[Maladie]]+Janvier[[#This Row],[AT]]))*((10*(_xlfn.DAYS("31/01/2018","01/01/2018")+1))/365))/(_xlfn.DAYS("31/01/2018","01/01/2018")+1))</f>
        <v>0.84931506849315064</v>
      </c>
      <c r="AP23" s="85">
        <f>$E$5-(COUNTIF(Janvier[[#This Row],[1]:[31]],"C")+COUNTIF(Janvier[[#This Row],[1]:[31]],"RTT")+Janvier[[#This Row],[Maladie]]+Janvier[[#This Row],[AT]])</f>
        <v>22</v>
      </c>
      <c r="AQ23">
        <f>SUMPRODUCT((F23:AJ23="")*(WEEKDAY($F$1:$AJ$1)&lt;6)*(COUNTIF(JFériés!$D$2:$D$11,$F$1:$AJ$1)=0))</f>
        <v>22</v>
      </c>
      <c r="AR23" s="152">
        <f>SUMPRODUCT(IF(Janvier[[#This Row],[RTT Pris]]+Janvier[[#This Row],[CP Pris]]+Janvier[[#This Row],[Maladie]]+Janvier[[#This Row],[AT]]=0,0,Janvier[[#This Row],[RTT Pris]]+Janvier[[#This Row],[CP Pris]]+Janvier[[#This Row],[Maladie]]+Janvier[[#This Row],[AT]])*(WEEKDAY($F$1:$AJ$1)&lt;6)*(COUNTIF(JFériés!$D$2:$D$11,$F$1:$AJ$1)=0))</f>
        <v>0</v>
      </c>
      <c r="AS23">
        <f>IF(Janvier[[#This Row],[RTT Pris]]+Janvier[[#This Row],[CP Pris]]+Janvier[[#This Row],[Maladie]]+Janvier[[#This Row],[AT]]=0,0,Janvier[[#This Row],[RTT Pris]]+Janvier[[#This Row],[CP Pris]]+Janvier[[#This Row],[Maladie]]+Janvier[[#This Row],[AT]])</f>
        <v>0</v>
      </c>
      <c r="AT23">
        <f>$E$5-Janvier[[#This Row],[Colonne3]]</f>
        <v>22</v>
      </c>
      <c r="AU23" s="152" t="e">
        <f t="shared" si="0"/>
        <v>#VALUE!</v>
      </c>
      <c r="AV23" s="152" t="e">
        <f t="shared" si="1"/>
        <v>#VALUE!</v>
      </c>
    </row>
    <row r="24" spans="1:48" ht="30" customHeight="1" x14ac:dyDescent="0.2">
      <c r="A24" s="15" t="s">
        <v>80</v>
      </c>
      <c r="B24" s="22" t="s">
        <v>177</v>
      </c>
      <c r="C24" s="22" t="s">
        <v>178</v>
      </c>
      <c r="D24" s="22" t="s">
        <v>179</v>
      </c>
      <c r="E24" s="44">
        <v>0</v>
      </c>
      <c r="F24" s="47" t="str">
        <f>Global!F24</f>
        <v/>
      </c>
      <c r="G24" s="31" t="str">
        <f>Global!G24</f>
        <v/>
      </c>
      <c r="H24" s="31" t="str">
        <f>Global!H24</f>
        <v/>
      </c>
      <c r="I24" s="31" t="str">
        <f>Global!I24</f>
        <v/>
      </c>
      <c r="J24" s="31" t="str">
        <f>Global!J24</f>
        <v/>
      </c>
      <c r="K24" s="31" t="str">
        <f>Global!K24</f>
        <v/>
      </c>
      <c r="L24" s="31" t="str">
        <f>Global!L24</f>
        <v/>
      </c>
      <c r="M24" s="31" t="str">
        <f>Global!M24</f>
        <v/>
      </c>
      <c r="N24" s="31" t="str">
        <f>Global!N24</f>
        <v/>
      </c>
      <c r="O24" s="31" t="str">
        <f>Global!O24</f>
        <v/>
      </c>
      <c r="P24" s="31" t="str">
        <f>Global!P24</f>
        <v>C</v>
      </c>
      <c r="Q24" s="31" t="str">
        <f>Global!Q24</f>
        <v/>
      </c>
      <c r="R24" s="31" t="str">
        <f>Global!R24</f>
        <v/>
      </c>
      <c r="S24" s="31" t="str">
        <f>Global!S24</f>
        <v/>
      </c>
      <c r="T24" s="31" t="str">
        <f>Global!T24</f>
        <v/>
      </c>
      <c r="U24" s="31" t="str">
        <f>Global!U24</f>
        <v/>
      </c>
      <c r="V24" s="31" t="str">
        <f>Global!V24</f>
        <v/>
      </c>
      <c r="W24" s="31" t="str">
        <f>Global!W24</f>
        <v/>
      </c>
      <c r="X24" s="31" t="str">
        <f>Global!X24</f>
        <v/>
      </c>
      <c r="Y24" s="31" t="str">
        <f>Global!Y24</f>
        <v/>
      </c>
      <c r="Z24" s="31" t="str">
        <f>Global!Z24</f>
        <v/>
      </c>
      <c r="AA24" s="31" t="str">
        <f>Global!AA24</f>
        <v>M</v>
      </c>
      <c r="AB24" s="31" t="str">
        <f>Global!AB24</f>
        <v>M</v>
      </c>
      <c r="AC24" s="31" t="str">
        <f>Global!AC24</f>
        <v/>
      </c>
      <c r="AD24" s="31" t="str">
        <f>Global!AD24</f>
        <v/>
      </c>
      <c r="AE24" s="31" t="str">
        <f>Global!AE24</f>
        <v/>
      </c>
      <c r="AF24" s="31" t="str">
        <f>Global!AF24</f>
        <v/>
      </c>
      <c r="AG24" s="31" t="str">
        <f>Global!AG24</f>
        <v/>
      </c>
      <c r="AH24" s="31" t="str">
        <f>Global!AH24</f>
        <v/>
      </c>
      <c r="AI24" s="31" t="str">
        <f>Global!AI24</f>
        <v/>
      </c>
      <c r="AJ24" s="48" t="str">
        <f>Global!AJ24</f>
        <v/>
      </c>
      <c r="AK24" s="108">
        <f>COUNTIF(Janvier[[#This Row],[1]:[31]],"RTT")+(COUNTIF(Janvier[[#This Row],[1]:[31]],"dRTT")/2)</f>
        <v>0</v>
      </c>
      <c r="AL24" s="109">
        <f>COUNTIF(Janvier[[#This Row],[1]:[31]],"C")+(COUNTIF(Janvier[[#This Row],[1]:[31]],"DC")/2)</f>
        <v>1</v>
      </c>
      <c r="AM24" s="22">
        <f>COUNTIF(Janvier[[#This Row],[1]:[31]],"M")</f>
        <v>2</v>
      </c>
      <c r="AN24" s="22">
        <f>COUNTIF(Janvier[[#This Row],[1]:[31]],"AT")</f>
        <v>0</v>
      </c>
      <c r="AO24" s="84">
        <f>IF(AND(Janvier[[#This Row],[Maladie]]=0,Janvier[[#This Row],[AT]]=0),((10*(_xlfn.DAYS("31/01/2018","01/01/2018")+1))/365),((_xlfn.DAYS("31/01/2018","01/01/2018")+1-(Janvier[[#This Row],[Maladie]]+Janvier[[#This Row],[AT]]))*((10*(_xlfn.DAYS("31/01/2018","01/01/2018")+1))/365))/(_xlfn.DAYS("31/01/2018","01/01/2018")+1))</f>
        <v>0.79452054794520544</v>
      </c>
      <c r="AP24" s="85">
        <f>$E$5-(COUNTIF(Janvier[[#This Row],[1]:[31]],"C")+COUNTIF(Janvier[[#This Row],[1]:[31]],"RTT")+Janvier[[#This Row],[Maladie]]+Janvier[[#This Row],[AT]])</f>
        <v>19</v>
      </c>
      <c r="AQ24">
        <f>SUMPRODUCT((F24:AJ24="")*(WEEKDAY($F$1:$AJ$1)&lt;6)*(COUNTIF(JFériés!$D$2:$D$11,$F$1:$AJ$1)=0))</f>
        <v>19</v>
      </c>
      <c r="AR24" s="152">
        <f>SUMPRODUCT(IF(Janvier[[#This Row],[RTT Pris]]+Janvier[[#This Row],[CP Pris]]+Janvier[[#This Row],[Maladie]]+Janvier[[#This Row],[AT]]=0,0,Janvier[[#This Row],[RTT Pris]]+Janvier[[#This Row],[CP Pris]]+Janvier[[#This Row],[Maladie]]+Janvier[[#This Row],[AT]])*(WEEKDAY($F$1:$AJ$1)&lt;6)*(COUNTIF(JFériés!$D$2:$D$11,$F$1:$AJ$1)=0))</f>
        <v>66</v>
      </c>
      <c r="AS24">
        <f>IF(Janvier[[#This Row],[RTT Pris]]+Janvier[[#This Row],[CP Pris]]+Janvier[[#This Row],[Maladie]]+Janvier[[#This Row],[AT]]=0,0,Janvier[[#This Row],[RTT Pris]]+Janvier[[#This Row],[CP Pris]]+Janvier[[#This Row],[Maladie]]+Janvier[[#This Row],[AT]])</f>
        <v>3</v>
      </c>
      <c r="AT24">
        <f>$E$5-Janvier[[#This Row],[Colonne3]]</f>
        <v>19</v>
      </c>
      <c r="AU24" s="152" t="e">
        <f t="shared" si="0"/>
        <v>#VALUE!</v>
      </c>
      <c r="AV24" s="152" t="e">
        <f t="shared" si="1"/>
        <v>#VALUE!</v>
      </c>
    </row>
    <row r="25" spans="1:48" ht="30" customHeight="1" x14ac:dyDescent="0.2">
      <c r="A25" s="15" t="s">
        <v>81</v>
      </c>
      <c r="B25" s="22" t="s">
        <v>180</v>
      </c>
      <c r="C25" s="22" t="s">
        <v>157</v>
      </c>
      <c r="D25" s="22" t="s">
        <v>181</v>
      </c>
      <c r="E25" s="44">
        <v>0</v>
      </c>
      <c r="F25" s="47" t="str">
        <f>Global!F25</f>
        <v>M</v>
      </c>
      <c r="G25" s="31" t="str">
        <f>Global!G25</f>
        <v>M</v>
      </c>
      <c r="H25" s="31" t="str">
        <f>Global!H25</f>
        <v>M</v>
      </c>
      <c r="I25" s="31" t="str">
        <f>Global!I25</f>
        <v>M</v>
      </c>
      <c r="J25" s="31" t="str">
        <f>Global!J25</f>
        <v>M</v>
      </c>
      <c r="K25" s="31" t="str">
        <f>Global!K25</f>
        <v>M</v>
      </c>
      <c r="L25" s="31" t="str">
        <f>Global!L25</f>
        <v>M</v>
      </c>
      <c r="M25" s="31" t="str">
        <f>Global!M25</f>
        <v>M</v>
      </c>
      <c r="N25" s="31" t="str">
        <f>Global!N25</f>
        <v>M</v>
      </c>
      <c r="O25" s="31" t="str">
        <f>Global!O25</f>
        <v>M</v>
      </c>
      <c r="P25" s="31" t="str">
        <f>Global!P25</f>
        <v>M</v>
      </c>
      <c r="Q25" s="31" t="str">
        <f>Global!Q25</f>
        <v>M</v>
      </c>
      <c r="R25" s="31" t="str">
        <f>Global!R25</f>
        <v>M</v>
      </c>
      <c r="S25" s="31" t="str">
        <f>Global!S25</f>
        <v>M</v>
      </c>
      <c r="T25" s="31" t="str">
        <f>Global!T25</f>
        <v>M</v>
      </c>
      <c r="U25" s="31" t="str">
        <f>Global!U25</f>
        <v>M</v>
      </c>
      <c r="V25" s="31" t="str">
        <f>Global!V25</f>
        <v>M</v>
      </c>
      <c r="W25" s="31" t="str">
        <f>Global!W25</f>
        <v>M</v>
      </c>
      <c r="X25" s="31" t="str">
        <f>Global!X25</f>
        <v>M</v>
      </c>
      <c r="Y25" s="31" t="str">
        <f>Global!Y25</f>
        <v>M</v>
      </c>
      <c r="Z25" s="31" t="str">
        <f>Global!Z25</f>
        <v>M</v>
      </c>
      <c r="AA25" s="31" t="str">
        <f>Global!AA25</f>
        <v>M</v>
      </c>
      <c r="AB25" s="31" t="str">
        <f>Global!AB25</f>
        <v>M</v>
      </c>
      <c r="AC25" s="31" t="str">
        <f>Global!AC25</f>
        <v>M</v>
      </c>
      <c r="AD25" s="31" t="str">
        <f>Global!AD25</f>
        <v>M</v>
      </c>
      <c r="AE25" s="31" t="str">
        <f>Global!AE25</f>
        <v>M</v>
      </c>
      <c r="AF25" s="31" t="str">
        <f>Global!AF25</f>
        <v>M</v>
      </c>
      <c r="AG25" s="31" t="str">
        <f>Global!AG25</f>
        <v>M</v>
      </c>
      <c r="AH25" s="31" t="str">
        <f>Global!AH25</f>
        <v>M</v>
      </c>
      <c r="AI25" s="31" t="str">
        <f>Global!AI25</f>
        <v>M</v>
      </c>
      <c r="AJ25" s="48" t="str">
        <f>Global!AJ25</f>
        <v>M</v>
      </c>
      <c r="AK25" s="108">
        <f>COUNTIF(Janvier[[#This Row],[1]:[31]],"RTT")+(COUNTIF(Janvier[[#This Row],[1]:[31]],"dRTT")/2)</f>
        <v>0</v>
      </c>
      <c r="AL25" s="109">
        <f>COUNTIF(Janvier[[#This Row],[1]:[31]],"C")+(COUNTIF(Janvier[[#This Row],[1]:[31]],"DC")/2)</f>
        <v>0</v>
      </c>
      <c r="AM25" s="22">
        <f>COUNTIF(Janvier[[#This Row],[1]:[31]],"M")</f>
        <v>31</v>
      </c>
      <c r="AN25" s="22">
        <f>COUNTIF(Janvier[[#This Row],[1]:[31]],"AT")</f>
        <v>0</v>
      </c>
      <c r="AO25" s="84">
        <f>IF(AND(Janvier[[#This Row],[Maladie]]=0,Janvier[[#This Row],[AT]]=0),((10*(_xlfn.DAYS("31/01/2018","01/01/2018")+1))/365),((_xlfn.DAYS("31/01/2018","01/01/2018")+1-(Janvier[[#This Row],[Maladie]]+Janvier[[#This Row],[AT]]))*((10*(_xlfn.DAYS("31/01/2018","01/01/2018")+1))/365))/(_xlfn.DAYS("31/01/2018","01/01/2018")+1))</f>
        <v>0</v>
      </c>
      <c r="AP25" s="85">
        <f>$E$5-(COUNTIF(Janvier[[#This Row],[1]:[31]],"C")+COUNTIF(Janvier[[#This Row],[1]:[31]],"RTT")+Janvier[[#This Row],[Maladie]]+Janvier[[#This Row],[AT]])</f>
        <v>-9</v>
      </c>
      <c r="AQ25">
        <f>SUMPRODUCT((F25:AJ25="")*(WEEKDAY($F$1:$AJ$1)&lt;6)*(COUNTIF(JFériés!$D$2:$D$11,$F$1:$AJ$1)=0))</f>
        <v>0</v>
      </c>
      <c r="AR25" s="152">
        <f>SUMPRODUCT(IF(Janvier[[#This Row],[RTT Pris]]+Janvier[[#This Row],[CP Pris]]+Janvier[[#This Row],[Maladie]]+Janvier[[#This Row],[AT]]=0,0,Janvier[[#This Row],[RTT Pris]]+Janvier[[#This Row],[CP Pris]]+Janvier[[#This Row],[Maladie]]+Janvier[[#This Row],[AT]])*(WEEKDAY($F$1:$AJ$1)&lt;6)*(COUNTIF(JFériés!$D$2:$D$11,$F$1:$AJ$1)=0))</f>
        <v>682</v>
      </c>
      <c r="AS25">
        <f>IF(Janvier[[#This Row],[RTT Pris]]+Janvier[[#This Row],[CP Pris]]+Janvier[[#This Row],[Maladie]]+Janvier[[#This Row],[AT]]=0,0,Janvier[[#This Row],[RTT Pris]]+Janvier[[#This Row],[CP Pris]]+Janvier[[#This Row],[Maladie]]+Janvier[[#This Row],[AT]])</f>
        <v>31</v>
      </c>
      <c r="AT25">
        <f>$E$5-Janvier[[#This Row],[Colonne3]]</f>
        <v>-9</v>
      </c>
      <c r="AU25" s="152" t="e">
        <f t="shared" si="0"/>
        <v>#VALUE!</v>
      </c>
      <c r="AV25" s="152" t="e">
        <f t="shared" si="1"/>
        <v>#VALUE!</v>
      </c>
    </row>
    <row r="26" spans="1:48" ht="30" customHeight="1" x14ac:dyDescent="0.2">
      <c r="A26" s="15" t="s">
        <v>82</v>
      </c>
      <c r="B26" s="22" t="s">
        <v>182</v>
      </c>
      <c r="C26" s="22" t="s">
        <v>183</v>
      </c>
      <c r="D26" s="22" t="s">
        <v>184</v>
      </c>
      <c r="E26" s="44">
        <v>0</v>
      </c>
      <c r="F26" s="47" t="str">
        <f>Global!F26</f>
        <v/>
      </c>
      <c r="G26" s="31" t="str">
        <f>Global!G26</f>
        <v>C</v>
      </c>
      <c r="H26" s="31" t="str">
        <f>Global!H26</f>
        <v/>
      </c>
      <c r="I26" s="31" t="str">
        <f>Global!I26</f>
        <v/>
      </c>
      <c r="J26" s="31" t="str">
        <f>Global!J26</f>
        <v/>
      </c>
      <c r="K26" s="31" t="str">
        <f>Global!K26</f>
        <v/>
      </c>
      <c r="L26" s="31" t="str">
        <f>Global!L26</f>
        <v/>
      </c>
      <c r="M26" s="31" t="str">
        <f>Global!M26</f>
        <v/>
      </c>
      <c r="N26" s="31" t="str">
        <f>Global!N26</f>
        <v/>
      </c>
      <c r="O26" s="31" t="str">
        <f>Global!O26</f>
        <v/>
      </c>
      <c r="P26" s="31" t="str">
        <f>Global!P26</f>
        <v/>
      </c>
      <c r="Q26" s="31" t="str">
        <f>Global!Q26</f>
        <v/>
      </c>
      <c r="R26" s="31" t="str">
        <f>Global!R26</f>
        <v/>
      </c>
      <c r="S26" s="31" t="str">
        <f>Global!S26</f>
        <v/>
      </c>
      <c r="T26" s="31" t="str">
        <f>Global!T26</f>
        <v/>
      </c>
      <c r="U26" s="31" t="str">
        <f>Global!U26</f>
        <v/>
      </c>
      <c r="V26" s="31" t="str">
        <f>Global!V26</f>
        <v/>
      </c>
      <c r="W26" s="31" t="str">
        <f>Global!W26</f>
        <v/>
      </c>
      <c r="X26" s="31" t="str">
        <f>Global!X26</f>
        <v/>
      </c>
      <c r="Y26" s="31" t="str">
        <f>Global!Y26</f>
        <v/>
      </c>
      <c r="Z26" s="31" t="str">
        <f>Global!Z26</f>
        <v/>
      </c>
      <c r="AA26" s="31" t="str">
        <f>Global!AA26</f>
        <v/>
      </c>
      <c r="AB26" s="31" t="str">
        <f>Global!AB26</f>
        <v/>
      </c>
      <c r="AC26" s="31" t="str">
        <f>Global!AC26</f>
        <v/>
      </c>
      <c r="AD26" s="31" t="str">
        <f>Global!AD26</f>
        <v/>
      </c>
      <c r="AE26" s="31" t="str">
        <f>Global!AE26</f>
        <v/>
      </c>
      <c r="AF26" s="31" t="str">
        <f>Global!AF26</f>
        <v/>
      </c>
      <c r="AG26" s="31" t="str">
        <f>Global!AG26</f>
        <v/>
      </c>
      <c r="AH26" s="31" t="str">
        <f>Global!AH26</f>
        <v/>
      </c>
      <c r="AI26" s="31" t="str">
        <f>Global!AI26</f>
        <v/>
      </c>
      <c r="AJ26" s="48" t="str">
        <f>Global!AJ26</f>
        <v/>
      </c>
      <c r="AK26" s="108">
        <f>COUNTIF(Janvier[[#This Row],[1]:[31]],"RTT")+(COUNTIF(Janvier[[#This Row],[1]:[31]],"dRTT")/2)</f>
        <v>0</v>
      </c>
      <c r="AL26" s="109">
        <f>COUNTIF(Janvier[[#This Row],[1]:[31]],"C")+(COUNTIF(Janvier[[#This Row],[1]:[31]],"DC")/2)</f>
        <v>1</v>
      </c>
      <c r="AM26" s="22">
        <f>COUNTIF(Janvier[[#This Row],[1]:[31]],"M")</f>
        <v>0</v>
      </c>
      <c r="AN26" s="22">
        <f>COUNTIF(Janvier[[#This Row],[1]:[31]],"AT")</f>
        <v>0</v>
      </c>
      <c r="AO26" s="84">
        <f>IF(AND(Janvier[[#This Row],[Maladie]]=0,Janvier[[#This Row],[AT]]=0),((10*(_xlfn.DAYS("31/01/2018","01/01/2018")+1))/365),((_xlfn.DAYS("31/01/2018","01/01/2018")+1-(Janvier[[#This Row],[Maladie]]+Janvier[[#This Row],[AT]]))*((10*(_xlfn.DAYS("31/01/2018","01/01/2018")+1))/365))/(_xlfn.DAYS("31/01/2018","01/01/2018")+1))</f>
        <v>0.84931506849315064</v>
      </c>
      <c r="AP26" s="85">
        <f>$E$5-(COUNTIF(Janvier[[#This Row],[1]:[31]],"C")+COUNTIF(Janvier[[#This Row],[1]:[31]],"RTT")+Janvier[[#This Row],[Maladie]]+Janvier[[#This Row],[AT]])</f>
        <v>21</v>
      </c>
      <c r="AQ26">
        <f>SUMPRODUCT((F26:AJ26="")*(WEEKDAY($F$1:$AJ$1)&lt;6)*(COUNTIF(JFériés!$D$2:$D$11,$F$1:$AJ$1)=0))</f>
        <v>21</v>
      </c>
      <c r="AR26" s="152">
        <f>SUMPRODUCT(IF(Janvier[[#This Row],[RTT Pris]]+Janvier[[#This Row],[CP Pris]]+Janvier[[#This Row],[Maladie]]+Janvier[[#This Row],[AT]]=0,0,Janvier[[#This Row],[RTT Pris]]+Janvier[[#This Row],[CP Pris]]+Janvier[[#This Row],[Maladie]]+Janvier[[#This Row],[AT]])*(WEEKDAY($F$1:$AJ$1)&lt;6)*(COUNTIF(JFériés!$D$2:$D$11,$F$1:$AJ$1)=0))</f>
        <v>22</v>
      </c>
      <c r="AS26">
        <f>IF(Janvier[[#This Row],[RTT Pris]]+Janvier[[#This Row],[CP Pris]]+Janvier[[#This Row],[Maladie]]+Janvier[[#This Row],[AT]]=0,0,Janvier[[#This Row],[RTT Pris]]+Janvier[[#This Row],[CP Pris]]+Janvier[[#This Row],[Maladie]]+Janvier[[#This Row],[AT]])</f>
        <v>1</v>
      </c>
      <c r="AT26">
        <f>$E$5-Janvier[[#This Row],[Colonne3]]</f>
        <v>21</v>
      </c>
      <c r="AU26" s="152" t="e">
        <f t="shared" si="0"/>
        <v>#VALUE!</v>
      </c>
      <c r="AV26" s="152" t="e">
        <f t="shared" si="1"/>
        <v>#VALUE!</v>
      </c>
    </row>
    <row r="27" spans="1:48" ht="30" customHeight="1" x14ac:dyDescent="0.2">
      <c r="A27" s="15" t="s">
        <v>83</v>
      </c>
      <c r="B27" s="22" t="s">
        <v>185</v>
      </c>
      <c r="C27" s="22" t="s">
        <v>186</v>
      </c>
      <c r="D27" s="22" t="s">
        <v>187</v>
      </c>
      <c r="E27" s="44">
        <v>0</v>
      </c>
      <c r="F27" s="47" t="str">
        <f>Global!F27</f>
        <v/>
      </c>
      <c r="G27" s="31" t="str">
        <f>Global!G27</f>
        <v>C</v>
      </c>
      <c r="H27" s="31" t="str">
        <f>Global!H27</f>
        <v>C</v>
      </c>
      <c r="I27" s="31" t="str">
        <f>Global!I27</f>
        <v>C</v>
      </c>
      <c r="J27" s="31" t="str">
        <f>Global!J27</f>
        <v>C</v>
      </c>
      <c r="K27" s="31" t="str">
        <f>Global!K27</f>
        <v/>
      </c>
      <c r="L27" s="31" t="str">
        <f>Global!L27</f>
        <v/>
      </c>
      <c r="M27" s="31" t="str">
        <f>Global!M27</f>
        <v>C</v>
      </c>
      <c r="N27" s="31" t="str">
        <f>Global!N27</f>
        <v>C</v>
      </c>
      <c r="O27" s="31" t="str">
        <f>Global!O27</f>
        <v>C</v>
      </c>
      <c r="P27" s="31" t="str">
        <f>Global!P27</f>
        <v>C</v>
      </c>
      <c r="Q27" s="31" t="str">
        <f>Global!Q27</f>
        <v>C</v>
      </c>
      <c r="R27" s="31" t="str">
        <f>Global!R27</f>
        <v/>
      </c>
      <c r="S27" s="31" t="str">
        <f>Global!S27</f>
        <v/>
      </c>
      <c r="T27" s="31" t="str">
        <f>Global!T27</f>
        <v/>
      </c>
      <c r="U27" s="31" t="str">
        <f>Global!U27</f>
        <v/>
      </c>
      <c r="V27" s="31" t="str">
        <f>Global!V27</f>
        <v/>
      </c>
      <c r="W27" s="31" t="str">
        <f>Global!W27</f>
        <v/>
      </c>
      <c r="X27" s="31" t="str">
        <f>Global!X27</f>
        <v/>
      </c>
      <c r="Y27" s="31" t="str">
        <f>Global!Y27</f>
        <v/>
      </c>
      <c r="Z27" s="31" t="str">
        <f>Global!Z27</f>
        <v/>
      </c>
      <c r="AA27" s="31" t="str">
        <f>Global!AA27</f>
        <v/>
      </c>
      <c r="AB27" s="31" t="str">
        <f>Global!AB27</f>
        <v/>
      </c>
      <c r="AC27" s="31" t="str">
        <f>Global!AC27</f>
        <v/>
      </c>
      <c r="AD27" s="31" t="str">
        <f>Global!AD27</f>
        <v/>
      </c>
      <c r="AE27" s="31" t="str">
        <f>Global!AE27</f>
        <v/>
      </c>
      <c r="AF27" s="31" t="str">
        <f>Global!AF27</f>
        <v/>
      </c>
      <c r="AG27" s="31" t="str">
        <f>Global!AG27</f>
        <v/>
      </c>
      <c r="AH27" s="31" t="str">
        <f>Global!AH27</f>
        <v/>
      </c>
      <c r="AI27" s="31" t="str">
        <f>Global!AI27</f>
        <v/>
      </c>
      <c r="AJ27" s="48" t="str">
        <f>Global!AJ27</f>
        <v/>
      </c>
      <c r="AK27" s="108">
        <f>COUNTIF(Janvier[[#This Row],[1]:[31]],"RTT")+(COUNTIF(Janvier[[#This Row],[1]:[31]],"dRTT")/2)</f>
        <v>0</v>
      </c>
      <c r="AL27" s="109">
        <f>COUNTIF(Janvier[[#This Row],[1]:[31]],"C")+(COUNTIF(Janvier[[#This Row],[1]:[31]],"DC")/2)</f>
        <v>9</v>
      </c>
      <c r="AM27" s="22">
        <f>COUNTIF(Janvier[[#This Row],[1]:[31]],"M")</f>
        <v>0</v>
      </c>
      <c r="AN27" s="22">
        <f>COUNTIF(Janvier[[#This Row],[1]:[31]],"AT")</f>
        <v>0</v>
      </c>
      <c r="AO27" s="84">
        <f>IF(AND(Janvier[[#This Row],[Maladie]]=0,Janvier[[#This Row],[AT]]=0),((10*(_xlfn.DAYS("31/01/2018","01/01/2018")+1))/365),((_xlfn.DAYS("31/01/2018","01/01/2018")+1-(Janvier[[#This Row],[Maladie]]+Janvier[[#This Row],[AT]]))*((10*(_xlfn.DAYS("31/01/2018","01/01/2018")+1))/365))/(_xlfn.DAYS("31/01/2018","01/01/2018")+1))</f>
        <v>0.84931506849315064</v>
      </c>
      <c r="AP27" s="85">
        <f>$E$5-(COUNTIF(Janvier[[#This Row],[1]:[31]],"C")+COUNTIF(Janvier[[#This Row],[1]:[31]],"RTT")+Janvier[[#This Row],[Maladie]]+Janvier[[#This Row],[AT]])</f>
        <v>13</v>
      </c>
      <c r="AQ27">
        <f>SUMPRODUCT((F27:AJ27="")*(WEEKDAY($F$1:$AJ$1)&lt;6)*(COUNTIF(JFériés!$D$2:$D$11,$F$1:$AJ$1)=0))</f>
        <v>15</v>
      </c>
      <c r="AR27" s="152">
        <f>SUMPRODUCT(IF(Janvier[[#This Row],[RTT Pris]]+Janvier[[#This Row],[CP Pris]]+Janvier[[#This Row],[Maladie]]+Janvier[[#This Row],[AT]]=0,0,Janvier[[#This Row],[RTT Pris]]+Janvier[[#This Row],[CP Pris]]+Janvier[[#This Row],[Maladie]]+Janvier[[#This Row],[AT]])*(WEEKDAY($F$1:$AJ$1)&lt;6)*(COUNTIF(JFériés!$D$2:$D$11,$F$1:$AJ$1)=0))</f>
        <v>198</v>
      </c>
      <c r="AS27">
        <f>IF(Janvier[[#This Row],[RTT Pris]]+Janvier[[#This Row],[CP Pris]]+Janvier[[#This Row],[Maladie]]+Janvier[[#This Row],[AT]]=0,0,Janvier[[#This Row],[RTT Pris]]+Janvier[[#This Row],[CP Pris]]+Janvier[[#This Row],[Maladie]]+Janvier[[#This Row],[AT]])</f>
        <v>9</v>
      </c>
      <c r="AT27">
        <f>$E$5-Janvier[[#This Row],[Colonne3]]</f>
        <v>13</v>
      </c>
      <c r="AU27" s="152" t="e">
        <f t="shared" si="0"/>
        <v>#VALUE!</v>
      </c>
      <c r="AV27" s="152" t="e">
        <f t="shared" si="1"/>
        <v>#VALUE!</v>
      </c>
    </row>
    <row r="28" spans="1:48" ht="30" customHeight="1" x14ac:dyDescent="0.2">
      <c r="A28" s="15" t="s">
        <v>84</v>
      </c>
      <c r="B28" s="22" t="s">
        <v>188</v>
      </c>
      <c r="C28" s="22" t="s">
        <v>189</v>
      </c>
      <c r="D28" s="22" t="s">
        <v>190</v>
      </c>
      <c r="E28" s="44">
        <v>0</v>
      </c>
      <c r="F28" s="47" t="str">
        <f>Global!F28</f>
        <v/>
      </c>
      <c r="G28" s="31" t="str">
        <f>Global!G28</f>
        <v/>
      </c>
      <c r="H28" s="31" t="str">
        <f>Global!H28</f>
        <v/>
      </c>
      <c r="I28" s="31" t="str">
        <f>Global!I28</f>
        <v/>
      </c>
      <c r="J28" s="31" t="str">
        <f>Global!J28</f>
        <v/>
      </c>
      <c r="K28" s="31" t="str">
        <f>Global!K28</f>
        <v/>
      </c>
      <c r="L28" s="31" t="str">
        <f>Global!L28</f>
        <v/>
      </c>
      <c r="M28" s="31" t="str">
        <f>Global!M28</f>
        <v/>
      </c>
      <c r="N28" s="31" t="str">
        <f>Global!N28</f>
        <v/>
      </c>
      <c r="O28" s="31" t="str">
        <f>Global!O28</f>
        <v/>
      </c>
      <c r="P28" s="31" t="str">
        <f>Global!P28</f>
        <v/>
      </c>
      <c r="Q28" s="31" t="str">
        <f>Global!Q28</f>
        <v/>
      </c>
      <c r="R28" s="31" t="str">
        <f>Global!R28</f>
        <v/>
      </c>
      <c r="S28" s="31" t="str">
        <f>Global!S28</f>
        <v/>
      </c>
      <c r="T28" s="31" t="str">
        <f>Global!T28</f>
        <v/>
      </c>
      <c r="U28" s="31" t="str">
        <f>Global!U28</f>
        <v/>
      </c>
      <c r="V28" s="31" t="str">
        <f>Global!V28</f>
        <v/>
      </c>
      <c r="W28" s="31" t="str">
        <f>Global!W28</f>
        <v/>
      </c>
      <c r="X28" s="31" t="str">
        <f>Global!X28</f>
        <v/>
      </c>
      <c r="Y28" s="31" t="str">
        <f>Global!Y28</f>
        <v/>
      </c>
      <c r="Z28" s="31" t="str">
        <f>Global!Z28</f>
        <v/>
      </c>
      <c r="AA28" s="31" t="str">
        <f>Global!AA28</f>
        <v/>
      </c>
      <c r="AB28" s="31" t="str">
        <f>Global!AB28</f>
        <v/>
      </c>
      <c r="AC28" s="31" t="str">
        <f>Global!AC28</f>
        <v/>
      </c>
      <c r="AD28" s="31" t="str">
        <f>Global!AD28</f>
        <v/>
      </c>
      <c r="AE28" s="31" t="str">
        <f>Global!AE28</f>
        <v/>
      </c>
      <c r="AF28" s="31" t="str">
        <f>Global!AF28</f>
        <v/>
      </c>
      <c r="AG28" s="31" t="str">
        <f>Global!AG28</f>
        <v/>
      </c>
      <c r="AH28" s="31" t="str">
        <f>Global!AH28</f>
        <v/>
      </c>
      <c r="AI28" s="31" t="str">
        <f>Global!AI28</f>
        <v/>
      </c>
      <c r="AJ28" s="48" t="str">
        <f>Global!AJ28</f>
        <v/>
      </c>
      <c r="AK28" s="108">
        <f>COUNTIF(Janvier[[#This Row],[1]:[31]],"RTT")+(COUNTIF(Janvier[[#This Row],[1]:[31]],"dRTT")/2)</f>
        <v>0</v>
      </c>
      <c r="AL28" s="109">
        <f>COUNTIF(Janvier[[#This Row],[1]:[31]],"C")+(COUNTIF(Janvier[[#This Row],[1]:[31]],"DC")/2)</f>
        <v>0</v>
      </c>
      <c r="AM28" s="22">
        <f>COUNTIF(Janvier[[#This Row],[1]:[31]],"M")</f>
        <v>0</v>
      </c>
      <c r="AN28" s="22">
        <f>COUNTIF(Janvier[[#This Row],[1]:[31]],"AT")</f>
        <v>0</v>
      </c>
      <c r="AO28" s="84">
        <f>IF(AND(Janvier[[#This Row],[Maladie]]=0,Janvier[[#This Row],[AT]]=0),((10*(_xlfn.DAYS("31/01/2018","01/01/2018")+1))/365),((_xlfn.DAYS("31/01/2018","01/01/2018")+1-(Janvier[[#This Row],[Maladie]]+Janvier[[#This Row],[AT]]))*((10*(_xlfn.DAYS("31/01/2018","01/01/2018")+1))/365))/(_xlfn.DAYS("31/01/2018","01/01/2018")+1))</f>
        <v>0.84931506849315064</v>
      </c>
      <c r="AP28" s="85">
        <f>$E$5-(COUNTIF(Janvier[[#This Row],[1]:[31]],"C")+COUNTIF(Janvier[[#This Row],[1]:[31]],"RTT")+Janvier[[#This Row],[Maladie]]+Janvier[[#This Row],[AT]])</f>
        <v>22</v>
      </c>
      <c r="AQ28">
        <f>SUMPRODUCT((F28:AJ28="")*(WEEKDAY($F$1:$AJ$1)&lt;6)*(COUNTIF(JFériés!$D$2:$D$11,$F$1:$AJ$1)=0))</f>
        <v>22</v>
      </c>
      <c r="AR28" s="152">
        <f>SUMPRODUCT(IF(Janvier[[#This Row],[RTT Pris]]+Janvier[[#This Row],[CP Pris]]+Janvier[[#This Row],[Maladie]]+Janvier[[#This Row],[AT]]=0,0,Janvier[[#This Row],[RTT Pris]]+Janvier[[#This Row],[CP Pris]]+Janvier[[#This Row],[Maladie]]+Janvier[[#This Row],[AT]])*(WEEKDAY($F$1:$AJ$1)&lt;6)*(COUNTIF(JFériés!$D$2:$D$11,$F$1:$AJ$1)=0))</f>
        <v>0</v>
      </c>
      <c r="AS28">
        <f>IF(Janvier[[#This Row],[RTT Pris]]+Janvier[[#This Row],[CP Pris]]+Janvier[[#This Row],[Maladie]]+Janvier[[#This Row],[AT]]=0,0,Janvier[[#This Row],[RTT Pris]]+Janvier[[#This Row],[CP Pris]]+Janvier[[#This Row],[Maladie]]+Janvier[[#This Row],[AT]])</f>
        <v>0</v>
      </c>
      <c r="AT28">
        <f>$E$5-Janvier[[#This Row],[Colonne3]]</f>
        <v>22</v>
      </c>
      <c r="AU28" s="152" t="e">
        <f t="shared" si="0"/>
        <v>#VALUE!</v>
      </c>
      <c r="AV28" s="152" t="e">
        <f t="shared" si="1"/>
        <v>#VALUE!</v>
      </c>
    </row>
    <row r="29" spans="1:48" ht="30" customHeight="1" x14ac:dyDescent="0.2">
      <c r="A29" s="15" t="s">
        <v>85</v>
      </c>
      <c r="B29" s="22" t="s">
        <v>191</v>
      </c>
      <c r="C29" s="22" t="s">
        <v>192</v>
      </c>
      <c r="D29" s="22" t="s">
        <v>193</v>
      </c>
      <c r="E29" s="44">
        <v>0</v>
      </c>
      <c r="F29" s="47" t="str">
        <f>Global!F29</f>
        <v/>
      </c>
      <c r="G29" s="31" t="str">
        <f>Global!G29</f>
        <v>C</v>
      </c>
      <c r="H29" s="31" t="str">
        <f>Global!H29</f>
        <v>C</v>
      </c>
      <c r="I29" s="31" t="str">
        <f>Global!I29</f>
        <v>C</v>
      </c>
      <c r="J29" s="31" t="str">
        <f>Global!J29</f>
        <v>C</v>
      </c>
      <c r="K29" s="31" t="str">
        <f>Global!K29</f>
        <v/>
      </c>
      <c r="L29" s="31" t="str">
        <f>Global!L29</f>
        <v/>
      </c>
      <c r="M29" s="31" t="str">
        <f>Global!M29</f>
        <v/>
      </c>
      <c r="N29" s="31" t="str">
        <f>Global!N29</f>
        <v/>
      </c>
      <c r="O29" s="31" t="str">
        <f>Global!O29</f>
        <v>M</v>
      </c>
      <c r="P29" s="31" t="str">
        <f>Global!P29</f>
        <v>M</v>
      </c>
      <c r="Q29" s="31" t="str">
        <f>Global!Q29</f>
        <v>M</v>
      </c>
      <c r="R29" s="31" t="str">
        <f>Global!R29</f>
        <v>M</v>
      </c>
      <c r="S29" s="31" t="str">
        <f>Global!S29</f>
        <v>M</v>
      </c>
      <c r="T29" s="31" t="str">
        <f>Global!T29</f>
        <v/>
      </c>
      <c r="U29" s="31" t="str">
        <f>Global!U29</f>
        <v/>
      </c>
      <c r="V29" s="31" t="str">
        <f>Global!V29</f>
        <v/>
      </c>
      <c r="W29" s="31" t="str">
        <f>Global!W29</f>
        <v/>
      </c>
      <c r="X29" s="31" t="str">
        <f>Global!X29</f>
        <v/>
      </c>
      <c r="Y29" s="31" t="str">
        <f>Global!Y29</f>
        <v/>
      </c>
      <c r="Z29" s="31" t="str">
        <f>Global!Z29</f>
        <v/>
      </c>
      <c r="AA29" s="31" t="str">
        <f>Global!AA29</f>
        <v/>
      </c>
      <c r="AB29" s="31" t="str">
        <f>Global!AB29</f>
        <v/>
      </c>
      <c r="AC29" s="31" t="str">
        <f>Global!AC29</f>
        <v/>
      </c>
      <c r="AD29" s="31" t="str">
        <f>Global!AD29</f>
        <v/>
      </c>
      <c r="AE29" s="31" t="str">
        <f>Global!AE29</f>
        <v/>
      </c>
      <c r="AF29" s="31" t="str">
        <f>Global!AF29</f>
        <v/>
      </c>
      <c r="AG29" s="31" t="str">
        <f>Global!AG29</f>
        <v/>
      </c>
      <c r="AH29" s="31" t="str">
        <f>Global!AH29</f>
        <v/>
      </c>
      <c r="AI29" s="31" t="str">
        <f>Global!AI29</f>
        <v/>
      </c>
      <c r="AJ29" s="48" t="str">
        <f>Global!AJ29</f>
        <v/>
      </c>
      <c r="AK29" s="108">
        <f>COUNTIF(Janvier[[#This Row],[1]:[31]],"RTT")+(COUNTIF(Janvier[[#This Row],[1]:[31]],"dRTT")/2)</f>
        <v>0</v>
      </c>
      <c r="AL29" s="109">
        <f>COUNTIF(Janvier[[#This Row],[1]:[31]],"C")+(COUNTIF(Janvier[[#This Row],[1]:[31]],"DC")/2)</f>
        <v>4</v>
      </c>
      <c r="AM29" s="22">
        <f>COUNTIF(Janvier[[#This Row],[1]:[31]],"M")</f>
        <v>5</v>
      </c>
      <c r="AN29" s="22">
        <f>COUNTIF(Janvier[[#This Row],[1]:[31]],"AT")</f>
        <v>0</v>
      </c>
      <c r="AO29" s="84">
        <f>IF(AND(Janvier[[#This Row],[Maladie]]=0,Janvier[[#This Row],[AT]]=0),((10*(_xlfn.DAYS("31/01/2018","01/01/2018")+1))/365),((_xlfn.DAYS("31/01/2018","01/01/2018")+1-(Janvier[[#This Row],[Maladie]]+Janvier[[#This Row],[AT]]))*((10*(_xlfn.DAYS("31/01/2018","01/01/2018")+1))/365))/(_xlfn.DAYS("31/01/2018","01/01/2018")+1))</f>
        <v>0.71232876712328763</v>
      </c>
      <c r="AP29" s="85">
        <f>$E$5-(COUNTIF(Janvier[[#This Row],[1]:[31]],"C")+COUNTIF(Janvier[[#This Row],[1]:[31]],"RTT")+Janvier[[#This Row],[Maladie]]+Janvier[[#This Row],[AT]])</f>
        <v>13</v>
      </c>
      <c r="AQ29">
        <f>SUMPRODUCT((F29:AJ29="")*(WEEKDAY($F$1:$AJ$1)&lt;6)*(COUNTIF(JFériés!$D$2:$D$11,$F$1:$AJ$1)=0))</f>
        <v>16</v>
      </c>
      <c r="AR29" s="152">
        <f>SUMPRODUCT(IF(Janvier[[#This Row],[RTT Pris]]+Janvier[[#This Row],[CP Pris]]+Janvier[[#This Row],[Maladie]]+Janvier[[#This Row],[AT]]=0,0,Janvier[[#This Row],[RTT Pris]]+Janvier[[#This Row],[CP Pris]]+Janvier[[#This Row],[Maladie]]+Janvier[[#This Row],[AT]])*(WEEKDAY($F$1:$AJ$1)&lt;6)*(COUNTIF(JFériés!$D$2:$D$11,$F$1:$AJ$1)=0))</f>
        <v>198</v>
      </c>
      <c r="AS29">
        <f>IF(Janvier[[#This Row],[RTT Pris]]+Janvier[[#This Row],[CP Pris]]+Janvier[[#This Row],[Maladie]]+Janvier[[#This Row],[AT]]=0,0,Janvier[[#This Row],[RTT Pris]]+Janvier[[#This Row],[CP Pris]]+Janvier[[#This Row],[Maladie]]+Janvier[[#This Row],[AT]])</f>
        <v>9</v>
      </c>
      <c r="AT29">
        <f>$E$5-Janvier[[#This Row],[Colonne3]]</f>
        <v>13</v>
      </c>
      <c r="AU29" s="152" t="e">
        <f t="shared" si="0"/>
        <v>#VALUE!</v>
      </c>
      <c r="AV29" s="152" t="e">
        <f t="shared" si="1"/>
        <v>#VALUE!</v>
      </c>
    </row>
    <row r="30" spans="1:48" ht="30" customHeight="1" x14ac:dyDescent="0.2">
      <c r="A30" s="15" t="s">
        <v>86</v>
      </c>
      <c r="B30" s="22" t="s">
        <v>194</v>
      </c>
      <c r="C30" s="22" t="s">
        <v>192</v>
      </c>
      <c r="D30" s="22" t="s">
        <v>195</v>
      </c>
      <c r="E30" s="44" t="s">
        <v>162</v>
      </c>
      <c r="F30" s="47" t="str">
        <f>Global!F30</f>
        <v/>
      </c>
      <c r="G30" s="31" t="str">
        <f>Global!G30</f>
        <v/>
      </c>
      <c r="H30" s="31" t="str">
        <f>Global!H30</f>
        <v/>
      </c>
      <c r="I30" s="31" t="str">
        <f>Global!I30</f>
        <v/>
      </c>
      <c r="J30" s="31" t="str">
        <f>Global!J30</f>
        <v/>
      </c>
      <c r="K30" s="31" t="str">
        <f>Global!K30</f>
        <v/>
      </c>
      <c r="L30" s="31" t="str">
        <f>Global!L30</f>
        <v/>
      </c>
      <c r="M30" s="31" t="str">
        <f>Global!M30</f>
        <v/>
      </c>
      <c r="N30" s="31" t="str">
        <f>Global!N30</f>
        <v/>
      </c>
      <c r="O30" s="31" t="str">
        <f>Global!O30</f>
        <v/>
      </c>
      <c r="P30" s="31" t="str">
        <f>Global!P30</f>
        <v/>
      </c>
      <c r="Q30" s="31" t="str">
        <f>Global!Q30</f>
        <v/>
      </c>
      <c r="R30" s="31" t="str">
        <f>Global!R30</f>
        <v/>
      </c>
      <c r="S30" s="31" t="str">
        <f>Global!S30</f>
        <v/>
      </c>
      <c r="T30" s="31" t="str">
        <f>Global!T30</f>
        <v/>
      </c>
      <c r="U30" s="31" t="str">
        <f>Global!U30</f>
        <v/>
      </c>
      <c r="V30" s="31" t="str">
        <f>Global!V30</f>
        <v/>
      </c>
      <c r="W30" s="31" t="str">
        <f>Global!W30</f>
        <v/>
      </c>
      <c r="X30" s="31" t="str">
        <f>Global!X30</f>
        <v/>
      </c>
      <c r="Y30" s="31" t="str">
        <f>Global!Y30</f>
        <v/>
      </c>
      <c r="Z30" s="31" t="str">
        <f>Global!Z30</f>
        <v/>
      </c>
      <c r="AA30" s="31" t="str">
        <f>Global!AA30</f>
        <v/>
      </c>
      <c r="AB30" s="31" t="str">
        <f>Global!AB30</f>
        <v/>
      </c>
      <c r="AC30" s="31" t="str">
        <f>Global!AC30</f>
        <v/>
      </c>
      <c r="AD30" s="31" t="str">
        <f>Global!AD30</f>
        <v/>
      </c>
      <c r="AE30" s="31" t="str">
        <f>Global!AE30</f>
        <v/>
      </c>
      <c r="AF30" s="31" t="str">
        <f>Global!AF30</f>
        <v/>
      </c>
      <c r="AG30" s="31" t="str">
        <f>Global!AG30</f>
        <v/>
      </c>
      <c r="AH30" s="31" t="str">
        <f>Global!AH30</f>
        <v/>
      </c>
      <c r="AI30" s="31" t="str">
        <f>Global!AI30</f>
        <v/>
      </c>
      <c r="AJ30" s="48" t="str">
        <f>Global!AJ30</f>
        <v/>
      </c>
      <c r="AK30" s="108">
        <f>COUNTIF(Janvier[[#This Row],[1]:[31]],"RTT")+(COUNTIF(Janvier[[#This Row],[1]:[31]],"dRTT")/2)</f>
        <v>0</v>
      </c>
      <c r="AL30" s="109">
        <f>COUNTIF(Janvier[[#This Row],[1]:[31]],"C")+(COUNTIF(Janvier[[#This Row],[1]:[31]],"DC")/2)</f>
        <v>0</v>
      </c>
      <c r="AM30" s="22">
        <f>COUNTIF(Janvier[[#This Row],[1]:[31]],"M")</f>
        <v>0</v>
      </c>
      <c r="AN30" s="22">
        <f>COUNTIF(Janvier[[#This Row],[1]:[31]],"AT")</f>
        <v>0</v>
      </c>
      <c r="AO30" s="84">
        <f>IF(AND(Janvier[[#This Row],[Maladie]]=0,Janvier[[#This Row],[AT]]=0),((10*(_xlfn.DAYS("31/01/2018","01/01/2018")+1))/365),((_xlfn.DAYS("31/01/2018","01/01/2018")+1-(Janvier[[#This Row],[Maladie]]+Janvier[[#This Row],[AT]]))*((10*(_xlfn.DAYS("31/01/2018","01/01/2018")+1))/365))/(_xlfn.DAYS("31/01/2018","01/01/2018")+1))</f>
        <v>0.84931506849315064</v>
      </c>
      <c r="AP30" s="85">
        <f>$E$5-(COUNTIF(Janvier[[#This Row],[1]:[31]],"C")+COUNTIF(Janvier[[#This Row],[1]:[31]],"RTT")+Janvier[[#This Row],[Maladie]]+Janvier[[#This Row],[AT]])</f>
        <v>22</v>
      </c>
      <c r="AQ30">
        <f>SUMPRODUCT((F30:AJ30="")*(WEEKDAY($F$1:$AJ$1)&lt;6)*(COUNTIF(JFériés!$D$2:$D$11,$F$1:$AJ$1)=0))</f>
        <v>22</v>
      </c>
      <c r="AR30" s="152">
        <f>SUMPRODUCT(IF(Janvier[[#This Row],[RTT Pris]]+Janvier[[#This Row],[CP Pris]]+Janvier[[#This Row],[Maladie]]+Janvier[[#This Row],[AT]]=0,0,Janvier[[#This Row],[RTT Pris]]+Janvier[[#This Row],[CP Pris]]+Janvier[[#This Row],[Maladie]]+Janvier[[#This Row],[AT]])*(WEEKDAY($F$1:$AJ$1)&lt;6)*(COUNTIF(JFériés!$D$2:$D$11,$F$1:$AJ$1)=0))</f>
        <v>0</v>
      </c>
      <c r="AS30">
        <f>IF(Janvier[[#This Row],[RTT Pris]]+Janvier[[#This Row],[CP Pris]]+Janvier[[#This Row],[Maladie]]+Janvier[[#This Row],[AT]]=0,0,Janvier[[#This Row],[RTT Pris]]+Janvier[[#This Row],[CP Pris]]+Janvier[[#This Row],[Maladie]]+Janvier[[#This Row],[AT]])</f>
        <v>0</v>
      </c>
      <c r="AT30">
        <f>$E$5-Janvier[[#This Row],[Colonne3]]</f>
        <v>22</v>
      </c>
      <c r="AU30" s="152" t="e">
        <f t="shared" si="0"/>
        <v>#VALUE!</v>
      </c>
      <c r="AV30" s="152" t="e">
        <f t="shared" si="1"/>
        <v>#VALUE!</v>
      </c>
    </row>
    <row r="31" spans="1:48" ht="30" customHeight="1" x14ac:dyDescent="0.2">
      <c r="A31" s="15" t="s">
        <v>87</v>
      </c>
      <c r="B31" s="22" t="s">
        <v>196</v>
      </c>
      <c r="C31" s="22" t="s">
        <v>197</v>
      </c>
      <c r="D31" s="22" t="s">
        <v>198</v>
      </c>
      <c r="E31" s="44" t="s">
        <v>162</v>
      </c>
      <c r="F31" s="47" t="str">
        <f>Global!F31</f>
        <v/>
      </c>
      <c r="G31" s="31" t="str">
        <f>Global!G31</f>
        <v/>
      </c>
      <c r="H31" s="31" t="str">
        <f>Global!H31</f>
        <v/>
      </c>
      <c r="I31" s="31" t="str">
        <f>Global!I31</f>
        <v/>
      </c>
      <c r="J31" s="31" t="str">
        <f>Global!J31</f>
        <v/>
      </c>
      <c r="K31" s="31" t="str">
        <f>Global!K31</f>
        <v/>
      </c>
      <c r="L31" s="31" t="str">
        <f>Global!L31</f>
        <v/>
      </c>
      <c r="M31" s="31" t="str">
        <f>Global!M31</f>
        <v>C</v>
      </c>
      <c r="N31" s="31" t="str">
        <f>Global!N31</f>
        <v>C</v>
      </c>
      <c r="O31" s="31" t="str">
        <f>Global!O31</f>
        <v>C</v>
      </c>
      <c r="P31" s="31" t="str">
        <f>Global!P31</f>
        <v>C</v>
      </c>
      <c r="Q31" s="31" t="str">
        <f>Global!Q31</f>
        <v>C</v>
      </c>
      <c r="R31" s="31" t="str">
        <f>Global!R31</f>
        <v/>
      </c>
      <c r="S31" s="31" t="str">
        <f>Global!S31</f>
        <v/>
      </c>
      <c r="T31" s="31" t="str">
        <f>Global!T31</f>
        <v>C</v>
      </c>
      <c r="U31" s="31" t="str">
        <f>Global!U31</f>
        <v>C</v>
      </c>
      <c r="V31" s="31" t="str">
        <f>Global!V31</f>
        <v>C</v>
      </c>
      <c r="W31" s="31" t="str">
        <f>Global!W31</f>
        <v>C</v>
      </c>
      <c r="X31" s="31" t="str">
        <f>Global!X31</f>
        <v>C</v>
      </c>
      <c r="Y31" s="31" t="str">
        <f>Global!Y31</f>
        <v/>
      </c>
      <c r="Z31" s="31" t="str">
        <f>Global!Z31</f>
        <v/>
      </c>
      <c r="AA31" s="31" t="str">
        <f>Global!AA31</f>
        <v/>
      </c>
      <c r="AB31" s="31" t="str">
        <f>Global!AB31</f>
        <v/>
      </c>
      <c r="AC31" s="31" t="str">
        <f>Global!AC31</f>
        <v/>
      </c>
      <c r="AD31" s="31" t="str">
        <f>Global!AD31</f>
        <v/>
      </c>
      <c r="AE31" s="31" t="str">
        <f>Global!AE31</f>
        <v/>
      </c>
      <c r="AF31" s="31" t="str">
        <f>Global!AF31</f>
        <v/>
      </c>
      <c r="AG31" s="31" t="str">
        <f>Global!AG31</f>
        <v/>
      </c>
      <c r="AH31" s="31" t="str">
        <f>Global!AH31</f>
        <v/>
      </c>
      <c r="AI31" s="31" t="str">
        <f>Global!AI31</f>
        <v/>
      </c>
      <c r="AJ31" s="48" t="str">
        <f>Global!AJ31</f>
        <v/>
      </c>
      <c r="AK31" s="108">
        <f>COUNTIF(Janvier[[#This Row],[1]:[31]],"RTT")+(COUNTIF(Janvier[[#This Row],[1]:[31]],"dRTT")/2)</f>
        <v>0</v>
      </c>
      <c r="AL31" s="109">
        <f>COUNTIF(Janvier[[#This Row],[1]:[31]],"C")+(COUNTIF(Janvier[[#This Row],[1]:[31]],"DC")/2)</f>
        <v>10</v>
      </c>
      <c r="AM31" s="22">
        <f>COUNTIF(Janvier[[#This Row],[1]:[31]],"M")</f>
        <v>0</v>
      </c>
      <c r="AN31" s="22">
        <f>COUNTIF(Janvier[[#This Row],[1]:[31]],"AT")</f>
        <v>0</v>
      </c>
      <c r="AO31" s="84">
        <f>IF(AND(Janvier[[#This Row],[Maladie]]=0,Janvier[[#This Row],[AT]]=0),((10*(_xlfn.DAYS("31/01/2018","01/01/2018")+1))/365),((_xlfn.DAYS("31/01/2018","01/01/2018")+1-(Janvier[[#This Row],[Maladie]]+Janvier[[#This Row],[AT]]))*((10*(_xlfn.DAYS("31/01/2018","01/01/2018")+1))/365))/(_xlfn.DAYS("31/01/2018","01/01/2018")+1))</f>
        <v>0.84931506849315064</v>
      </c>
      <c r="AP31" s="85">
        <f>$E$5-(COUNTIF(Janvier[[#This Row],[1]:[31]],"C")+COUNTIF(Janvier[[#This Row],[1]:[31]],"RTT")+Janvier[[#This Row],[Maladie]]+Janvier[[#This Row],[AT]])</f>
        <v>12</v>
      </c>
      <c r="AQ31">
        <f>SUMPRODUCT((F31:AJ31="")*(WEEKDAY($F$1:$AJ$1)&lt;6)*(COUNTIF(JFériés!$D$2:$D$11,$F$1:$AJ$1)=0))</f>
        <v>14</v>
      </c>
      <c r="AR31" s="152">
        <f>SUMPRODUCT(IF(Janvier[[#This Row],[RTT Pris]]+Janvier[[#This Row],[CP Pris]]+Janvier[[#This Row],[Maladie]]+Janvier[[#This Row],[AT]]=0,0,Janvier[[#This Row],[RTT Pris]]+Janvier[[#This Row],[CP Pris]]+Janvier[[#This Row],[Maladie]]+Janvier[[#This Row],[AT]])*(WEEKDAY($F$1:$AJ$1)&lt;6)*(COUNTIF(JFériés!$D$2:$D$11,$F$1:$AJ$1)=0))</f>
        <v>220</v>
      </c>
      <c r="AS31">
        <f>IF(Janvier[[#This Row],[RTT Pris]]+Janvier[[#This Row],[CP Pris]]+Janvier[[#This Row],[Maladie]]+Janvier[[#This Row],[AT]]=0,0,Janvier[[#This Row],[RTT Pris]]+Janvier[[#This Row],[CP Pris]]+Janvier[[#This Row],[Maladie]]+Janvier[[#This Row],[AT]])</f>
        <v>10</v>
      </c>
      <c r="AT31">
        <f>$E$5-Janvier[[#This Row],[Colonne3]]</f>
        <v>12</v>
      </c>
      <c r="AU31" s="152" t="e">
        <f t="shared" si="0"/>
        <v>#VALUE!</v>
      </c>
      <c r="AV31" s="152" t="e">
        <f t="shared" si="1"/>
        <v>#VALUE!</v>
      </c>
    </row>
    <row r="32" spans="1:48" ht="30" customHeight="1" x14ac:dyDescent="0.2">
      <c r="A32" s="15" t="s">
        <v>88</v>
      </c>
      <c r="B32" s="22" t="s">
        <v>199</v>
      </c>
      <c r="C32" s="22" t="s">
        <v>200</v>
      </c>
      <c r="D32" s="22" t="s">
        <v>201</v>
      </c>
      <c r="E32" s="44">
        <v>0</v>
      </c>
      <c r="F32" s="47" t="str">
        <f>Global!F32</f>
        <v/>
      </c>
      <c r="G32" s="31" t="str">
        <f>Global!G32</f>
        <v>C</v>
      </c>
      <c r="H32" s="31" t="str">
        <f>Global!H32</f>
        <v>C</v>
      </c>
      <c r="I32" s="31" t="str">
        <f>Global!I32</f>
        <v>C</v>
      </c>
      <c r="J32" s="31" t="str">
        <f>Global!J32</f>
        <v>C</v>
      </c>
      <c r="K32" s="31" t="str">
        <f>Global!K32</f>
        <v/>
      </c>
      <c r="L32" s="31" t="str">
        <f>Global!L32</f>
        <v/>
      </c>
      <c r="M32" s="31" t="str">
        <f>Global!M32</f>
        <v>C</v>
      </c>
      <c r="N32" s="31" t="str">
        <f>Global!N32</f>
        <v>C</v>
      </c>
      <c r="O32" s="31" t="str">
        <f>Global!O32</f>
        <v>C</v>
      </c>
      <c r="P32" s="31" t="str">
        <f>Global!P32</f>
        <v>C</v>
      </c>
      <c r="Q32" s="31" t="str">
        <f>Global!Q32</f>
        <v>C</v>
      </c>
      <c r="R32" s="31" t="str">
        <f>Global!R32</f>
        <v/>
      </c>
      <c r="S32" s="31" t="str">
        <f>Global!S32</f>
        <v/>
      </c>
      <c r="T32" s="31" t="str">
        <f>Global!T32</f>
        <v/>
      </c>
      <c r="U32" s="31" t="str">
        <f>Global!U32</f>
        <v/>
      </c>
      <c r="V32" s="31" t="str">
        <f>Global!V32</f>
        <v/>
      </c>
      <c r="W32" s="31" t="str">
        <f>Global!W32</f>
        <v/>
      </c>
      <c r="X32" s="31" t="str">
        <f>Global!X32</f>
        <v/>
      </c>
      <c r="Y32" s="31" t="str">
        <f>Global!Y32</f>
        <v/>
      </c>
      <c r="Z32" s="31" t="str">
        <f>Global!Z32</f>
        <v/>
      </c>
      <c r="AA32" s="31" t="str">
        <f>Global!AA32</f>
        <v/>
      </c>
      <c r="AB32" s="31" t="str">
        <f>Global!AB32</f>
        <v/>
      </c>
      <c r="AC32" s="31" t="str">
        <f>Global!AC32</f>
        <v/>
      </c>
      <c r="AD32" s="31" t="str">
        <f>Global!AD32</f>
        <v/>
      </c>
      <c r="AE32" s="31" t="str">
        <f>Global!AE32</f>
        <v/>
      </c>
      <c r="AF32" s="31" t="str">
        <f>Global!AF32</f>
        <v/>
      </c>
      <c r="AG32" s="31" t="str">
        <f>Global!AG32</f>
        <v/>
      </c>
      <c r="AH32" s="31" t="str">
        <f>Global!AH32</f>
        <v/>
      </c>
      <c r="AI32" s="31" t="str">
        <f>Global!AI32</f>
        <v/>
      </c>
      <c r="AJ32" s="48" t="str">
        <f>Global!AJ32</f>
        <v/>
      </c>
      <c r="AK32" s="108">
        <f>COUNTIF(Janvier[[#This Row],[1]:[31]],"RTT")+(COUNTIF(Janvier[[#This Row],[1]:[31]],"dRTT")/2)</f>
        <v>0</v>
      </c>
      <c r="AL32" s="109">
        <f>COUNTIF(Janvier[[#This Row],[1]:[31]],"C")+(COUNTIF(Janvier[[#This Row],[1]:[31]],"DC")/2)</f>
        <v>9</v>
      </c>
      <c r="AM32" s="22">
        <f>COUNTIF(Janvier[[#This Row],[1]:[31]],"M")</f>
        <v>0</v>
      </c>
      <c r="AN32" s="22">
        <f>COUNTIF(Janvier[[#This Row],[1]:[31]],"AT")</f>
        <v>0</v>
      </c>
      <c r="AO32" s="84">
        <f>IF(AND(Janvier[[#This Row],[Maladie]]=0,Janvier[[#This Row],[AT]]=0),((10*(_xlfn.DAYS("31/01/2018","01/01/2018")+1))/365),((_xlfn.DAYS("31/01/2018","01/01/2018")+1-(Janvier[[#This Row],[Maladie]]+Janvier[[#This Row],[AT]]))*((10*(_xlfn.DAYS("31/01/2018","01/01/2018")+1))/365))/(_xlfn.DAYS("31/01/2018","01/01/2018")+1))</f>
        <v>0.84931506849315064</v>
      </c>
      <c r="AP32" s="85">
        <f>$E$5-(COUNTIF(Janvier[[#This Row],[1]:[31]],"C")+COUNTIF(Janvier[[#This Row],[1]:[31]],"RTT")+Janvier[[#This Row],[Maladie]]+Janvier[[#This Row],[AT]])</f>
        <v>13</v>
      </c>
      <c r="AQ32">
        <f>SUMPRODUCT((F32:AJ32="")*(WEEKDAY($F$1:$AJ$1)&lt;6)*(COUNTIF(JFériés!$D$2:$D$11,$F$1:$AJ$1)=0))</f>
        <v>15</v>
      </c>
      <c r="AR32" s="152">
        <f>SUMPRODUCT(IF(Janvier[[#This Row],[RTT Pris]]+Janvier[[#This Row],[CP Pris]]+Janvier[[#This Row],[Maladie]]+Janvier[[#This Row],[AT]]=0,0,Janvier[[#This Row],[RTT Pris]]+Janvier[[#This Row],[CP Pris]]+Janvier[[#This Row],[Maladie]]+Janvier[[#This Row],[AT]])*(WEEKDAY($F$1:$AJ$1)&lt;6)*(COUNTIF(JFériés!$D$2:$D$11,$F$1:$AJ$1)=0))</f>
        <v>198</v>
      </c>
      <c r="AS32">
        <f>IF(Janvier[[#This Row],[RTT Pris]]+Janvier[[#This Row],[CP Pris]]+Janvier[[#This Row],[Maladie]]+Janvier[[#This Row],[AT]]=0,0,Janvier[[#This Row],[RTT Pris]]+Janvier[[#This Row],[CP Pris]]+Janvier[[#This Row],[Maladie]]+Janvier[[#This Row],[AT]])</f>
        <v>9</v>
      </c>
      <c r="AT32">
        <f>$E$5-Janvier[[#This Row],[Colonne3]]</f>
        <v>13</v>
      </c>
      <c r="AU32" s="152" t="e">
        <f t="shared" si="0"/>
        <v>#VALUE!</v>
      </c>
      <c r="AV32" s="152" t="e">
        <f t="shared" si="1"/>
        <v>#VALUE!</v>
      </c>
    </row>
    <row r="33" spans="1:48" ht="30" customHeight="1" x14ac:dyDescent="0.2">
      <c r="A33" s="13" t="s">
        <v>89</v>
      </c>
      <c r="B33" s="22" t="s">
        <v>202</v>
      </c>
      <c r="C33" s="22" t="s">
        <v>172</v>
      </c>
      <c r="D33" s="22" t="s">
        <v>203</v>
      </c>
      <c r="E33" s="44">
        <v>0</v>
      </c>
      <c r="F33" s="47" t="str">
        <f>Global!F33</f>
        <v/>
      </c>
      <c r="G33" s="31" t="str">
        <f>Global!G33</f>
        <v/>
      </c>
      <c r="H33" s="31" t="str">
        <f>Global!H33</f>
        <v/>
      </c>
      <c r="I33" s="31" t="str">
        <f>Global!I33</f>
        <v>M</v>
      </c>
      <c r="J33" s="31" t="str">
        <f>Global!J33</f>
        <v>M</v>
      </c>
      <c r="K33" s="31" t="str">
        <f>Global!K33</f>
        <v>M</v>
      </c>
      <c r="L33" s="31" t="str">
        <f>Global!L33</f>
        <v>M</v>
      </c>
      <c r="M33" s="31" t="str">
        <f>Global!M33</f>
        <v/>
      </c>
      <c r="N33" s="31" t="str">
        <f>Global!N33</f>
        <v/>
      </c>
      <c r="O33" s="31" t="str">
        <f>Global!O33</f>
        <v/>
      </c>
      <c r="P33" s="31" t="str">
        <f>Global!P33</f>
        <v/>
      </c>
      <c r="Q33" s="31" t="str">
        <f>Global!Q33</f>
        <v/>
      </c>
      <c r="R33" s="31" t="str">
        <f>Global!R33</f>
        <v/>
      </c>
      <c r="S33" s="31" t="str">
        <f>Global!S33</f>
        <v/>
      </c>
      <c r="T33" s="31" t="str">
        <f>Global!T33</f>
        <v/>
      </c>
      <c r="U33" s="31" t="str">
        <f>Global!U33</f>
        <v/>
      </c>
      <c r="V33" s="31" t="str">
        <f>Global!V33</f>
        <v/>
      </c>
      <c r="W33" s="31" t="str">
        <f>Global!W33</f>
        <v/>
      </c>
      <c r="X33" s="31" t="str">
        <f>Global!X33</f>
        <v/>
      </c>
      <c r="Y33" s="31" t="str">
        <f>Global!Y33</f>
        <v/>
      </c>
      <c r="Z33" s="31" t="str">
        <f>Global!Z33</f>
        <v/>
      </c>
      <c r="AA33" s="31" t="str">
        <f>Global!AA33</f>
        <v/>
      </c>
      <c r="AB33" s="31" t="str">
        <f>Global!AB33</f>
        <v/>
      </c>
      <c r="AC33" s="31" t="str">
        <f>Global!AC33</f>
        <v/>
      </c>
      <c r="AD33" s="31" t="str">
        <f>Global!AD33</f>
        <v/>
      </c>
      <c r="AE33" s="31" t="str">
        <f>Global!AE33</f>
        <v/>
      </c>
      <c r="AF33" s="31" t="str">
        <f>Global!AF33</f>
        <v/>
      </c>
      <c r="AG33" s="31" t="str">
        <f>Global!AG33</f>
        <v/>
      </c>
      <c r="AH33" s="31" t="str">
        <f>Global!AH33</f>
        <v/>
      </c>
      <c r="AI33" s="31" t="str">
        <f>Global!AI33</f>
        <v/>
      </c>
      <c r="AJ33" s="48" t="str">
        <f>Global!AJ33</f>
        <v/>
      </c>
      <c r="AK33" s="108">
        <f>COUNTIF(Janvier[[#This Row],[1]:[31]],"RTT")+(COUNTIF(Janvier[[#This Row],[1]:[31]],"dRTT")/2)</f>
        <v>0</v>
      </c>
      <c r="AL33" s="109">
        <f>COUNTIF(Janvier[[#This Row],[1]:[31]],"C")+(COUNTIF(Janvier[[#This Row],[1]:[31]],"DC")/2)</f>
        <v>0</v>
      </c>
      <c r="AM33" s="22">
        <f>COUNTIF(Janvier[[#This Row],[1]:[31]],"M")</f>
        <v>4</v>
      </c>
      <c r="AN33" s="22">
        <f>COUNTIF(Janvier[[#This Row],[1]:[31]],"AT")</f>
        <v>0</v>
      </c>
      <c r="AO33" s="84">
        <f>IF(AND(Janvier[[#This Row],[Maladie]]=0,Janvier[[#This Row],[AT]]=0),((10*(_xlfn.DAYS("31/01/2018","01/01/2018")+1))/365),((_xlfn.DAYS("31/01/2018","01/01/2018")+1-(Janvier[[#This Row],[Maladie]]+Janvier[[#This Row],[AT]]))*((10*(_xlfn.DAYS("31/01/2018","01/01/2018")+1))/365))/(_xlfn.DAYS("31/01/2018","01/01/2018")+1))</f>
        <v>0.73972602739726023</v>
      </c>
      <c r="AP33" s="85">
        <f>$E$5-(COUNTIF(Janvier[[#This Row],[1]:[31]],"C")+COUNTIF(Janvier[[#This Row],[1]:[31]],"RTT")+Janvier[[#This Row],[Maladie]]+Janvier[[#This Row],[AT]])</f>
        <v>18</v>
      </c>
      <c r="AQ33">
        <f>SUMPRODUCT((F33:AJ33="")*(WEEKDAY($F$1:$AJ$1)&lt;6)*(COUNTIF(JFériés!$D$2:$D$11,$F$1:$AJ$1)=0))</f>
        <v>20</v>
      </c>
      <c r="AR33" s="152">
        <f>SUMPRODUCT(IF(Janvier[[#This Row],[RTT Pris]]+Janvier[[#This Row],[CP Pris]]+Janvier[[#This Row],[Maladie]]+Janvier[[#This Row],[AT]]=0,0,Janvier[[#This Row],[RTT Pris]]+Janvier[[#This Row],[CP Pris]]+Janvier[[#This Row],[Maladie]]+Janvier[[#This Row],[AT]])*(WEEKDAY($F$1:$AJ$1)&lt;6)*(COUNTIF(JFériés!$D$2:$D$11,$F$1:$AJ$1)=0))</f>
        <v>88</v>
      </c>
      <c r="AS33">
        <f>IF(Janvier[[#This Row],[RTT Pris]]+Janvier[[#This Row],[CP Pris]]+Janvier[[#This Row],[Maladie]]+Janvier[[#This Row],[AT]]=0,0,Janvier[[#This Row],[RTT Pris]]+Janvier[[#This Row],[CP Pris]]+Janvier[[#This Row],[Maladie]]+Janvier[[#This Row],[AT]])</f>
        <v>4</v>
      </c>
      <c r="AT33">
        <f>$E$5-Janvier[[#This Row],[Colonne3]]</f>
        <v>18</v>
      </c>
      <c r="AU33" s="152" t="e">
        <f t="shared" si="0"/>
        <v>#VALUE!</v>
      </c>
      <c r="AV33" s="152" t="e">
        <f t="shared" si="1"/>
        <v>#VALUE!</v>
      </c>
    </row>
    <row r="34" spans="1:48" ht="30" customHeight="1" x14ac:dyDescent="0.2">
      <c r="A34" s="13" t="s">
        <v>90</v>
      </c>
      <c r="B34" s="22" t="s">
        <v>204</v>
      </c>
      <c r="C34" s="22" t="s">
        <v>205</v>
      </c>
      <c r="D34" s="22" t="s">
        <v>206</v>
      </c>
      <c r="E34" s="44" t="s">
        <v>162</v>
      </c>
      <c r="F34" s="47" t="str">
        <f>Global!F34</f>
        <v/>
      </c>
      <c r="G34" s="31" t="str">
        <f>Global!G34</f>
        <v/>
      </c>
      <c r="H34" s="31" t="str">
        <f>Global!H34</f>
        <v/>
      </c>
      <c r="I34" s="31" t="str">
        <f>Global!I34</f>
        <v/>
      </c>
      <c r="J34" s="31" t="str">
        <f>Global!J34</f>
        <v>M</v>
      </c>
      <c r="K34" s="31" t="str">
        <f>Global!K34</f>
        <v>M</v>
      </c>
      <c r="L34" s="31" t="str">
        <f>Global!L34</f>
        <v>M</v>
      </c>
      <c r="M34" s="31" t="str">
        <f>Global!M34</f>
        <v/>
      </c>
      <c r="N34" s="31" t="str">
        <f>Global!N34</f>
        <v/>
      </c>
      <c r="O34" s="31" t="str">
        <f>Global!O34</f>
        <v/>
      </c>
      <c r="P34" s="31" t="str">
        <f>Global!P34</f>
        <v/>
      </c>
      <c r="Q34" s="31" t="str">
        <f>Global!Q34</f>
        <v/>
      </c>
      <c r="R34" s="31" t="str">
        <f>Global!R34</f>
        <v/>
      </c>
      <c r="S34" s="31" t="str">
        <f>Global!S34</f>
        <v/>
      </c>
      <c r="T34" s="31" t="str">
        <f>Global!T34</f>
        <v/>
      </c>
      <c r="U34" s="31" t="str">
        <f>Global!U34</f>
        <v/>
      </c>
      <c r="V34" s="31" t="str">
        <f>Global!V34</f>
        <v/>
      </c>
      <c r="W34" s="31" t="str">
        <f>Global!W34</f>
        <v>C</v>
      </c>
      <c r="X34" s="31" t="str">
        <f>Global!X34</f>
        <v/>
      </c>
      <c r="Y34" s="31" t="str">
        <f>Global!Y34</f>
        <v/>
      </c>
      <c r="Z34" s="31" t="str">
        <f>Global!Z34</f>
        <v/>
      </c>
      <c r="AA34" s="31" t="str">
        <f>Global!AA34</f>
        <v/>
      </c>
      <c r="AB34" s="31" t="str">
        <f>Global!AB34</f>
        <v/>
      </c>
      <c r="AC34" s="31" t="str">
        <f>Global!AC34</f>
        <v/>
      </c>
      <c r="AD34" s="31" t="str">
        <f>Global!AD34</f>
        <v/>
      </c>
      <c r="AE34" s="31" t="str">
        <f>Global!AE34</f>
        <v/>
      </c>
      <c r="AF34" s="31" t="str">
        <f>Global!AF34</f>
        <v/>
      </c>
      <c r="AG34" s="31" t="str">
        <f>Global!AG34</f>
        <v/>
      </c>
      <c r="AH34" s="31" t="str">
        <f>Global!AH34</f>
        <v/>
      </c>
      <c r="AI34" s="31" t="str">
        <f>Global!AI34</f>
        <v/>
      </c>
      <c r="AJ34" s="48" t="str">
        <f>Global!AJ34</f>
        <v/>
      </c>
      <c r="AK34" s="108">
        <f>COUNTIF(Janvier[[#This Row],[1]:[31]],"RTT")+(COUNTIF(Janvier[[#This Row],[1]:[31]],"dRTT")/2)</f>
        <v>0</v>
      </c>
      <c r="AL34" s="109">
        <f>COUNTIF(Janvier[[#This Row],[1]:[31]],"C")+(COUNTIF(Janvier[[#This Row],[1]:[31]],"DC")/2)</f>
        <v>1</v>
      </c>
      <c r="AM34" s="22">
        <f>COUNTIF(Janvier[[#This Row],[1]:[31]],"M")</f>
        <v>3</v>
      </c>
      <c r="AN34" s="22">
        <f>COUNTIF(Janvier[[#This Row],[1]:[31]],"AT")</f>
        <v>0</v>
      </c>
      <c r="AO34" s="84">
        <f>IF(AND(Janvier[[#This Row],[Maladie]]=0,Janvier[[#This Row],[AT]]=0),((10*(_xlfn.DAYS("31/01/2018","01/01/2018")+1))/365),((_xlfn.DAYS("31/01/2018","01/01/2018")+1-(Janvier[[#This Row],[Maladie]]+Janvier[[#This Row],[AT]]))*((10*(_xlfn.DAYS("31/01/2018","01/01/2018")+1))/365))/(_xlfn.DAYS("31/01/2018","01/01/2018")+1))</f>
        <v>0.76712328767123283</v>
      </c>
      <c r="AP34" s="85">
        <f>$E$5-(COUNTIF(Janvier[[#This Row],[1]:[31]],"C")+COUNTIF(Janvier[[#This Row],[1]:[31]],"RTT")+Janvier[[#This Row],[Maladie]]+Janvier[[#This Row],[AT]])</f>
        <v>18</v>
      </c>
      <c r="AQ34">
        <f>SUMPRODUCT((F34:AJ34="")*(WEEKDAY($F$1:$AJ$1)&lt;6)*(COUNTIF(JFériés!$D$2:$D$11,$F$1:$AJ$1)=0))</f>
        <v>20</v>
      </c>
      <c r="AR34" s="152">
        <f>SUMPRODUCT(IF(Janvier[[#This Row],[RTT Pris]]+Janvier[[#This Row],[CP Pris]]+Janvier[[#This Row],[Maladie]]+Janvier[[#This Row],[AT]]=0,0,Janvier[[#This Row],[RTT Pris]]+Janvier[[#This Row],[CP Pris]]+Janvier[[#This Row],[Maladie]]+Janvier[[#This Row],[AT]])*(WEEKDAY($F$1:$AJ$1)&lt;6)*(COUNTIF(JFériés!$D$2:$D$11,$F$1:$AJ$1)=0))</f>
        <v>88</v>
      </c>
      <c r="AS34">
        <f>IF(Janvier[[#This Row],[RTT Pris]]+Janvier[[#This Row],[CP Pris]]+Janvier[[#This Row],[Maladie]]+Janvier[[#This Row],[AT]]=0,0,Janvier[[#This Row],[RTT Pris]]+Janvier[[#This Row],[CP Pris]]+Janvier[[#This Row],[Maladie]]+Janvier[[#This Row],[AT]])</f>
        <v>4</v>
      </c>
      <c r="AT34">
        <f>$E$5-Janvier[[#This Row],[Colonne3]]</f>
        <v>18</v>
      </c>
      <c r="AU34" s="152" t="e">
        <f t="shared" si="0"/>
        <v>#VALUE!</v>
      </c>
      <c r="AV34" s="152" t="e">
        <f t="shared" si="1"/>
        <v>#VALUE!</v>
      </c>
    </row>
    <row r="35" spans="1:48" ht="30" customHeight="1" x14ac:dyDescent="0.2">
      <c r="A35" s="13" t="s">
        <v>91</v>
      </c>
      <c r="B35" s="22" t="s">
        <v>207</v>
      </c>
      <c r="C35" s="22" t="s">
        <v>208</v>
      </c>
      <c r="D35" s="22" t="s">
        <v>209</v>
      </c>
      <c r="E35" s="44" t="s">
        <v>162</v>
      </c>
      <c r="F35" s="47" t="str">
        <f>Global!F35</f>
        <v/>
      </c>
      <c r="G35" s="31" t="str">
        <f>Global!G35</f>
        <v>C</v>
      </c>
      <c r="H35" s="31" t="str">
        <f>Global!H35</f>
        <v>C</v>
      </c>
      <c r="I35" s="31" t="str">
        <f>Global!I35</f>
        <v>C</v>
      </c>
      <c r="J35" s="31" t="str">
        <f>Global!J35</f>
        <v>C</v>
      </c>
      <c r="K35" s="31" t="str">
        <f>Global!K35</f>
        <v/>
      </c>
      <c r="L35" s="31" t="str">
        <f>Global!L35</f>
        <v/>
      </c>
      <c r="M35" s="31" t="str">
        <f>Global!M35</f>
        <v/>
      </c>
      <c r="N35" s="31" t="str">
        <f>Global!N35</f>
        <v/>
      </c>
      <c r="O35" s="31" t="str">
        <f>Global!O35</f>
        <v/>
      </c>
      <c r="P35" s="31" t="str">
        <f>Global!P35</f>
        <v/>
      </c>
      <c r="Q35" s="31" t="str">
        <f>Global!Q35</f>
        <v/>
      </c>
      <c r="R35" s="31" t="str">
        <f>Global!R35</f>
        <v/>
      </c>
      <c r="S35" s="31" t="str">
        <f>Global!S35</f>
        <v/>
      </c>
      <c r="T35" s="31" t="str">
        <f>Global!T35</f>
        <v/>
      </c>
      <c r="U35" s="31" t="str">
        <f>Global!U35</f>
        <v/>
      </c>
      <c r="V35" s="31" t="str">
        <f>Global!V35</f>
        <v/>
      </c>
      <c r="W35" s="31" t="str">
        <f>Global!W35</f>
        <v/>
      </c>
      <c r="X35" s="31" t="str">
        <f>Global!X35</f>
        <v/>
      </c>
      <c r="Y35" s="31" t="str">
        <f>Global!Y35</f>
        <v/>
      </c>
      <c r="Z35" s="31" t="str">
        <f>Global!Z35</f>
        <v/>
      </c>
      <c r="AA35" s="31" t="str">
        <f>Global!AA35</f>
        <v/>
      </c>
      <c r="AB35" s="31" t="str">
        <f>Global!AB35</f>
        <v>C</v>
      </c>
      <c r="AC35" s="31" t="str">
        <f>Global!AC35</f>
        <v>C</v>
      </c>
      <c r="AD35" s="31" t="str">
        <f>Global!AD35</f>
        <v>C</v>
      </c>
      <c r="AE35" s="31" t="str">
        <f>Global!AE35</f>
        <v>C</v>
      </c>
      <c r="AF35" s="31" t="str">
        <f>Global!AF35</f>
        <v/>
      </c>
      <c r="AG35" s="31" t="str">
        <f>Global!AG35</f>
        <v/>
      </c>
      <c r="AH35" s="31" t="str">
        <f>Global!AH35</f>
        <v/>
      </c>
      <c r="AI35" s="31" t="str">
        <f>Global!AI35</f>
        <v/>
      </c>
      <c r="AJ35" s="48" t="str">
        <f>Global!AJ35</f>
        <v/>
      </c>
      <c r="AK35" s="108">
        <f>COUNTIF(Janvier[[#This Row],[1]:[31]],"RTT")+(COUNTIF(Janvier[[#This Row],[1]:[31]],"dRTT")/2)</f>
        <v>0</v>
      </c>
      <c r="AL35" s="109">
        <f>COUNTIF(Janvier[[#This Row],[1]:[31]],"C")+(COUNTIF(Janvier[[#This Row],[1]:[31]],"DC")/2)</f>
        <v>8</v>
      </c>
      <c r="AM35" s="22">
        <f>COUNTIF(Janvier[[#This Row],[1]:[31]],"M")</f>
        <v>0</v>
      </c>
      <c r="AN35" s="22">
        <f>COUNTIF(Janvier[[#This Row],[1]:[31]],"AT")</f>
        <v>0</v>
      </c>
      <c r="AO35" s="84">
        <f>IF(AND(Janvier[[#This Row],[Maladie]]=0,Janvier[[#This Row],[AT]]=0),((10*(_xlfn.DAYS("31/01/2018","01/01/2018")+1))/365),((_xlfn.DAYS("31/01/2018","01/01/2018")+1-(Janvier[[#This Row],[Maladie]]+Janvier[[#This Row],[AT]]))*((10*(_xlfn.DAYS("31/01/2018","01/01/2018")+1))/365))/(_xlfn.DAYS("31/01/2018","01/01/2018")+1))</f>
        <v>0.84931506849315064</v>
      </c>
      <c r="AP35" s="85">
        <f>$E$5-(COUNTIF(Janvier[[#This Row],[1]:[31]],"C")+COUNTIF(Janvier[[#This Row],[1]:[31]],"RTT")+Janvier[[#This Row],[Maladie]]+Janvier[[#This Row],[AT]])</f>
        <v>14</v>
      </c>
      <c r="AQ35">
        <f>SUMPRODUCT((F35:AJ35="")*(WEEKDAY($F$1:$AJ$1)&lt;6)*(COUNTIF(JFériés!$D$2:$D$11,$F$1:$AJ$1)=0))</f>
        <v>16</v>
      </c>
      <c r="AR35" s="152">
        <f>SUMPRODUCT(IF(Janvier[[#This Row],[RTT Pris]]+Janvier[[#This Row],[CP Pris]]+Janvier[[#This Row],[Maladie]]+Janvier[[#This Row],[AT]]=0,0,Janvier[[#This Row],[RTT Pris]]+Janvier[[#This Row],[CP Pris]]+Janvier[[#This Row],[Maladie]]+Janvier[[#This Row],[AT]])*(WEEKDAY($F$1:$AJ$1)&lt;6)*(COUNTIF(JFériés!$D$2:$D$11,$F$1:$AJ$1)=0))</f>
        <v>176</v>
      </c>
      <c r="AS35">
        <f>IF(Janvier[[#This Row],[RTT Pris]]+Janvier[[#This Row],[CP Pris]]+Janvier[[#This Row],[Maladie]]+Janvier[[#This Row],[AT]]=0,0,Janvier[[#This Row],[RTT Pris]]+Janvier[[#This Row],[CP Pris]]+Janvier[[#This Row],[Maladie]]+Janvier[[#This Row],[AT]])</f>
        <v>8</v>
      </c>
      <c r="AT35">
        <f>$E$5-Janvier[[#This Row],[Colonne3]]</f>
        <v>14</v>
      </c>
      <c r="AU35" s="152" t="e">
        <f t="shared" si="0"/>
        <v>#VALUE!</v>
      </c>
      <c r="AV35" s="152" t="e">
        <f t="shared" si="1"/>
        <v>#VALUE!</v>
      </c>
    </row>
    <row r="36" spans="1:48" ht="30" customHeight="1" x14ac:dyDescent="0.2">
      <c r="A36" s="13" t="s">
        <v>92</v>
      </c>
      <c r="B36" s="22" t="s">
        <v>210</v>
      </c>
      <c r="C36" s="22" t="s">
        <v>211</v>
      </c>
      <c r="D36" s="22" t="s">
        <v>212</v>
      </c>
      <c r="E36" s="44">
        <v>0</v>
      </c>
      <c r="F36" s="47" t="str">
        <f>Global!F36</f>
        <v/>
      </c>
      <c r="G36" s="31" t="str">
        <f>Global!G36</f>
        <v/>
      </c>
      <c r="H36" s="31" t="str">
        <f>Global!H36</f>
        <v/>
      </c>
      <c r="I36" s="31" t="str">
        <f>Global!I36</f>
        <v/>
      </c>
      <c r="J36" s="31" t="str">
        <f>Global!J36</f>
        <v/>
      </c>
      <c r="K36" s="31" t="str">
        <f>Global!K36</f>
        <v/>
      </c>
      <c r="L36" s="31" t="str">
        <f>Global!L36</f>
        <v/>
      </c>
      <c r="M36" s="31" t="str">
        <f>Global!M36</f>
        <v/>
      </c>
      <c r="N36" s="31" t="str">
        <f>Global!N36</f>
        <v/>
      </c>
      <c r="O36" s="31" t="str">
        <f>Global!O36</f>
        <v/>
      </c>
      <c r="P36" s="31" t="str">
        <f>Global!P36</f>
        <v/>
      </c>
      <c r="Q36" s="31" t="str">
        <f>Global!Q36</f>
        <v/>
      </c>
      <c r="R36" s="31" t="str">
        <f>Global!R36</f>
        <v/>
      </c>
      <c r="S36" s="31" t="str">
        <f>Global!S36</f>
        <v/>
      </c>
      <c r="T36" s="31" t="str">
        <f>Global!T36</f>
        <v/>
      </c>
      <c r="U36" s="31" t="str">
        <f>Global!U36</f>
        <v/>
      </c>
      <c r="V36" s="31" t="str">
        <f>Global!V36</f>
        <v/>
      </c>
      <c r="W36" s="31" t="str">
        <f>Global!W36</f>
        <v>C</v>
      </c>
      <c r="X36" s="31" t="str">
        <f>Global!X36</f>
        <v/>
      </c>
      <c r="Y36" s="31" t="str">
        <f>Global!Y36</f>
        <v/>
      </c>
      <c r="Z36" s="31" t="str">
        <f>Global!Z36</f>
        <v/>
      </c>
      <c r="AA36" s="31" t="str">
        <f>Global!AA36</f>
        <v/>
      </c>
      <c r="AB36" s="31" t="str">
        <f>Global!AB36</f>
        <v/>
      </c>
      <c r="AC36" s="31" t="str">
        <f>Global!AC36</f>
        <v/>
      </c>
      <c r="AD36" s="31" t="str">
        <f>Global!AD36</f>
        <v/>
      </c>
      <c r="AE36" s="31" t="str">
        <f>Global!AE36</f>
        <v/>
      </c>
      <c r="AF36" s="31" t="str">
        <f>Global!AF36</f>
        <v/>
      </c>
      <c r="AG36" s="31" t="str">
        <f>Global!AG36</f>
        <v/>
      </c>
      <c r="AH36" s="31" t="str">
        <f>Global!AH36</f>
        <v/>
      </c>
      <c r="AI36" s="31" t="str">
        <f>Global!AI36</f>
        <v/>
      </c>
      <c r="AJ36" s="48" t="str">
        <f>Global!AJ36</f>
        <v/>
      </c>
      <c r="AK36" s="108">
        <f>COUNTIF(Janvier[[#This Row],[1]:[31]],"RTT")+(COUNTIF(Janvier[[#This Row],[1]:[31]],"dRTT")/2)</f>
        <v>0</v>
      </c>
      <c r="AL36" s="109">
        <f>COUNTIF(Janvier[[#This Row],[1]:[31]],"C")+(COUNTIF(Janvier[[#This Row],[1]:[31]],"DC")/2)</f>
        <v>1</v>
      </c>
      <c r="AM36" s="22">
        <f>COUNTIF(Janvier[[#This Row],[1]:[31]],"M")</f>
        <v>0</v>
      </c>
      <c r="AN36" s="22">
        <f>COUNTIF(Janvier[[#This Row],[1]:[31]],"AT")</f>
        <v>0</v>
      </c>
      <c r="AO36" s="84">
        <f>IF(AND(Janvier[[#This Row],[Maladie]]=0,Janvier[[#This Row],[AT]]=0),((10*(_xlfn.DAYS("31/01/2018","01/01/2018")+1))/365),((_xlfn.DAYS("31/01/2018","01/01/2018")+1-(Janvier[[#This Row],[Maladie]]+Janvier[[#This Row],[AT]]))*((10*(_xlfn.DAYS("31/01/2018","01/01/2018")+1))/365))/(_xlfn.DAYS("31/01/2018","01/01/2018")+1))</f>
        <v>0.84931506849315064</v>
      </c>
      <c r="AP36" s="85">
        <f>$E$5-(COUNTIF(Janvier[[#This Row],[1]:[31]],"C")+COUNTIF(Janvier[[#This Row],[1]:[31]],"RTT")+Janvier[[#This Row],[Maladie]]+Janvier[[#This Row],[AT]])</f>
        <v>21</v>
      </c>
      <c r="AQ36">
        <f>SUMPRODUCT((F36:AJ36="")*(WEEKDAY($F$1:$AJ$1)&lt;6)*(COUNTIF(JFériés!$D$2:$D$11,$F$1:$AJ$1)=0))</f>
        <v>21</v>
      </c>
      <c r="AR36" s="152">
        <f>SUMPRODUCT(IF(Janvier[[#This Row],[RTT Pris]]+Janvier[[#This Row],[CP Pris]]+Janvier[[#This Row],[Maladie]]+Janvier[[#This Row],[AT]]=0,0,Janvier[[#This Row],[RTT Pris]]+Janvier[[#This Row],[CP Pris]]+Janvier[[#This Row],[Maladie]]+Janvier[[#This Row],[AT]])*(WEEKDAY($F$1:$AJ$1)&lt;6)*(COUNTIF(JFériés!$D$2:$D$11,$F$1:$AJ$1)=0))</f>
        <v>22</v>
      </c>
      <c r="AS36">
        <f>IF(Janvier[[#This Row],[RTT Pris]]+Janvier[[#This Row],[CP Pris]]+Janvier[[#This Row],[Maladie]]+Janvier[[#This Row],[AT]]=0,0,Janvier[[#This Row],[RTT Pris]]+Janvier[[#This Row],[CP Pris]]+Janvier[[#This Row],[Maladie]]+Janvier[[#This Row],[AT]])</f>
        <v>1</v>
      </c>
      <c r="AT36">
        <f>$E$5-Janvier[[#This Row],[Colonne3]]</f>
        <v>21</v>
      </c>
      <c r="AU36" s="152" t="e">
        <f t="shared" si="0"/>
        <v>#VALUE!</v>
      </c>
      <c r="AV36" s="152" t="e">
        <f t="shared" si="1"/>
        <v>#VALUE!</v>
      </c>
    </row>
    <row r="37" spans="1:48" ht="30" customHeight="1" x14ac:dyDescent="0.2">
      <c r="A37" s="13" t="s">
        <v>93</v>
      </c>
      <c r="B37" s="22" t="s">
        <v>213</v>
      </c>
      <c r="C37" s="22" t="s">
        <v>148</v>
      </c>
      <c r="D37" s="22" t="s">
        <v>214</v>
      </c>
      <c r="E37" s="44">
        <v>0</v>
      </c>
      <c r="F37" s="47" t="str">
        <f>Global!F37</f>
        <v/>
      </c>
      <c r="G37" s="31" t="str">
        <f>Global!G37</f>
        <v/>
      </c>
      <c r="H37" s="31" t="str">
        <f>Global!H37</f>
        <v/>
      </c>
      <c r="I37" s="31" t="str">
        <f>Global!I37</f>
        <v/>
      </c>
      <c r="J37" s="31" t="str">
        <f>Global!J37</f>
        <v/>
      </c>
      <c r="K37" s="31" t="str">
        <f>Global!K37</f>
        <v/>
      </c>
      <c r="L37" s="31" t="str">
        <f>Global!L37</f>
        <v/>
      </c>
      <c r="M37" s="31" t="str">
        <f>Global!M37</f>
        <v/>
      </c>
      <c r="N37" s="31" t="str">
        <f>Global!N37</f>
        <v/>
      </c>
      <c r="O37" s="31" t="str">
        <f>Global!O37</f>
        <v/>
      </c>
      <c r="P37" s="31" t="str">
        <f>Global!P37</f>
        <v/>
      </c>
      <c r="Q37" s="31" t="str">
        <f>Global!Q37</f>
        <v/>
      </c>
      <c r="R37" s="31" t="str">
        <f>Global!R37</f>
        <v/>
      </c>
      <c r="S37" s="31" t="str">
        <f>Global!S37</f>
        <v/>
      </c>
      <c r="T37" s="31" t="str">
        <f>Global!T37</f>
        <v/>
      </c>
      <c r="U37" s="31" t="str">
        <f>Global!U37</f>
        <v/>
      </c>
      <c r="V37" s="31" t="str">
        <f>Global!V37</f>
        <v/>
      </c>
      <c r="W37" s="31" t="str">
        <f>Global!W37</f>
        <v/>
      </c>
      <c r="X37" s="31" t="str">
        <f>Global!X37</f>
        <v>C</v>
      </c>
      <c r="Y37" s="31" t="str">
        <f>Global!Y37</f>
        <v/>
      </c>
      <c r="Z37" s="31" t="str">
        <f>Global!Z37</f>
        <v/>
      </c>
      <c r="AA37" s="31" t="str">
        <f>Global!AA37</f>
        <v>C</v>
      </c>
      <c r="AB37" s="31" t="str">
        <f>Global!AB37</f>
        <v>C</v>
      </c>
      <c r="AC37" s="31" t="str">
        <f>Global!AC37</f>
        <v>C</v>
      </c>
      <c r="AD37" s="31" t="str">
        <f>Global!AD37</f>
        <v>C</v>
      </c>
      <c r="AE37" s="31" t="str">
        <f>Global!AE37</f>
        <v>C</v>
      </c>
      <c r="AF37" s="31" t="str">
        <f>Global!AF37</f>
        <v/>
      </c>
      <c r="AG37" s="31" t="str">
        <f>Global!AG37</f>
        <v/>
      </c>
      <c r="AH37" s="31" t="str">
        <f>Global!AH37</f>
        <v/>
      </c>
      <c r="AI37" s="31" t="str">
        <f>Global!AI37</f>
        <v/>
      </c>
      <c r="AJ37" s="48" t="str">
        <f>Global!AJ37</f>
        <v/>
      </c>
      <c r="AK37" s="108">
        <f>COUNTIF(Janvier[[#This Row],[1]:[31]],"RTT")+(COUNTIF(Janvier[[#This Row],[1]:[31]],"dRTT")/2)</f>
        <v>0</v>
      </c>
      <c r="AL37" s="109">
        <f>COUNTIF(Janvier[[#This Row],[1]:[31]],"C")+(COUNTIF(Janvier[[#This Row],[1]:[31]],"DC")/2)</f>
        <v>6</v>
      </c>
      <c r="AM37" s="22">
        <f>COUNTIF(Janvier[[#This Row],[1]:[31]],"M")</f>
        <v>0</v>
      </c>
      <c r="AN37" s="22">
        <f>COUNTIF(Janvier[[#This Row],[1]:[31]],"AT")</f>
        <v>0</v>
      </c>
      <c r="AO37" s="84">
        <f>IF(AND(Janvier[[#This Row],[Maladie]]=0,Janvier[[#This Row],[AT]]=0),((10*(_xlfn.DAYS("31/01/2018","01/01/2018")+1))/365),((_xlfn.DAYS("31/01/2018","01/01/2018")+1-(Janvier[[#This Row],[Maladie]]+Janvier[[#This Row],[AT]]))*((10*(_xlfn.DAYS("31/01/2018","01/01/2018")+1))/365))/(_xlfn.DAYS("31/01/2018","01/01/2018")+1))</f>
        <v>0.84931506849315064</v>
      </c>
      <c r="AP37" s="85">
        <f>$E$5-(COUNTIF(Janvier[[#This Row],[1]:[31]],"C")+COUNTIF(Janvier[[#This Row],[1]:[31]],"RTT")+Janvier[[#This Row],[Maladie]]+Janvier[[#This Row],[AT]])</f>
        <v>16</v>
      </c>
      <c r="AQ37">
        <f>SUMPRODUCT((F37:AJ37="")*(WEEKDAY($F$1:$AJ$1)&lt;6)*(COUNTIF(JFériés!$D$2:$D$11,$F$1:$AJ$1)=0))</f>
        <v>18</v>
      </c>
      <c r="AR37" s="152">
        <f>SUMPRODUCT(IF(Janvier[[#This Row],[RTT Pris]]+Janvier[[#This Row],[CP Pris]]+Janvier[[#This Row],[Maladie]]+Janvier[[#This Row],[AT]]=0,0,Janvier[[#This Row],[RTT Pris]]+Janvier[[#This Row],[CP Pris]]+Janvier[[#This Row],[Maladie]]+Janvier[[#This Row],[AT]])*(WEEKDAY($F$1:$AJ$1)&lt;6)*(COUNTIF(JFériés!$D$2:$D$11,$F$1:$AJ$1)=0))</f>
        <v>132</v>
      </c>
      <c r="AS37">
        <f>IF(Janvier[[#This Row],[RTT Pris]]+Janvier[[#This Row],[CP Pris]]+Janvier[[#This Row],[Maladie]]+Janvier[[#This Row],[AT]]=0,0,Janvier[[#This Row],[RTT Pris]]+Janvier[[#This Row],[CP Pris]]+Janvier[[#This Row],[Maladie]]+Janvier[[#This Row],[AT]])</f>
        <v>6</v>
      </c>
      <c r="AT37">
        <f>$E$5-Janvier[[#This Row],[Colonne3]]</f>
        <v>16</v>
      </c>
      <c r="AU37" s="152" t="e">
        <f t="shared" si="0"/>
        <v>#VALUE!</v>
      </c>
      <c r="AV37" s="152" t="e">
        <f t="shared" si="1"/>
        <v>#VALUE!</v>
      </c>
    </row>
    <row r="38" spans="1:48" ht="30" customHeight="1" x14ac:dyDescent="0.2">
      <c r="A38" s="13" t="s">
        <v>94</v>
      </c>
      <c r="B38" s="22" t="s">
        <v>215</v>
      </c>
      <c r="C38" s="22" t="s">
        <v>216</v>
      </c>
      <c r="D38" s="22" t="s">
        <v>217</v>
      </c>
      <c r="E38" s="44">
        <v>0</v>
      </c>
      <c r="F38" s="47" t="str">
        <f>Global!F38</f>
        <v/>
      </c>
      <c r="G38" s="31" t="str">
        <f>Global!G38</f>
        <v/>
      </c>
      <c r="H38" s="31" t="str">
        <f>Global!H38</f>
        <v/>
      </c>
      <c r="I38" s="31" t="str">
        <f>Global!I38</f>
        <v/>
      </c>
      <c r="J38" s="31" t="str">
        <f>Global!J38</f>
        <v/>
      </c>
      <c r="K38" s="31" t="str">
        <f>Global!K38</f>
        <v/>
      </c>
      <c r="L38" s="31" t="str">
        <f>Global!L38</f>
        <v/>
      </c>
      <c r="M38" s="31" t="str">
        <f>Global!M38</f>
        <v/>
      </c>
      <c r="N38" s="31" t="str">
        <f>Global!N38</f>
        <v/>
      </c>
      <c r="O38" s="31" t="str">
        <f>Global!O38</f>
        <v/>
      </c>
      <c r="P38" s="31" t="str">
        <f>Global!P38</f>
        <v/>
      </c>
      <c r="Q38" s="31" t="str">
        <f>Global!Q38</f>
        <v/>
      </c>
      <c r="R38" s="31" t="str">
        <f>Global!R38</f>
        <v/>
      </c>
      <c r="S38" s="31" t="str">
        <f>Global!S38</f>
        <v/>
      </c>
      <c r="T38" s="31" t="str">
        <f>Global!T38</f>
        <v/>
      </c>
      <c r="U38" s="31" t="str">
        <f>Global!U38</f>
        <v/>
      </c>
      <c r="V38" s="31" t="str">
        <f>Global!V38</f>
        <v/>
      </c>
      <c r="W38" s="31" t="str">
        <f>Global!W38</f>
        <v/>
      </c>
      <c r="X38" s="31" t="str">
        <f>Global!X38</f>
        <v/>
      </c>
      <c r="Y38" s="31" t="str">
        <f>Global!Y38</f>
        <v/>
      </c>
      <c r="Z38" s="31" t="str">
        <f>Global!Z38</f>
        <v/>
      </c>
      <c r="AA38" s="31" t="str">
        <f>Global!AA38</f>
        <v/>
      </c>
      <c r="AB38" s="31" t="str">
        <f>Global!AB38</f>
        <v/>
      </c>
      <c r="AC38" s="31" t="str">
        <f>Global!AC38</f>
        <v/>
      </c>
      <c r="AD38" s="31" t="str">
        <f>Global!AD38</f>
        <v/>
      </c>
      <c r="AE38" s="31" t="str">
        <f>Global!AE38</f>
        <v/>
      </c>
      <c r="AF38" s="31" t="str">
        <f>Global!AF38</f>
        <v/>
      </c>
      <c r="AG38" s="31" t="str">
        <f>Global!AG38</f>
        <v/>
      </c>
      <c r="AH38" s="31" t="str">
        <f>Global!AH38</f>
        <v/>
      </c>
      <c r="AI38" s="31" t="str">
        <f>Global!AI38</f>
        <v/>
      </c>
      <c r="AJ38" s="48" t="str">
        <f>Global!AJ38</f>
        <v/>
      </c>
      <c r="AK38" s="108">
        <f>COUNTIF(Janvier[[#This Row],[1]:[31]],"RTT")+(COUNTIF(Janvier[[#This Row],[1]:[31]],"dRTT")/2)</f>
        <v>0</v>
      </c>
      <c r="AL38" s="109">
        <f>COUNTIF(Janvier[[#This Row],[1]:[31]],"C")+(COUNTIF(Janvier[[#This Row],[1]:[31]],"DC")/2)</f>
        <v>0</v>
      </c>
      <c r="AM38" s="22">
        <f>COUNTIF(Janvier[[#This Row],[1]:[31]],"M")</f>
        <v>0</v>
      </c>
      <c r="AN38" s="22">
        <f>COUNTIF(Janvier[[#This Row],[1]:[31]],"AT")</f>
        <v>0</v>
      </c>
      <c r="AO38" s="84">
        <f>IF(AND(Janvier[[#This Row],[Maladie]]=0,Janvier[[#This Row],[AT]]=0),((10*(_xlfn.DAYS("31/01/2018","01/01/2018")+1))/365),((_xlfn.DAYS("31/01/2018","01/01/2018")+1-(Janvier[[#This Row],[Maladie]]+Janvier[[#This Row],[AT]]))*((10*(_xlfn.DAYS("31/01/2018","01/01/2018")+1))/365))/(_xlfn.DAYS("31/01/2018","01/01/2018")+1))</f>
        <v>0.84931506849315064</v>
      </c>
      <c r="AP38" s="85">
        <f>$E$5-(COUNTIF(Janvier[[#This Row],[1]:[31]],"C")+COUNTIF(Janvier[[#This Row],[1]:[31]],"RTT")+Janvier[[#This Row],[Maladie]]+Janvier[[#This Row],[AT]])</f>
        <v>22</v>
      </c>
      <c r="AQ38">
        <f>SUMPRODUCT((F38:AJ38="")*(WEEKDAY($F$1:$AJ$1)&lt;6)*(COUNTIF(JFériés!$D$2:$D$11,$F$1:$AJ$1)=0))</f>
        <v>22</v>
      </c>
      <c r="AR38" s="152">
        <f>SUMPRODUCT(IF(Janvier[[#This Row],[RTT Pris]]+Janvier[[#This Row],[CP Pris]]+Janvier[[#This Row],[Maladie]]+Janvier[[#This Row],[AT]]=0,0,Janvier[[#This Row],[RTT Pris]]+Janvier[[#This Row],[CP Pris]]+Janvier[[#This Row],[Maladie]]+Janvier[[#This Row],[AT]])*(WEEKDAY($F$1:$AJ$1)&lt;6)*(COUNTIF(JFériés!$D$2:$D$11,$F$1:$AJ$1)=0))</f>
        <v>0</v>
      </c>
      <c r="AS38">
        <f>IF(Janvier[[#This Row],[RTT Pris]]+Janvier[[#This Row],[CP Pris]]+Janvier[[#This Row],[Maladie]]+Janvier[[#This Row],[AT]]=0,0,Janvier[[#This Row],[RTT Pris]]+Janvier[[#This Row],[CP Pris]]+Janvier[[#This Row],[Maladie]]+Janvier[[#This Row],[AT]])</f>
        <v>0</v>
      </c>
      <c r="AT38">
        <f>$E$5-Janvier[[#This Row],[Colonne3]]</f>
        <v>22</v>
      </c>
      <c r="AU38" s="152" t="e">
        <f t="shared" si="0"/>
        <v>#VALUE!</v>
      </c>
      <c r="AV38" s="152" t="e">
        <f t="shared" si="1"/>
        <v>#VALUE!</v>
      </c>
    </row>
    <row r="39" spans="1:48" ht="30" customHeight="1" x14ac:dyDescent="0.2">
      <c r="A39" s="16" t="s">
        <v>95</v>
      </c>
      <c r="B39" s="22" t="s">
        <v>218</v>
      </c>
      <c r="C39" s="22" t="s">
        <v>219</v>
      </c>
      <c r="D39" s="22" t="s">
        <v>220</v>
      </c>
      <c r="E39" s="44">
        <v>0</v>
      </c>
      <c r="F39" s="47" t="str">
        <f>Global!F39</f>
        <v/>
      </c>
      <c r="G39" s="31" t="str">
        <f>Global!G39</f>
        <v/>
      </c>
      <c r="H39" s="31" t="str">
        <f>Global!H39</f>
        <v/>
      </c>
      <c r="I39" s="31" t="str">
        <f>Global!I39</f>
        <v/>
      </c>
      <c r="J39" s="31" t="str">
        <f>Global!J39</f>
        <v/>
      </c>
      <c r="K39" s="31" t="str">
        <f>Global!K39</f>
        <v/>
      </c>
      <c r="L39" s="31" t="str">
        <f>Global!L39</f>
        <v/>
      </c>
      <c r="M39" s="31" t="str">
        <f>Global!M39</f>
        <v/>
      </c>
      <c r="N39" s="31" t="str">
        <f>Global!N39</f>
        <v/>
      </c>
      <c r="O39" s="31" t="str">
        <f>Global!O39</f>
        <v>C</v>
      </c>
      <c r="P39" s="31" t="str">
        <f>Global!P39</f>
        <v>C</v>
      </c>
      <c r="Q39" s="31" t="str">
        <f>Global!Q39</f>
        <v>C</v>
      </c>
      <c r="R39" s="31" t="str">
        <f>Global!R39</f>
        <v/>
      </c>
      <c r="S39" s="31" t="str">
        <f>Global!S39</f>
        <v/>
      </c>
      <c r="T39" s="31" t="str">
        <f>Global!T39</f>
        <v/>
      </c>
      <c r="U39" s="31" t="str">
        <f>Global!U39</f>
        <v/>
      </c>
      <c r="V39" s="31" t="str">
        <f>Global!V39</f>
        <v/>
      </c>
      <c r="W39" s="31" t="str">
        <f>Global!W39</f>
        <v/>
      </c>
      <c r="X39" s="31" t="str">
        <f>Global!X39</f>
        <v/>
      </c>
      <c r="Y39" s="31" t="str">
        <f>Global!Y39</f>
        <v/>
      </c>
      <c r="Z39" s="31" t="str">
        <f>Global!Z39</f>
        <v/>
      </c>
      <c r="AA39" s="31" t="str">
        <f>Global!AA39</f>
        <v/>
      </c>
      <c r="AB39" s="31" t="str">
        <f>Global!AB39</f>
        <v/>
      </c>
      <c r="AC39" s="31" t="str">
        <f>Global!AC39</f>
        <v/>
      </c>
      <c r="AD39" s="31" t="str">
        <f>Global!AD39</f>
        <v/>
      </c>
      <c r="AE39" s="31" t="str">
        <f>Global!AE39</f>
        <v/>
      </c>
      <c r="AF39" s="31" t="str">
        <f>Global!AF39</f>
        <v/>
      </c>
      <c r="AG39" s="31" t="str">
        <f>Global!AG39</f>
        <v/>
      </c>
      <c r="AH39" s="31" t="str">
        <f>Global!AH39</f>
        <v/>
      </c>
      <c r="AI39" s="31" t="str">
        <f>Global!AI39</f>
        <v/>
      </c>
      <c r="AJ39" s="48" t="str">
        <f>Global!AJ39</f>
        <v/>
      </c>
      <c r="AK39" s="108">
        <f>COUNTIF(Janvier[[#This Row],[1]:[31]],"RTT")+(COUNTIF(Janvier[[#This Row],[1]:[31]],"dRTT")/2)</f>
        <v>0</v>
      </c>
      <c r="AL39" s="109">
        <f>COUNTIF(Janvier[[#This Row],[1]:[31]],"C")+(COUNTIF(Janvier[[#This Row],[1]:[31]],"DC")/2)</f>
        <v>3</v>
      </c>
      <c r="AM39" s="22">
        <f>COUNTIF(Janvier[[#This Row],[1]:[31]],"M")</f>
        <v>0</v>
      </c>
      <c r="AN39" s="22">
        <f>COUNTIF(Janvier[[#This Row],[1]:[31]],"AT")</f>
        <v>0</v>
      </c>
      <c r="AO39" s="84">
        <f>IF(AND(Janvier[[#This Row],[Maladie]]=0,Janvier[[#This Row],[AT]]=0),((10*(_xlfn.DAYS("31/01/2018","01/01/2018")+1))/365),((_xlfn.DAYS("31/01/2018","01/01/2018")+1-(Janvier[[#This Row],[Maladie]]+Janvier[[#This Row],[AT]]))*((10*(_xlfn.DAYS("31/01/2018","01/01/2018")+1))/365))/(_xlfn.DAYS("31/01/2018","01/01/2018")+1))</f>
        <v>0.84931506849315064</v>
      </c>
      <c r="AP39" s="85">
        <f>$E$5-(COUNTIF(Janvier[[#This Row],[1]:[31]],"C")+COUNTIF(Janvier[[#This Row],[1]:[31]],"RTT")+Janvier[[#This Row],[Maladie]]+Janvier[[#This Row],[AT]])</f>
        <v>19</v>
      </c>
      <c r="AQ39">
        <f>SUMPRODUCT((F39:AJ39="")*(WEEKDAY($F$1:$AJ$1)&lt;6)*(COUNTIF(JFériés!$D$2:$D$11,$F$1:$AJ$1)=0))</f>
        <v>20</v>
      </c>
      <c r="AR39" s="152">
        <f>SUMPRODUCT(IF(Janvier[[#This Row],[RTT Pris]]+Janvier[[#This Row],[CP Pris]]+Janvier[[#This Row],[Maladie]]+Janvier[[#This Row],[AT]]=0,0,Janvier[[#This Row],[RTT Pris]]+Janvier[[#This Row],[CP Pris]]+Janvier[[#This Row],[Maladie]]+Janvier[[#This Row],[AT]])*(WEEKDAY($F$1:$AJ$1)&lt;6)*(COUNTIF(JFériés!$D$2:$D$11,$F$1:$AJ$1)=0))</f>
        <v>66</v>
      </c>
      <c r="AS39">
        <f>IF(Janvier[[#This Row],[RTT Pris]]+Janvier[[#This Row],[CP Pris]]+Janvier[[#This Row],[Maladie]]+Janvier[[#This Row],[AT]]=0,0,Janvier[[#This Row],[RTT Pris]]+Janvier[[#This Row],[CP Pris]]+Janvier[[#This Row],[Maladie]]+Janvier[[#This Row],[AT]])</f>
        <v>3</v>
      </c>
      <c r="AT39">
        <f>$E$5-Janvier[[#This Row],[Colonne3]]</f>
        <v>19</v>
      </c>
      <c r="AU39" s="152" t="e">
        <f t="shared" si="0"/>
        <v>#VALUE!</v>
      </c>
      <c r="AV39" s="152" t="e">
        <f t="shared" si="1"/>
        <v>#VALUE!</v>
      </c>
    </row>
    <row r="40" spans="1:48" ht="30" customHeight="1" x14ac:dyDescent="0.2">
      <c r="A40" s="15" t="s">
        <v>96</v>
      </c>
      <c r="B40" s="22" t="s">
        <v>221</v>
      </c>
      <c r="C40" s="22" t="s">
        <v>222</v>
      </c>
      <c r="D40" s="22" t="s">
        <v>223</v>
      </c>
      <c r="E40" s="44">
        <v>0</v>
      </c>
      <c r="F40" s="47" t="str">
        <f>Global!F40</f>
        <v/>
      </c>
      <c r="G40" s="31" t="str">
        <f>Global!G40</f>
        <v/>
      </c>
      <c r="H40" s="31" t="str">
        <f>Global!H40</f>
        <v/>
      </c>
      <c r="I40" s="31" t="str">
        <f>Global!I40</f>
        <v/>
      </c>
      <c r="J40" s="31" t="str">
        <f>Global!J40</f>
        <v/>
      </c>
      <c r="K40" s="31" t="str">
        <f>Global!K40</f>
        <v/>
      </c>
      <c r="L40" s="31" t="str">
        <f>Global!L40</f>
        <v/>
      </c>
      <c r="M40" s="31" t="str">
        <f>Global!M40</f>
        <v/>
      </c>
      <c r="N40" s="31" t="str">
        <f>Global!N40</f>
        <v/>
      </c>
      <c r="O40" s="31" t="str">
        <f>Global!O40</f>
        <v/>
      </c>
      <c r="P40" s="31" t="str">
        <f>Global!P40</f>
        <v/>
      </c>
      <c r="Q40" s="31" t="str">
        <f>Global!Q40</f>
        <v/>
      </c>
      <c r="R40" s="31" t="str">
        <f>Global!R40</f>
        <v/>
      </c>
      <c r="S40" s="31" t="str">
        <f>Global!S40</f>
        <v/>
      </c>
      <c r="T40" s="31" t="str">
        <f>Global!T40</f>
        <v/>
      </c>
      <c r="U40" s="31" t="str">
        <f>Global!U40</f>
        <v/>
      </c>
      <c r="V40" s="31" t="str">
        <f>Global!V40</f>
        <v/>
      </c>
      <c r="W40" s="31" t="str">
        <f>Global!W40</f>
        <v/>
      </c>
      <c r="X40" s="31" t="str">
        <f>Global!X40</f>
        <v/>
      </c>
      <c r="Y40" s="31" t="str">
        <f>Global!Y40</f>
        <v/>
      </c>
      <c r="Z40" s="31" t="str">
        <f>Global!Z40</f>
        <v/>
      </c>
      <c r="AA40" s="31" t="str">
        <f>Global!AA40</f>
        <v/>
      </c>
      <c r="AB40" s="31" t="str">
        <f>Global!AB40</f>
        <v/>
      </c>
      <c r="AC40" s="31" t="str">
        <f>Global!AC40</f>
        <v/>
      </c>
      <c r="AD40" s="31" t="str">
        <f>Global!AD40</f>
        <v/>
      </c>
      <c r="AE40" s="31" t="str">
        <f>Global!AE40</f>
        <v/>
      </c>
      <c r="AF40" s="31" t="str">
        <f>Global!AF40</f>
        <v/>
      </c>
      <c r="AG40" s="31" t="str">
        <f>Global!AG40</f>
        <v/>
      </c>
      <c r="AH40" s="31" t="str">
        <f>Global!AH40</f>
        <v/>
      </c>
      <c r="AI40" s="31" t="str">
        <f>Global!AI40</f>
        <v/>
      </c>
      <c r="AJ40" s="48" t="str">
        <f>Global!AJ40</f>
        <v/>
      </c>
      <c r="AK40" s="108">
        <f>COUNTIF(Janvier[[#This Row],[1]:[31]],"RTT")+(COUNTIF(Janvier[[#This Row],[1]:[31]],"dRTT")/2)</f>
        <v>0</v>
      </c>
      <c r="AL40" s="109">
        <f>COUNTIF(Janvier[[#This Row],[1]:[31]],"C")+(COUNTIF(Janvier[[#This Row],[1]:[31]],"DC")/2)</f>
        <v>0</v>
      </c>
      <c r="AM40" s="22">
        <f>COUNTIF(Janvier[[#This Row],[1]:[31]],"M")</f>
        <v>0</v>
      </c>
      <c r="AN40" s="22">
        <f>COUNTIF(Janvier[[#This Row],[1]:[31]],"AT")</f>
        <v>0</v>
      </c>
      <c r="AO40" s="84">
        <f>IF(AND(Janvier[[#This Row],[Maladie]]=0,Janvier[[#This Row],[AT]]=0),((10*(_xlfn.DAYS("31/01/2018","01/01/2018")+1))/365),((_xlfn.DAYS("31/01/2018","01/01/2018")+1-(Janvier[[#This Row],[Maladie]]+Janvier[[#This Row],[AT]]))*((10*(_xlfn.DAYS("31/01/2018","01/01/2018")+1))/365))/(_xlfn.DAYS("31/01/2018","01/01/2018")+1))</f>
        <v>0.84931506849315064</v>
      </c>
      <c r="AP40" s="85">
        <f>$E$5-(COUNTIF(Janvier[[#This Row],[1]:[31]],"C")+COUNTIF(Janvier[[#This Row],[1]:[31]],"RTT")+Janvier[[#This Row],[Maladie]]+Janvier[[#This Row],[AT]])</f>
        <v>22</v>
      </c>
      <c r="AQ40">
        <f>SUMPRODUCT((F40:AJ40="")*(WEEKDAY($F$1:$AJ$1)&lt;6)*(COUNTIF(JFériés!$D$2:$D$11,$F$1:$AJ$1)=0))</f>
        <v>22</v>
      </c>
      <c r="AR40" s="152">
        <f>SUMPRODUCT(IF(Janvier[[#This Row],[RTT Pris]]+Janvier[[#This Row],[CP Pris]]+Janvier[[#This Row],[Maladie]]+Janvier[[#This Row],[AT]]=0,0,Janvier[[#This Row],[RTT Pris]]+Janvier[[#This Row],[CP Pris]]+Janvier[[#This Row],[Maladie]]+Janvier[[#This Row],[AT]])*(WEEKDAY($F$1:$AJ$1)&lt;6)*(COUNTIF(JFériés!$D$2:$D$11,$F$1:$AJ$1)=0))</f>
        <v>0</v>
      </c>
      <c r="AS40">
        <f>IF(Janvier[[#This Row],[RTT Pris]]+Janvier[[#This Row],[CP Pris]]+Janvier[[#This Row],[Maladie]]+Janvier[[#This Row],[AT]]=0,0,Janvier[[#This Row],[RTT Pris]]+Janvier[[#This Row],[CP Pris]]+Janvier[[#This Row],[Maladie]]+Janvier[[#This Row],[AT]])</f>
        <v>0</v>
      </c>
      <c r="AT40">
        <f>$E$5-Janvier[[#This Row],[Colonne3]]</f>
        <v>22</v>
      </c>
      <c r="AU40" s="152" t="e">
        <f t="shared" ref="AU40:AU71" si="2">WEEKDAY(F33:AJ33,1)</f>
        <v>#VALUE!</v>
      </c>
      <c r="AV40" s="152" t="e">
        <f t="shared" ref="AV40:AV71" si="3">IF(WEEKDAY(K33,1)="M",0,"")</f>
        <v>#VALUE!</v>
      </c>
    </row>
    <row r="41" spans="1:48" ht="30" customHeight="1" x14ac:dyDescent="0.2">
      <c r="A41" s="15" t="s">
        <v>97</v>
      </c>
      <c r="B41" s="22" t="s">
        <v>224</v>
      </c>
      <c r="C41" s="22" t="s">
        <v>225</v>
      </c>
      <c r="D41" s="22" t="s">
        <v>226</v>
      </c>
      <c r="E41" s="44">
        <v>0</v>
      </c>
      <c r="F41" s="47" t="str">
        <f>Global!F41</f>
        <v/>
      </c>
      <c r="G41" s="31" t="str">
        <f>Global!G41</f>
        <v/>
      </c>
      <c r="H41" s="31" t="str">
        <f>Global!H41</f>
        <v/>
      </c>
      <c r="I41" s="31" t="str">
        <f>Global!I41</f>
        <v/>
      </c>
      <c r="J41" s="31" t="str">
        <f>Global!J41</f>
        <v/>
      </c>
      <c r="K41" s="31" t="str">
        <f>Global!K41</f>
        <v/>
      </c>
      <c r="L41" s="31" t="str">
        <f>Global!L41</f>
        <v/>
      </c>
      <c r="M41" s="31" t="str">
        <f>Global!M41</f>
        <v/>
      </c>
      <c r="N41" s="31" t="str">
        <f>Global!N41</f>
        <v/>
      </c>
      <c r="O41" s="31" t="str">
        <f>Global!O41</f>
        <v/>
      </c>
      <c r="P41" s="31" t="str">
        <f>Global!P41</f>
        <v/>
      </c>
      <c r="Q41" s="31" t="str">
        <f>Global!Q41</f>
        <v/>
      </c>
      <c r="R41" s="31" t="str">
        <f>Global!R41</f>
        <v/>
      </c>
      <c r="S41" s="31" t="str">
        <f>Global!S41</f>
        <v/>
      </c>
      <c r="T41" s="31" t="str">
        <f>Global!T41</f>
        <v/>
      </c>
      <c r="U41" s="31" t="str">
        <f>Global!U41</f>
        <v/>
      </c>
      <c r="V41" s="31" t="str">
        <f>Global!V41</f>
        <v/>
      </c>
      <c r="W41" s="31" t="str">
        <f>Global!W41</f>
        <v/>
      </c>
      <c r="X41" s="31" t="str">
        <f>Global!X41</f>
        <v/>
      </c>
      <c r="Y41" s="31" t="str">
        <f>Global!Y41</f>
        <v/>
      </c>
      <c r="Z41" s="31" t="str">
        <f>Global!Z41</f>
        <v/>
      </c>
      <c r="AA41" s="31" t="str">
        <f>Global!AA41</f>
        <v/>
      </c>
      <c r="AB41" s="31" t="str">
        <f>Global!AB41</f>
        <v/>
      </c>
      <c r="AC41" s="31" t="str">
        <f>Global!AC41</f>
        <v/>
      </c>
      <c r="AD41" s="31" t="str">
        <f>Global!AD41</f>
        <v/>
      </c>
      <c r="AE41" s="31" t="str">
        <f>Global!AE41</f>
        <v/>
      </c>
      <c r="AF41" s="31" t="str">
        <f>Global!AF41</f>
        <v/>
      </c>
      <c r="AG41" s="31" t="str">
        <f>Global!AG41</f>
        <v/>
      </c>
      <c r="AH41" s="31" t="str">
        <f>Global!AH41</f>
        <v/>
      </c>
      <c r="AI41" s="31" t="str">
        <f>Global!AI41</f>
        <v/>
      </c>
      <c r="AJ41" s="48" t="str">
        <f>Global!AJ41</f>
        <v/>
      </c>
      <c r="AK41" s="108">
        <f>COUNTIF(Janvier[[#This Row],[1]:[31]],"RTT")+(COUNTIF(Janvier[[#This Row],[1]:[31]],"dRTT")/2)</f>
        <v>0</v>
      </c>
      <c r="AL41" s="109">
        <f>COUNTIF(Janvier[[#This Row],[1]:[31]],"C")+(COUNTIF(Janvier[[#This Row],[1]:[31]],"DC")/2)</f>
        <v>0</v>
      </c>
      <c r="AM41" s="22">
        <f>COUNTIF(Janvier[[#This Row],[1]:[31]],"M")</f>
        <v>0</v>
      </c>
      <c r="AN41" s="22">
        <f>COUNTIF(Janvier[[#This Row],[1]:[31]],"AT")</f>
        <v>0</v>
      </c>
      <c r="AO41" s="84">
        <f>IF(AND(Janvier[[#This Row],[Maladie]]=0,Janvier[[#This Row],[AT]]=0),((10*(_xlfn.DAYS("31/01/2018","01/01/2018")+1))/365),((_xlfn.DAYS("31/01/2018","01/01/2018")+1-(Janvier[[#This Row],[Maladie]]+Janvier[[#This Row],[AT]]))*((10*(_xlfn.DAYS("31/01/2018","01/01/2018")+1))/365))/(_xlfn.DAYS("31/01/2018","01/01/2018")+1))</f>
        <v>0.84931506849315064</v>
      </c>
      <c r="AP41" s="85">
        <f>$E$5-(COUNTIF(Janvier[[#This Row],[1]:[31]],"C")+COUNTIF(Janvier[[#This Row],[1]:[31]],"RTT")+Janvier[[#This Row],[Maladie]]+Janvier[[#This Row],[AT]])</f>
        <v>22</v>
      </c>
      <c r="AQ41">
        <f>SUMPRODUCT((F41:AJ41="")*(WEEKDAY($F$1:$AJ$1)&lt;6)*(COUNTIF(JFériés!$D$2:$D$11,$F$1:$AJ$1)=0))</f>
        <v>22</v>
      </c>
      <c r="AR41" s="152">
        <f>SUMPRODUCT(IF(Janvier[[#This Row],[RTT Pris]]+Janvier[[#This Row],[CP Pris]]+Janvier[[#This Row],[Maladie]]+Janvier[[#This Row],[AT]]=0,0,Janvier[[#This Row],[RTT Pris]]+Janvier[[#This Row],[CP Pris]]+Janvier[[#This Row],[Maladie]]+Janvier[[#This Row],[AT]])*(WEEKDAY($F$1:$AJ$1)&lt;6)*(COUNTIF(JFériés!$D$2:$D$11,$F$1:$AJ$1)=0))</f>
        <v>0</v>
      </c>
      <c r="AS41">
        <f>IF(Janvier[[#This Row],[RTT Pris]]+Janvier[[#This Row],[CP Pris]]+Janvier[[#This Row],[Maladie]]+Janvier[[#This Row],[AT]]=0,0,Janvier[[#This Row],[RTT Pris]]+Janvier[[#This Row],[CP Pris]]+Janvier[[#This Row],[Maladie]]+Janvier[[#This Row],[AT]])</f>
        <v>0</v>
      </c>
      <c r="AT41">
        <f>$E$5-Janvier[[#This Row],[Colonne3]]</f>
        <v>22</v>
      </c>
      <c r="AU41" s="152" t="e">
        <f t="shared" si="2"/>
        <v>#VALUE!</v>
      </c>
      <c r="AV41" s="152" t="e">
        <f t="shared" si="3"/>
        <v>#VALUE!</v>
      </c>
    </row>
    <row r="42" spans="1:48" ht="30" customHeight="1" x14ac:dyDescent="0.2">
      <c r="A42" s="13" t="s">
        <v>98</v>
      </c>
      <c r="B42" s="22" t="s">
        <v>227</v>
      </c>
      <c r="C42" s="22" t="s">
        <v>228</v>
      </c>
      <c r="D42" s="22" t="s">
        <v>229</v>
      </c>
      <c r="E42" s="44">
        <v>0</v>
      </c>
      <c r="F42" s="47" t="str">
        <f>Global!F42</f>
        <v/>
      </c>
      <c r="G42" s="31" t="str">
        <f>Global!G42</f>
        <v/>
      </c>
      <c r="H42" s="31" t="str">
        <f>Global!H42</f>
        <v/>
      </c>
      <c r="I42" s="31" t="str">
        <f>Global!I42</f>
        <v/>
      </c>
      <c r="J42" s="31" t="str">
        <f>Global!J42</f>
        <v/>
      </c>
      <c r="K42" s="31" t="str">
        <f>Global!K42</f>
        <v/>
      </c>
      <c r="L42" s="31" t="str">
        <f>Global!L42</f>
        <v/>
      </c>
      <c r="M42" s="31" t="str">
        <f>Global!M42</f>
        <v/>
      </c>
      <c r="N42" s="31" t="str">
        <f>Global!N42</f>
        <v/>
      </c>
      <c r="O42" s="31" t="str">
        <f>Global!O42</f>
        <v/>
      </c>
      <c r="P42" s="31" t="str">
        <f>Global!P42</f>
        <v/>
      </c>
      <c r="Q42" s="31" t="str">
        <f>Global!Q42</f>
        <v/>
      </c>
      <c r="R42" s="31" t="str">
        <f>Global!R42</f>
        <v/>
      </c>
      <c r="S42" s="31" t="str">
        <f>Global!S42</f>
        <v/>
      </c>
      <c r="T42" s="31" t="str">
        <f>Global!T42</f>
        <v/>
      </c>
      <c r="U42" s="31" t="str">
        <f>Global!U42</f>
        <v/>
      </c>
      <c r="V42" s="31" t="str">
        <f>Global!V42</f>
        <v/>
      </c>
      <c r="W42" s="31" t="str">
        <f>Global!W42</f>
        <v/>
      </c>
      <c r="X42" s="31" t="str">
        <f>Global!X42</f>
        <v/>
      </c>
      <c r="Y42" s="31" t="str">
        <f>Global!Y42</f>
        <v/>
      </c>
      <c r="Z42" s="31" t="str">
        <f>Global!Z42</f>
        <v/>
      </c>
      <c r="AA42" s="31" t="str">
        <f>Global!AA42</f>
        <v/>
      </c>
      <c r="AB42" s="31" t="str">
        <f>Global!AB42</f>
        <v/>
      </c>
      <c r="AC42" s="31" t="str">
        <f>Global!AC42</f>
        <v/>
      </c>
      <c r="AD42" s="31" t="str">
        <f>Global!AD42</f>
        <v/>
      </c>
      <c r="AE42" s="31" t="str">
        <f>Global!AE42</f>
        <v/>
      </c>
      <c r="AF42" s="31" t="str">
        <f>Global!AF42</f>
        <v/>
      </c>
      <c r="AG42" s="31" t="str">
        <f>Global!AG42</f>
        <v/>
      </c>
      <c r="AH42" s="31" t="str">
        <f>Global!AH42</f>
        <v/>
      </c>
      <c r="AI42" s="31" t="str">
        <f>Global!AI42</f>
        <v/>
      </c>
      <c r="AJ42" s="48" t="str">
        <f>Global!AJ42</f>
        <v/>
      </c>
      <c r="AK42" s="108">
        <f>COUNTIF(Janvier[[#This Row],[1]:[31]],"RTT")+(COUNTIF(Janvier[[#This Row],[1]:[31]],"dRTT")/2)</f>
        <v>0</v>
      </c>
      <c r="AL42" s="109">
        <f>COUNTIF(Janvier[[#This Row],[1]:[31]],"C")+(COUNTIF(Janvier[[#This Row],[1]:[31]],"DC")/2)</f>
        <v>0</v>
      </c>
      <c r="AM42" s="22">
        <f>COUNTIF(Janvier[[#This Row],[1]:[31]],"M")</f>
        <v>0</v>
      </c>
      <c r="AN42" s="22">
        <f>COUNTIF(Janvier[[#This Row],[1]:[31]],"AT")</f>
        <v>0</v>
      </c>
      <c r="AO42" s="84">
        <f>IF(AND(Janvier[[#This Row],[Maladie]]=0,Janvier[[#This Row],[AT]]=0),((10*(_xlfn.DAYS("31/01/2018","01/01/2018")+1))/365),((_xlfn.DAYS("31/01/2018","01/01/2018")+1-(Janvier[[#This Row],[Maladie]]+Janvier[[#This Row],[AT]]))*((10*(_xlfn.DAYS("31/01/2018","01/01/2018")+1))/365))/(_xlfn.DAYS("31/01/2018","01/01/2018")+1))</f>
        <v>0.84931506849315064</v>
      </c>
      <c r="AP42" s="85">
        <f>$E$5-(COUNTIF(Janvier[[#This Row],[1]:[31]],"C")+COUNTIF(Janvier[[#This Row],[1]:[31]],"RTT")+Janvier[[#This Row],[Maladie]]+Janvier[[#This Row],[AT]])</f>
        <v>22</v>
      </c>
      <c r="AQ42">
        <f>SUMPRODUCT((F42:AJ42="")*(WEEKDAY($F$1:$AJ$1)&lt;6)*(COUNTIF(JFériés!$D$2:$D$11,$F$1:$AJ$1)=0))</f>
        <v>22</v>
      </c>
      <c r="AR42" s="152">
        <f>SUMPRODUCT(IF(Janvier[[#This Row],[RTT Pris]]+Janvier[[#This Row],[CP Pris]]+Janvier[[#This Row],[Maladie]]+Janvier[[#This Row],[AT]]=0,0,Janvier[[#This Row],[RTT Pris]]+Janvier[[#This Row],[CP Pris]]+Janvier[[#This Row],[Maladie]]+Janvier[[#This Row],[AT]])*(WEEKDAY($F$1:$AJ$1)&lt;6)*(COUNTIF(JFériés!$D$2:$D$11,$F$1:$AJ$1)=0))</f>
        <v>0</v>
      </c>
      <c r="AS42">
        <f>IF(Janvier[[#This Row],[RTT Pris]]+Janvier[[#This Row],[CP Pris]]+Janvier[[#This Row],[Maladie]]+Janvier[[#This Row],[AT]]=0,0,Janvier[[#This Row],[RTT Pris]]+Janvier[[#This Row],[CP Pris]]+Janvier[[#This Row],[Maladie]]+Janvier[[#This Row],[AT]])</f>
        <v>0</v>
      </c>
      <c r="AT42">
        <f>$E$5-Janvier[[#This Row],[Colonne3]]</f>
        <v>22</v>
      </c>
      <c r="AU42" s="152" t="e">
        <f t="shared" si="2"/>
        <v>#VALUE!</v>
      </c>
      <c r="AV42" s="152" t="e">
        <f t="shared" si="3"/>
        <v>#VALUE!</v>
      </c>
    </row>
    <row r="43" spans="1:48" ht="30" customHeight="1" x14ac:dyDescent="0.2">
      <c r="A43" s="15" t="s">
        <v>99</v>
      </c>
      <c r="B43" s="22" t="s">
        <v>230</v>
      </c>
      <c r="C43" s="22" t="s">
        <v>231</v>
      </c>
      <c r="D43" s="22" t="s">
        <v>232</v>
      </c>
      <c r="E43" s="44">
        <v>0</v>
      </c>
      <c r="F43" s="47" t="str">
        <f>Global!F43</f>
        <v/>
      </c>
      <c r="G43" s="31" t="str">
        <f>Global!G43</f>
        <v>M</v>
      </c>
      <c r="H43" s="31" t="str">
        <f>Global!H43</f>
        <v>M</v>
      </c>
      <c r="I43" s="31" t="str">
        <f>Global!I43</f>
        <v>M</v>
      </c>
      <c r="J43" s="31" t="str">
        <f>Global!J43</f>
        <v>M</v>
      </c>
      <c r="K43" s="31" t="str">
        <f>Global!K43</f>
        <v>M</v>
      </c>
      <c r="L43" s="31" t="str">
        <f>Global!L43</f>
        <v>M</v>
      </c>
      <c r="M43" s="31" t="str">
        <f>Global!M43</f>
        <v>M</v>
      </c>
      <c r="N43" s="31" t="str">
        <f>Global!N43</f>
        <v>M</v>
      </c>
      <c r="O43" s="31" t="str">
        <f>Global!O43</f>
        <v/>
      </c>
      <c r="P43" s="31" t="str">
        <f>Global!P43</f>
        <v/>
      </c>
      <c r="Q43" s="31" t="str">
        <f>Global!Q43</f>
        <v/>
      </c>
      <c r="R43" s="31" t="str">
        <f>Global!R43</f>
        <v/>
      </c>
      <c r="S43" s="31" t="str">
        <f>Global!S43</f>
        <v/>
      </c>
      <c r="T43" s="31" t="str">
        <f>Global!T43</f>
        <v/>
      </c>
      <c r="U43" s="31" t="str">
        <f>Global!U43</f>
        <v/>
      </c>
      <c r="V43" s="31" t="str">
        <f>Global!V43</f>
        <v/>
      </c>
      <c r="W43" s="31" t="str">
        <f>Global!W43</f>
        <v/>
      </c>
      <c r="X43" s="31" t="str">
        <f>Global!X43</f>
        <v/>
      </c>
      <c r="Y43" s="31" t="str">
        <f>Global!Y43</f>
        <v/>
      </c>
      <c r="Z43" s="31" t="str">
        <f>Global!Z43</f>
        <v/>
      </c>
      <c r="AA43" s="31" t="str">
        <f>Global!AA43</f>
        <v/>
      </c>
      <c r="AB43" s="31" t="str">
        <f>Global!AB43</f>
        <v/>
      </c>
      <c r="AC43" s="31" t="str">
        <f>Global!AC43</f>
        <v/>
      </c>
      <c r="AD43" s="31" t="str">
        <f>Global!AD43</f>
        <v/>
      </c>
      <c r="AE43" s="31" t="str">
        <f>Global!AE43</f>
        <v/>
      </c>
      <c r="AF43" s="31" t="str">
        <f>Global!AF43</f>
        <v/>
      </c>
      <c r="AG43" s="31" t="str">
        <f>Global!AG43</f>
        <v/>
      </c>
      <c r="AH43" s="31" t="str">
        <f>Global!AH43</f>
        <v/>
      </c>
      <c r="AI43" s="31" t="str">
        <f>Global!AI43</f>
        <v/>
      </c>
      <c r="AJ43" s="48" t="str">
        <f>Global!AJ43</f>
        <v>M</v>
      </c>
      <c r="AK43" s="108">
        <f>COUNTIF(Janvier[[#This Row],[1]:[31]],"RTT")+(COUNTIF(Janvier[[#This Row],[1]:[31]],"dRTT")/2)</f>
        <v>0</v>
      </c>
      <c r="AL43" s="109">
        <f>COUNTIF(Janvier[[#This Row],[1]:[31]],"C")+(COUNTIF(Janvier[[#This Row],[1]:[31]],"DC")/2)</f>
        <v>0</v>
      </c>
      <c r="AM43" s="22">
        <f>COUNTIF(Janvier[[#This Row],[1]:[31]],"M")</f>
        <v>9</v>
      </c>
      <c r="AN43" s="22">
        <f>COUNTIF(Janvier[[#This Row],[1]:[31]],"AT")</f>
        <v>0</v>
      </c>
      <c r="AO43" s="84">
        <f>IF(AND(Janvier[[#This Row],[Maladie]]=0,Janvier[[#This Row],[AT]]=0),((10*(_xlfn.DAYS("31/01/2018","01/01/2018")+1))/365),((_xlfn.DAYS("31/01/2018","01/01/2018")+1-(Janvier[[#This Row],[Maladie]]+Janvier[[#This Row],[AT]]))*((10*(_xlfn.DAYS("31/01/2018","01/01/2018")+1))/365))/(_xlfn.DAYS("31/01/2018","01/01/2018")+1))</f>
        <v>0.60273972602739723</v>
      </c>
      <c r="AP43" s="85">
        <f>$E$5-(COUNTIF(Janvier[[#This Row],[1]:[31]],"C")+COUNTIF(Janvier[[#This Row],[1]:[31]],"RTT")+Janvier[[#This Row],[Maladie]]+Janvier[[#This Row],[AT]])</f>
        <v>13</v>
      </c>
      <c r="AQ43">
        <f>SUMPRODUCT((F43:AJ43="")*(WEEKDAY($F$1:$AJ$1)&lt;6)*(COUNTIF(JFériés!$D$2:$D$11,$F$1:$AJ$1)=0))</f>
        <v>15</v>
      </c>
      <c r="AR43" s="152">
        <f>SUMPRODUCT(IF(Janvier[[#This Row],[RTT Pris]]+Janvier[[#This Row],[CP Pris]]+Janvier[[#This Row],[Maladie]]+Janvier[[#This Row],[AT]]=0,0,Janvier[[#This Row],[RTT Pris]]+Janvier[[#This Row],[CP Pris]]+Janvier[[#This Row],[Maladie]]+Janvier[[#This Row],[AT]])*(WEEKDAY($F$1:$AJ$1)&lt;6)*(COUNTIF(JFériés!$D$2:$D$11,$F$1:$AJ$1)=0))</f>
        <v>198</v>
      </c>
      <c r="AS43">
        <f>IF(Janvier[[#This Row],[RTT Pris]]+Janvier[[#This Row],[CP Pris]]+Janvier[[#This Row],[Maladie]]+Janvier[[#This Row],[AT]]=0,0,Janvier[[#This Row],[RTT Pris]]+Janvier[[#This Row],[CP Pris]]+Janvier[[#This Row],[Maladie]]+Janvier[[#This Row],[AT]])</f>
        <v>9</v>
      </c>
      <c r="AT43">
        <f>$E$5-Janvier[[#This Row],[Colonne3]]</f>
        <v>13</v>
      </c>
      <c r="AU43" s="152" t="e">
        <f t="shared" si="2"/>
        <v>#VALUE!</v>
      </c>
      <c r="AV43" s="152" t="e">
        <f t="shared" si="3"/>
        <v>#VALUE!</v>
      </c>
    </row>
    <row r="44" spans="1:48" ht="30" customHeight="1" x14ac:dyDescent="0.2">
      <c r="A44" s="15" t="s">
        <v>100</v>
      </c>
      <c r="B44" s="22" t="s">
        <v>233</v>
      </c>
      <c r="C44" s="22" t="s">
        <v>234</v>
      </c>
      <c r="D44" s="22" t="s">
        <v>235</v>
      </c>
      <c r="E44" s="44">
        <v>0</v>
      </c>
      <c r="F44" s="47" t="str">
        <f>Global!F44</f>
        <v>M</v>
      </c>
      <c r="G44" s="31" t="str">
        <f>Global!G44</f>
        <v>M</v>
      </c>
      <c r="H44" s="31" t="str">
        <f>Global!H44</f>
        <v>M</v>
      </c>
      <c r="I44" s="31" t="str">
        <f>Global!I44</f>
        <v>M</v>
      </c>
      <c r="J44" s="31" t="str">
        <f>Global!J44</f>
        <v>M</v>
      </c>
      <c r="K44" s="31" t="str">
        <f>Global!K44</f>
        <v>M</v>
      </c>
      <c r="L44" s="31" t="str">
        <f>Global!L44</f>
        <v>M</v>
      </c>
      <c r="M44" s="31" t="str">
        <f>Global!M44</f>
        <v>M</v>
      </c>
      <c r="N44" s="31" t="str">
        <f>Global!N44</f>
        <v>M</v>
      </c>
      <c r="O44" s="31" t="str">
        <f>Global!O44</f>
        <v>M</v>
      </c>
      <c r="P44" s="31" t="str">
        <f>Global!P44</f>
        <v>M</v>
      </c>
      <c r="Q44" s="31" t="str">
        <f>Global!Q44</f>
        <v>M</v>
      </c>
      <c r="R44" s="31" t="str">
        <f>Global!R44</f>
        <v>M</v>
      </c>
      <c r="S44" s="31" t="str">
        <f>Global!S44</f>
        <v>M</v>
      </c>
      <c r="T44" s="31" t="str">
        <f>Global!T44</f>
        <v>M</v>
      </c>
      <c r="U44" s="31" t="str">
        <f>Global!U44</f>
        <v>M</v>
      </c>
      <c r="V44" s="31" t="str">
        <f>Global!V44</f>
        <v>M</v>
      </c>
      <c r="W44" s="31" t="str">
        <f>Global!W44</f>
        <v>M</v>
      </c>
      <c r="X44" s="31" t="str">
        <f>Global!X44</f>
        <v>M</v>
      </c>
      <c r="Y44" s="31" t="str">
        <f>Global!Y44</f>
        <v>M</v>
      </c>
      <c r="Z44" s="31" t="str">
        <f>Global!Z44</f>
        <v>M</v>
      </c>
      <c r="AA44" s="31" t="str">
        <f>Global!AA44</f>
        <v>M</v>
      </c>
      <c r="AB44" s="31" t="str">
        <f>Global!AB44</f>
        <v>M</v>
      </c>
      <c r="AC44" s="31" t="str">
        <f>Global!AC44</f>
        <v>M</v>
      </c>
      <c r="AD44" s="31" t="str">
        <f>Global!AD44</f>
        <v>M</v>
      </c>
      <c r="AE44" s="31" t="str">
        <f>Global!AE44</f>
        <v>M</v>
      </c>
      <c r="AF44" s="31" t="str">
        <f>Global!AF44</f>
        <v>M</v>
      </c>
      <c r="AG44" s="31" t="str">
        <f>Global!AG44</f>
        <v>M</v>
      </c>
      <c r="AH44" s="31" t="str">
        <f>Global!AH44</f>
        <v>M</v>
      </c>
      <c r="AI44" s="31" t="str">
        <f>Global!AI44</f>
        <v>M</v>
      </c>
      <c r="AJ44" s="48" t="str">
        <f>Global!AJ44</f>
        <v>M</v>
      </c>
      <c r="AK44" s="108">
        <f>COUNTIF(Janvier[[#This Row],[1]:[31]],"RTT")+(COUNTIF(Janvier[[#This Row],[1]:[31]],"dRTT")/2)</f>
        <v>0</v>
      </c>
      <c r="AL44" s="109">
        <f>COUNTIF(Janvier[[#This Row],[1]:[31]],"C")+(COUNTIF(Janvier[[#This Row],[1]:[31]],"DC")/2)</f>
        <v>0</v>
      </c>
      <c r="AM44" s="22">
        <f>COUNTIF(Janvier[[#This Row],[1]:[31]],"M")</f>
        <v>31</v>
      </c>
      <c r="AN44" s="22">
        <f>COUNTIF(Janvier[[#This Row],[1]:[31]],"AT")</f>
        <v>0</v>
      </c>
      <c r="AO44" s="84">
        <f>IF(AND(Janvier[[#This Row],[Maladie]]=0,Janvier[[#This Row],[AT]]=0),((10*(_xlfn.DAYS("31/01/2018","01/01/2018")+1))/365),((_xlfn.DAYS("31/01/2018","01/01/2018")+1-(Janvier[[#This Row],[Maladie]]+Janvier[[#This Row],[AT]]))*((10*(_xlfn.DAYS("31/01/2018","01/01/2018")+1))/365))/(_xlfn.DAYS("31/01/2018","01/01/2018")+1))</f>
        <v>0</v>
      </c>
      <c r="AP44" s="85">
        <f>$E$5-(COUNTIF(Janvier[[#This Row],[1]:[31]],"C")+COUNTIF(Janvier[[#This Row],[1]:[31]],"RTT")+Janvier[[#This Row],[Maladie]]+Janvier[[#This Row],[AT]])</f>
        <v>-9</v>
      </c>
      <c r="AQ44">
        <f>SUMPRODUCT((F44:AJ44="")*(WEEKDAY($F$1:$AJ$1)&lt;6)*(COUNTIF(JFériés!$D$2:$D$11,$F$1:$AJ$1)=0))</f>
        <v>0</v>
      </c>
      <c r="AR44" s="152">
        <f>SUMPRODUCT(IF(Janvier[[#This Row],[RTT Pris]]+Janvier[[#This Row],[CP Pris]]+Janvier[[#This Row],[Maladie]]+Janvier[[#This Row],[AT]]=0,0,Janvier[[#This Row],[RTT Pris]]+Janvier[[#This Row],[CP Pris]]+Janvier[[#This Row],[Maladie]]+Janvier[[#This Row],[AT]])*(WEEKDAY($F$1:$AJ$1)&lt;6)*(COUNTIF(JFériés!$D$2:$D$11,$F$1:$AJ$1)=0))</f>
        <v>682</v>
      </c>
      <c r="AS44">
        <f>IF(Janvier[[#This Row],[RTT Pris]]+Janvier[[#This Row],[CP Pris]]+Janvier[[#This Row],[Maladie]]+Janvier[[#This Row],[AT]]=0,0,Janvier[[#This Row],[RTT Pris]]+Janvier[[#This Row],[CP Pris]]+Janvier[[#This Row],[Maladie]]+Janvier[[#This Row],[AT]])</f>
        <v>31</v>
      </c>
      <c r="AT44">
        <f>$E$5-Janvier[[#This Row],[Colonne3]]</f>
        <v>-9</v>
      </c>
      <c r="AU44" s="152" t="e">
        <f t="shared" si="2"/>
        <v>#VALUE!</v>
      </c>
      <c r="AV44" s="152" t="e">
        <f t="shared" si="3"/>
        <v>#VALUE!</v>
      </c>
    </row>
    <row r="45" spans="1:48" ht="30" customHeight="1" x14ac:dyDescent="0.2">
      <c r="A45" s="15" t="s">
        <v>101</v>
      </c>
      <c r="B45" s="22" t="s">
        <v>236</v>
      </c>
      <c r="C45" s="22" t="s">
        <v>237</v>
      </c>
      <c r="D45" s="22" t="s">
        <v>238</v>
      </c>
      <c r="E45" s="44">
        <v>0</v>
      </c>
      <c r="F45" s="47" t="str">
        <f>Global!F45</f>
        <v/>
      </c>
      <c r="G45" s="31" t="str">
        <f>Global!G45</f>
        <v/>
      </c>
      <c r="H45" s="31" t="str">
        <f>Global!H45</f>
        <v/>
      </c>
      <c r="I45" s="31" t="str">
        <f>Global!I45</f>
        <v/>
      </c>
      <c r="J45" s="31" t="str">
        <f>Global!J45</f>
        <v/>
      </c>
      <c r="K45" s="31" t="str">
        <f>Global!K45</f>
        <v/>
      </c>
      <c r="L45" s="31" t="str">
        <f>Global!L45</f>
        <v/>
      </c>
      <c r="M45" s="31" t="str">
        <f>Global!M45</f>
        <v/>
      </c>
      <c r="N45" s="31" t="str">
        <f>Global!N45</f>
        <v/>
      </c>
      <c r="O45" s="31" t="str">
        <f>Global!O45</f>
        <v/>
      </c>
      <c r="P45" s="31" t="str">
        <f>Global!P45</f>
        <v/>
      </c>
      <c r="Q45" s="31" t="str">
        <f>Global!Q45</f>
        <v/>
      </c>
      <c r="R45" s="31" t="str">
        <f>Global!R45</f>
        <v/>
      </c>
      <c r="S45" s="31" t="str">
        <f>Global!S45</f>
        <v/>
      </c>
      <c r="T45" s="31" t="str">
        <f>Global!T45</f>
        <v/>
      </c>
      <c r="U45" s="31" t="str">
        <f>Global!U45</f>
        <v/>
      </c>
      <c r="V45" s="31" t="str">
        <f>Global!V45</f>
        <v/>
      </c>
      <c r="W45" s="31" t="str">
        <f>Global!W45</f>
        <v/>
      </c>
      <c r="X45" s="31" t="str">
        <f>Global!X45</f>
        <v/>
      </c>
      <c r="Y45" s="31" t="str">
        <f>Global!Y45</f>
        <v/>
      </c>
      <c r="Z45" s="31" t="str">
        <f>Global!Z45</f>
        <v/>
      </c>
      <c r="AA45" s="31" t="str">
        <f>Global!AA45</f>
        <v/>
      </c>
      <c r="AB45" s="31" t="str">
        <f>Global!AB45</f>
        <v/>
      </c>
      <c r="AC45" s="31" t="str">
        <f>Global!AC45</f>
        <v/>
      </c>
      <c r="AD45" s="31" t="str">
        <f>Global!AD45</f>
        <v/>
      </c>
      <c r="AE45" s="31" t="str">
        <f>Global!AE45</f>
        <v/>
      </c>
      <c r="AF45" s="31" t="str">
        <f>Global!AF45</f>
        <v/>
      </c>
      <c r="AG45" s="31" t="str">
        <f>Global!AG45</f>
        <v/>
      </c>
      <c r="AH45" s="31" t="str">
        <f>Global!AH45</f>
        <v/>
      </c>
      <c r="AI45" s="31" t="str">
        <f>Global!AI45</f>
        <v/>
      </c>
      <c r="AJ45" s="48" t="str">
        <f>Global!AJ45</f>
        <v/>
      </c>
      <c r="AK45" s="108">
        <f>COUNTIF(Janvier[[#This Row],[1]:[31]],"RTT")+(COUNTIF(Janvier[[#This Row],[1]:[31]],"dRTT")/2)</f>
        <v>0</v>
      </c>
      <c r="AL45" s="109">
        <f>COUNTIF(Janvier[[#This Row],[1]:[31]],"C")+(COUNTIF(Janvier[[#This Row],[1]:[31]],"DC")/2)</f>
        <v>0</v>
      </c>
      <c r="AM45" s="22">
        <f>COUNTIF(Janvier[[#This Row],[1]:[31]],"M")</f>
        <v>0</v>
      </c>
      <c r="AN45" s="22">
        <f>COUNTIF(Janvier[[#This Row],[1]:[31]],"AT")</f>
        <v>0</v>
      </c>
      <c r="AO45" s="84">
        <f>IF(AND(Janvier[[#This Row],[Maladie]]=0,Janvier[[#This Row],[AT]]=0),((10*(_xlfn.DAYS("31/01/2018","01/01/2018")+1))/365),((_xlfn.DAYS("31/01/2018","01/01/2018")+1-(Janvier[[#This Row],[Maladie]]+Janvier[[#This Row],[AT]]))*((10*(_xlfn.DAYS("31/01/2018","01/01/2018")+1))/365))/(_xlfn.DAYS("31/01/2018","01/01/2018")+1))</f>
        <v>0.84931506849315064</v>
      </c>
      <c r="AP45" s="85">
        <f>$E$5-(COUNTIF(Janvier[[#This Row],[1]:[31]],"C")+COUNTIF(Janvier[[#This Row],[1]:[31]],"RTT")+Janvier[[#This Row],[Maladie]]+Janvier[[#This Row],[AT]])</f>
        <v>22</v>
      </c>
      <c r="AQ45">
        <f>SUMPRODUCT((F45:AJ45="")*(WEEKDAY($F$1:$AJ$1)&lt;6)*(COUNTIF(JFériés!$D$2:$D$11,$F$1:$AJ$1)=0))</f>
        <v>22</v>
      </c>
      <c r="AR45" s="152">
        <f>SUMPRODUCT(IF(Janvier[[#This Row],[RTT Pris]]+Janvier[[#This Row],[CP Pris]]+Janvier[[#This Row],[Maladie]]+Janvier[[#This Row],[AT]]=0,0,Janvier[[#This Row],[RTT Pris]]+Janvier[[#This Row],[CP Pris]]+Janvier[[#This Row],[Maladie]]+Janvier[[#This Row],[AT]])*(WEEKDAY($F$1:$AJ$1)&lt;6)*(COUNTIF(JFériés!$D$2:$D$11,$F$1:$AJ$1)=0))</f>
        <v>0</v>
      </c>
      <c r="AS45">
        <f>IF(Janvier[[#This Row],[RTT Pris]]+Janvier[[#This Row],[CP Pris]]+Janvier[[#This Row],[Maladie]]+Janvier[[#This Row],[AT]]=0,0,Janvier[[#This Row],[RTT Pris]]+Janvier[[#This Row],[CP Pris]]+Janvier[[#This Row],[Maladie]]+Janvier[[#This Row],[AT]])</f>
        <v>0</v>
      </c>
      <c r="AT45">
        <f>$E$5-Janvier[[#This Row],[Colonne3]]</f>
        <v>22</v>
      </c>
      <c r="AU45" s="152" t="e">
        <f t="shared" si="2"/>
        <v>#VALUE!</v>
      </c>
      <c r="AV45" s="152" t="e">
        <f t="shared" si="3"/>
        <v>#VALUE!</v>
      </c>
    </row>
    <row r="46" spans="1:48" ht="30" customHeight="1" x14ac:dyDescent="0.2">
      <c r="A46" s="17" t="s">
        <v>102</v>
      </c>
      <c r="B46" s="17" t="s">
        <v>239</v>
      </c>
      <c r="C46" s="17" t="s">
        <v>240</v>
      </c>
      <c r="D46" s="17" t="s">
        <v>241</v>
      </c>
      <c r="E46" s="23">
        <v>0</v>
      </c>
      <c r="F46" s="47" t="str">
        <f>Global!F46</f>
        <v/>
      </c>
      <c r="G46" s="31" t="str">
        <f>Global!G46</f>
        <v/>
      </c>
      <c r="H46" s="31" t="str">
        <f>Global!H46</f>
        <v/>
      </c>
      <c r="I46" s="31" t="str">
        <f>Global!I46</f>
        <v/>
      </c>
      <c r="J46" s="31" t="str">
        <f>Global!J46</f>
        <v/>
      </c>
      <c r="K46" s="31" t="str">
        <f>Global!K46</f>
        <v/>
      </c>
      <c r="L46" s="31" t="str">
        <f>Global!L46</f>
        <v/>
      </c>
      <c r="M46" s="31" t="str">
        <f>Global!M46</f>
        <v/>
      </c>
      <c r="N46" s="31" t="str">
        <f>Global!N46</f>
        <v>C</v>
      </c>
      <c r="O46" s="31" t="str">
        <f>Global!O46</f>
        <v>C</v>
      </c>
      <c r="P46" s="31" t="str">
        <f>Global!P46</f>
        <v>C</v>
      </c>
      <c r="Q46" s="31" t="str">
        <f>Global!Q46</f>
        <v>C</v>
      </c>
      <c r="R46" s="31" t="str">
        <f>Global!R46</f>
        <v/>
      </c>
      <c r="S46" s="31" t="str">
        <f>Global!S46</f>
        <v/>
      </c>
      <c r="T46" s="31" t="str">
        <f>Global!T46</f>
        <v/>
      </c>
      <c r="U46" s="31" t="str">
        <f>Global!U46</f>
        <v/>
      </c>
      <c r="V46" s="31" t="str">
        <f>Global!V46</f>
        <v/>
      </c>
      <c r="W46" s="31" t="str">
        <f>Global!W46</f>
        <v/>
      </c>
      <c r="X46" s="31" t="str">
        <f>Global!X46</f>
        <v/>
      </c>
      <c r="Y46" s="31" t="str">
        <f>Global!Y46</f>
        <v/>
      </c>
      <c r="Z46" s="31" t="str">
        <f>Global!Z46</f>
        <v/>
      </c>
      <c r="AA46" s="31" t="str">
        <f>Global!AA46</f>
        <v/>
      </c>
      <c r="AB46" s="31" t="str">
        <f>Global!AB46</f>
        <v/>
      </c>
      <c r="AC46" s="31" t="str">
        <f>Global!AC46</f>
        <v/>
      </c>
      <c r="AD46" s="31" t="str">
        <f>Global!AD46</f>
        <v/>
      </c>
      <c r="AE46" s="31" t="str">
        <f>Global!AE46</f>
        <v/>
      </c>
      <c r="AF46" s="31" t="str">
        <f>Global!AF46</f>
        <v/>
      </c>
      <c r="AG46" s="31" t="str">
        <f>Global!AG46</f>
        <v/>
      </c>
      <c r="AH46" s="31" t="str">
        <f>Global!AH46</f>
        <v/>
      </c>
      <c r="AI46" s="31" t="str">
        <f>Global!AI46</f>
        <v/>
      </c>
      <c r="AJ46" s="48" t="str">
        <f>Global!AJ46</f>
        <v/>
      </c>
      <c r="AK46" s="108">
        <f>COUNTIF(Janvier[[#This Row],[1]:[31]],"RTT")+(COUNTIF(Janvier[[#This Row],[1]:[31]],"dRTT")/2)</f>
        <v>0</v>
      </c>
      <c r="AL46" s="109">
        <f>COUNTIF(Janvier[[#This Row],[1]:[31]],"C")+(COUNTIF(Janvier[[#This Row],[1]:[31]],"DC")/2)</f>
        <v>4</v>
      </c>
      <c r="AM46" s="22">
        <f>COUNTIF(Janvier[[#This Row],[1]:[31]],"M")</f>
        <v>0</v>
      </c>
      <c r="AN46" s="22">
        <f>COUNTIF(Janvier[[#This Row],[1]:[31]],"AT")</f>
        <v>0</v>
      </c>
      <c r="AO46" s="84">
        <f>IF(AND(Janvier[[#This Row],[Maladie]]=0,Janvier[[#This Row],[AT]]=0),((10*(_xlfn.DAYS("31/01/2018","01/01/2018")+1))/365),((_xlfn.DAYS("31/01/2018","01/01/2018")+1-(Janvier[[#This Row],[Maladie]]+Janvier[[#This Row],[AT]]))*((10*(_xlfn.DAYS("31/01/2018","01/01/2018")+1))/365))/(_xlfn.DAYS("31/01/2018","01/01/2018")+1))</f>
        <v>0.84931506849315064</v>
      </c>
      <c r="AP46" s="85">
        <f>$E$5-(COUNTIF(Janvier[[#This Row],[1]:[31]],"C")+COUNTIF(Janvier[[#This Row],[1]:[31]],"RTT")+Janvier[[#This Row],[Maladie]]+Janvier[[#This Row],[AT]])</f>
        <v>18</v>
      </c>
      <c r="AQ46">
        <f>SUMPRODUCT((F46:AJ46="")*(WEEKDAY($F$1:$AJ$1)&lt;6)*(COUNTIF(JFériés!$D$2:$D$11,$F$1:$AJ$1)=0))</f>
        <v>19</v>
      </c>
      <c r="AR46" s="152">
        <f>SUMPRODUCT(IF(Janvier[[#This Row],[RTT Pris]]+Janvier[[#This Row],[CP Pris]]+Janvier[[#This Row],[Maladie]]+Janvier[[#This Row],[AT]]=0,0,Janvier[[#This Row],[RTT Pris]]+Janvier[[#This Row],[CP Pris]]+Janvier[[#This Row],[Maladie]]+Janvier[[#This Row],[AT]])*(WEEKDAY($F$1:$AJ$1)&lt;6)*(COUNTIF(JFériés!$D$2:$D$11,$F$1:$AJ$1)=0))</f>
        <v>88</v>
      </c>
      <c r="AS46">
        <f>IF(Janvier[[#This Row],[RTT Pris]]+Janvier[[#This Row],[CP Pris]]+Janvier[[#This Row],[Maladie]]+Janvier[[#This Row],[AT]]=0,0,Janvier[[#This Row],[RTT Pris]]+Janvier[[#This Row],[CP Pris]]+Janvier[[#This Row],[Maladie]]+Janvier[[#This Row],[AT]])</f>
        <v>4</v>
      </c>
      <c r="AT46">
        <f>$E$5-Janvier[[#This Row],[Colonne3]]</f>
        <v>18</v>
      </c>
      <c r="AU46" s="152" t="e">
        <f t="shared" si="2"/>
        <v>#VALUE!</v>
      </c>
      <c r="AV46" s="152" t="e">
        <f t="shared" si="3"/>
        <v>#VALUE!</v>
      </c>
    </row>
    <row r="47" spans="1:48" ht="30" customHeight="1" x14ac:dyDescent="0.2">
      <c r="A47" s="17" t="s">
        <v>103</v>
      </c>
      <c r="B47" s="17" t="s">
        <v>242</v>
      </c>
      <c r="C47" s="17" t="s">
        <v>243</v>
      </c>
      <c r="D47" s="17" t="s">
        <v>244</v>
      </c>
      <c r="E47" s="23">
        <v>0</v>
      </c>
      <c r="F47" s="47" t="str">
        <f>Global!F47</f>
        <v/>
      </c>
      <c r="G47" s="31" t="str">
        <f>Global!G47</f>
        <v/>
      </c>
      <c r="H47" s="31" t="str">
        <f>Global!H47</f>
        <v>C</v>
      </c>
      <c r="I47" s="31" t="str">
        <f>Global!I47</f>
        <v>RTT</v>
      </c>
      <c r="J47" s="31" t="str">
        <f>Global!J47</f>
        <v/>
      </c>
      <c r="K47" s="31" t="str">
        <f>Global!K47</f>
        <v/>
      </c>
      <c r="L47" s="31" t="str">
        <f>Global!L47</f>
        <v/>
      </c>
      <c r="M47" s="31" t="str">
        <f>Global!M47</f>
        <v/>
      </c>
      <c r="N47" s="31" t="str">
        <f>Global!N47</f>
        <v>M</v>
      </c>
      <c r="O47" s="31" t="str">
        <f>Global!O47</f>
        <v>M</v>
      </c>
      <c r="P47" s="31" t="str">
        <f>Global!P47</f>
        <v>M</v>
      </c>
      <c r="Q47" s="31" t="str">
        <f>Global!Q47</f>
        <v/>
      </c>
      <c r="R47" s="31" t="str">
        <f>Global!R47</f>
        <v/>
      </c>
      <c r="S47" s="31" t="str">
        <f>Global!S47</f>
        <v/>
      </c>
      <c r="T47" s="31" t="str">
        <f>Global!T47</f>
        <v/>
      </c>
      <c r="U47" s="31" t="str">
        <f>Global!U47</f>
        <v>RTT</v>
      </c>
      <c r="V47" s="31" t="str">
        <f>Global!V47</f>
        <v>RTT</v>
      </c>
      <c r="W47" s="31" t="str">
        <f>Global!W47</f>
        <v>C</v>
      </c>
      <c r="X47" s="31" t="str">
        <f>Global!X47</f>
        <v/>
      </c>
      <c r="Y47" s="31" t="str">
        <f>Global!Y47</f>
        <v/>
      </c>
      <c r="Z47" s="31" t="str">
        <f>Global!Z47</f>
        <v/>
      </c>
      <c r="AA47" s="31" t="str">
        <f>Global!AA47</f>
        <v/>
      </c>
      <c r="AB47" s="31" t="str">
        <f>Global!AB47</f>
        <v>C</v>
      </c>
      <c r="AC47" s="31" t="str">
        <f>Global!AC47</f>
        <v/>
      </c>
      <c r="AD47" s="31" t="str">
        <f>Global!AD47</f>
        <v>C</v>
      </c>
      <c r="AE47" s="31" t="str">
        <f>Global!AE47</f>
        <v/>
      </c>
      <c r="AF47" s="31" t="str">
        <f>Global!AF47</f>
        <v/>
      </c>
      <c r="AG47" s="31" t="str">
        <f>Global!AG47</f>
        <v/>
      </c>
      <c r="AH47" s="31" t="str">
        <f>Global!AH47</f>
        <v/>
      </c>
      <c r="AI47" s="31" t="str">
        <f>Global!AI47</f>
        <v>C</v>
      </c>
      <c r="AJ47" s="48" t="str">
        <f>Global!AJ47</f>
        <v>M</v>
      </c>
      <c r="AK47" s="108">
        <f>COUNTIF(Janvier[[#This Row],[1]:[31]],"RTT")+(COUNTIF(Janvier[[#This Row],[1]:[31]],"dRTT")/2)</f>
        <v>3</v>
      </c>
      <c r="AL47" s="109">
        <f>COUNTIF(Janvier[[#This Row],[1]:[31]],"C")+(COUNTIF(Janvier[[#This Row],[1]:[31]],"DC")/2)</f>
        <v>5</v>
      </c>
      <c r="AM47" s="22">
        <f>COUNTIF(Janvier[[#This Row],[1]:[31]],"M")</f>
        <v>4</v>
      </c>
      <c r="AN47" s="22">
        <f>COUNTIF(Janvier[[#This Row],[1]:[31]],"AT")</f>
        <v>0</v>
      </c>
      <c r="AO47" s="84">
        <f>IF(AND(Janvier[[#This Row],[Maladie]]=0,Janvier[[#This Row],[AT]]=0),((10*(_xlfn.DAYS("31/01/2018","01/01/2018")+1))/365),((_xlfn.DAYS("31/01/2018","01/01/2018")+1-(Janvier[[#This Row],[Maladie]]+Janvier[[#This Row],[AT]]))*((10*(_xlfn.DAYS("31/01/2018","01/01/2018")+1))/365))/(_xlfn.DAYS("31/01/2018","01/01/2018")+1))</f>
        <v>0.73972602739726023</v>
      </c>
      <c r="AP47" s="85">
        <f>$E$5-(COUNTIF(Janvier[[#This Row],[1]:[31]],"C")+COUNTIF(Janvier[[#This Row],[1]:[31]],"RTT")+Janvier[[#This Row],[Maladie]]+Janvier[[#This Row],[AT]])</f>
        <v>10</v>
      </c>
      <c r="AQ47">
        <f>SUMPRODUCT((F47:AJ47="")*(WEEKDAY($F$1:$AJ$1)&lt;6)*(COUNTIF(JFériés!$D$2:$D$11,$F$1:$AJ$1)=0))</f>
        <v>10</v>
      </c>
      <c r="AR47" s="152">
        <f>SUMPRODUCT(IF(Janvier[[#This Row],[RTT Pris]]+Janvier[[#This Row],[CP Pris]]+Janvier[[#This Row],[Maladie]]+Janvier[[#This Row],[AT]]=0,0,Janvier[[#This Row],[RTT Pris]]+Janvier[[#This Row],[CP Pris]]+Janvier[[#This Row],[Maladie]]+Janvier[[#This Row],[AT]])*(WEEKDAY($F$1:$AJ$1)&lt;6)*(COUNTIF(JFériés!$D$2:$D$11,$F$1:$AJ$1)=0))</f>
        <v>264</v>
      </c>
      <c r="AS47">
        <f>IF(Janvier[[#This Row],[RTT Pris]]+Janvier[[#This Row],[CP Pris]]+Janvier[[#This Row],[Maladie]]+Janvier[[#This Row],[AT]]=0,0,Janvier[[#This Row],[RTT Pris]]+Janvier[[#This Row],[CP Pris]]+Janvier[[#This Row],[Maladie]]+Janvier[[#This Row],[AT]])</f>
        <v>12</v>
      </c>
      <c r="AT47">
        <f>$E$5-Janvier[[#This Row],[Colonne3]]</f>
        <v>10</v>
      </c>
      <c r="AU47" s="152" t="e">
        <f t="shared" si="2"/>
        <v>#VALUE!</v>
      </c>
      <c r="AV47" s="152" t="e">
        <f t="shared" si="3"/>
        <v>#VALUE!</v>
      </c>
    </row>
    <row r="48" spans="1:48" ht="30" customHeight="1" x14ac:dyDescent="0.2">
      <c r="A48" s="17" t="s">
        <v>104</v>
      </c>
      <c r="B48" s="17" t="s">
        <v>245</v>
      </c>
      <c r="C48" s="17" t="s">
        <v>246</v>
      </c>
      <c r="D48" s="17" t="s">
        <v>247</v>
      </c>
      <c r="E48" s="23">
        <v>0</v>
      </c>
      <c r="F48" s="47" t="str">
        <f>Global!F48</f>
        <v/>
      </c>
      <c r="G48" s="31" t="str">
        <f>Global!G48</f>
        <v/>
      </c>
      <c r="H48" s="31" t="str">
        <f>Global!H48</f>
        <v/>
      </c>
      <c r="I48" s="31" t="str">
        <f>Global!I48</f>
        <v/>
      </c>
      <c r="J48" s="31" t="str">
        <f>Global!J48</f>
        <v/>
      </c>
      <c r="K48" s="31" t="str">
        <f>Global!K48</f>
        <v/>
      </c>
      <c r="L48" s="31" t="str">
        <f>Global!L48</f>
        <v/>
      </c>
      <c r="M48" s="31" t="str">
        <f>Global!M48</f>
        <v/>
      </c>
      <c r="N48" s="31" t="str">
        <f>Global!N48</f>
        <v/>
      </c>
      <c r="O48" s="31" t="str">
        <f>Global!O48</f>
        <v/>
      </c>
      <c r="P48" s="31" t="str">
        <f>Global!P48</f>
        <v/>
      </c>
      <c r="Q48" s="31" t="str">
        <f>Global!Q48</f>
        <v/>
      </c>
      <c r="R48" s="31" t="str">
        <f>Global!R48</f>
        <v/>
      </c>
      <c r="S48" s="31" t="str">
        <f>Global!S48</f>
        <v/>
      </c>
      <c r="T48" s="31" t="str">
        <f>Global!T48</f>
        <v/>
      </c>
      <c r="U48" s="31" t="str">
        <f>Global!U48</f>
        <v/>
      </c>
      <c r="V48" s="31" t="str">
        <f>Global!V48</f>
        <v/>
      </c>
      <c r="W48" s="31" t="str">
        <f>Global!W48</f>
        <v/>
      </c>
      <c r="X48" s="31" t="str">
        <f>Global!X48</f>
        <v/>
      </c>
      <c r="Y48" s="31" t="str">
        <f>Global!Y48</f>
        <v/>
      </c>
      <c r="Z48" s="31" t="str">
        <f>Global!Z48</f>
        <v/>
      </c>
      <c r="AA48" s="31" t="str">
        <f>Global!AA48</f>
        <v>RTT</v>
      </c>
      <c r="AB48" s="31" t="str">
        <f>Global!AB48</f>
        <v>RTT</v>
      </c>
      <c r="AC48" s="31" t="str">
        <f>Global!AC48</f>
        <v>RTT</v>
      </c>
      <c r="AD48" s="31" t="str">
        <f>Global!AD48</f>
        <v>RTT</v>
      </c>
      <c r="AE48" s="31" t="str">
        <f>Global!AE48</f>
        <v>C</v>
      </c>
      <c r="AF48" s="31" t="str">
        <f>Global!AF48</f>
        <v/>
      </c>
      <c r="AG48" s="31" t="str">
        <f>Global!AG48</f>
        <v/>
      </c>
      <c r="AH48" s="31" t="str">
        <f>Global!AH48</f>
        <v/>
      </c>
      <c r="AI48" s="31" t="str">
        <f>Global!AI48</f>
        <v/>
      </c>
      <c r="AJ48" s="48" t="str">
        <f>Global!AJ48</f>
        <v/>
      </c>
      <c r="AK48" s="108">
        <f>COUNTIF(Janvier[[#This Row],[1]:[31]],"RTT")+(COUNTIF(Janvier[[#This Row],[1]:[31]],"dRTT")/2)</f>
        <v>4</v>
      </c>
      <c r="AL48" s="109">
        <f>COUNTIF(Janvier[[#This Row],[1]:[31]],"C")+(COUNTIF(Janvier[[#This Row],[1]:[31]],"DC")/2)</f>
        <v>1</v>
      </c>
      <c r="AM48" s="22">
        <f>COUNTIF(Janvier[[#This Row],[1]:[31]],"M")</f>
        <v>0</v>
      </c>
      <c r="AN48" s="22">
        <f>COUNTIF(Janvier[[#This Row],[1]:[31]],"AT")</f>
        <v>0</v>
      </c>
      <c r="AO48" s="84">
        <f>IF(AND(Janvier[[#This Row],[Maladie]]=0,Janvier[[#This Row],[AT]]=0),((10*(_xlfn.DAYS("31/01/2018","01/01/2018")+1))/365),((_xlfn.DAYS("31/01/2018","01/01/2018")+1-(Janvier[[#This Row],[Maladie]]+Janvier[[#This Row],[AT]]))*((10*(_xlfn.DAYS("31/01/2018","01/01/2018")+1))/365))/(_xlfn.DAYS("31/01/2018","01/01/2018")+1))</f>
        <v>0.84931506849315064</v>
      </c>
      <c r="AP48" s="85">
        <f>$E$5-(COUNTIF(Janvier[[#This Row],[1]:[31]],"C")+COUNTIF(Janvier[[#This Row],[1]:[31]],"RTT")+Janvier[[#This Row],[Maladie]]+Janvier[[#This Row],[AT]])</f>
        <v>17</v>
      </c>
      <c r="AQ48">
        <f>SUMPRODUCT((F48:AJ48="")*(WEEKDAY($F$1:$AJ$1)&lt;6)*(COUNTIF(JFériés!$D$2:$D$11,$F$1:$AJ$1)=0))</f>
        <v>18</v>
      </c>
      <c r="AR48" s="152">
        <f>SUMPRODUCT(IF(Janvier[[#This Row],[RTT Pris]]+Janvier[[#This Row],[CP Pris]]+Janvier[[#This Row],[Maladie]]+Janvier[[#This Row],[AT]]=0,0,Janvier[[#This Row],[RTT Pris]]+Janvier[[#This Row],[CP Pris]]+Janvier[[#This Row],[Maladie]]+Janvier[[#This Row],[AT]])*(WEEKDAY($F$1:$AJ$1)&lt;6)*(COUNTIF(JFériés!$D$2:$D$11,$F$1:$AJ$1)=0))</f>
        <v>110</v>
      </c>
      <c r="AS48">
        <f>IF(Janvier[[#This Row],[RTT Pris]]+Janvier[[#This Row],[CP Pris]]+Janvier[[#This Row],[Maladie]]+Janvier[[#This Row],[AT]]=0,0,Janvier[[#This Row],[RTT Pris]]+Janvier[[#This Row],[CP Pris]]+Janvier[[#This Row],[Maladie]]+Janvier[[#This Row],[AT]])</f>
        <v>5</v>
      </c>
      <c r="AT48">
        <f>$E$5-Janvier[[#This Row],[Colonne3]]</f>
        <v>17</v>
      </c>
      <c r="AU48" s="152" t="e">
        <f t="shared" si="2"/>
        <v>#VALUE!</v>
      </c>
      <c r="AV48" s="152" t="e">
        <f t="shared" si="3"/>
        <v>#VALUE!</v>
      </c>
    </row>
    <row r="49" spans="1:48" ht="30" customHeight="1" x14ac:dyDescent="0.2">
      <c r="A49" s="17" t="s">
        <v>105</v>
      </c>
      <c r="B49" s="17" t="s">
        <v>248</v>
      </c>
      <c r="C49" s="17" t="s">
        <v>249</v>
      </c>
      <c r="D49" s="17" t="s">
        <v>250</v>
      </c>
      <c r="E49" s="23">
        <v>0</v>
      </c>
      <c r="F49" s="47" t="str">
        <f>Global!F49</f>
        <v/>
      </c>
      <c r="G49" s="31" t="str">
        <f>Global!G49</f>
        <v/>
      </c>
      <c r="H49" s="31" t="str">
        <f>Global!H49</f>
        <v/>
      </c>
      <c r="I49" s="31" t="str">
        <f>Global!I49</f>
        <v/>
      </c>
      <c r="J49" s="31" t="str">
        <f>Global!J49</f>
        <v/>
      </c>
      <c r="K49" s="31" t="str">
        <f>Global!K49</f>
        <v/>
      </c>
      <c r="L49" s="31" t="str">
        <f>Global!L49</f>
        <v/>
      </c>
      <c r="M49" s="31" t="str">
        <f>Global!M49</f>
        <v/>
      </c>
      <c r="N49" s="31" t="str">
        <f>Global!N49</f>
        <v/>
      </c>
      <c r="O49" s="31" t="str">
        <f>Global!O49</f>
        <v/>
      </c>
      <c r="P49" s="31" t="str">
        <f>Global!P49</f>
        <v/>
      </c>
      <c r="Q49" s="31" t="str">
        <f>Global!Q49</f>
        <v/>
      </c>
      <c r="R49" s="31" t="str">
        <f>Global!R49</f>
        <v/>
      </c>
      <c r="S49" s="31" t="str">
        <f>Global!S49</f>
        <v/>
      </c>
      <c r="T49" s="31" t="str">
        <f>Global!T49</f>
        <v/>
      </c>
      <c r="U49" s="31" t="str">
        <f>Global!U49</f>
        <v/>
      </c>
      <c r="V49" s="31" t="str">
        <f>Global!V49</f>
        <v/>
      </c>
      <c r="W49" s="31" t="str">
        <f>Global!W49</f>
        <v/>
      </c>
      <c r="X49" s="31" t="str">
        <f>Global!X49</f>
        <v/>
      </c>
      <c r="Y49" s="31" t="str">
        <f>Global!Y49</f>
        <v/>
      </c>
      <c r="Z49" s="31" t="str">
        <f>Global!Z49</f>
        <v/>
      </c>
      <c r="AA49" s="31" t="str">
        <f>Global!AA49</f>
        <v/>
      </c>
      <c r="AB49" s="31" t="str">
        <f>Global!AB49</f>
        <v/>
      </c>
      <c r="AC49" s="31" t="str">
        <f>Global!AC49</f>
        <v/>
      </c>
      <c r="AD49" s="31" t="str">
        <f>Global!AD49</f>
        <v/>
      </c>
      <c r="AE49" s="31" t="str">
        <f>Global!AE49</f>
        <v/>
      </c>
      <c r="AF49" s="31" t="str">
        <f>Global!AF49</f>
        <v/>
      </c>
      <c r="AG49" s="31" t="str">
        <f>Global!AG49</f>
        <v/>
      </c>
      <c r="AH49" s="31" t="str">
        <f>Global!AH49</f>
        <v/>
      </c>
      <c r="AI49" s="31" t="str">
        <f>Global!AI49</f>
        <v/>
      </c>
      <c r="AJ49" s="48" t="str">
        <f>Global!AJ49</f>
        <v/>
      </c>
      <c r="AK49" s="108">
        <f>COUNTIF(Janvier[[#This Row],[1]:[31]],"RTT")+(COUNTIF(Janvier[[#This Row],[1]:[31]],"dRTT")/2)</f>
        <v>0</v>
      </c>
      <c r="AL49" s="109">
        <f>COUNTIF(Janvier[[#This Row],[1]:[31]],"C")+(COUNTIF(Janvier[[#This Row],[1]:[31]],"DC")/2)</f>
        <v>0</v>
      </c>
      <c r="AM49" s="22">
        <f>COUNTIF(Janvier[[#This Row],[1]:[31]],"M")</f>
        <v>0</v>
      </c>
      <c r="AN49" s="22">
        <f>COUNTIF(Janvier[[#This Row],[1]:[31]],"AT")</f>
        <v>0</v>
      </c>
      <c r="AO49" s="84">
        <f>IF(AND(Janvier[[#This Row],[Maladie]]=0,Janvier[[#This Row],[AT]]=0),((10*(_xlfn.DAYS("31/01/2018","01/01/2018")+1))/365),((_xlfn.DAYS("31/01/2018","01/01/2018")+1-(Janvier[[#This Row],[Maladie]]+Janvier[[#This Row],[AT]]))*((10*(_xlfn.DAYS("31/01/2018","01/01/2018")+1))/365))/(_xlfn.DAYS("31/01/2018","01/01/2018")+1))</f>
        <v>0.84931506849315064</v>
      </c>
      <c r="AP49" s="85">
        <f>$E$5-(COUNTIF(Janvier[[#This Row],[1]:[31]],"C")+COUNTIF(Janvier[[#This Row],[1]:[31]],"RTT")+Janvier[[#This Row],[Maladie]]+Janvier[[#This Row],[AT]])</f>
        <v>22</v>
      </c>
      <c r="AQ49">
        <f>SUMPRODUCT((F49:AJ49="")*(WEEKDAY($F$1:$AJ$1)&lt;6)*(COUNTIF(JFériés!$D$2:$D$11,$F$1:$AJ$1)=0))</f>
        <v>22</v>
      </c>
      <c r="AR49" s="152">
        <f>SUMPRODUCT(IF(Janvier[[#This Row],[RTT Pris]]+Janvier[[#This Row],[CP Pris]]+Janvier[[#This Row],[Maladie]]+Janvier[[#This Row],[AT]]=0,0,Janvier[[#This Row],[RTT Pris]]+Janvier[[#This Row],[CP Pris]]+Janvier[[#This Row],[Maladie]]+Janvier[[#This Row],[AT]])*(WEEKDAY($F$1:$AJ$1)&lt;6)*(COUNTIF(JFériés!$D$2:$D$11,$F$1:$AJ$1)=0))</f>
        <v>0</v>
      </c>
      <c r="AS49">
        <f>IF(Janvier[[#This Row],[RTT Pris]]+Janvier[[#This Row],[CP Pris]]+Janvier[[#This Row],[Maladie]]+Janvier[[#This Row],[AT]]=0,0,Janvier[[#This Row],[RTT Pris]]+Janvier[[#This Row],[CP Pris]]+Janvier[[#This Row],[Maladie]]+Janvier[[#This Row],[AT]])</f>
        <v>0</v>
      </c>
      <c r="AT49">
        <f>$E$5-Janvier[[#This Row],[Colonne3]]</f>
        <v>22</v>
      </c>
      <c r="AU49" s="152" t="e">
        <f t="shared" si="2"/>
        <v>#VALUE!</v>
      </c>
      <c r="AV49" s="152" t="e">
        <f t="shared" si="3"/>
        <v>#VALUE!</v>
      </c>
    </row>
    <row r="50" spans="1:48" ht="30" customHeight="1" x14ac:dyDescent="0.2">
      <c r="A50" s="17" t="s">
        <v>106</v>
      </c>
      <c r="B50" s="17" t="s">
        <v>251</v>
      </c>
      <c r="C50" s="17" t="s">
        <v>252</v>
      </c>
      <c r="D50" s="17" t="s">
        <v>253</v>
      </c>
      <c r="E50" s="23">
        <v>0</v>
      </c>
      <c r="F50" s="47" t="str">
        <f>Global!F50</f>
        <v/>
      </c>
      <c r="G50" s="31" t="str">
        <f>Global!G50</f>
        <v/>
      </c>
      <c r="H50" s="31" t="str">
        <f>Global!H50</f>
        <v/>
      </c>
      <c r="I50" s="31" t="str">
        <f>Global!I50</f>
        <v/>
      </c>
      <c r="J50" s="31" t="str">
        <f>Global!J50</f>
        <v/>
      </c>
      <c r="K50" s="31" t="str">
        <f>Global!K50</f>
        <v/>
      </c>
      <c r="L50" s="31" t="str">
        <f>Global!L50</f>
        <v/>
      </c>
      <c r="M50" s="31" t="str">
        <f>Global!M50</f>
        <v/>
      </c>
      <c r="N50" s="31" t="str">
        <f>Global!N50</f>
        <v/>
      </c>
      <c r="O50" s="31" t="str">
        <f>Global!O50</f>
        <v/>
      </c>
      <c r="P50" s="31" t="str">
        <f>Global!P50</f>
        <v/>
      </c>
      <c r="Q50" s="31" t="str">
        <f>Global!Q50</f>
        <v/>
      </c>
      <c r="R50" s="31" t="str">
        <f>Global!R50</f>
        <v/>
      </c>
      <c r="S50" s="31" t="str">
        <f>Global!S50</f>
        <v/>
      </c>
      <c r="T50" s="31" t="str">
        <f>Global!T50</f>
        <v/>
      </c>
      <c r="U50" s="31" t="str">
        <f>Global!U50</f>
        <v/>
      </c>
      <c r="V50" s="31" t="str">
        <f>Global!V50</f>
        <v/>
      </c>
      <c r="W50" s="31" t="str">
        <f>Global!W50</f>
        <v/>
      </c>
      <c r="X50" s="31" t="str">
        <f>Global!X50</f>
        <v/>
      </c>
      <c r="Y50" s="31" t="str">
        <f>Global!Y50</f>
        <v/>
      </c>
      <c r="Z50" s="31" t="str">
        <f>Global!Z50</f>
        <v/>
      </c>
      <c r="AA50" s="31" t="str">
        <f>Global!AA50</f>
        <v/>
      </c>
      <c r="AB50" s="31" t="str">
        <f>Global!AB50</f>
        <v/>
      </c>
      <c r="AC50" s="31" t="str">
        <f>Global!AC50</f>
        <v/>
      </c>
      <c r="AD50" s="31" t="str">
        <f>Global!AD50</f>
        <v/>
      </c>
      <c r="AE50" s="31" t="str">
        <f>Global!AE50</f>
        <v/>
      </c>
      <c r="AF50" s="31" t="str">
        <f>Global!AF50</f>
        <v/>
      </c>
      <c r="AG50" s="31" t="str">
        <f>Global!AG50</f>
        <v/>
      </c>
      <c r="AH50" s="31" t="str">
        <f>Global!AH50</f>
        <v/>
      </c>
      <c r="AI50" s="31" t="str">
        <f>Global!AI50</f>
        <v/>
      </c>
      <c r="AJ50" s="48" t="str">
        <f>Global!AJ50</f>
        <v/>
      </c>
      <c r="AK50" s="108">
        <f>COUNTIF(Janvier[[#This Row],[1]:[31]],"RTT")+(COUNTIF(Janvier[[#This Row],[1]:[31]],"dRTT")/2)</f>
        <v>0</v>
      </c>
      <c r="AL50" s="109">
        <f>COUNTIF(Janvier[[#This Row],[1]:[31]],"C")+(COUNTIF(Janvier[[#This Row],[1]:[31]],"DC")/2)</f>
        <v>0</v>
      </c>
      <c r="AM50" s="22">
        <f>COUNTIF(Janvier[[#This Row],[1]:[31]],"M")</f>
        <v>0</v>
      </c>
      <c r="AN50" s="22">
        <f>COUNTIF(Janvier[[#This Row],[1]:[31]],"AT")</f>
        <v>0</v>
      </c>
      <c r="AO50" s="84">
        <f>IF(AND(Janvier[[#This Row],[Maladie]]=0,Janvier[[#This Row],[AT]]=0),((10*(_xlfn.DAYS("31/01/2018","01/01/2018")+1))/365),((_xlfn.DAYS("31/01/2018","01/01/2018")+1-(Janvier[[#This Row],[Maladie]]+Janvier[[#This Row],[AT]]))*((10*(_xlfn.DAYS("31/01/2018","01/01/2018")+1))/365))/(_xlfn.DAYS("31/01/2018","01/01/2018")+1))</f>
        <v>0.84931506849315064</v>
      </c>
      <c r="AP50" s="85">
        <f>$E$5-(COUNTIF(Janvier[[#This Row],[1]:[31]],"C")+COUNTIF(Janvier[[#This Row],[1]:[31]],"RTT")+Janvier[[#This Row],[Maladie]]+Janvier[[#This Row],[AT]])</f>
        <v>22</v>
      </c>
      <c r="AQ50">
        <f>SUMPRODUCT((F50:AJ50="")*(WEEKDAY($F$1:$AJ$1)&lt;6)*(COUNTIF(JFériés!$D$2:$D$11,$F$1:$AJ$1)=0))</f>
        <v>22</v>
      </c>
      <c r="AR50" s="152">
        <f>SUMPRODUCT(IF(Janvier[[#This Row],[RTT Pris]]+Janvier[[#This Row],[CP Pris]]+Janvier[[#This Row],[Maladie]]+Janvier[[#This Row],[AT]]=0,0,Janvier[[#This Row],[RTT Pris]]+Janvier[[#This Row],[CP Pris]]+Janvier[[#This Row],[Maladie]]+Janvier[[#This Row],[AT]])*(WEEKDAY($F$1:$AJ$1)&lt;6)*(COUNTIF(JFériés!$D$2:$D$11,$F$1:$AJ$1)=0))</f>
        <v>0</v>
      </c>
      <c r="AS50">
        <f>IF(Janvier[[#This Row],[RTT Pris]]+Janvier[[#This Row],[CP Pris]]+Janvier[[#This Row],[Maladie]]+Janvier[[#This Row],[AT]]=0,0,Janvier[[#This Row],[RTT Pris]]+Janvier[[#This Row],[CP Pris]]+Janvier[[#This Row],[Maladie]]+Janvier[[#This Row],[AT]])</f>
        <v>0</v>
      </c>
      <c r="AT50">
        <f>$E$5-Janvier[[#This Row],[Colonne3]]</f>
        <v>22</v>
      </c>
      <c r="AU50" s="152" t="e">
        <f t="shared" si="2"/>
        <v>#VALUE!</v>
      </c>
      <c r="AV50" s="152" t="e">
        <f t="shared" si="3"/>
        <v>#VALUE!</v>
      </c>
    </row>
    <row r="51" spans="1:48" ht="30" customHeight="1" x14ac:dyDescent="0.2">
      <c r="A51" s="17" t="s">
        <v>107</v>
      </c>
      <c r="B51" s="17" t="s">
        <v>254</v>
      </c>
      <c r="C51" s="17" t="s">
        <v>255</v>
      </c>
      <c r="D51" s="17" t="s">
        <v>256</v>
      </c>
      <c r="E51" s="23">
        <v>0</v>
      </c>
      <c r="F51" s="47" t="str">
        <f>Global!F51</f>
        <v/>
      </c>
      <c r="G51" s="31" t="str">
        <f>Global!G51</f>
        <v/>
      </c>
      <c r="H51" s="31" t="str">
        <f>Global!H51</f>
        <v/>
      </c>
      <c r="I51" s="31" t="str">
        <f>Global!I51</f>
        <v/>
      </c>
      <c r="J51" s="31" t="str">
        <f>Global!J51</f>
        <v/>
      </c>
      <c r="K51" s="31" t="str">
        <f>Global!K51</f>
        <v/>
      </c>
      <c r="L51" s="31" t="str">
        <f>Global!L51</f>
        <v/>
      </c>
      <c r="M51" s="31" t="str">
        <f>Global!M51</f>
        <v/>
      </c>
      <c r="N51" s="31" t="str">
        <f>Global!N51</f>
        <v>M</v>
      </c>
      <c r="O51" s="31" t="str">
        <f>Global!O51</f>
        <v/>
      </c>
      <c r="P51" s="31" t="str">
        <f>Global!P51</f>
        <v/>
      </c>
      <c r="Q51" s="31" t="str">
        <f>Global!Q51</f>
        <v/>
      </c>
      <c r="R51" s="31" t="str">
        <f>Global!R51</f>
        <v/>
      </c>
      <c r="S51" s="31" t="str">
        <f>Global!S51</f>
        <v/>
      </c>
      <c r="T51" s="31" t="str">
        <f>Global!T51</f>
        <v/>
      </c>
      <c r="U51" s="31" t="str">
        <f>Global!U51</f>
        <v/>
      </c>
      <c r="V51" s="31" t="str">
        <f>Global!V51</f>
        <v/>
      </c>
      <c r="W51" s="31" t="str">
        <f>Global!W51</f>
        <v/>
      </c>
      <c r="X51" s="31" t="str">
        <f>Global!X51</f>
        <v/>
      </c>
      <c r="Y51" s="31" t="str">
        <f>Global!Y51</f>
        <v/>
      </c>
      <c r="Z51" s="31" t="str">
        <f>Global!Z51</f>
        <v/>
      </c>
      <c r="AA51" s="31" t="str">
        <f>Global!AA51</f>
        <v/>
      </c>
      <c r="AB51" s="31" t="str">
        <f>Global!AB51</f>
        <v/>
      </c>
      <c r="AC51" s="31" t="str">
        <f>Global!AC51</f>
        <v/>
      </c>
      <c r="AD51" s="31" t="str">
        <f>Global!AD51</f>
        <v/>
      </c>
      <c r="AE51" s="31" t="str">
        <f>Global!AE51</f>
        <v/>
      </c>
      <c r="AF51" s="31" t="str">
        <f>Global!AF51</f>
        <v/>
      </c>
      <c r="AG51" s="31" t="str">
        <f>Global!AG51</f>
        <v/>
      </c>
      <c r="AH51" s="31" t="str">
        <f>Global!AH51</f>
        <v/>
      </c>
      <c r="AI51" s="31" t="str">
        <f>Global!AI51</f>
        <v/>
      </c>
      <c r="AJ51" s="48" t="str">
        <f>Global!AJ51</f>
        <v/>
      </c>
      <c r="AK51" s="108">
        <f>COUNTIF(Janvier[[#This Row],[1]:[31]],"RTT")+(COUNTIF(Janvier[[#This Row],[1]:[31]],"dRTT")/2)</f>
        <v>0</v>
      </c>
      <c r="AL51" s="109">
        <f>COUNTIF(Janvier[[#This Row],[1]:[31]],"C")+(COUNTIF(Janvier[[#This Row],[1]:[31]],"DC")/2)</f>
        <v>0</v>
      </c>
      <c r="AM51" s="22">
        <f>COUNTIF(Janvier[[#This Row],[1]:[31]],"M")</f>
        <v>1</v>
      </c>
      <c r="AN51" s="22">
        <f>COUNTIF(Janvier[[#This Row],[1]:[31]],"AT")</f>
        <v>0</v>
      </c>
      <c r="AO51" s="84">
        <f>IF(AND(Janvier[[#This Row],[Maladie]]=0,Janvier[[#This Row],[AT]]=0),((10*(_xlfn.DAYS("31/01/2018","01/01/2018")+1))/365),((_xlfn.DAYS("31/01/2018","01/01/2018")+1-(Janvier[[#This Row],[Maladie]]+Janvier[[#This Row],[AT]]))*((10*(_xlfn.DAYS("31/01/2018","01/01/2018")+1))/365))/(_xlfn.DAYS("31/01/2018","01/01/2018")+1))</f>
        <v>0.82191780821917804</v>
      </c>
      <c r="AP51" s="85">
        <f>$E$5-(COUNTIF(Janvier[[#This Row],[1]:[31]],"C")+COUNTIF(Janvier[[#This Row],[1]:[31]],"RTT")+Janvier[[#This Row],[Maladie]]+Janvier[[#This Row],[AT]])</f>
        <v>21</v>
      </c>
      <c r="AQ51">
        <f>SUMPRODUCT((F51:AJ51="")*(WEEKDAY($F$1:$AJ$1)&lt;6)*(COUNTIF(JFériés!$D$2:$D$11,$F$1:$AJ$1)=0))</f>
        <v>21</v>
      </c>
      <c r="AR51" s="152">
        <f>SUMPRODUCT(IF(Janvier[[#This Row],[RTT Pris]]+Janvier[[#This Row],[CP Pris]]+Janvier[[#This Row],[Maladie]]+Janvier[[#This Row],[AT]]=0,0,Janvier[[#This Row],[RTT Pris]]+Janvier[[#This Row],[CP Pris]]+Janvier[[#This Row],[Maladie]]+Janvier[[#This Row],[AT]])*(WEEKDAY($F$1:$AJ$1)&lt;6)*(COUNTIF(JFériés!$D$2:$D$11,$F$1:$AJ$1)=0))</f>
        <v>22</v>
      </c>
      <c r="AS51">
        <f>IF(Janvier[[#This Row],[RTT Pris]]+Janvier[[#This Row],[CP Pris]]+Janvier[[#This Row],[Maladie]]+Janvier[[#This Row],[AT]]=0,0,Janvier[[#This Row],[RTT Pris]]+Janvier[[#This Row],[CP Pris]]+Janvier[[#This Row],[Maladie]]+Janvier[[#This Row],[AT]])</f>
        <v>1</v>
      </c>
      <c r="AT51">
        <f>$E$5-Janvier[[#This Row],[Colonne3]]</f>
        <v>21</v>
      </c>
      <c r="AU51" s="152" t="e">
        <f t="shared" si="2"/>
        <v>#VALUE!</v>
      </c>
      <c r="AV51" s="152" t="e">
        <f t="shared" si="3"/>
        <v>#VALUE!</v>
      </c>
    </row>
    <row r="52" spans="1:48" ht="30" customHeight="1" x14ac:dyDescent="0.2">
      <c r="A52" s="17" t="s">
        <v>108</v>
      </c>
      <c r="B52" s="17" t="s">
        <v>257</v>
      </c>
      <c r="C52" s="17" t="s">
        <v>258</v>
      </c>
      <c r="D52" s="17" t="s">
        <v>259</v>
      </c>
      <c r="E52" s="23">
        <v>0</v>
      </c>
      <c r="F52" s="47" t="str">
        <f>Global!F52</f>
        <v/>
      </c>
      <c r="G52" s="31" t="str">
        <f>Global!G52</f>
        <v>C</v>
      </c>
      <c r="H52" s="31" t="str">
        <f>Global!H52</f>
        <v/>
      </c>
      <c r="I52" s="31" t="str">
        <f>Global!I52</f>
        <v>M</v>
      </c>
      <c r="J52" s="31" t="str">
        <f>Global!J52</f>
        <v>M</v>
      </c>
      <c r="K52" s="31" t="str">
        <f>Global!K52</f>
        <v>M</v>
      </c>
      <c r="L52" s="31" t="str">
        <f>Global!L52</f>
        <v>M</v>
      </c>
      <c r="M52" s="31" t="str">
        <f>Global!M52</f>
        <v/>
      </c>
      <c r="N52" s="31" t="str">
        <f>Global!N52</f>
        <v/>
      </c>
      <c r="O52" s="31" t="str">
        <f>Global!O52</f>
        <v/>
      </c>
      <c r="P52" s="31" t="str">
        <f>Global!P52</f>
        <v/>
      </c>
      <c r="Q52" s="31" t="str">
        <f>Global!Q52</f>
        <v/>
      </c>
      <c r="R52" s="31" t="str">
        <f>Global!R52</f>
        <v/>
      </c>
      <c r="S52" s="31" t="str">
        <f>Global!S52</f>
        <v/>
      </c>
      <c r="T52" s="31" t="str">
        <f>Global!T52</f>
        <v>C</v>
      </c>
      <c r="U52" s="31" t="str">
        <f>Global!U52</f>
        <v>C</v>
      </c>
      <c r="V52" s="31" t="str">
        <f>Global!V52</f>
        <v>C</v>
      </c>
      <c r="W52" s="31" t="str">
        <f>Global!W52</f>
        <v>C</v>
      </c>
      <c r="X52" s="31" t="str">
        <f>Global!X52</f>
        <v>C</v>
      </c>
      <c r="Y52" s="31" t="str">
        <f>Global!Y52</f>
        <v/>
      </c>
      <c r="Z52" s="31" t="str">
        <f>Global!Z52</f>
        <v/>
      </c>
      <c r="AA52" s="31" t="str">
        <f>Global!AA52</f>
        <v/>
      </c>
      <c r="AB52" s="31" t="str">
        <f>Global!AB52</f>
        <v/>
      </c>
      <c r="AC52" s="31" t="str">
        <f>Global!AC52</f>
        <v/>
      </c>
      <c r="AD52" s="31" t="str">
        <f>Global!AD52</f>
        <v/>
      </c>
      <c r="AE52" s="31" t="str">
        <f>Global!AE52</f>
        <v/>
      </c>
      <c r="AF52" s="31" t="str">
        <f>Global!AF52</f>
        <v/>
      </c>
      <c r="AG52" s="31" t="str">
        <f>Global!AG52</f>
        <v/>
      </c>
      <c r="AH52" s="31" t="str">
        <f>Global!AH52</f>
        <v/>
      </c>
      <c r="AI52" s="31" t="str">
        <f>Global!AI52</f>
        <v/>
      </c>
      <c r="AJ52" s="48" t="str">
        <f>Global!AJ52</f>
        <v/>
      </c>
      <c r="AK52" s="108">
        <f>COUNTIF(Janvier[[#This Row],[1]:[31]],"RTT")+(COUNTIF(Janvier[[#This Row],[1]:[31]],"dRTT")/2)</f>
        <v>0</v>
      </c>
      <c r="AL52" s="109">
        <f>COUNTIF(Janvier[[#This Row],[1]:[31]],"C")+(COUNTIF(Janvier[[#This Row],[1]:[31]],"DC")/2)</f>
        <v>6</v>
      </c>
      <c r="AM52" s="22">
        <f>COUNTIF(Janvier[[#This Row],[1]:[31]],"M")</f>
        <v>4</v>
      </c>
      <c r="AN52" s="22">
        <f>COUNTIF(Janvier[[#This Row],[1]:[31]],"AT")</f>
        <v>0</v>
      </c>
      <c r="AO52" s="84">
        <f>IF(AND(Janvier[[#This Row],[Maladie]]=0,Janvier[[#This Row],[AT]]=0),((10*(_xlfn.DAYS("31/01/2018","01/01/2018")+1))/365),((_xlfn.DAYS("31/01/2018","01/01/2018")+1-(Janvier[[#This Row],[Maladie]]+Janvier[[#This Row],[AT]]))*((10*(_xlfn.DAYS("31/01/2018","01/01/2018")+1))/365))/(_xlfn.DAYS("31/01/2018","01/01/2018")+1))</f>
        <v>0.73972602739726023</v>
      </c>
      <c r="AP52" s="85">
        <f>$E$5-(COUNTIF(Janvier[[#This Row],[1]:[31]],"C")+COUNTIF(Janvier[[#This Row],[1]:[31]],"RTT")+Janvier[[#This Row],[Maladie]]+Janvier[[#This Row],[AT]])</f>
        <v>12</v>
      </c>
      <c r="AQ52">
        <f>SUMPRODUCT((F52:AJ52="")*(WEEKDAY($F$1:$AJ$1)&lt;6)*(COUNTIF(JFériés!$D$2:$D$11,$F$1:$AJ$1)=0))</f>
        <v>15</v>
      </c>
      <c r="AR52" s="152">
        <f>SUMPRODUCT(IF(Janvier[[#This Row],[RTT Pris]]+Janvier[[#This Row],[CP Pris]]+Janvier[[#This Row],[Maladie]]+Janvier[[#This Row],[AT]]=0,0,Janvier[[#This Row],[RTT Pris]]+Janvier[[#This Row],[CP Pris]]+Janvier[[#This Row],[Maladie]]+Janvier[[#This Row],[AT]])*(WEEKDAY($F$1:$AJ$1)&lt;6)*(COUNTIF(JFériés!$D$2:$D$11,$F$1:$AJ$1)=0))</f>
        <v>220</v>
      </c>
      <c r="AS52">
        <f>IF(Janvier[[#This Row],[RTT Pris]]+Janvier[[#This Row],[CP Pris]]+Janvier[[#This Row],[Maladie]]+Janvier[[#This Row],[AT]]=0,0,Janvier[[#This Row],[RTT Pris]]+Janvier[[#This Row],[CP Pris]]+Janvier[[#This Row],[Maladie]]+Janvier[[#This Row],[AT]])</f>
        <v>10</v>
      </c>
      <c r="AT52">
        <f>$E$5-Janvier[[#This Row],[Colonne3]]</f>
        <v>12</v>
      </c>
      <c r="AU52" s="152" t="e">
        <f t="shared" si="2"/>
        <v>#VALUE!</v>
      </c>
      <c r="AV52" s="152" t="e">
        <f t="shared" si="3"/>
        <v>#VALUE!</v>
      </c>
    </row>
    <row r="53" spans="1:48" ht="30" customHeight="1" x14ac:dyDescent="0.2">
      <c r="A53" s="17" t="s">
        <v>109</v>
      </c>
      <c r="B53" s="17" t="s">
        <v>260</v>
      </c>
      <c r="C53" s="17" t="s">
        <v>261</v>
      </c>
      <c r="D53" s="17" t="s">
        <v>262</v>
      </c>
      <c r="E53" s="23">
        <v>0</v>
      </c>
      <c r="F53" s="47" t="str">
        <f>Global!F53</f>
        <v/>
      </c>
      <c r="G53" s="31" t="str">
        <f>Global!G53</f>
        <v>C</v>
      </c>
      <c r="H53" s="31" t="str">
        <f>Global!H53</f>
        <v>C</v>
      </c>
      <c r="I53" s="31" t="str">
        <f>Global!I53</f>
        <v>C</v>
      </c>
      <c r="J53" s="31" t="str">
        <f>Global!J53</f>
        <v>C</v>
      </c>
      <c r="K53" s="31" t="str">
        <f>Global!K53</f>
        <v/>
      </c>
      <c r="L53" s="31" t="str">
        <f>Global!L53</f>
        <v/>
      </c>
      <c r="M53" s="31" t="str">
        <f>Global!M53</f>
        <v/>
      </c>
      <c r="N53" s="31" t="str">
        <f>Global!N53</f>
        <v/>
      </c>
      <c r="O53" s="31" t="str">
        <f>Global!O53</f>
        <v/>
      </c>
      <c r="P53" s="31" t="str">
        <f>Global!P53</f>
        <v/>
      </c>
      <c r="Q53" s="31" t="str">
        <f>Global!Q53</f>
        <v/>
      </c>
      <c r="R53" s="31" t="str">
        <f>Global!R53</f>
        <v/>
      </c>
      <c r="S53" s="31" t="str">
        <f>Global!S53</f>
        <v/>
      </c>
      <c r="T53" s="31" t="str">
        <f>Global!T53</f>
        <v/>
      </c>
      <c r="U53" s="31" t="str">
        <f>Global!U53</f>
        <v/>
      </c>
      <c r="V53" s="31" t="str">
        <f>Global!V53</f>
        <v/>
      </c>
      <c r="W53" s="31" t="str">
        <f>Global!W53</f>
        <v/>
      </c>
      <c r="X53" s="31" t="str">
        <f>Global!X53</f>
        <v/>
      </c>
      <c r="Y53" s="31" t="str">
        <f>Global!Y53</f>
        <v/>
      </c>
      <c r="Z53" s="31" t="str">
        <f>Global!Z53</f>
        <v/>
      </c>
      <c r="AA53" s="31" t="str">
        <f>Global!AA53</f>
        <v/>
      </c>
      <c r="AB53" s="31" t="str">
        <f>Global!AB53</f>
        <v/>
      </c>
      <c r="AC53" s="31" t="str">
        <f>Global!AC53</f>
        <v/>
      </c>
      <c r="AD53" s="31" t="str">
        <f>Global!AD53</f>
        <v/>
      </c>
      <c r="AE53" s="31" t="str">
        <f>Global!AE53</f>
        <v/>
      </c>
      <c r="AF53" s="31" t="str">
        <f>Global!AF53</f>
        <v/>
      </c>
      <c r="AG53" s="31" t="str">
        <f>Global!AG53</f>
        <v/>
      </c>
      <c r="AH53" s="31" t="str">
        <f>Global!AH53</f>
        <v>C</v>
      </c>
      <c r="AI53" s="31" t="str">
        <f>Global!AI53</f>
        <v>C</v>
      </c>
      <c r="AJ53" s="48" t="str">
        <f>Global!AJ53</f>
        <v>C</v>
      </c>
      <c r="AK53" s="108">
        <f>COUNTIF(Janvier[[#This Row],[1]:[31]],"RTT")+(COUNTIF(Janvier[[#This Row],[1]:[31]],"dRTT")/2)</f>
        <v>0</v>
      </c>
      <c r="AL53" s="109">
        <f>COUNTIF(Janvier[[#This Row],[1]:[31]],"C")+(COUNTIF(Janvier[[#This Row],[1]:[31]],"DC")/2)</f>
        <v>7</v>
      </c>
      <c r="AM53" s="22">
        <f>COUNTIF(Janvier[[#This Row],[1]:[31]],"M")</f>
        <v>0</v>
      </c>
      <c r="AN53" s="22">
        <f>COUNTIF(Janvier[[#This Row],[1]:[31]],"AT")</f>
        <v>0</v>
      </c>
      <c r="AO53" s="84">
        <f>IF(AND(Janvier[[#This Row],[Maladie]]=0,Janvier[[#This Row],[AT]]=0),((10*(_xlfn.DAYS("31/01/2018","01/01/2018")+1))/365),((_xlfn.DAYS("31/01/2018","01/01/2018")+1-(Janvier[[#This Row],[Maladie]]+Janvier[[#This Row],[AT]]))*((10*(_xlfn.DAYS("31/01/2018","01/01/2018")+1))/365))/(_xlfn.DAYS("31/01/2018","01/01/2018")+1))</f>
        <v>0.84931506849315064</v>
      </c>
      <c r="AP53" s="85">
        <f>$E$5-(COUNTIF(Janvier[[#This Row],[1]:[31]],"C")+COUNTIF(Janvier[[#This Row],[1]:[31]],"RTT")+Janvier[[#This Row],[Maladie]]+Janvier[[#This Row],[AT]])</f>
        <v>15</v>
      </c>
      <c r="AQ53">
        <f>SUMPRODUCT((F53:AJ53="")*(WEEKDAY($F$1:$AJ$1)&lt;6)*(COUNTIF(JFériés!$D$2:$D$11,$F$1:$AJ$1)=0))</f>
        <v>16</v>
      </c>
      <c r="AR53" s="152">
        <f>SUMPRODUCT(IF(Janvier[[#This Row],[RTT Pris]]+Janvier[[#This Row],[CP Pris]]+Janvier[[#This Row],[Maladie]]+Janvier[[#This Row],[AT]]=0,0,Janvier[[#This Row],[RTT Pris]]+Janvier[[#This Row],[CP Pris]]+Janvier[[#This Row],[Maladie]]+Janvier[[#This Row],[AT]])*(WEEKDAY($F$1:$AJ$1)&lt;6)*(COUNTIF(JFériés!$D$2:$D$11,$F$1:$AJ$1)=0))</f>
        <v>154</v>
      </c>
      <c r="AS53">
        <f>IF(Janvier[[#This Row],[RTT Pris]]+Janvier[[#This Row],[CP Pris]]+Janvier[[#This Row],[Maladie]]+Janvier[[#This Row],[AT]]=0,0,Janvier[[#This Row],[RTT Pris]]+Janvier[[#This Row],[CP Pris]]+Janvier[[#This Row],[Maladie]]+Janvier[[#This Row],[AT]])</f>
        <v>7</v>
      </c>
      <c r="AT53">
        <f>$E$5-Janvier[[#This Row],[Colonne3]]</f>
        <v>15</v>
      </c>
      <c r="AU53" s="152" t="e">
        <f t="shared" si="2"/>
        <v>#VALUE!</v>
      </c>
      <c r="AV53" s="152" t="e">
        <f t="shared" si="3"/>
        <v>#VALUE!</v>
      </c>
    </row>
    <row r="54" spans="1:48" ht="30" customHeight="1" x14ac:dyDescent="0.2">
      <c r="A54" s="18" t="s">
        <v>110</v>
      </c>
      <c r="B54" s="18" t="s">
        <v>263</v>
      </c>
      <c r="C54" s="18" t="s">
        <v>264</v>
      </c>
      <c r="D54" s="18" t="s">
        <v>265</v>
      </c>
      <c r="E54" s="24">
        <v>0</v>
      </c>
      <c r="F54" s="47" t="str">
        <f>Global!F54</f>
        <v/>
      </c>
      <c r="G54" s="31" t="str">
        <f>Global!G54</f>
        <v/>
      </c>
      <c r="H54" s="31" t="str">
        <f>Global!H54</f>
        <v/>
      </c>
      <c r="I54" s="31" t="str">
        <f>Global!I54</f>
        <v/>
      </c>
      <c r="J54" s="31" t="str">
        <f>Global!J54</f>
        <v/>
      </c>
      <c r="K54" s="31" t="str">
        <f>Global!K54</f>
        <v/>
      </c>
      <c r="L54" s="31" t="str">
        <f>Global!L54</f>
        <v/>
      </c>
      <c r="M54" s="31" t="str">
        <f>Global!M54</f>
        <v>C</v>
      </c>
      <c r="N54" s="31" t="str">
        <f>Global!N54</f>
        <v>C</v>
      </c>
      <c r="O54" s="31" t="str">
        <f>Global!O54</f>
        <v>C</v>
      </c>
      <c r="P54" s="31" t="str">
        <f>Global!P54</f>
        <v>C</v>
      </c>
      <c r="Q54" s="31" t="str">
        <f>Global!Q54</f>
        <v>C</v>
      </c>
      <c r="R54" s="31" t="str">
        <f>Global!R54</f>
        <v/>
      </c>
      <c r="S54" s="31" t="str">
        <f>Global!S54</f>
        <v/>
      </c>
      <c r="T54" s="31" t="str">
        <f>Global!T54</f>
        <v/>
      </c>
      <c r="U54" s="31" t="str">
        <f>Global!U54</f>
        <v>DC</v>
      </c>
      <c r="V54" s="31" t="str">
        <f>Global!V54</f>
        <v>M</v>
      </c>
      <c r="W54" s="31" t="str">
        <f>Global!W54</f>
        <v>M</v>
      </c>
      <c r="X54" s="31" t="str">
        <f>Global!X54</f>
        <v>M</v>
      </c>
      <c r="Y54" s="31" t="str">
        <f>Global!Y54</f>
        <v>M</v>
      </c>
      <c r="Z54" s="31" t="str">
        <f>Global!Z54</f>
        <v>M</v>
      </c>
      <c r="AA54" s="31" t="str">
        <f>Global!AA54</f>
        <v/>
      </c>
      <c r="AB54" s="31" t="str">
        <f>Global!AB54</f>
        <v/>
      </c>
      <c r="AC54" s="31" t="str">
        <f>Global!AC54</f>
        <v/>
      </c>
      <c r="AD54" s="31" t="str">
        <f>Global!AD54</f>
        <v/>
      </c>
      <c r="AE54" s="31" t="str">
        <f>Global!AE54</f>
        <v/>
      </c>
      <c r="AF54" s="31" t="str">
        <f>Global!AF54</f>
        <v/>
      </c>
      <c r="AG54" s="31" t="str">
        <f>Global!AG54</f>
        <v/>
      </c>
      <c r="AH54" s="31" t="str">
        <f>Global!AH54</f>
        <v/>
      </c>
      <c r="AI54" s="31" t="str">
        <f>Global!AI54</f>
        <v/>
      </c>
      <c r="AJ54" s="48" t="str">
        <f>Global!AJ54</f>
        <v/>
      </c>
      <c r="AK54" s="108">
        <f>COUNTIF(Janvier[[#This Row],[1]:[31]],"RTT")+(COUNTIF(Janvier[[#This Row],[1]:[31]],"dRTT")/2)</f>
        <v>0</v>
      </c>
      <c r="AL54" s="109">
        <f>COUNTIF(Janvier[[#This Row],[1]:[31]],"C")+(COUNTIF(Janvier[[#This Row],[1]:[31]],"DC")/2)</f>
        <v>5.5</v>
      </c>
      <c r="AM54" s="22">
        <f>COUNTIF(Janvier[[#This Row],[1]:[31]],"M")</f>
        <v>5</v>
      </c>
      <c r="AN54" s="22">
        <f>COUNTIF(Janvier[[#This Row],[1]:[31]],"AT")</f>
        <v>0</v>
      </c>
      <c r="AO54" s="84">
        <f>IF(AND(Janvier[[#This Row],[Maladie]]=0,Janvier[[#This Row],[AT]]=0),((10*(_xlfn.DAYS("31/01/2018","01/01/2018")+1))/365),((_xlfn.DAYS("31/01/2018","01/01/2018")+1-(Janvier[[#This Row],[Maladie]]+Janvier[[#This Row],[AT]]))*((10*(_xlfn.DAYS("31/01/2018","01/01/2018")+1))/365))/(_xlfn.DAYS("31/01/2018","01/01/2018")+1))</f>
        <v>0.71232876712328763</v>
      </c>
      <c r="AP54" s="85">
        <f>$E$5-(COUNTIF(Janvier[[#This Row],[1]:[31]],"C")+COUNTIF(Janvier[[#This Row],[1]:[31]],"RTT")+Janvier[[#This Row],[Maladie]]+Janvier[[#This Row],[AT]])</f>
        <v>12</v>
      </c>
      <c r="AQ54">
        <f>SUMPRODUCT((F54:AJ54="")*(WEEKDAY($F$1:$AJ$1)&lt;6)*(COUNTIF(JFériés!$D$2:$D$11,$F$1:$AJ$1)=0))</f>
        <v>14</v>
      </c>
      <c r="AR54" s="152">
        <f>SUMPRODUCT(IF(Janvier[[#This Row],[RTT Pris]]+Janvier[[#This Row],[CP Pris]]+Janvier[[#This Row],[Maladie]]+Janvier[[#This Row],[AT]]=0,0,Janvier[[#This Row],[RTT Pris]]+Janvier[[#This Row],[CP Pris]]+Janvier[[#This Row],[Maladie]]+Janvier[[#This Row],[AT]])*(WEEKDAY($F$1:$AJ$1)&lt;6)*(COUNTIF(JFériés!$D$2:$D$11,$F$1:$AJ$1)=0))</f>
        <v>231</v>
      </c>
      <c r="AS54">
        <f>IF(Janvier[[#This Row],[RTT Pris]]+Janvier[[#This Row],[CP Pris]]+Janvier[[#This Row],[Maladie]]+Janvier[[#This Row],[AT]]=0,0,Janvier[[#This Row],[RTT Pris]]+Janvier[[#This Row],[CP Pris]]+Janvier[[#This Row],[Maladie]]+Janvier[[#This Row],[AT]])</f>
        <v>10.5</v>
      </c>
      <c r="AT54">
        <f>$E$5-Janvier[[#This Row],[Colonne3]]</f>
        <v>11.5</v>
      </c>
      <c r="AU54" s="152" t="e">
        <f t="shared" si="2"/>
        <v>#VALUE!</v>
      </c>
      <c r="AV54" s="152" t="e">
        <f t="shared" si="3"/>
        <v>#VALUE!</v>
      </c>
    </row>
    <row r="55" spans="1:48" ht="30" customHeight="1" x14ac:dyDescent="0.2">
      <c r="A55" s="17" t="s">
        <v>111</v>
      </c>
      <c r="B55" s="17" t="s">
        <v>266</v>
      </c>
      <c r="C55" s="17" t="s">
        <v>267</v>
      </c>
      <c r="D55" s="17" t="s">
        <v>268</v>
      </c>
      <c r="E55" s="23">
        <v>0</v>
      </c>
      <c r="F55" s="47" t="str">
        <f>Global!F55</f>
        <v>M</v>
      </c>
      <c r="G55" s="31" t="str">
        <f>Global!G55</f>
        <v>M</v>
      </c>
      <c r="H55" s="31" t="str">
        <f>Global!H55</f>
        <v>M</v>
      </c>
      <c r="I55" s="31" t="str">
        <f>Global!I55</f>
        <v>M</v>
      </c>
      <c r="J55" s="31" t="str">
        <f>Global!J55</f>
        <v>M</v>
      </c>
      <c r="K55" s="31" t="str">
        <f>Global!K55</f>
        <v>M</v>
      </c>
      <c r="L55" s="31" t="str">
        <f>Global!L55</f>
        <v>M</v>
      </c>
      <c r="M55" s="31" t="str">
        <f>Global!M55</f>
        <v>M</v>
      </c>
      <c r="N55" s="31" t="str">
        <f>Global!N55</f>
        <v>M</v>
      </c>
      <c r="O55" s="31" t="str">
        <f>Global!O55</f>
        <v>M</v>
      </c>
      <c r="P55" s="31" t="str">
        <f>Global!P55</f>
        <v>M</v>
      </c>
      <c r="Q55" s="31" t="str">
        <f>Global!Q55</f>
        <v>M</v>
      </c>
      <c r="R55" s="31" t="str">
        <f>Global!R55</f>
        <v>M</v>
      </c>
      <c r="S55" s="31" t="str">
        <f>Global!S55</f>
        <v>M</v>
      </c>
      <c r="T55" s="31" t="str">
        <f>Global!T55</f>
        <v>M</v>
      </c>
      <c r="U55" s="31" t="str">
        <f>Global!U55</f>
        <v>M</v>
      </c>
      <c r="V55" s="31" t="str">
        <f>Global!V55</f>
        <v>M</v>
      </c>
      <c r="W55" s="31" t="str">
        <f>Global!W55</f>
        <v>M</v>
      </c>
      <c r="X55" s="31" t="str">
        <f>Global!X55</f>
        <v>M</v>
      </c>
      <c r="Y55" s="31" t="str">
        <f>Global!Y55</f>
        <v>M</v>
      </c>
      <c r="Z55" s="31" t="str">
        <f>Global!Z55</f>
        <v>M</v>
      </c>
      <c r="AA55" s="31" t="str">
        <f>Global!AA55</f>
        <v>M</v>
      </c>
      <c r="AB55" s="31" t="str">
        <f>Global!AB55</f>
        <v>M</v>
      </c>
      <c r="AC55" s="31" t="str">
        <f>Global!AC55</f>
        <v>M</v>
      </c>
      <c r="AD55" s="31" t="str">
        <f>Global!AD55</f>
        <v>M</v>
      </c>
      <c r="AE55" s="31" t="str">
        <f>Global!AE55</f>
        <v>M</v>
      </c>
      <c r="AF55" s="31" t="str">
        <f>Global!AF55</f>
        <v>M</v>
      </c>
      <c r="AG55" s="31" t="str">
        <f>Global!AG55</f>
        <v>M</v>
      </c>
      <c r="AH55" s="31" t="str">
        <f>Global!AH55</f>
        <v>M</v>
      </c>
      <c r="AI55" s="31" t="str">
        <f>Global!AI55</f>
        <v>M</v>
      </c>
      <c r="AJ55" s="48" t="str">
        <f>Global!AJ55</f>
        <v>M</v>
      </c>
      <c r="AK55" s="108">
        <f>COUNTIF(Janvier[[#This Row],[1]:[31]],"RTT")+(COUNTIF(Janvier[[#This Row],[1]:[31]],"dRTT")/2)</f>
        <v>0</v>
      </c>
      <c r="AL55" s="109">
        <f>COUNTIF(Janvier[[#This Row],[1]:[31]],"C")+(COUNTIF(Janvier[[#This Row],[1]:[31]],"DC")/2)</f>
        <v>0</v>
      </c>
      <c r="AM55" s="22">
        <f>COUNTIF(Janvier[[#This Row],[1]:[31]],"M")</f>
        <v>31</v>
      </c>
      <c r="AN55" s="22">
        <f>COUNTIF(Janvier[[#This Row],[1]:[31]],"AT")</f>
        <v>0</v>
      </c>
      <c r="AO55" s="84">
        <f>IF(AND(Janvier[[#This Row],[Maladie]]=0,Janvier[[#This Row],[AT]]=0),((10*(_xlfn.DAYS("31/01/2018","01/01/2018")+1))/365),((_xlfn.DAYS("31/01/2018","01/01/2018")+1-(Janvier[[#This Row],[Maladie]]+Janvier[[#This Row],[AT]]))*((10*(_xlfn.DAYS("31/01/2018","01/01/2018")+1))/365))/(_xlfn.DAYS("31/01/2018","01/01/2018")+1))</f>
        <v>0</v>
      </c>
      <c r="AP55" s="85">
        <f>$E$5-(COUNTIF(Janvier[[#This Row],[1]:[31]],"C")+COUNTIF(Janvier[[#This Row],[1]:[31]],"RTT")+Janvier[[#This Row],[Maladie]]+Janvier[[#This Row],[AT]])</f>
        <v>-9</v>
      </c>
      <c r="AQ55">
        <f>SUMPRODUCT((F55:AJ55="")*(WEEKDAY($F$1:$AJ$1)&lt;6)*(COUNTIF(JFériés!$D$2:$D$11,$F$1:$AJ$1)=0))</f>
        <v>0</v>
      </c>
      <c r="AR55" s="152">
        <f>SUMPRODUCT(IF(Janvier[[#This Row],[RTT Pris]]+Janvier[[#This Row],[CP Pris]]+Janvier[[#This Row],[Maladie]]+Janvier[[#This Row],[AT]]=0,0,Janvier[[#This Row],[RTT Pris]]+Janvier[[#This Row],[CP Pris]]+Janvier[[#This Row],[Maladie]]+Janvier[[#This Row],[AT]])*(WEEKDAY($F$1:$AJ$1)&lt;6)*(COUNTIF(JFériés!$D$2:$D$11,$F$1:$AJ$1)=0))</f>
        <v>682</v>
      </c>
      <c r="AS55">
        <f>IF(Janvier[[#This Row],[RTT Pris]]+Janvier[[#This Row],[CP Pris]]+Janvier[[#This Row],[Maladie]]+Janvier[[#This Row],[AT]]=0,0,Janvier[[#This Row],[RTT Pris]]+Janvier[[#This Row],[CP Pris]]+Janvier[[#This Row],[Maladie]]+Janvier[[#This Row],[AT]])</f>
        <v>31</v>
      </c>
      <c r="AT55">
        <f>$E$5-Janvier[[#This Row],[Colonne3]]</f>
        <v>-9</v>
      </c>
      <c r="AU55" s="152" t="e">
        <f t="shared" si="2"/>
        <v>#VALUE!</v>
      </c>
      <c r="AV55" s="152" t="e">
        <f t="shared" si="3"/>
        <v>#VALUE!</v>
      </c>
    </row>
    <row r="56" spans="1:48" ht="30" customHeight="1" thickBot="1" x14ac:dyDescent="0.25">
      <c r="A56" s="17" t="s">
        <v>112</v>
      </c>
      <c r="B56" s="17" t="s">
        <v>269</v>
      </c>
      <c r="C56" s="17" t="s">
        <v>270</v>
      </c>
      <c r="D56" s="17" t="s">
        <v>271</v>
      </c>
      <c r="E56" s="23">
        <v>0</v>
      </c>
      <c r="F56" s="49" t="str">
        <f>Global!F56</f>
        <v/>
      </c>
      <c r="G56" s="50" t="str">
        <f>Global!G56</f>
        <v>M</v>
      </c>
      <c r="H56" s="50" t="str">
        <f>Global!H56</f>
        <v>M</v>
      </c>
      <c r="I56" s="50" t="str">
        <f>Global!I56</f>
        <v>M</v>
      </c>
      <c r="J56" s="50" t="str">
        <f>Global!J56</f>
        <v/>
      </c>
      <c r="K56" s="50" t="str">
        <f>Global!K56</f>
        <v/>
      </c>
      <c r="L56" s="50" t="str">
        <f>Global!L56</f>
        <v/>
      </c>
      <c r="M56" s="50" t="str">
        <f>Global!M56</f>
        <v>C</v>
      </c>
      <c r="N56" s="50" t="str">
        <f>Global!N56</f>
        <v>C</v>
      </c>
      <c r="O56" s="50" t="str">
        <f>Global!O56</f>
        <v>C</v>
      </c>
      <c r="P56" s="50" t="str">
        <f>Global!P56</f>
        <v>C</v>
      </c>
      <c r="Q56" s="50" t="str">
        <f>Global!Q56</f>
        <v>C</v>
      </c>
      <c r="R56" s="50" t="str">
        <f>Global!R56</f>
        <v/>
      </c>
      <c r="S56" s="50" t="str">
        <f>Global!S56</f>
        <v/>
      </c>
      <c r="T56" s="50" t="str">
        <f>Global!T56</f>
        <v/>
      </c>
      <c r="U56" s="50" t="str">
        <f>Global!U56</f>
        <v/>
      </c>
      <c r="V56" s="50" t="str">
        <f>Global!V56</f>
        <v/>
      </c>
      <c r="W56" s="50" t="str">
        <f>Global!W56</f>
        <v/>
      </c>
      <c r="X56" s="50" t="str">
        <f>Global!X56</f>
        <v/>
      </c>
      <c r="Y56" s="50" t="str">
        <f>Global!Y56</f>
        <v/>
      </c>
      <c r="Z56" s="50" t="str">
        <f>Global!Z56</f>
        <v/>
      </c>
      <c r="AA56" s="50" t="str">
        <f>Global!AA56</f>
        <v/>
      </c>
      <c r="AB56" s="50" t="str">
        <f>Global!AB56</f>
        <v/>
      </c>
      <c r="AC56" s="50" t="str">
        <f>Global!AC56</f>
        <v/>
      </c>
      <c r="AD56" s="50" t="str">
        <f>Global!AD56</f>
        <v/>
      </c>
      <c r="AE56" s="50" t="str">
        <f>Global!AE56</f>
        <v/>
      </c>
      <c r="AF56" s="50" t="str">
        <f>Global!AF56</f>
        <v/>
      </c>
      <c r="AG56" s="50" t="str">
        <f>Global!AG56</f>
        <v/>
      </c>
      <c r="AH56" s="50" t="str">
        <f>Global!AH56</f>
        <v/>
      </c>
      <c r="AI56" s="50" t="str">
        <f>Global!AI56</f>
        <v/>
      </c>
      <c r="AJ56" s="51" t="str">
        <f>Global!AJ56</f>
        <v/>
      </c>
      <c r="AK56" s="108">
        <f>COUNTIF(Janvier[[#This Row],[1]:[31]],"RTT")+(COUNTIF(Janvier[[#This Row],[1]:[31]],"dRTT")/2)</f>
        <v>0</v>
      </c>
      <c r="AL56" s="109">
        <f>COUNTIF(Janvier[[#This Row],[1]:[31]],"C")+(COUNTIF(Janvier[[#This Row],[1]:[31]],"DC")/2)</f>
        <v>5</v>
      </c>
      <c r="AM56" s="22">
        <f>COUNTIF(Janvier[[#This Row],[1]:[31]],"M")</f>
        <v>3</v>
      </c>
      <c r="AN56" s="22">
        <f>COUNTIF(Janvier[[#This Row],[1]:[31]],"AT")</f>
        <v>0</v>
      </c>
      <c r="AO56" s="84">
        <f>IF(AND(Janvier[[#This Row],[Maladie]]=0,Janvier[[#This Row],[AT]]=0),((10*(_xlfn.DAYS("31/01/2018","01/01/2018")+1))/365),((_xlfn.DAYS("31/01/2018","01/01/2018")+1-(Janvier[[#This Row],[Maladie]]+Janvier[[#This Row],[AT]]))*((10*(_xlfn.DAYS("31/01/2018","01/01/2018")+1))/365))/(_xlfn.DAYS("31/01/2018","01/01/2018")+1))</f>
        <v>0.76712328767123283</v>
      </c>
      <c r="AP56" s="85">
        <f>$E$5-(COUNTIF(Janvier[[#This Row],[1]:[31]],"C")+COUNTIF(Janvier[[#This Row],[1]:[31]],"RTT")+Janvier[[#This Row],[Maladie]]+Janvier[[#This Row],[AT]])</f>
        <v>14</v>
      </c>
      <c r="AQ56">
        <f>SUMPRODUCT((F56:AJ56="")*(WEEKDAY($F$1:$AJ$1)&lt;6)*(COUNTIF(JFériés!$D$2:$D$11,$F$1:$AJ$1)=0))</f>
        <v>15</v>
      </c>
      <c r="AR56" s="152">
        <f>SUMPRODUCT(IF(Janvier[[#This Row],[RTT Pris]]+Janvier[[#This Row],[CP Pris]]+Janvier[[#This Row],[Maladie]]+Janvier[[#This Row],[AT]]=0,0,Janvier[[#This Row],[RTT Pris]]+Janvier[[#This Row],[CP Pris]]+Janvier[[#This Row],[Maladie]]+Janvier[[#This Row],[AT]])*(WEEKDAY($F$1:$AJ$1)&lt;6)*(COUNTIF(JFériés!$D$2:$D$11,$F$1:$AJ$1)=0))</f>
        <v>176</v>
      </c>
      <c r="AS56">
        <f>IF(Janvier[[#This Row],[RTT Pris]]+Janvier[[#This Row],[CP Pris]]+Janvier[[#This Row],[Maladie]]+Janvier[[#This Row],[AT]]=0,0,Janvier[[#This Row],[RTT Pris]]+Janvier[[#This Row],[CP Pris]]+Janvier[[#This Row],[Maladie]]+Janvier[[#This Row],[AT]])</f>
        <v>8</v>
      </c>
      <c r="AT56">
        <f>$E$5-Janvier[[#This Row],[Colonne3]]</f>
        <v>14</v>
      </c>
      <c r="AU56" s="152" t="e">
        <f t="shared" si="2"/>
        <v>#VALUE!</v>
      </c>
      <c r="AV56" s="152" t="e">
        <f t="shared" si="3"/>
        <v>#VALUE!</v>
      </c>
    </row>
  </sheetData>
  <mergeCells count="6">
    <mergeCell ref="G3:H3"/>
    <mergeCell ref="F5:AJ5"/>
    <mergeCell ref="J3:K3"/>
    <mergeCell ref="U3:V3"/>
    <mergeCell ref="AC3:AD3"/>
    <mergeCell ref="AH3:AI3"/>
  </mergeCells>
  <conditionalFormatting sqref="F6:AJ7">
    <cfRule type="expression" dxfId="198" priority="15" stopIfTrue="1">
      <formula>WEEKDAY(F$1)=7</formula>
    </cfRule>
    <cfRule type="expression" dxfId="197" priority="16" stopIfTrue="1">
      <formula>WEEKDAY(F$1)=1</formula>
    </cfRule>
  </conditionalFormatting>
  <conditionalFormatting sqref="F8:AJ56">
    <cfRule type="expression" dxfId="196" priority="4">
      <formula>F8=CléPersonnalisée4</formula>
    </cfRule>
    <cfRule type="expression" dxfId="195" priority="5">
      <formula>F8=CléPersonnalisée5</formula>
    </cfRule>
    <cfRule type="expression" dxfId="194" priority="6">
      <formula>F8=CléPersonnalisée3</formula>
    </cfRule>
    <cfRule type="expression" dxfId="193" priority="7">
      <formula>F8=CléPersonnalisée2</formula>
    </cfRule>
    <cfRule type="expression" dxfId="192" priority="8">
      <formula>F8=CléPersonnalisée1</formula>
    </cfRule>
    <cfRule type="expression" dxfId="191" priority="9">
      <formula>F8=CléMaladie</formula>
    </cfRule>
    <cfRule type="expression" dxfId="190" priority="10">
      <formula>F8=CléPersonnel</formula>
    </cfRule>
    <cfRule type="expression" dxfId="189" priority="11" stopIfTrue="1">
      <formula>F8=CléCongé</formula>
    </cfRule>
    <cfRule type="expression" dxfId="188" priority="12" stopIfTrue="1">
      <formula>F8=CléDemiCongés</formula>
    </cfRule>
    <cfRule type="expression" dxfId="187" priority="13">
      <formula>F8=""</formula>
    </cfRule>
  </conditionalFormatting>
  <conditionalFormatting sqref="F8:AJ56">
    <cfRule type="expression" dxfId="186" priority="2" stopIfTrue="1">
      <formula>WEEKDAY(F$1)=7</formula>
    </cfRule>
    <cfRule type="expression" dxfId="185" priority="3" stopIfTrue="1">
      <formula>WEEKDAY(F$1)=1</formula>
    </cfRule>
  </conditionalFormatting>
  <dataValidations disablePrompts="1" count="12">
    <dataValidation allowBlank="1" showInputMessage="1" showErrorMessage="1" prompt="Entrez l’année dans cette cellule" sqref="AK5">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E2">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l’année dans la cellule ci-dessous" sqref="AK4">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r:id="rId1"/>
  <headerFooter>
    <oddFooter>&amp;CPage &amp;P of &amp;N</oddFooter>
  </headerFooter>
  <ignoredErrors>
    <ignoredError sqref="E5" formulaRange="1"/>
  </ignoredErrors>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4" stopIfTrue="1" id="{2B44C629-CE52-3142-93D5-6AE89D820244}">
            <xm:f>F$1=VLOOKUP(F$1,JFériés!$D$1:$D$11,1,FALSE)</xm:f>
            <x14:dxf>
              <font>
                <color theme="1"/>
              </font>
              <fill>
                <patternFill>
                  <bgColor theme="5" tint="0.59996337778862885"/>
                </patternFill>
              </fill>
            </x14:dxf>
          </x14:cfRule>
          <xm:sqref>F6:AJ7</xm:sqref>
        </x14:conditionalFormatting>
        <x14:conditionalFormatting xmlns:xm="http://schemas.microsoft.com/office/excel/2006/main">
          <x14:cfRule type="expression" priority="1" stopIfTrue="1" id="{B7F86626-D10F-5149-BE34-740314637F75}">
            <xm:f>F$1=VLOOKUP(F$1,JFériés!$D$1:$D$11,1,FALSE)</xm:f>
            <x14:dxf>
              <font>
                <color theme="1"/>
              </font>
              <fill>
                <patternFill>
                  <bgColor theme="5" tint="0.59996337778862885"/>
                </patternFill>
              </fill>
            </x14:dxf>
          </x14:cfRule>
          <xm:sqref>F8:AJ56</xm:sqref>
        </x14:conditionalFormatting>
      </x14:conditionalFormattings>
    </ext>
    <ext xmlns:x14="http://schemas.microsoft.com/office/spreadsheetml/2009/9/main" uri="{CCE6A557-97BC-4b89-ADB6-D9C93CAAB3DF}">
      <x14:dataValidations xmlns:xm="http://schemas.microsoft.com/office/excel/2006/main" disablePrompts="1" count="1">
        <x14:dataValidation allowBlank="1" showInputMessage="1" showErrorMessage="1">
          <x14:formula1>
            <xm:f>'Noms des employés'!$C$4:$C$10</xm:f>
          </x14:formula1>
          <x14:formula2>
            <xm:f>0</xm:f>
          </x14:formula2>
          <xm:sqref>B8:E56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4" enableFormatConditionsCalculation="0">
    <tabColor rgb="FF484C2B"/>
    <pageSetUpPr fitToPage="1"/>
  </sheetPr>
  <dimension ref="A1:AN57"/>
  <sheetViews>
    <sheetView showGridLines="0" topLeftCell="A33" zoomScale="80" zoomScaleNormal="80" zoomScalePageLayoutView="80" workbookViewId="0">
      <selection activeCell="B57" sqref="B57"/>
    </sheetView>
  </sheetViews>
  <sheetFormatPr baseColWidth="10" defaultColWidth="8.83203125" defaultRowHeight="15" x14ac:dyDescent="0.2"/>
  <cols>
    <col min="1" max="1" width="12.83203125" customWidth="1"/>
    <col min="2" max="4" width="25.6640625" style="1" customWidth="1"/>
    <col min="5" max="5" width="6.1640625" style="1" bestFit="1" customWidth="1"/>
    <col min="6" max="35" width="4.6640625" style="1" customWidth="1"/>
    <col min="36" max="36" width="13.5" style="98" customWidth="1"/>
    <col min="37" max="37" width="12.1640625" style="104" customWidth="1"/>
    <col min="38" max="39" width="9.1640625" customWidth="1"/>
    <col min="40" max="40" width="11.5" style="74" bestFit="1" customWidth="1"/>
    <col min="41" max="1027" width="9.1640625" customWidth="1"/>
  </cols>
  <sheetData>
    <row r="1" spans="1:40" ht="86" customHeight="1" x14ac:dyDescent="0.2">
      <c r="F1" s="61">
        <f>Global!AK1</f>
        <v>43132</v>
      </c>
      <c r="G1" s="61">
        <f>Global!AL1</f>
        <v>43133</v>
      </c>
      <c r="H1" s="61">
        <f>Global!AM1</f>
        <v>43134</v>
      </c>
      <c r="I1" s="61">
        <f>Global!AN1</f>
        <v>43135</v>
      </c>
      <c r="J1" s="61">
        <f>Global!AO1</f>
        <v>43136</v>
      </c>
      <c r="K1" s="61">
        <f>Global!AP1</f>
        <v>43137</v>
      </c>
      <c r="L1" s="61">
        <f>Global!AQ1</f>
        <v>43138</v>
      </c>
      <c r="M1" s="61">
        <f>Global!AR1</f>
        <v>43139</v>
      </c>
      <c r="N1" s="61">
        <f>Global!AS1</f>
        <v>43140</v>
      </c>
      <c r="O1" s="61">
        <f>Global!AT1</f>
        <v>43141</v>
      </c>
      <c r="P1" s="61">
        <f>Global!AU1</f>
        <v>43142</v>
      </c>
      <c r="Q1" s="61">
        <f>Global!AV1</f>
        <v>43143</v>
      </c>
      <c r="R1" s="61">
        <f>Global!AW1</f>
        <v>43144</v>
      </c>
      <c r="S1" s="61">
        <f>Global!AX1</f>
        <v>43145</v>
      </c>
      <c r="T1" s="61">
        <f>Global!AY1</f>
        <v>43146</v>
      </c>
      <c r="U1" s="61">
        <f>Global!AZ1</f>
        <v>43147</v>
      </c>
      <c r="V1" s="61">
        <f>Global!BA1</f>
        <v>43148</v>
      </c>
      <c r="W1" s="61">
        <f>Global!BB1</f>
        <v>43149</v>
      </c>
      <c r="X1" s="61">
        <f>Global!BC1</f>
        <v>43150</v>
      </c>
      <c r="Y1" s="61">
        <f>Global!BD1</f>
        <v>43151</v>
      </c>
      <c r="Z1" s="61">
        <f>Global!BE1</f>
        <v>43152</v>
      </c>
      <c r="AA1" s="61">
        <f>Global!BF1</f>
        <v>43153</v>
      </c>
      <c r="AB1" s="61">
        <f>Global!BG1</f>
        <v>43154</v>
      </c>
      <c r="AC1" s="61">
        <f>Global!BH1</f>
        <v>43155</v>
      </c>
      <c r="AD1" s="61">
        <f>Global!BI1</f>
        <v>43156</v>
      </c>
      <c r="AE1" s="61">
        <f>Global!BJ1</f>
        <v>43157</v>
      </c>
      <c r="AF1" s="61">
        <f>Global!BK1</f>
        <v>43158</v>
      </c>
      <c r="AG1" s="61">
        <f>Global!BL1</f>
        <v>43159</v>
      </c>
      <c r="AH1" s="61">
        <f>Global!BM1</f>
        <v>43160</v>
      </c>
    </row>
    <row r="2" spans="1:40" ht="50.25" customHeight="1" x14ac:dyDescent="0.2">
      <c r="A2" s="3" t="s">
        <v>0</v>
      </c>
      <c r="B2" s="11"/>
      <c r="C2" s="11"/>
      <c r="D2" s="11"/>
      <c r="E2" s="11"/>
    </row>
    <row r="3" spans="1:40" ht="42"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0" ht="15" customHeight="1" thickBot="1" x14ac:dyDescent="0.25">
      <c r="A4" s="10">
        <f>AnnéeCalendrier</f>
        <v>2018</v>
      </c>
      <c r="D4" s="95" t="s">
        <v>294</v>
      </c>
      <c r="E4" s="96">
        <v>10</v>
      </c>
    </row>
    <row r="5" spans="1:40" ht="30" customHeight="1" thickBot="1" x14ac:dyDescent="0.25">
      <c r="A5" s="72" t="s">
        <v>12</v>
      </c>
      <c r="B5" s="72"/>
      <c r="C5" s="72"/>
      <c r="D5" s="72"/>
      <c r="E5" s="72"/>
      <c r="F5" s="139" t="s">
        <v>45</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1"/>
      <c r="AJ5" s="100"/>
    </row>
    <row r="6" spans="1:40" ht="15" customHeight="1" x14ac:dyDescent="0.2">
      <c r="A6" s="1"/>
      <c r="B6" s="10"/>
      <c r="C6" s="10"/>
      <c r="D6" s="10"/>
      <c r="E6" s="10"/>
      <c r="F6" s="88" t="str">
        <f>TEXT(WEEKDAY(DATE(AnnéeCalendrier,2,1),1),"jjj")</f>
        <v>jeu</v>
      </c>
      <c r="G6" s="89" t="str">
        <f>TEXT(WEEKDAY(DATE(AnnéeCalendrier,2,2),1),"jjj")</f>
        <v>ven</v>
      </c>
      <c r="H6" s="89" t="str">
        <f>TEXT(WEEKDAY(DATE(AnnéeCalendrier,2,3),1),"jjj")</f>
        <v>sam</v>
      </c>
      <c r="I6" s="89" t="str">
        <f>TEXT(WEEKDAY(DATE(AnnéeCalendrier,2,4),1),"jjj")</f>
        <v>dim</v>
      </c>
      <c r="J6" s="89" t="str">
        <f>TEXT(WEEKDAY(DATE(AnnéeCalendrier,2,5),1),"jjj")</f>
        <v>lun</v>
      </c>
      <c r="K6" s="89" t="str">
        <f>TEXT(WEEKDAY(DATE(AnnéeCalendrier,2,6),1),"jjj")</f>
        <v>mar</v>
      </c>
      <c r="L6" s="89" t="str">
        <f>TEXT(WEEKDAY(DATE(AnnéeCalendrier,2,7),1),"jjj")</f>
        <v>mer</v>
      </c>
      <c r="M6" s="89" t="str">
        <f>TEXT(WEEKDAY(DATE(AnnéeCalendrier,2,8),1),"jjj")</f>
        <v>jeu</v>
      </c>
      <c r="N6" s="89" t="str">
        <f>TEXT(WEEKDAY(DATE(AnnéeCalendrier,2,9),1),"jjj")</f>
        <v>ven</v>
      </c>
      <c r="O6" s="89" t="str">
        <f>TEXT(WEEKDAY(DATE(AnnéeCalendrier,2,10),1),"jjj")</f>
        <v>sam</v>
      </c>
      <c r="P6" s="89" t="str">
        <f>TEXT(WEEKDAY(DATE(AnnéeCalendrier,2,11),1),"jjj")</f>
        <v>dim</v>
      </c>
      <c r="Q6" s="89" t="str">
        <f>TEXT(WEEKDAY(DATE(AnnéeCalendrier,2,12),1),"jjj")</f>
        <v>lun</v>
      </c>
      <c r="R6" s="89" t="str">
        <f>TEXT(WEEKDAY(DATE(AnnéeCalendrier,2,13),1),"jjj")</f>
        <v>mar</v>
      </c>
      <c r="S6" s="89" t="str">
        <f>TEXT(WEEKDAY(DATE(AnnéeCalendrier,2,14),1),"jjj")</f>
        <v>mer</v>
      </c>
      <c r="T6" s="89" t="str">
        <f>TEXT(WEEKDAY(DATE(AnnéeCalendrier,2,15),1),"jjj")</f>
        <v>jeu</v>
      </c>
      <c r="U6" s="89" t="str">
        <f>TEXT(WEEKDAY(DATE(AnnéeCalendrier,2,16),1),"jjj")</f>
        <v>ven</v>
      </c>
      <c r="V6" s="89" t="str">
        <f>TEXT(WEEKDAY(DATE(AnnéeCalendrier,2,17),1),"jjj")</f>
        <v>sam</v>
      </c>
      <c r="W6" s="89" t="str">
        <f>TEXT(WEEKDAY(DATE(AnnéeCalendrier,2,18),1),"jjj")</f>
        <v>dim</v>
      </c>
      <c r="X6" s="89" t="str">
        <f>TEXT(WEEKDAY(DATE(AnnéeCalendrier,2,19),1),"jjj")</f>
        <v>lun</v>
      </c>
      <c r="Y6" s="89" t="str">
        <f>TEXT(WEEKDAY(DATE(AnnéeCalendrier,2,20),1),"jjj")</f>
        <v>mar</v>
      </c>
      <c r="Z6" s="89" t="str">
        <f>TEXT(WEEKDAY(DATE(AnnéeCalendrier,2,21),1),"jjj")</f>
        <v>mer</v>
      </c>
      <c r="AA6" s="89" t="str">
        <f>TEXT(WEEKDAY(DATE(AnnéeCalendrier,2,22),1),"jjj")</f>
        <v>jeu</v>
      </c>
      <c r="AB6" s="89" t="str">
        <f>TEXT(WEEKDAY(DATE(AnnéeCalendrier,2,23),1),"jjj")</f>
        <v>ven</v>
      </c>
      <c r="AC6" s="89" t="str">
        <f>TEXT(WEEKDAY(DATE(AnnéeCalendrier,2,24),1),"jjj")</f>
        <v>sam</v>
      </c>
      <c r="AD6" s="89" t="str">
        <f>TEXT(WEEKDAY(DATE(AnnéeCalendrier,2,25),1),"jjj")</f>
        <v>dim</v>
      </c>
      <c r="AE6" s="89" t="str">
        <f>TEXT(WEEKDAY(DATE(AnnéeCalendrier,2,26),1),"jjj")</f>
        <v>lun</v>
      </c>
      <c r="AF6" s="89" t="str">
        <f>TEXT(WEEKDAY(DATE(AnnéeCalendrier,2,27),1),"jjj")</f>
        <v>mar</v>
      </c>
      <c r="AG6" s="89" t="str">
        <f>TEXT(WEEKDAY(DATE(AnnéeCalendrier,2,28),1),"jjj")</f>
        <v>mer</v>
      </c>
      <c r="AH6" s="89" t="str">
        <f>TEXT(WEEKDAY(DATE(AnnéeCalendrier,2,29),1),"jjj")</f>
        <v>jeu</v>
      </c>
      <c r="AI6" s="90"/>
      <c r="AJ6" s="100"/>
    </row>
    <row r="7" spans="1:40" ht="15" customHeight="1" thickBot="1" x14ac:dyDescent="0.25">
      <c r="A7" s="36" t="s">
        <v>63</v>
      </c>
      <c r="B7" s="36" t="s">
        <v>128</v>
      </c>
      <c r="C7" s="36" t="s">
        <v>129</v>
      </c>
      <c r="D7" s="36" t="s">
        <v>13</v>
      </c>
      <c r="E7" s="43" t="s">
        <v>113</v>
      </c>
      <c r="F7" s="91" t="s">
        <v>14</v>
      </c>
      <c r="G7" s="92" t="s">
        <v>15</v>
      </c>
      <c r="H7" s="92" t="s">
        <v>16</v>
      </c>
      <c r="I7" s="92" t="s">
        <v>17</v>
      </c>
      <c r="J7" s="92" t="s">
        <v>18</v>
      </c>
      <c r="K7" s="92" t="s">
        <v>19</v>
      </c>
      <c r="L7" s="92" t="s">
        <v>20</v>
      </c>
      <c r="M7" s="92" t="s">
        <v>21</v>
      </c>
      <c r="N7" s="92" t="s">
        <v>22</v>
      </c>
      <c r="O7" s="92" t="s">
        <v>23</v>
      </c>
      <c r="P7" s="92" t="s">
        <v>24</v>
      </c>
      <c r="Q7" s="92" t="s">
        <v>25</v>
      </c>
      <c r="R7" s="92" t="s">
        <v>26</v>
      </c>
      <c r="S7" s="92" t="s">
        <v>27</v>
      </c>
      <c r="T7" s="92" t="s">
        <v>28</v>
      </c>
      <c r="U7" s="92" t="s">
        <v>29</v>
      </c>
      <c r="V7" s="92" t="s">
        <v>30</v>
      </c>
      <c r="W7" s="92" t="s">
        <v>31</v>
      </c>
      <c r="X7" s="92" t="s">
        <v>32</v>
      </c>
      <c r="Y7" s="92" t="s">
        <v>33</v>
      </c>
      <c r="Z7" s="92" t="s">
        <v>34</v>
      </c>
      <c r="AA7" s="92" t="s">
        <v>35</v>
      </c>
      <c r="AB7" s="92" t="s">
        <v>36</v>
      </c>
      <c r="AC7" s="92" t="s">
        <v>37</v>
      </c>
      <c r="AD7" s="92" t="s">
        <v>38</v>
      </c>
      <c r="AE7" s="92" t="s">
        <v>39</v>
      </c>
      <c r="AF7" s="92" t="s">
        <v>40</v>
      </c>
      <c r="AG7" s="92" t="s">
        <v>41</v>
      </c>
      <c r="AH7" s="93" t="s">
        <v>42</v>
      </c>
      <c r="AI7" s="94" t="s">
        <v>46</v>
      </c>
      <c r="AJ7" s="101" t="s">
        <v>273</v>
      </c>
      <c r="AK7" s="101" t="s">
        <v>272</v>
      </c>
      <c r="AL7" s="36" t="s">
        <v>9</v>
      </c>
      <c r="AM7" s="36" t="s">
        <v>293</v>
      </c>
      <c r="AN7" s="97" t="s">
        <v>288</v>
      </c>
    </row>
    <row r="8" spans="1:40" ht="30" customHeight="1" x14ac:dyDescent="0.2">
      <c r="A8" s="41" t="s">
        <v>64</v>
      </c>
      <c r="B8" s="22" t="s">
        <v>130</v>
      </c>
      <c r="C8" s="22" t="s">
        <v>131</v>
      </c>
      <c r="D8" s="22" t="s">
        <v>132</v>
      </c>
      <c r="E8" s="44">
        <v>0</v>
      </c>
      <c r="F8" s="78" t="str">
        <f>Global!AK8</f>
        <v/>
      </c>
      <c r="G8" s="79" t="str">
        <f>Global!AL8</f>
        <v/>
      </c>
      <c r="H8" s="79" t="str">
        <f>Global!AM8</f>
        <v/>
      </c>
      <c r="I8" s="79" t="str">
        <f>Global!AN8</f>
        <v/>
      </c>
      <c r="J8" s="79" t="str">
        <f>Global!AO8</f>
        <v/>
      </c>
      <c r="K8" s="79" t="str">
        <f>Global!AP8</f>
        <v/>
      </c>
      <c r="L8" s="79" t="str">
        <f>Global!AQ8</f>
        <v/>
      </c>
      <c r="M8" s="79" t="str">
        <f>Global!AR8</f>
        <v/>
      </c>
      <c r="N8" s="79" t="str">
        <f>Global!AS8</f>
        <v/>
      </c>
      <c r="O8" s="79" t="str">
        <f>Global!AT8</f>
        <v/>
      </c>
      <c r="P8" s="79" t="str">
        <f>Global!AU8</f>
        <v/>
      </c>
      <c r="Q8" s="79" t="str">
        <f>Global!AV8</f>
        <v/>
      </c>
      <c r="R8" s="79" t="str">
        <f>Global!AW8</f>
        <v/>
      </c>
      <c r="S8" s="79" t="str">
        <f>Global!AX8</f>
        <v/>
      </c>
      <c r="T8" s="79" t="str">
        <f>Global!AY8</f>
        <v/>
      </c>
      <c r="U8" s="79" t="str">
        <f>Global!AZ8</f>
        <v/>
      </c>
      <c r="V8" s="79" t="str">
        <f>Global!BA8</f>
        <v/>
      </c>
      <c r="W8" s="79" t="str">
        <f>Global!BB8</f>
        <v/>
      </c>
      <c r="X8" s="79" t="str">
        <f>Global!BC8</f>
        <v/>
      </c>
      <c r="Y8" s="79" t="str">
        <f>Global!BD8</f>
        <v/>
      </c>
      <c r="Z8" s="79" t="str">
        <f>Global!BE8</f>
        <v/>
      </c>
      <c r="AA8" s="79" t="str">
        <f>Global!BF8</f>
        <v/>
      </c>
      <c r="AB8" s="79" t="str">
        <f>Global!BG8</f>
        <v/>
      </c>
      <c r="AC8" s="79" t="str">
        <f>Global!BH8</f>
        <v/>
      </c>
      <c r="AD8" s="79" t="str">
        <f>Global!BI8</f>
        <v/>
      </c>
      <c r="AE8" s="79" t="str">
        <f>Global!BJ8</f>
        <v/>
      </c>
      <c r="AF8" s="79" t="str">
        <f>Global!BK8</f>
        <v/>
      </c>
      <c r="AG8" s="79" t="str">
        <f>Global!BL8</f>
        <v/>
      </c>
      <c r="AH8" s="79"/>
      <c r="AI8" s="80" t="str">
        <f>IFERROR(VLOOKUP(#REF!,Feuil1!$A:$B,2,FALSE),"")</f>
        <v/>
      </c>
      <c r="AJ8" s="102">
        <f>COUNTIF(Février[[#This Row],[1]:[29]],"RTT")+(COUNTIF(Février[[#This Row],[1]:[29]],"dRTT")/2)</f>
        <v>0</v>
      </c>
      <c r="AK8" s="105">
        <f>COUNTIF(Février[[#This Row],[1]:[29]],"C")+(COUNTIF(Février[[#This Row],[1]:[29]],"DC")/2)</f>
        <v>0</v>
      </c>
      <c r="AL8" s="26">
        <f>COUNTIF(Février[[#This Row],[1]:[29]],"M")</f>
        <v>0</v>
      </c>
      <c r="AM8" s="26">
        <f>COUNTIF(Février[[#This Row],[1]:[29]],"AT")</f>
        <v>0</v>
      </c>
      <c r="AN8" s="84">
        <f>IF(AND(Février[[#This Row],[Maladie]]=0,Février[[#This Row],[AT]]=0),((10*(_xlfn.DAYS("28/02/2018","01/02/2018")+1))/365),((_xlfn.DAYS("28/02/2018","01/02/2018")+1-(Février[[#This Row],[Maladie]]+Février[[#This Row],[AT]]))*((10*(_xlfn.DAYS("28/02/2018","01/02/2018")+1))/365))/(_xlfn.DAYS("28/02/2018","01/02/2018")+1))</f>
        <v>0.76712328767123283</v>
      </c>
    </row>
    <row r="9" spans="1:40" ht="30" customHeight="1" x14ac:dyDescent="0.2">
      <c r="A9" s="13" t="s">
        <v>65</v>
      </c>
      <c r="B9" s="22" t="s">
        <v>130</v>
      </c>
      <c r="C9" s="22" t="s">
        <v>133</v>
      </c>
      <c r="D9" s="22" t="s">
        <v>134</v>
      </c>
      <c r="E9" s="44">
        <v>0</v>
      </c>
      <c r="F9" s="47" t="str">
        <f>Global!AK9</f>
        <v/>
      </c>
      <c r="G9" s="31" t="str">
        <f>Global!AL9</f>
        <v/>
      </c>
      <c r="H9" s="31" t="str">
        <f>Global!AM9</f>
        <v/>
      </c>
      <c r="I9" s="31" t="str">
        <f>Global!AN9</f>
        <v/>
      </c>
      <c r="J9" s="31" t="str">
        <f>Global!AO9</f>
        <v/>
      </c>
      <c r="K9" s="31" t="str">
        <f>Global!AP9</f>
        <v/>
      </c>
      <c r="L9" s="31" t="str">
        <f>Global!AQ9</f>
        <v/>
      </c>
      <c r="M9" s="31" t="str">
        <f>Global!AR9</f>
        <v/>
      </c>
      <c r="N9" s="31" t="str">
        <f>Global!AS9</f>
        <v/>
      </c>
      <c r="O9" s="31" t="str">
        <f>Global!AT9</f>
        <v/>
      </c>
      <c r="P9" s="31" t="str">
        <f>Global!AU9</f>
        <v/>
      </c>
      <c r="Q9" s="31" t="str">
        <f>Global!AV9</f>
        <v/>
      </c>
      <c r="R9" s="31" t="str">
        <f>Global!AW9</f>
        <v/>
      </c>
      <c r="S9" s="31" t="str">
        <f>Global!AX9</f>
        <v/>
      </c>
      <c r="T9" s="31" t="str">
        <f>Global!AY9</f>
        <v/>
      </c>
      <c r="U9" s="31" t="str">
        <f>Global!AZ9</f>
        <v/>
      </c>
      <c r="V9" s="31" t="str">
        <f>Global!BA9</f>
        <v/>
      </c>
      <c r="W9" s="31" t="str">
        <f>Global!BB9</f>
        <v/>
      </c>
      <c r="X9" s="31" t="str">
        <f>Global!BC9</f>
        <v/>
      </c>
      <c r="Y9" s="31" t="str">
        <f>Global!BD9</f>
        <v/>
      </c>
      <c r="Z9" s="31" t="str">
        <f>Global!BE9</f>
        <v/>
      </c>
      <c r="AA9" s="31" t="str">
        <f>Global!BF9</f>
        <v/>
      </c>
      <c r="AB9" s="31" t="str">
        <f>Global!BG9</f>
        <v/>
      </c>
      <c r="AC9" s="31" t="str">
        <f>Global!BH9</f>
        <v/>
      </c>
      <c r="AD9" s="31" t="str">
        <f>Global!BI9</f>
        <v/>
      </c>
      <c r="AE9" s="31" t="str">
        <f>Global!BJ9</f>
        <v/>
      </c>
      <c r="AF9" s="31" t="str">
        <f>Global!BK9</f>
        <v/>
      </c>
      <c r="AG9" s="31" t="str">
        <f>Global!BL9</f>
        <v/>
      </c>
      <c r="AH9" s="31"/>
      <c r="AI9" s="48" t="str">
        <f>IFERROR(VLOOKUP(#REF!,Feuil1!$A:$B,2,FALSE),"")</f>
        <v/>
      </c>
      <c r="AJ9" s="103">
        <f>COUNTIF(Février[[#This Row],[1]:[29]],"RTT")+(COUNTIF(Février[[#This Row],[1]:[29]],"dRTT")/2)</f>
        <v>0</v>
      </c>
      <c r="AK9" s="105">
        <f>COUNTIF(Février[[#This Row],[1]:[29]],"C")+(COUNTIF(Février[[#This Row],[1]:[29]],"DC")/2)</f>
        <v>0</v>
      </c>
      <c r="AL9" s="26">
        <f>COUNTIF(Février[[#This Row],[1]:[29]],"M")</f>
        <v>0</v>
      </c>
      <c r="AM9" s="26">
        <f>COUNTIF(Février[[#This Row],[1]:[29]],"AT")</f>
        <v>0</v>
      </c>
      <c r="AN9" s="84">
        <f>IF(AND(Février[[#This Row],[Maladie]]=0,Février[[#This Row],[AT]]=0),((10*(_xlfn.DAYS("28/02/2018","01/02/2018")+1))/365),((_xlfn.DAYS("28/02/2018","01/02/2018")+1-(Février[[#This Row],[Maladie]]+Février[[#This Row],[AT]]))*((10*(_xlfn.DAYS("28/02/2018","01/02/2018")+1))/365))/(_xlfn.DAYS("28/02/2018","01/02/2018")+1))</f>
        <v>0.76712328767123283</v>
      </c>
    </row>
    <row r="10" spans="1:40" ht="30" customHeight="1" x14ac:dyDescent="0.2">
      <c r="A10" s="14" t="s">
        <v>66</v>
      </c>
      <c r="B10" s="22" t="s">
        <v>135</v>
      </c>
      <c r="C10" s="22" t="s">
        <v>136</v>
      </c>
      <c r="D10" s="22" t="s">
        <v>137</v>
      </c>
      <c r="E10" s="44">
        <v>0</v>
      </c>
      <c r="F10" s="47" t="str">
        <f>Global!AK10</f>
        <v/>
      </c>
      <c r="G10" s="31" t="str">
        <f>Global!AL10</f>
        <v/>
      </c>
      <c r="H10" s="31" t="str">
        <f>Global!AM10</f>
        <v/>
      </c>
      <c r="I10" s="31" t="str">
        <f>Global!AN10</f>
        <v/>
      </c>
      <c r="J10" s="31" t="str">
        <f>Global!AO10</f>
        <v/>
      </c>
      <c r="K10" s="31" t="str">
        <f>Global!AP10</f>
        <v/>
      </c>
      <c r="L10" s="31" t="str">
        <f>Global!AQ10</f>
        <v/>
      </c>
      <c r="M10" s="31" t="str">
        <f>Global!AR10</f>
        <v/>
      </c>
      <c r="N10" s="31" t="str">
        <f>Global!AS10</f>
        <v/>
      </c>
      <c r="O10" s="31" t="str">
        <f>Global!AT10</f>
        <v/>
      </c>
      <c r="P10" s="31" t="str">
        <f>Global!AU10</f>
        <v/>
      </c>
      <c r="Q10" s="31" t="str">
        <f>Global!AV10</f>
        <v>C</v>
      </c>
      <c r="R10" s="31" t="str">
        <f>Global!AW10</f>
        <v>C</v>
      </c>
      <c r="S10" s="31" t="str">
        <f>Global!AX10</f>
        <v>C</v>
      </c>
      <c r="T10" s="31" t="str">
        <f>Global!AY10</f>
        <v>C</v>
      </c>
      <c r="U10" s="31" t="str">
        <f>Global!AZ10</f>
        <v>C</v>
      </c>
      <c r="V10" s="31" t="str">
        <f>Global!BA10</f>
        <v/>
      </c>
      <c r="W10" s="31" t="str">
        <f>Global!BB10</f>
        <v/>
      </c>
      <c r="X10" s="31" t="str">
        <f>Global!BC10</f>
        <v/>
      </c>
      <c r="Y10" s="31" t="str">
        <f>Global!BD10</f>
        <v/>
      </c>
      <c r="Z10" s="31" t="str">
        <f>Global!BE10</f>
        <v/>
      </c>
      <c r="AA10" s="31" t="str">
        <f>Global!BF10</f>
        <v/>
      </c>
      <c r="AB10" s="31" t="str">
        <f>Global!BG10</f>
        <v/>
      </c>
      <c r="AC10" s="31" t="str">
        <f>Global!BH10</f>
        <v/>
      </c>
      <c r="AD10" s="31" t="str">
        <f>Global!BI10</f>
        <v/>
      </c>
      <c r="AE10" s="31" t="str">
        <f>Global!BJ10</f>
        <v/>
      </c>
      <c r="AF10" s="31" t="str">
        <f>Global!BK10</f>
        <v/>
      </c>
      <c r="AG10" s="31" t="str">
        <f>Global!BL10</f>
        <v/>
      </c>
      <c r="AH10" s="31"/>
      <c r="AI10" s="48" t="str">
        <f>IFERROR(VLOOKUP(#REF!,Feuil1!$A:$B,2,FALSE),"")</f>
        <v/>
      </c>
      <c r="AJ10" s="103">
        <f>COUNTIF(Février[[#This Row],[1]:[29]],"RTT")+(COUNTIF(Février[[#This Row],[1]:[29]],"dRTT")/2)</f>
        <v>0</v>
      </c>
      <c r="AK10" s="105">
        <f>COUNTIF(Février[[#This Row],[1]:[29]],"C")+(COUNTIF(Février[[#This Row],[1]:[29]],"DC")/2)</f>
        <v>5</v>
      </c>
      <c r="AL10" s="26">
        <f>COUNTIF(Février[[#This Row],[1]:[29]],"M")</f>
        <v>0</v>
      </c>
      <c r="AM10" s="26">
        <f>COUNTIF(Février[[#This Row],[1]:[29]],"AT")</f>
        <v>0</v>
      </c>
      <c r="AN10" s="84">
        <f>IF(AND(Février[[#This Row],[Maladie]]=0,Février[[#This Row],[AT]]=0),((10*(_xlfn.DAYS("28/02/2018","01/02/2018")+1))/365),((_xlfn.DAYS("28/02/2018","01/02/2018")+1-(Février[[#This Row],[Maladie]]+Février[[#This Row],[AT]]))*((10*(_xlfn.DAYS("28/02/2018","01/02/2018")+1))/365))/(_xlfn.DAYS("28/02/2018","01/02/2018")+1))</f>
        <v>0.76712328767123283</v>
      </c>
    </row>
    <row r="11" spans="1:40" ht="30" customHeight="1" x14ac:dyDescent="0.2">
      <c r="A11" s="15" t="s">
        <v>67</v>
      </c>
      <c r="B11" s="22" t="s">
        <v>138</v>
      </c>
      <c r="C11" s="22" t="s">
        <v>139</v>
      </c>
      <c r="D11" s="22" t="s">
        <v>140</v>
      </c>
      <c r="E11" s="44">
        <v>0</v>
      </c>
      <c r="F11" s="47" t="str">
        <f>Global!AK11</f>
        <v>RTT</v>
      </c>
      <c r="G11" s="31" t="str">
        <f>Global!AL11</f>
        <v>C</v>
      </c>
      <c r="H11" s="31" t="str">
        <f>Global!AM11</f>
        <v/>
      </c>
      <c r="I11" s="31" t="str">
        <f>Global!AN11</f>
        <v/>
      </c>
      <c r="J11" s="31" t="str">
        <f>Global!AO11</f>
        <v/>
      </c>
      <c r="K11" s="31" t="str">
        <f>Global!AP11</f>
        <v>C</v>
      </c>
      <c r="L11" s="31" t="str">
        <f>Global!AQ11</f>
        <v/>
      </c>
      <c r="M11" s="31" t="str">
        <f>Global!AR11</f>
        <v/>
      </c>
      <c r="N11" s="31" t="str">
        <f>Global!AS11</f>
        <v/>
      </c>
      <c r="O11" s="31" t="str">
        <f>Global!AT11</f>
        <v/>
      </c>
      <c r="P11" s="31" t="str">
        <f>Global!AU11</f>
        <v/>
      </c>
      <c r="Q11" s="31" t="str">
        <f>Global!AV11</f>
        <v/>
      </c>
      <c r="R11" s="31" t="str">
        <f>Global!AW11</f>
        <v/>
      </c>
      <c r="S11" s="31" t="str">
        <f>Global!AX11</f>
        <v/>
      </c>
      <c r="T11" s="31" t="str">
        <f>Global!AY11</f>
        <v/>
      </c>
      <c r="U11" s="31" t="str">
        <f>Global!AZ11</f>
        <v/>
      </c>
      <c r="V11" s="31" t="str">
        <f>Global!BA11</f>
        <v/>
      </c>
      <c r="W11" s="31" t="str">
        <f>Global!BB11</f>
        <v/>
      </c>
      <c r="X11" s="31" t="str">
        <f>Global!BC11</f>
        <v/>
      </c>
      <c r="Y11" s="31" t="str">
        <f>Global!BD11</f>
        <v/>
      </c>
      <c r="Z11" s="31" t="str">
        <f>Global!BE11</f>
        <v/>
      </c>
      <c r="AA11" s="31" t="str">
        <f>Global!BF11</f>
        <v/>
      </c>
      <c r="AB11" s="31" t="str">
        <f>Global!BG11</f>
        <v/>
      </c>
      <c r="AC11" s="31" t="str">
        <f>Global!BH11</f>
        <v/>
      </c>
      <c r="AD11" s="31" t="str">
        <f>Global!BI11</f>
        <v/>
      </c>
      <c r="AE11" s="31" t="str">
        <f>Global!BJ11</f>
        <v/>
      </c>
      <c r="AF11" s="31" t="str">
        <f>Global!BK11</f>
        <v/>
      </c>
      <c r="AG11" s="31" t="str">
        <f>Global!BL11</f>
        <v/>
      </c>
      <c r="AH11" s="31"/>
      <c r="AI11" s="48" t="str">
        <f>IFERROR(VLOOKUP(#REF!,Feuil1!$A:$B,2,FALSE),"")</f>
        <v/>
      </c>
      <c r="AJ11" s="103">
        <f>COUNTIF(Février[[#This Row],[1]:[29]],"RTT")+(COUNTIF(Février[[#This Row],[1]:[29]],"dRTT")/2)</f>
        <v>1</v>
      </c>
      <c r="AK11" s="105">
        <f>COUNTIF(Février[[#This Row],[1]:[29]],"C")+(COUNTIF(Février[[#This Row],[1]:[29]],"DC")/2)</f>
        <v>2</v>
      </c>
      <c r="AL11" s="26">
        <f>COUNTIF(Février[[#This Row],[1]:[29]],"M")</f>
        <v>0</v>
      </c>
      <c r="AM11" s="26">
        <f>COUNTIF(Février[[#This Row],[1]:[29]],"AT")</f>
        <v>0</v>
      </c>
      <c r="AN11" s="84">
        <f>IF(AND(Février[[#This Row],[Maladie]]=0,Février[[#This Row],[AT]]=0),((10*(_xlfn.DAYS("28/02/2018","01/02/2018")+1))/365),((_xlfn.DAYS("28/02/2018","01/02/2018")+1-(Février[[#This Row],[Maladie]]+Février[[#This Row],[AT]]))*((10*(_xlfn.DAYS("28/02/2018","01/02/2018")+1))/365))/(_xlfn.DAYS("28/02/2018","01/02/2018")+1))</f>
        <v>0.76712328767123283</v>
      </c>
    </row>
    <row r="12" spans="1:40" ht="30" customHeight="1" x14ac:dyDescent="0.2">
      <c r="A12" s="15" t="s">
        <v>68</v>
      </c>
      <c r="B12" s="22" t="s">
        <v>141</v>
      </c>
      <c r="C12" s="22" t="s">
        <v>142</v>
      </c>
      <c r="D12" s="22" t="s">
        <v>143</v>
      </c>
      <c r="E12" s="44">
        <v>0</v>
      </c>
      <c r="F12" s="47" t="str">
        <f>Global!AK12</f>
        <v/>
      </c>
      <c r="G12" s="31" t="str">
        <f>Global!AL12</f>
        <v/>
      </c>
      <c r="H12" s="31" t="str">
        <f>Global!AM12</f>
        <v/>
      </c>
      <c r="I12" s="31" t="str">
        <f>Global!AN12</f>
        <v/>
      </c>
      <c r="J12" s="31" t="str">
        <f>Global!AO12</f>
        <v/>
      </c>
      <c r="K12" s="31" t="str">
        <f>Global!AP12</f>
        <v/>
      </c>
      <c r="L12" s="31" t="str">
        <f>Global!AQ12</f>
        <v/>
      </c>
      <c r="M12" s="31" t="str">
        <f>Global!AR12</f>
        <v/>
      </c>
      <c r="N12" s="31" t="str">
        <f>Global!AS12</f>
        <v>C</v>
      </c>
      <c r="O12" s="31" t="str">
        <f>Global!AT12</f>
        <v/>
      </c>
      <c r="P12" s="31" t="str">
        <f>Global!AU12</f>
        <v/>
      </c>
      <c r="Q12" s="31" t="str">
        <f>Global!AV12</f>
        <v/>
      </c>
      <c r="R12" s="31" t="str">
        <f>Global!AW12</f>
        <v/>
      </c>
      <c r="S12" s="31" t="str">
        <f>Global!AX12</f>
        <v/>
      </c>
      <c r="T12" s="31" t="str">
        <f>Global!AY12</f>
        <v/>
      </c>
      <c r="U12" s="31" t="str">
        <f>Global!AZ12</f>
        <v/>
      </c>
      <c r="V12" s="31" t="str">
        <f>Global!BA12</f>
        <v/>
      </c>
      <c r="W12" s="31" t="str">
        <f>Global!BB12</f>
        <v/>
      </c>
      <c r="X12" s="31" t="str">
        <f>Global!BC12</f>
        <v/>
      </c>
      <c r="Y12" s="31" t="str">
        <f>Global!BD12</f>
        <v/>
      </c>
      <c r="Z12" s="31" t="str">
        <f>Global!BE12</f>
        <v/>
      </c>
      <c r="AA12" s="31" t="str">
        <f>Global!BF12</f>
        <v/>
      </c>
      <c r="AB12" s="31" t="str">
        <f>Global!BG12</f>
        <v/>
      </c>
      <c r="AC12" s="31" t="str">
        <f>Global!BH12</f>
        <v/>
      </c>
      <c r="AD12" s="31" t="str">
        <f>Global!BI12</f>
        <v/>
      </c>
      <c r="AE12" s="31" t="str">
        <f>Global!BJ12</f>
        <v/>
      </c>
      <c r="AF12" s="31" t="str">
        <f>Global!BK12</f>
        <v/>
      </c>
      <c r="AG12" s="31" t="str">
        <f>Global!BL12</f>
        <v/>
      </c>
      <c r="AH12" s="31"/>
      <c r="AI12" s="48" t="str">
        <f>IFERROR(VLOOKUP(#REF!,Feuil1!$A:$B,2,FALSE),"")</f>
        <v/>
      </c>
      <c r="AJ12" s="103">
        <f>COUNTIF(Février[[#This Row],[1]:[29]],"RTT")+(COUNTIF(Février[[#This Row],[1]:[29]],"dRTT")/2)</f>
        <v>0</v>
      </c>
      <c r="AK12" s="105">
        <f>COUNTIF(Février[[#This Row],[1]:[29]],"C")+(COUNTIF(Février[[#This Row],[1]:[29]],"DC")/2)</f>
        <v>1</v>
      </c>
      <c r="AL12" s="26">
        <f>COUNTIF(Février[[#This Row],[1]:[29]],"M")</f>
        <v>0</v>
      </c>
      <c r="AM12" s="26">
        <f>COUNTIF(Février[[#This Row],[1]:[29]],"AT")</f>
        <v>0</v>
      </c>
      <c r="AN12" s="84">
        <f>IF(AND(Février[[#This Row],[Maladie]]=0,Février[[#This Row],[AT]]=0),((10*(_xlfn.DAYS("28/02/2018","01/02/2018")+1))/365),((_xlfn.DAYS("28/02/2018","01/02/2018")+1-(Février[[#This Row],[Maladie]]+Février[[#This Row],[AT]]))*((10*(_xlfn.DAYS("28/02/2018","01/02/2018")+1))/365))/(_xlfn.DAYS("28/02/2018","01/02/2018")+1))</f>
        <v>0.76712328767123283</v>
      </c>
    </row>
    <row r="13" spans="1:40" ht="30" customHeight="1" x14ac:dyDescent="0.2">
      <c r="A13" s="13" t="s">
        <v>69</v>
      </c>
      <c r="B13" s="22" t="s">
        <v>144</v>
      </c>
      <c r="C13" s="22" t="s">
        <v>145</v>
      </c>
      <c r="D13" s="22" t="s">
        <v>146</v>
      </c>
      <c r="E13" s="44">
        <v>0</v>
      </c>
      <c r="F13" s="47" t="str">
        <f>Global!AK13</f>
        <v>AT</v>
      </c>
      <c r="G13" s="31" t="str">
        <f>Global!AL13</f>
        <v>AT</v>
      </c>
      <c r="H13" s="31" t="str">
        <f>Global!AM13</f>
        <v>AT</v>
      </c>
      <c r="I13" s="31" t="str">
        <f>Global!AN13</f>
        <v>AT</v>
      </c>
      <c r="J13" s="31" t="str">
        <f>Global!AO13</f>
        <v>AT</v>
      </c>
      <c r="K13" s="31" t="str">
        <f>Global!AP13</f>
        <v>AT</v>
      </c>
      <c r="L13" s="31" t="str">
        <f>Global!AQ13</f>
        <v>AT</v>
      </c>
      <c r="M13" s="31" t="str">
        <f>Global!AR13</f>
        <v>AT</v>
      </c>
      <c r="N13" s="31" t="str">
        <f>Global!AS13</f>
        <v>AT</v>
      </c>
      <c r="O13" s="31" t="str">
        <f>Global!AT13</f>
        <v>AT</v>
      </c>
      <c r="P13" s="31" t="str">
        <f>Global!AU13</f>
        <v>AT</v>
      </c>
      <c r="Q13" s="31" t="str">
        <f>Global!AV13</f>
        <v>AT</v>
      </c>
      <c r="R13" s="31" t="str">
        <f>Global!AW13</f>
        <v>AT</v>
      </c>
      <c r="S13" s="31" t="str">
        <f>Global!AX13</f>
        <v>AT</v>
      </c>
      <c r="T13" s="31" t="str">
        <f>Global!AY13</f>
        <v>AT</v>
      </c>
      <c r="U13" s="31" t="str">
        <f>Global!AZ13</f>
        <v>AT</v>
      </c>
      <c r="V13" s="31" t="str">
        <f>Global!BA13</f>
        <v>AT</v>
      </c>
      <c r="W13" s="31" t="str">
        <f>Global!BB13</f>
        <v>AT</v>
      </c>
      <c r="X13" s="31" t="str">
        <f>Global!BC13</f>
        <v>AT</v>
      </c>
      <c r="Y13" s="31" t="str">
        <f>Global!BD13</f>
        <v>AT</v>
      </c>
      <c r="Z13" s="31" t="str">
        <f>Global!BE13</f>
        <v>AT</v>
      </c>
      <c r="AA13" s="31" t="str">
        <f>Global!BF13</f>
        <v>AT</v>
      </c>
      <c r="AB13" s="31" t="str">
        <f>Global!BG13</f>
        <v>AT</v>
      </c>
      <c r="AC13" s="31" t="str">
        <f>Global!BH13</f>
        <v>AT</v>
      </c>
      <c r="AD13" s="31" t="str">
        <f>Global!BI13</f>
        <v>AT</v>
      </c>
      <c r="AE13" s="31" t="str">
        <f>Global!BJ13</f>
        <v/>
      </c>
      <c r="AF13" s="31" t="str">
        <f>Global!BK13</f>
        <v/>
      </c>
      <c r="AG13" s="31" t="str">
        <f>Global!BL13</f>
        <v/>
      </c>
      <c r="AH13" s="31"/>
      <c r="AI13" s="48" t="str">
        <f>IFERROR(VLOOKUP(#REF!,Feuil1!$A:$B,2,FALSE),"")</f>
        <v/>
      </c>
      <c r="AJ13" s="103">
        <f>COUNTIF(Février[[#This Row],[1]:[29]],"RTT")+(COUNTIF(Février[[#This Row],[1]:[29]],"dRTT")/2)</f>
        <v>0</v>
      </c>
      <c r="AK13" s="105">
        <f>COUNTIF(Février[[#This Row],[1]:[29]],"C")+(COUNTIF(Février[[#This Row],[1]:[29]],"DC")/2)</f>
        <v>0</v>
      </c>
      <c r="AL13" s="26">
        <f>COUNTIF(Février[[#This Row],[1]:[29]],"M")</f>
        <v>0</v>
      </c>
      <c r="AM13" s="26">
        <f>COUNTIF(Février[[#This Row],[1]:[29]],"AT")</f>
        <v>25</v>
      </c>
      <c r="AN13" s="84">
        <f>IF(AND(Février[[#This Row],[Maladie]]=0,Février[[#This Row],[AT]]=0),((10*(_xlfn.DAYS("28/02/2018","01/02/2018")+1))/365),((_xlfn.DAYS("28/02/2018","01/02/2018")+1-(Février[[#This Row],[Maladie]]+Février[[#This Row],[AT]]))*((10*(_xlfn.DAYS("28/02/2018","01/02/2018")+1))/365))/(_xlfn.DAYS("28/02/2018","01/02/2018")+1))</f>
        <v>8.2191780821917804E-2</v>
      </c>
    </row>
    <row r="14" spans="1:40" ht="30" customHeight="1" x14ac:dyDescent="0.2">
      <c r="A14" s="15" t="s">
        <v>70</v>
      </c>
      <c r="B14" s="22" t="s">
        <v>147</v>
      </c>
      <c r="C14" s="22" t="s">
        <v>148</v>
      </c>
      <c r="D14" s="22" t="s">
        <v>149</v>
      </c>
      <c r="E14" s="44">
        <v>0</v>
      </c>
      <c r="F14" s="47" t="str">
        <f>Global!AK14</f>
        <v/>
      </c>
      <c r="G14" s="31" t="str">
        <f>Global!AL14</f>
        <v>C</v>
      </c>
      <c r="H14" s="31" t="str">
        <f>Global!AM14</f>
        <v/>
      </c>
      <c r="I14" s="31" t="str">
        <f>Global!AN14</f>
        <v/>
      </c>
      <c r="J14" s="31" t="str">
        <f>Global!AO14</f>
        <v/>
      </c>
      <c r="K14" s="31" t="str">
        <f>Global!AP14</f>
        <v/>
      </c>
      <c r="L14" s="31" t="str">
        <f>Global!AQ14</f>
        <v/>
      </c>
      <c r="M14" s="31" t="str">
        <f>Global!AR14</f>
        <v/>
      </c>
      <c r="N14" s="31" t="str">
        <f>Global!AS14</f>
        <v/>
      </c>
      <c r="O14" s="31" t="str">
        <f>Global!AT14</f>
        <v/>
      </c>
      <c r="P14" s="31" t="str">
        <f>Global!AU14</f>
        <v/>
      </c>
      <c r="Q14" s="31" t="str">
        <f>Global!AV14</f>
        <v/>
      </c>
      <c r="R14" s="31" t="str">
        <f>Global!AW14</f>
        <v/>
      </c>
      <c r="S14" s="31" t="str">
        <f>Global!AX14</f>
        <v/>
      </c>
      <c r="T14" s="31" t="str">
        <f>Global!AY14</f>
        <v>C</v>
      </c>
      <c r="U14" s="31" t="str">
        <f>Global!AZ14</f>
        <v>C</v>
      </c>
      <c r="V14" s="31" t="str">
        <f>Global!BA14</f>
        <v/>
      </c>
      <c r="W14" s="31" t="str">
        <f>Global!BB14</f>
        <v/>
      </c>
      <c r="X14" s="31" t="str">
        <f>Global!BC14</f>
        <v/>
      </c>
      <c r="Y14" s="31" t="str">
        <f>Global!BD14</f>
        <v>M</v>
      </c>
      <c r="Z14" s="31" t="str">
        <f>Global!BE14</f>
        <v>M</v>
      </c>
      <c r="AA14" s="31" t="str">
        <f>Global!BF14</f>
        <v>M</v>
      </c>
      <c r="AB14" s="31" t="str">
        <f>Global!BG14</f>
        <v>M</v>
      </c>
      <c r="AC14" s="31" t="str">
        <f>Global!BH14</f>
        <v>M</v>
      </c>
      <c r="AD14" s="31" t="str">
        <f>Global!BI14</f>
        <v>M</v>
      </c>
      <c r="AE14" s="31" t="str">
        <f>Global!BJ14</f>
        <v>M</v>
      </c>
      <c r="AF14" s="31" t="str">
        <f>Global!BK14</f>
        <v>M</v>
      </c>
      <c r="AG14" s="31" t="str">
        <f>Global!BL14</f>
        <v>M</v>
      </c>
      <c r="AH14" s="31"/>
      <c r="AI14" s="48" t="str">
        <f>IFERROR(VLOOKUP(#REF!,Feuil1!$A:$B,2,FALSE),"")</f>
        <v/>
      </c>
      <c r="AJ14" s="103">
        <f>COUNTIF(Février[[#This Row],[1]:[29]],"RTT")+(COUNTIF(Février[[#This Row],[1]:[29]],"dRTT")/2)</f>
        <v>0</v>
      </c>
      <c r="AK14" s="105">
        <f>COUNTIF(Février[[#This Row],[1]:[29]],"C")+(COUNTIF(Février[[#This Row],[1]:[29]],"DC")/2)</f>
        <v>3</v>
      </c>
      <c r="AL14" s="26">
        <f>COUNTIF(Février[[#This Row],[1]:[29]],"M")</f>
        <v>9</v>
      </c>
      <c r="AM14" s="26">
        <f>COUNTIF(Février[[#This Row],[1]:[29]],"AT")</f>
        <v>0</v>
      </c>
      <c r="AN14" s="84">
        <f>IF(AND(Février[[#This Row],[Maladie]]=0,Février[[#This Row],[AT]]=0),((10*(_xlfn.DAYS("28/02/2018","01/02/2018")+1))/365),((_xlfn.DAYS("28/02/2018","01/02/2018")+1-(Février[[#This Row],[Maladie]]+Février[[#This Row],[AT]]))*((10*(_xlfn.DAYS("28/02/2018","01/02/2018")+1))/365))/(_xlfn.DAYS("28/02/2018","01/02/2018")+1))</f>
        <v>0.52054794520547942</v>
      </c>
    </row>
    <row r="15" spans="1:40" ht="30" customHeight="1" x14ac:dyDescent="0.2">
      <c r="A15" s="15" t="s">
        <v>71</v>
      </c>
      <c r="B15" s="22" t="s">
        <v>150</v>
      </c>
      <c r="C15" s="22" t="s">
        <v>151</v>
      </c>
      <c r="D15" s="22" t="s">
        <v>152</v>
      </c>
      <c r="E15" s="44">
        <v>0</v>
      </c>
      <c r="F15" s="47" t="str">
        <f>Global!AK15</f>
        <v/>
      </c>
      <c r="G15" s="31" t="str">
        <f>Global!AL15</f>
        <v/>
      </c>
      <c r="H15" s="31" t="str">
        <f>Global!AM15</f>
        <v/>
      </c>
      <c r="I15" s="31" t="str">
        <f>Global!AN15</f>
        <v/>
      </c>
      <c r="J15" s="31" t="str">
        <f>Global!AO15</f>
        <v/>
      </c>
      <c r="K15" s="31" t="str">
        <f>Global!AP15</f>
        <v/>
      </c>
      <c r="L15" s="31" t="str">
        <f>Global!AQ15</f>
        <v/>
      </c>
      <c r="M15" s="31" t="str">
        <f>Global!AR15</f>
        <v/>
      </c>
      <c r="N15" s="31" t="str">
        <f>Global!AS15</f>
        <v>C</v>
      </c>
      <c r="O15" s="31" t="str">
        <f>Global!AT15</f>
        <v/>
      </c>
      <c r="P15" s="31" t="str">
        <f>Global!AU15</f>
        <v/>
      </c>
      <c r="Q15" s="31" t="str">
        <f>Global!AV15</f>
        <v/>
      </c>
      <c r="R15" s="31" t="str">
        <f>Global!AW15</f>
        <v/>
      </c>
      <c r="S15" s="31" t="str">
        <f>Global!AX15</f>
        <v/>
      </c>
      <c r="T15" s="31" t="str">
        <f>Global!AY15</f>
        <v/>
      </c>
      <c r="U15" s="31" t="str">
        <f>Global!AZ15</f>
        <v/>
      </c>
      <c r="V15" s="31" t="str">
        <f>Global!BA15</f>
        <v/>
      </c>
      <c r="W15" s="31" t="str">
        <f>Global!BB15</f>
        <v/>
      </c>
      <c r="X15" s="31" t="str">
        <f>Global!BC15</f>
        <v/>
      </c>
      <c r="Y15" s="31" t="str">
        <f>Global!BD15</f>
        <v/>
      </c>
      <c r="Z15" s="31" t="str">
        <f>Global!BE15</f>
        <v/>
      </c>
      <c r="AA15" s="31" t="str">
        <f>Global!BF15</f>
        <v/>
      </c>
      <c r="AB15" s="31" t="str">
        <f>Global!BG15</f>
        <v/>
      </c>
      <c r="AC15" s="31" t="str">
        <f>Global!BH15</f>
        <v/>
      </c>
      <c r="AD15" s="31" t="str">
        <f>Global!BI15</f>
        <v/>
      </c>
      <c r="AE15" s="31" t="str">
        <f>Global!BJ15</f>
        <v/>
      </c>
      <c r="AF15" s="31" t="str">
        <f>Global!BK15</f>
        <v/>
      </c>
      <c r="AG15" s="31" t="str">
        <f>Global!BL15</f>
        <v>C</v>
      </c>
      <c r="AH15" s="31"/>
      <c r="AI15" s="48" t="str">
        <f>IFERROR(VLOOKUP(#REF!,Feuil1!$A:$B,2,FALSE),"")</f>
        <v/>
      </c>
      <c r="AJ15" s="103">
        <f>COUNTIF(Février[[#This Row],[1]:[29]],"RTT")+(COUNTIF(Février[[#This Row],[1]:[29]],"dRTT")/2)</f>
        <v>0</v>
      </c>
      <c r="AK15" s="105">
        <f>COUNTIF(Février[[#This Row],[1]:[29]],"C")+(COUNTIF(Février[[#This Row],[1]:[29]],"DC")/2)</f>
        <v>2</v>
      </c>
      <c r="AL15" s="26">
        <f>COUNTIF(Février[[#This Row],[1]:[29]],"M")</f>
        <v>0</v>
      </c>
      <c r="AM15" s="26">
        <f>COUNTIF(Février[[#This Row],[1]:[29]],"AT")</f>
        <v>0</v>
      </c>
      <c r="AN15" s="84">
        <f>IF(AND(Février[[#This Row],[Maladie]]=0,Février[[#This Row],[AT]]=0),((10*(_xlfn.DAYS("28/02/2018","01/02/2018")+1))/365),((_xlfn.DAYS("28/02/2018","01/02/2018")+1-(Février[[#This Row],[Maladie]]+Février[[#This Row],[AT]]))*((10*(_xlfn.DAYS("28/02/2018","01/02/2018")+1))/365))/(_xlfn.DAYS("28/02/2018","01/02/2018")+1))</f>
        <v>0.76712328767123283</v>
      </c>
    </row>
    <row r="16" spans="1:40" ht="30" customHeight="1" x14ac:dyDescent="0.2">
      <c r="A16" s="15" t="s">
        <v>72</v>
      </c>
      <c r="B16" s="22" t="s">
        <v>153</v>
      </c>
      <c r="C16" s="22" t="s">
        <v>154</v>
      </c>
      <c r="D16" s="22" t="s">
        <v>155</v>
      </c>
      <c r="E16" s="44">
        <v>0</v>
      </c>
      <c r="F16" s="47" t="str">
        <f>Global!AK16</f>
        <v/>
      </c>
      <c r="G16" s="31" t="str">
        <f>Global!AL16</f>
        <v/>
      </c>
      <c r="H16" s="31" t="str">
        <f>Global!AM16</f>
        <v/>
      </c>
      <c r="I16" s="31" t="str">
        <f>Global!AN16</f>
        <v/>
      </c>
      <c r="J16" s="31" t="str">
        <f>Global!AO16</f>
        <v/>
      </c>
      <c r="K16" s="31" t="str">
        <f>Global!AP16</f>
        <v/>
      </c>
      <c r="L16" s="31" t="str">
        <f>Global!AQ16</f>
        <v/>
      </c>
      <c r="M16" s="31" t="str">
        <f>Global!AR16</f>
        <v/>
      </c>
      <c r="N16" s="31" t="str">
        <f>Global!AS16</f>
        <v/>
      </c>
      <c r="O16" s="31" t="str">
        <f>Global!AT16</f>
        <v/>
      </c>
      <c r="P16" s="31" t="str">
        <f>Global!AU16</f>
        <v/>
      </c>
      <c r="Q16" s="31" t="str">
        <f>Global!AV16</f>
        <v/>
      </c>
      <c r="R16" s="31" t="str">
        <f>Global!AW16</f>
        <v/>
      </c>
      <c r="S16" s="31" t="str">
        <f>Global!AX16</f>
        <v/>
      </c>
      <c r="T16" s="31" t="str">
        <f>Global!AY16</f>
        <v/>
      </c>
      <c r="U16" s="31" t="str">
        <f>Global!AZ16</f>
        <v/>
      </c>
      <c r="V16" s="31" t="str">
        <f>Global!BA16</f>
        <v/>
      </c>
      <c r="W16" s="31" t="str">
        <f>Global!BB16</f>
        <v/>
      </c>
      <c r="X16" s="31" t="str">
        <f>Global!BC16</f>
        <v>RTT</v>
      </c>
      <c r="Y16" s="31" t="str">
        <f>Global!BD16</f>
        <v>RTT</v>
      </c>
      <c r="Z16" s="31" t="str">
        <f>Global!BE16</f>
        <v>RTT</v>
      </c>
      <c r="AA16" s="31" t="str">
        <f>Global!BF16</f>
        <v>C</v>
      </c>
      <c r="AB16" s="31" t="str">
        <f>Global!BG16</f>
        <v>C</v>
      </c>
      <c r="AC16" s="31" t="str">
        <f>Global!BH16</f>
        <v/>
      </c>
      <c r="AD16" s="31" t="str">
        <f>Global!BI16</f>
        <v/>
      </c>
      <c r="AE16" s="31" t="str">
        <f>Global!BJ16</f>
        <v/>
      </c>
      <c r="AF16" s="31" t="str">
        <f>Global!BK16</f>
        <v/>
      </c>
      <c r="AG16" s="31" t="str">
        <f>Global!BL16</f>
        <v/>
      </c>
      <c r="AH16" s="31"/>
      <c r="AI16" s="48" t="str">
        <f>IFERROR(VLOOKUP(#REF!,Feuil1!$A:$B,2,FALSE),"")</f>
        <v/>
      </c>
      <c r="AJ16" s="103">
        <f>COUNTIF(Février[[#This Row],[1]:[29]],"RTT")+(COUNTIF(Février[[#This Row],[1]:[29]],"dRTT")/2)</f>
        <v>3</v>
      </c>
      <c r="AK16" s="105">
        <f>COUNTIF(Février[[#This Row],[1]:[29]],"C")+(COUNTIF(Février[[#This Row],[1]:[29]],"DC")/2)</f>
        <v>2</v>
      </c>
      <c r="AL16" s="26">
        <f>COUNTIF(Février[[#This Row],[1]:[29]],"M")</f>
        <v>0</v>
      </c>
      <c r="AM16" s="26">
        <f>COUNTIF(Février[[#This Row],[1]:[29]],"AT")</f>
        <v>0</v>
      </c>
      <c r="AN16" s="84">
        <f>IF(AND(Février[[#This Row],[Maladie]]=0,Février[[#This Row],[AT]]=0),((10*(_xlfn.DAYS("28/02/2018","01/02/2018")+1))/365),((_xlfn.DAYS("28/02/2018","01/02/2018")+1-(Février[[#This Row],[Maladie]]+Février[[#This Row],[AT]]))*((10*(_xlfn.DAYS("28/02/2018","01/02/2018")+1))/365))/(_xlfn.DAYS("28/02/2018","01/02/2018")+1))</f>
        <v>0.76712328767123283</v>
      </c>
    </row>
    <row r="17" spans="1:40" ht="30" customHeight="1" x14ac:dyDescent="0.2">
      <c r="A17" s="15" t="s">
        <v>73</v>
      </c>
      <c r="B17" s="22" t="s">
        <v>156</v>
      </c>
      <c r="C17" s="22" t="s">
        <v>157</v>
      </c>
      <c r="D17" s="22" t="s">
        <v>158</v>
      </c>
      <c r="E17" s="44">
        <v>0</v>
      </c>
      <c r="F17" s="47" t="str">
        <f>Global!AK17</f>
        <v/>
      </c>
      <c r="G17" s="31" t="str">
        <f>Global!AL17</f>
        <v/>
      </c>
      <c r="H17" s="31" t="str">
        <f>Global!AM17</f>
        <v/>
      </c>
      <c r="I17" s="31" t="str">
        <f>Global!AN17</f>
        <v/>
      </c>
      <c r="J17" s="31" t="str">
        <f>Global!AO17</f>
        <v/>
      </c>
      <c r="K17" s="31" t="str">
        <f>Global!AP17</f>
        <v/>
      </c>
      <c r="L17" s="31" t="str">
        <f>Global!AQ17</f>
        <v/>
      </c>
      <c r="M17" s="31" t="str">
        <f>Global!AR17</f>
        <v/>
      </c>
      <c r="N17" s="31" t="str">
        <f>Global!AS17</f>
        <v/>
      </c>
      <c r="O17" s="31" t="str">
        <f>Global!AT17</f>
        <v/>
      </c>
      <c r="P17" s="31" t="str">
        <f>Global!AU17</f>
        <v/>
      </c>
      <c r="Q17" s="31" t="str">
        <f>Global!AV17</f>
        <v/>
      </c>
      <c r="R17" s="31" t="str">
        <f>Global!AW17</f>
        <v/>
      </c>
      <c r="S17" s="31" t="str">
        <f>Global!AX17</f>
        <v/>
      </c>
      <c r="T17" s="31" t="str">
        <f>Global!AY17</f>
        <v/>
      </c>
      <c r="U17" s="31" t="str">
        <f>Global!AZ17</f>
        <v/>
      </c>
      <c r="V17" s="31" t="str">
        <f>Global!BA17</f>
        <v/>
      </c>
      <c r="W17" s="31" t="str">
        <f>Global!BB17</f>
        <v/>
      </c>
      <c r="X17" s="31" t="str">
        <f>Global!BC17</f>
        <v/>
      </c>
      <c r="Y17" s="31" t="str">
        <f>Global!BD17</f>
        <v/>
      </c>
      <c r="Z17" s="31" t="str">
        <f>Global!BE17</f>
        <v/>
      </c>
      <c r="AA17" s="31" t="str">
        <f>Global!BF17</f>
        <v/>
      </c>
      <c r="AB17" s="31" t="str">
        <f>Global!BG17</f>
        <v/>
      </c>
      <c r="AC17" s="31" t="str">
        <f>Global!BH17</f>
        <v/>
      </c>
      <c r="AD17" s="31" t="str">
        <f>Global!BI17</f>
        <v/>
      </c>
      <c r="AE17" s="31" t="str">
        <f>Global!BJ17</f>
        <v/>
      </c>
      <c r="AF17" s="31" t="str">
        <f>Global!BK17</f>
        <v/>
      </c>
      <c r="AG17" s="31" t="str">
        <f>Global!BL17</f>
        <v/>
      </c>
      <c r="AH17" s="31"/>
      <c r="AI17" s="48" t="str">
        <f>IFERROR(VLOOKUP(#REF!,Feuil1!$A:$B,2,FALSE),"")</f>
        <v/>
      </c>
      <c r="AJ17" s="103">
        <f>COUNTIF(Février[[#This Row],[1]:[29]],"RTT")+(COUNTIF(Février[[#This Row],[1]:[29]],"dRTT")/2)</f>
        <v>0</v>
      </c>
      <c r="AK17" s="105">
        <f>COUNTIF(Février[[#This Row],[1]:[29]],"C")+(COUNTIF(Février[[#This Row],[1]:[29]],"DC")/2)</f>
        <v>0</v>
      </c>
      <c r="AL17" s="26">
        <f>COUNTIF(Février[[#This Row],[1]:[29]],"M")</f>
        <v>0</v>
      </c>
      <c r="AM17" s="26">
        <f>COUNTIF(Février[[#This Row],[1]:[29]],"AT")</f>
        <v>0</v>
      </c>
      <c r="AN17" s="84">
        <f>IF(AND(Février[[#This Row],[Maladie]]=0,Février[[#This Row],[AT]]=0),((10*(_xlfn.DAYS("28/02/2018","01/02/2018")+1))/365),((_xlfn.DAYS("28/02/2018","01/02/2018")+1-(Février[[#This Row],[Maladie]]+Février[[#This Row],[AT]]))*((10*(_xlfn.DAYS("28/02/2018","01/02/2018")+1))/365))/(_xlfn.DAYS("28/02/2018","01/02/2018")+1))</f>
        <v>0.76712328767123283</v>
      </c>
    </row>
    <row r="18" spans="1:40" ht="30" customHeight="1" x14ac:dyDescent="0.2">
      <c r="A18" s="15" t="s">
        <v>74</v>
      </c>
      <c r="B18" s="22" t="s">
        <v>159</v>
      </c>
      <c r="C18" s="22" t="s">
        <v>160</v>
      </c>
      <c r="D18" s="22" t="s">
        <v>161</v>
      </c>
      <c r="E18" s="44" t="s">
        <v>162</v>
      </c>
      <c r="F18" s="47" t="str">
        <f>Global!AK18</f>
        <v/>
      </c>
      <c r="G18" s="31" t="str">
        <f>Global!AL18</f>
        <v/>
      </c>
      <c r="H18" s="31" t="str">
        <f>Global!AM18</f>
        <v>C</v>
      </c>
      <c r="I18" s="31" t="str">
        <f>Global!AN18</f>
        <v>C</v>
      </c>
      <c r="J18" s="31" t="str">
        <f>Global!AO18</f>
        <v>C</v>
      </c>
      <c r="K18" s="31" t="str">
        <f>Global!AP18</f>
        <v>C</v>
      </c>
      <c r="L18" s="31" t="str">
        <f>Global!AQ18</f>
        <v>C</v>
      </c>
      <c r="M18" s="31" t="str">
        <f>Global!AR18</f>
        <v>C</v>
      </c>
      <c r="N18" s="31" t="str">
        <f>Global!AS18</f>
        <v>C</v>
      </c>
      <c r="O18" s="31" t="str">
        <f>Global!AT18</f>
        <v>C</v>
      </c>
      <c r="P18" s="31" t="str">
        <f>Global!AU18</f>
        <v>C</v>
      </c>
      <c r="Q18" s="31" t="str">
        <f>Global!AV18</f>
        <v/>
      </c>
      <c r="R18" s="31" t="str">
        <f>Global!AW18</f>
        <v/>
      </c>
      <c r="S18" s="31" t="str">
        <f>Global!AX18</f>
        <v/>
      </c>
      <c r="T18" s="31" t="str">
        <f>Global!AY18</f>
        <v/>
      </c>
      <c r="U18" s="31" t="str">
        <f>Global!AZ18</f>
        <v/>
      </c>
      <c r="V18" s="31" t="str">
        <f>Global!BA18</f>
        <v/>
      </c>
      <c r="W18" s="31" t="str">
        <f>Global!BB18</f>
        <v/>
      </c>
      <c r="X18" s="31" t="str">
        <f>Global!BC18</f>
        <v/>
      </c>
      <c r="Y18" s="31" t="str">
        <f>Global!BD18</f>
        <v/>
      </c>
      <c r="Z18" s="31" t="str">
        <f>Global!BE18</f>
        <v/>
      </c>
      <c r="AA18" s="31" t="str">
        <f>Global!BF18</f>
        <v/>
      </c>
      <c r="AB18" s="31" t="str">
        <f>Global!BG18</f>
        <v/>
      </c>
      <c r="AC18" s="31" t="str">
        <f>Global!BH18</f>
        <v/>
      </c>
      <c r="AD18" s="31" t="str">
        <f>Global!BI18</f>
        <v/>
      </c>
      <c r="AE18" s="31" t="str">
        <f>Global!BJ18</f>
        <v/>
      </c>
      <c r="AF18" s="31" t="str">
        <f>Global!BK18</f>
        <v/>
      </c>
      <c r="AG18" s="31" t="str">
        <f>Global!BL18</f>
        <v/>
      </c>
      <c r="AH18" s="31"/>
      <c r="AI18" s="48" t="str">
        <f>IFERROR(VLOOKUP(#REF!,Feuil1!$A:$B,2,FALSE),"")</f>
        <v/>
      </c>
      <c r="AJ18" s="103">
        <f>COUNTIF(Février[[#This Row],[1]:[29]],"RTT")+(COUNTIF(Février[[#This Row],[1]:[29]],"dRTT")/2)</f>
        <v>0</v>
      </c>
      <c r="AK18" s="105">
        <f>COUNTIF(Février[[#This Row],[1]:[29]],"C")+(COUNTIF(Février[[#This Row],[1]:[29]],"DC")/2)</f>
        <v>9</v>
      </c>
      <c r="AL18" s="26">
        <f>COUNTIF(Février[[#This Row],[1]:[29]],"M")</f>
        <v>0</v>
      </c>
      <c r="AM18" s="26">
        <f>COUNTIF(Février[[#This Row],[1]:[29]],"AT")</f>
        <v>0</v>
      </c>
      <c r="AN18" s="84">
        <f>IF(AND(Février[[#This Row],[Maladie]]=0,Février[[#This Row],[AT]]=0),((10*(_xlfn.DAYS("28/02/2018","01/02/2018")+1))/365),((_xlfn.DAYS("28/02/2018","01/02/2018")+1-(Février[[#This Row],[Maladie]]+Février[[#This Row],[AT]]))*((10*(_xlfn.DAYS("28/02/2018","01/02/2018")+1))/365))/(_xlfn.DAYS("28/02/2018","01/02/2018")+1))</f>
        <v>0.76712328767123283</v>
      </c>
    </row>
    <row r="19" spans="1:40" ht="30" customHeight="1" x14ac:dyDescent="0.2">
      <c r="A19" s="15" t="s">
        <v>75</v>
      </c>
      <c r="B19" s="22" t="s">
        <v>163</v>
      </c>
      <c r="C19" s="22" t="s">
        <v>164</v>
      </c>
      <c r="D19" s="22" t="s">
        <v>165</v>
      </c>
      <c r="E19" s="44">
        <v>0</v>
      </c>
      <c r="F19" s="47" t="str">
        <f>Global!AK19</f>
        <v/>
      </c>
      <c r="G19" s="31" t="str">
        <f>Global!AL19</f>
        <v/>
      </c>
      <c r="H19" s="31" t="str">
        <f>Global!AM19</f>
        <v/>
      </c>
      <c r="I19" s="31" t="str">
        <f>Global!AN19</f>
        <v/>
      </c>
      <c r="J19" s="31" t="str">
        <f>Global!AO19</f>
        <v/>
      </c>
      <c r="K19" s="31" t="str">
        <f>Global!AP19</f>
        <v/>
      </c>
      <c r="L19" s="31" t="str">
        <f>Global!AQ19</f>
        <v/>
      </c>
      <c r="M19" s="31" t="str">
        <f>Global!AR19</f>
        <v/>
      </c>
      <c r="N19" s="31" t="str">
        <f>Global!AS19</f>
        <v/>
      </c>
      <c r="O19" s="31" t="str">
        <f>Global!AT19</f>
        <v/>
      </c>
      <c r="P19" s="31" t="str">
        <f>Global!AU19</f>
        <v/>
      </c>
      <c r="Q19" s="31" t="str">
        <f>Global!AV19</f>
        <v/>
      </c>
      <c r="R19" s="31" t="str">
        <f>Global!AW19</f>
        <v/>
      </c>
      <c r="S19" s="31" t="str">
        <f>Global!AX19</f>
        <v/>
      </c>
      <c r="T19" s="31" t="str">
        <f>Global!AY19</f>
        <v/>
      </c>
      <c r="U19" s="31" t="str">
        <f>Global!AZ19</f>
        <v/>
      </c>
      <c r="V19" s="31" t="str">
        <f>Global!BA19</f>
        <v/>
      </c>
      <c r="W19" s="31" t="str">
        <f>Global!BB19</f>
        <v/>
      </c>
      <c r="X19" s="31" t="str">
        <f>Global!BC19</f>
        <v/>
      </c>
      <c r="Y19" s="31" t="str">
        <f>Global!BD19</f>
        <v/>
      </c>
      <c r="Z19" s="31" t="str">
        <f>Global!BE19</f>
        <v/>
      </c>
      <c r="AA19" s="31" t="str">
        <f>Global!BF19</f>
        <v/>
      </c>
      <c r="AB19" s="31" t="str">
        <f>Global!BG19</f>
        <v/>
      </c>
      <c r="AC19" s="31" t="str">
        <f>Global!BH19</f>
        <v/>
      </c>
      <c r="AD19" s="31" t="str">
        <f>Global!BI19</f>
        <v/>
      </c>
      <c r="AE19" s="31" t="str">
        <f>Global!BJ19</f>
        <v/>
      </c>
      <c r="AF19" s="31" t="str">
        <f>Global!BK19</f>
        <v/>
      </c>
      <c r="AG19" s="31" t="str">
        <f>Global!BL19</f>
        <v/>
      </c>
      <c r="AH19" s="31"/>
      <c r="AI19" s="48" t="str">
        <f>IFERROR(VLOOKUP(#REF!,Feuil1!$A:$B,2,FALSE),"")</f>
        <v/>
      </c>
      <c r="AJ19" s="103">
        <f>COUNTIF(Février[[#This Row],[1]:[29]],"RTT")+(COUNTIF(Février[[#This Row],[1]:[29]],"dRTT")/2)</f>
        <v>0</v>
      </c>
      <c r="AK19" s="105">
        <f>COUNTIF(Février[[#This Row],[1]:[29]],"C")+(COUNTIF(Février[[#This Row],[1]:[29]],"DC")/2)</f>
        <v>0</v>
      </c>
      <c r="AL19" s="26">
        <f>COUNTIF(Février[[#This Row],[1]:[29]],"M")</f>
        <v>0</v>
      </c>
      <c r="AM19" s="26">
        <f>COUNTIF(Février[[#This Row],[1]:[29]],"AT")</f>
        <v>0</v>
      </c>
      <c r="AN19" s="84">
        <f>IF(AND(Février[[#This Row],[Maladie]]=0,Février[[#This Row],[AT]]=0),((10*(_xlfn.DAYS("28/02/2018","01/02/2018")+1))/365),((_xlfn.DAYS("28/02/2018","01/02/2018")+1-(Février[[#This Row],[Maladie]]+Février[[#This Row],[AT]]))*((10*(_xlfn.DAYS("28/02/2018","01/02/2018")+1))/365))/(_xlfn.DAYS("28/02/2018","01/02/2018")+1))</f>
        <v>0.76712328767123283</v>
      </c>
    </row>
    <row r="20" spans="1:40" ht="30" customHeight="1" x14ac:dyDescent="0.2">
      <c r="A20" s="15" t="s">
        <v>76</v>
      </c>
      <c r="B20" s="22" t="s">
        <v>166</v>
      </c>
      <c r="C20" s="22" t="s">
        <v>151</v>
      </c>
      <c r="D20" s="22" t="s">
        <v>167</v>
      </c>
      <c r="E20" s="44">
        <v>0</v>
      </c>
      <c r="F20" s="47" t="str">
        <f>Global!AK20</f>
        <v/>
      </c>
      <c r="G20" s="31" t="str">
        <f>Global!AL20</f>
        <v/>
      </c>
      <c r="H20" s="31" t="str">
        <f>Global!AM20</f>
        <v/>
      </c>
      <c r="I20" s="31" t="str">
        <f>Global!AN20</f>
        <v/>
      </c>
      <c r="J20" s="31" t="str">
        <f>Global!AO20</f>
        <v/>
      </c>
      <c r="K20" s="31" t="str">
        <f>Global!AP20</f>
        <v/>
      </c>
      <c r="L20" s="31" t="str">
        <f>Global!AQ20</f>
        <v/>
      </c>
      <c r="M20" s="31" t="str">
        <f>Global!AR20</f>
        <v/>
      </c>
      <c r="N20" s="31" t="str">
        <f>Global!AS20</f>
        <v/>
      </c>
      <c r="O20" s="31" t="str">
        <f>Global!AT20</f>
        <v/>
      </c>
      <c r="P20" s="31" t="str">
        <f>Global!AU20</f>
        <v/>
      </c>
      <c r="Q20" s="31" t="str">
        <f>Global!AV20</f>
        <v/>
      </c>
      <c r="R20" s="31" t="str">
        <f>Global!AW20</f>
        <v/>
      </c>
      <c r="S20" s="31" t="str">
        <f>Global!AX20</f>
        <v/>
      </c>
      <c r="T20" s="31" t="str">
        <f>Global!AY20</f>
        <v/>
      </c>
      <c r="U20" s="31" t="str">
        <f>Global!AZ20</f>
        <v/>
      </c>
      <c r="V20" s="31" t="str">
        <f>Global!BA20</f>
        <v/>
      </c>
      <c r="W20" s="31" t="str">
        <f>Global!BB20</f>
        <v/>
      </c>
      <c r="X20" s="31" t="str">
        <f>Global!BC20</f>
        <v/>
      </c>
      <c r="Y20" s="31" t="str">
        <f>Global!BD20</f>
        <v/>
      </c>
      <c r="Z20" s="31" t="str">
        <f>Global!BE20</f>
        <v/>
      </c>
      <c r="AA20" s="31" t="str">
        <f>Global!BF20</f>
        <v/>
      </c>
      <c r="AB20" s="31" t="str">
        <f>Global!BG20</f>
        <v/>
      </c>
      <c r="AC20" s="31" t="str">
        <f>Global!BH20</f>
        <v/>
      </c>
      <c r="AD20" s="31" t="str">
        <f>Global!BI20</f>
        <v/>
      </c>
      <c r="AE20" s="31" t="str">
        <f>Global!BJ20</f>
        <v/>
      </c>
      <c r="AF20" s="31" t="str">
        <f>Global!BK20</f>
        <v/>
      </c>
      <c r="AG20" s="31" t="str">
        <f>Global!BL20</f>
        <v/>
      </c>
      <c r="AH20" s="31"/>
      <c r="AI20" s="48" t="str">
        <f>IFERROR(VLOOKUP(#REF!,Feuil1!$A:$B,2,FALSE),"")</f>
        <v/>
      </c>
      <c r="AJ20" s="103">
        <f>COUNTIF(Février[[#This Row],[1]:[29]],"RTT")+(COUNTIF(Février[[#This Row],[1]:[29]],"dRTT")/2)</f>
        <v>0</v>
      </c>
      <c r="AK20" s="105">
        <f>COUNTIF(Février[[#This Row],[1]:[29]],"C")+(COUNTIF(Février[[#This Row],[1]:[29]],"DC")/2)</f>
        <v>0</v>
      </c>
      <c r="AL20" s="26">
        <f>COUNTIF(Février[[#This Row],[1]:[29]],"M")</f>
        <v>0</v>
      </c>
      <c r="AM20" s="26">
        <f>COUNTIF(Février[[#This Row],[1]:[29]],"AT")</f>
        <v>0</v>
      </c>
      <c r="AN20" s="84">
        <f>IF(AND(Février[[#This Row],[Maladie]]=0,Février[[#This Row],[AT]]=0),((10*(_xlfn.DAYS("28/02/2018","01/02/2018")+1))/365),((_xlfn.DAYS("28/02/2018","01/02/2018")+1-(Février[[#This Row],[Maladie]]+Février[[#This Row],[AT]]))*((10*(_xlfn.DAYS("28/02/2018","01/02/2018")+1))/365))/(_xlfn.DAYS("28/02/2018","01/02/2018")+1))</f>
        <v>0.76712328767123283</v>
      </c>
    </row>
    <row r="21" spans="1:40" ht="30" customHeight="1" x14ac:dyDescent="0.2">
      <c r="A21" s="15" t="s">
        <v>77</v>
      </c>
      <c r="B21" s="22" t="s">
        <v>168</v>
      </c>
      <c r="C21" s="22" t="s">
        <v>169</v>
      </c>
      <c r="D21" s="22" t="s">
        <v>170</v>
      </c>
      <c r="E21" s="44">
        <v>0</v>
      </c>
      <c r="F21" s="47" t="str">
        <f>Global!AK21</f>
        <v/>
      </c>
      <c r="G21" s="31" t="str">
        <f>Global!AL21</f>
        <v/>
      </c>
      <c r="H21" s="31" t="str">
        <f>Global!AM21</f>
        <v/>
      </c>
      <c r="I21" s="31" t="str">
        <f>Global!AN21</f>
        <v/>
      </c>
      <c r="J21" s="31" t="str">
        <f>Global!AO21</f>
        <v>C</v>
      </c>
      <c r="K21" s="31" t="str">
        <f>Global!AP21</f>
        <v>C</v>
      </c>
      <c r="L21" s="31" t="str">
        <f>Global!AQ21</f>
        <v>C</v>
      </c>
      <c r="M21" s="31" t="str">
        <f>Global!AR21</f>
        <v>C</v>
      </c>
      <c r="N21" s="31" t="str">
        <f>Global!AS21</f>
        <v>C</v>
      </c>
      <c r="O21" s="31" t="str">
        <f>Global!AT21</f>
        <v/>
      </c>
      <c r="P21" s="31" t="str">
        <f>Global!AU21</f>
        <v/>
      </c>
      <c r="Q21" s="31" t="str">
        <f>Global!AV21</f>
        <v/>
      </c>
      <c r="R21" s="31" t="str">
        <f>Global!AW21</f>
        <v/>
      </c>
      <c r="S21" s="31" t="str">
        <f>Global!AX21</f>
        <v/>
      </c>
      <c r="T21" s="31" t="str">
        <f>Global!AY21</f>
        <v/>
      </c>
      <c r="U21" s="31" t="str">
        <f>Global!AZ21</f>
        <v/>
      </c>
      <c r="V21" s="31" t="str">
        <f>Global!BA21</f>
        <v/>
      </c>
      <c r="W21" s="31" t="str">
        <f>Global!BB21</f>
        <v/>
      </c>
      <c r="X21" s="31" t="str">
        <f>Global!BC21</f>
        <v/>
      </c>
      <c r="Y21" s="31" t="str">
        <f>Global!BD21</f>
        <v/>
      </c>
      <c r="Z21" s="31" t="str">
        <f>Global!BE21</f>
        <v/>
      </c>
      <c r="AA21" s="31" t="str">
        <f>Global!BF21</f>
        <v/>
      </c>
      <c r="AB21" s="31" t="str">
        <f>Global!BG21</f>
        <v/>
      </c>
      <c r="AC21" s="31" t="str">
        <f>Global!BH21</f>
        <v/>
      </c>
      <c r="AD21" s="31" t="str">
        <f>Global!BI21</f>
        <v/>
      </c>
      <c r="AE21" s="31" t="str">
        <f>Global!BJ21</f>
        <v/>
      </c>
      <c r="AF21" s="31" t="str">
        <f>Global!BK21</f>
        <v>C</v>
      </c>
      <c r="AG21" s="31" t="str">
        <f>Global!BL21</f>
        <v/>
      </c>
      <c r="AH21" s="31"/>
      <c r="AI21" s="48" t="str">
        <f>IFERROR(VLOOKUP(#REF!,Feuil1!$A:$B,2,FALSE),"")</f>
        <v/>
      </c>
      <c r="AJ21" s="103">
        <f>COUNTIF(Février[[#This Row],[1]:[29]],"RTT")+(COUNTIF(Février[[#This Row],[1]:[29]],"dRTT")/2)</f>
        <v>0</v>
      </c>
      <c r="AK21" s="105">
        <f>COUNTIF(Février[[#This Row],[1]:[29]],"C")+(COUNTIF(Février[[#This Row],[1]:[29]],"DC")/2)</f>
        <v>6</v>
      </c>
      <c r="AL21" s="26">
        <f>COUNTIF(Février[[#This Row],[1]:[29]],"M")</f>
        <v>0</v>
      </c>
      <c r="AM21" s="26">
        <f>COUNTIF(Février[[#This Row],[1]:[29]],"AT")</f>
        <v>0</v>
      </c>
      <c r="AN21" s="84">
        <f>IF(AND(Février[[#This Row],[Maladie]]=0,Février[[#This Row],[AT]]=0),((10*(_xlfn.DAYS("28/02/2018","01/02/2018")+1))/365),((_xlfn.DAYS("28/02/2018","01/02/2018")+1-(Février[[#This Row],[Maladie]]+Février[[#This Row],[AT]]))*((10*(_xlfn.DAYS("28/02/2018","01/02/2018")+1))/365))/(_xlfn.DAYS("28/02/2018","01/02/2018")+1))</f>
        <v>0.76712328767123283</v>
      </c>
    </row>
    <row r="22" spans="1:40" ht="30" customHeight="1" x14ac:dyDescent="0.2">
      <c r="A22" s="13" t="s">
        <v>78</v>
      </c>
      <c r="B22" s="22" t="s">
        <v>171</v>
      </c>
      <c r="C22" s="22" t="s">
        <v>172</v>
      </c>
      <c r="D22" s="22" t="s">
        <v>173</v>
      </c>
      <c r="E22" s="44">
        <v>0</v>
      </c>
      <c r="F22" s="47" t="str">
        <f>Global!AK22</f>
        <v/>
      </c>
      <c r="G22" s="31" t="str">
        <f>Global!AL22</f>
        <v/>
      </c>
      <c r="H22" s="31" t="str">
        <f>Global!AM22</f>
        <v/>
      </c>
      <c r="I22" s="31" t="str">
        <f>Global!AN22</f>
        <v/>
      </c>
      <c r="J22" s="31" t="str">
        <f>Global!AO22</f>
        <v>C</v>
      </c>
      <c r="K22" s="31" t="str">
        <f>Global!AP22</f>
        <v>C</v>
      </c>
      <c r="L22" s="31" t="str">
        <f>Global!AQ22</f>
        <v>C</v>
      </c>
      <c r="M22" s="31" t="str">
        <f>Global!AR22</f>
        <v>C</v>
      </c>
      <c r="N22" s="31" t="str">
        <f>Global!AS22</f>
        <v>C</v>
      </c>
      <c r="O22" s="31" t="str">
        <f>Global!AT22</f>
        <v/>
      </c>
      <c r="P22" s="31" t="str">
        <f>Global!AU22</f>
        <v/>
      </c>
      <c r="Q22" s="31" t="str">
        <f>Global!AV22</f>
        <v/>
      </c>
      <c r="R22" s="31" t="str">
        <f>Global!AW22</f>
        <v/>
      </c>
      <c r="S22" s="31" t="str">
        <f>Global!AX22</f>
        <v/>
      </c>
      <c r="T22" s="31" t="str">
        <f>Global!AY22</f>
        <v/>
      </c>
      <c r="U22" s="31" t="str">
        <f>Global!AZ22</f>
        <v/>
      </c>
      <c r="V22" s="31" t="str">
        <f>Global!BA22</f>
        <v/>
      </c>
      <c r="W22" s="31" t="str">
        <f>Global!BB22</f>
        <v/>
      </c>
      <c r="X22" s="31" t="str">
        <f>Global!BC22</f>
        <v/>
      </c>
      <c r="Y22" s="31" t="str">
        <f>Global!BD22</f>
        <v/>
      </c>
      <c r="Z22" s="31" t="str">
        <f>Global!BE22</f>
        <v/>
      </c>
      <c r="AA22" s="31" t="str">
        <f>Global!BF22</f>
        <v/>
      </c>
      <c r="AB22" s="31" t="str">
        <f>Global!BG22</f>
        <v/>
      </c>
      <c r="AC22" s="31" t="str">
        <f>Global!BH22</f>
        <v/>
      </c>
      <c r="AD22" s="31" t="str">
        <f>Global!BI22</f>
        <v/>
      </c>
      <c r="AE22" s="31" t="str">
        <f>Global!BJ22</f>
        <v/>
      </c>
      <c r="AF22" s="31" t="str">
        <f>Global!BK22</f>
        <v/>
      </c>
      <c r="AG22" s="31" t="str">
        <f>Global!BL22</f>
        <v/>
      </c>
      <c r="AH22" s="31"/>
      <c r="AI22" s="48" t="str">
        <f>IFERROR(VLOOKUP(#REF!,Feuil1!$A:$B,2,FALSE),"")</f>
        <v/>
      </c>
      <c r="AJ22" s="103">
        <f>COUNTIF(Février[[#This Row],[1]:[29]],"RTT")+(COUNTIF(Février[[#This Row],[1]:[29]],"dRTT")/2)</f>
        <v>0</v>
      </c>
      <c r="AK22" s="105">
        <f>COUNTIF(Février[[#This Row],[1]:[29]],"C")+(COUNTIF(Février[[#This Row],[1]:[29]],"DC")/2)</f>
        <v>5</v>
      </c>
      <c r="AL22" s="26">
        <f>COUNTIF(Février[[#This Row],[1]:[29]],"M")</f>
        <v>0</v>
      </c>
      <c r="AM22" s="26">
        <f>COUNTIF(Février[[#This Row],[1]:[29]],"AT")</f>
        <v>0</v>
      </c>
      <c r="AN22" s="84">
        <f>IF(AND(Février[[#This Row],[Maladie]]=0,Février[[#This Row],[AT]]=0),((10*(_xlfn.DAYS("28/02/2018","01/02/2018")+1))/365),((_xlfn.DAYS("28/02/2018","01/02/2018")+1-(Février[[#This Row],[Maladie]]+Février[[#This Row],[AT]]))*((10*(_xlfn.DAYS("28/02/2018","01/02/2018")+1))/365))/(_xlfn.DAYS("28/02/2018","01/02/2018")+1))</f>
        <v>0.76712328767123283</v>
      </c>
    </row>
    <row r="23" spans="1:40" ht="30" customHeight="1" x14ac:dyDescent="0.2">
      <c r="A23" s="13" t="s">
        <v>79</v>
      </c>
      <c r="B23" s="22" t="s">
        <v>174</v>
      </c>
      <c r="C23" s="22" t="s">
        <v>175</v>
      </c>
      <c r="D23" s="22" t="s">
        <v>176</v>
      </c>
      <c r="E23" s="44">
        <v>0</v>
      </c>
      <c r="F23" s="47" t="str">
        <f>Global!AK23</f>
        <v/>
      </c>
      <c r="G23" s="31" t="str">
        <f>Global!AL23</f>
        <v/>
      </c>
      <c r="H23" s="31" t="str">
        <f>Global!AM23</f>
        <v>C</v>
      </c>
      <c r="I23" s="31" t="str">
        <f>Global!AN23</f>
        <v/>
      </c>
      <c r="J23" s="31" t="str">
        <f>Global!AO23</f>
        <v/>
      </c>
      <c r="K23" s="31" t="str">
        <f>Global!AP23</f>
        <v/>
      </c>
      <c r="L23" s="31" t="str">
        <f>Global!AQ23</f>
        <v/>
      </c>
      <c r="M23" s="31" t="str">
        <f>Global!AR23</f>
        <v/>
      </c>
      <c r="N23" s="31" t="str">
        <f>Global!AS23</f>
        <v/>
      </c>
      <c r="O23" s="31" t="str">
        <f>Global!AT23</f>
        <v/>
      </c>
      <c r="P23" s="31" t="str">
        <f>Global!AU23</f>
        <v/>
      </c>
      <c r="Q23" s="31" t="str">
        <f>Global!AV23</f>
        <v/>
      </c>
      <c r="R23" s="31" t="str">
        <f>Global!AW23</f>
        <v/>
      </c>
      <c r="S23" s="31" t="str">
        <f>Global!AX23</f>
        <v/>
      </c>
      <c r="T23" s="31" t="str">
        <f>Global!AY23</f>
        <v/>
      </c>
      <c r="U23" s="31" t="str">
        <f>Global!AZ23</f>
        <v/>
      </c>
      <c r="V23" s="31" t="str">
        <f>Global!BA23</f>
        <v/>
      </c>
      <c r="W23" s="31" t="str">
        <f>Global!BB23</f>
        <v/>
      </c>
      <c r="X23" s="31" t="str">
        <f>Global!BC23</f>
        <v/>
      </c>
      <c r="Y23" s="31" t="str">
        <f>Global!BD23</f>
        <v/>
      </c>
      <c r="Z23" s="31" t="str">
        <f>Global!BE23</f>
        <v/>
      </c>
      <c r="AA23" s="31" t="str">
        <f>Global!BF23</f>
        <v/>
      </c>
      <c r="AB23" s="31" t="str">
        <f>Global!BG23</f>
        <v/>
      </c>
      <c r="AC23" s="31" t="str">
        <f>Global!BH23</f>
        <v/>
      </c>
      <c r="AD23" s="31" t="str">
        <f>Global!BI23</f>
        <v/>
      </c>
      <c r="AE23" s="31" t="str">
        <f>Global!BJ23</f>
        <v>C</v>
      </c>
      <c r="AF23" s="31" t="str">
        <f>Global!BK23</f>
        <v>C</v>
      </c>
      <c r="AG23" s="31" t="str">
        <f>Global!BL23</f>
        <v>C</v>
      </c>
      <c r="AH23" s="31"/>
      <c r="AI23" s="48" t="str">
        <f>IFERROR(VLOOKUP(#REF!,Feuil1!$A:$B,2,FALSE),"")</f>
        <v/>
      </c>
      <c r="AJ23" s="103">
        <f>COUNTIF(Février[[#This Row],[1]:[29]],"RTT")+(COUNTIF(Février[[#This Row],[1]:[29]],"dRTT")/2)</f>
        <v>0</v>
      </c>
      <c r="AK23" s="105">
        <f>COUNTIF(Février[[#This Row],[1]:[29]],"C")+(COUNTIF(Février[[#This Row],[1]:[29]],"DC")/2)</f>
        <v>4</v>
      </c>
      <c r="AL23" s="26">
        <f>COUNTIF(Février[[#This Row],[1]:[29]],"M")</f>
        <v>0</v>
      </c>
      <c r="AM23" s="26">
        <f>COUNTIF(Février[[#This Row],[1]:[29]],"AT")</f>
        <v>0</v>
      </c>
      <c r="AN23" s="84">
        <f>IF(AND(Février[[#This Row],[Maladie]]=0,Février[[#This Row],[AT]]=0),((10*(_xlfn.DAYS("28/02/2018","01/02/2018")+1))/365),((_xlfn.DAYS("28/02/2018","01/02/2018")+1-(Février[[#This Row],[Maladie]]+Février[[#This Row],[AT]]))*((10*(_xlfn.DAYS("28/02/2018","01/02/2018")+1))/365))/(_xlfn.DAYS("28/02/2018","01/02/2018")+1))</f>
        <v>0.76712328767123283</v>
      </c>
    </row>
    <row r="24" spans="1:40" ht="30" customHeight="1" x14ac:dyDescent="0.2">
      <c r="A24" s="15" t="s">
        <v>80</v>
      </c>
      <c r="B24" s="22" t="s">
        <v>177</v>
      </c>
      <c r="C24" s="22" t="s">
        <v>178</v>
      </c>
      <c r="D24" s="22" t="s">
        <v>179</v>
      </c>
      <c r="E24" s="44">
        <v>0</v>
      </c>
      <c r="F24" s="47" t="str">
        <f>Global!AK24</f>
        <v/>
      </c>
      <c r="G24" s="31" t="str">
        <f>Global!AL24</f>
        <v/>
      </c>
      <c r="H24" s="31" t="str">
        <f>Global!AM24</f>
        <v/>
      </c>
      <c r="I24" s="31" t="str">
        <f>Global!AN24</f>
        <v/>
      </c>
      <c r="J24" s="31" t="str">
        <f>Global!AO24</f>
        <v/>
      </c>
      <c r="K24" s="31" t="str">
        <f>Global!AP24</f>
        <v/>
      </c>
      <c r="L24" s="31" t="str">
        <f>Global!AQ24</f>
        <v/>
      </c>
      <c r="M24" s="31" t="str">
        <f>Global!AR24</f>
        <v/>
      </c>
      <c r="N24" s="31" t="str">
        <f>Global!AS24</f>
        <v>C</v>
      </c>
      <c r="O24" s="31" t="str">
        <f>Global!AT24</f>
        <v/>
      </c>
      <c r="P24" s="31" t="str">
        <f>Global!AU24</f>
        <v/>
      </c>
      <c r="Q24" s="31" t="str">
        <f>Global!AV24</f>
        <v/>
      </c>
      <c r="R24" s="31" t="str">
        <f>Global!AW24</f>
        <v/>
      </c>
      <c r="S24" s="31" t="str">
        <f>Global!AX24</f>
        <v/>
      </c>
      <c r="T24" s="31" t="str">
        <f>Global!AY24</f>
        <v/>
      </c>
      <c r="U24" s="31" t="str">
        <f>Global!AZ24</f>
        <v/>
      </c>
      <c r="V24" s="31" t="str">
        <f>Global!BA24</f>
        <v/>
      </c>
      <c r="W24" s="31" t="str">
        <f>Global!BB24</f>
        <v/>
      </c>
      <c r="X24" s="31" t="str">
        <f>Global!BC24</f>
        <v>M</v>
      </c>
      <c r="Y24" s="31" t="str">
        <f>Global!BD24</f>
        <v>M</v>
      </c>
      <c r="Z24" s="31" t="str">
        <f>Global!BE24</f>
        <v/>
      </c>
      <c r="AA24" s="31" t="str">
        <f>Global!BF24</f>
        <v/>
      </c>
      <c r="AB24" s="31" t="str">
        <f>Global!BG24</f>
        <v/>
      </c>
      <c r="AC24" s="31" t="str">
        <f>Global!BH24</f>
        <v/>
      </c>
      <c r="AD24" s="31" t="str">
        <f>Global!BI24</f>
        <v/>
      </c>
      <c r="AE24" s="31" t="str">
        <f>Global!BJ24</f>
        <v/>
      </c>
      <c r="AF24" s="31" t="str">
        <f>Global!BK24</f>
        <v/>
      </c>
      <c r="AG24" s="31" t="str">
        <f>Global!BL24</f>
        <v/>
      </c>
      <c r="AH24" s="31"/>
      <c r="AI24" s="48" t="str">
        <f>IFERROR(VLOOKUP(#REF!,Feuil1!$A:$B,2,FALSE),"")</f>
        <v/>
      </c>
      <c r="AJ24" s="103">
        <f>COUNTIF(Février[[#This Row],[1]:[29]],"RTT")+(COUNTIF(Février[[#This Row],[1]:[29]],"dRTT")/2)</f>
        <v>0</v>
      </c>
      <c r="AK24" s="105">
        <f>COUNTIF(Février[[#This Row],[1]:[29]],"C")+(COUNTIF(Février[[#This Row],[1]:[29]],"DC")/2)</f>
        <v>1</v>
      </c>
      <c r="AL24" s="26">
        <f>COUNTIF(Février[[#This Row],[1]:[29]],"M")</f>
        <v>2</v>
      </c>
      <c r="AM24" s="26">
        <f>COUNTIF(Février[[#This Row],[1]:[29]],"AT")</f>
        <v>0</v>
      </c>
      <c r="AN24" s="84">
        <f>IF(AND(Février[[#This Row],[Maladie]]=0,Février[[#This Row],[AT]]=0),((10*(_xlfn.DAYS("28/02/2018","01/02/2018")+1))/365),((_xlfn.DAYS("28/02/2018","01/02/2018")+1-(Février[[#This Row],[Maladie]]+Février[[#This Row],[AT]]))*((10*(_xlfn.DAYS("28/02/2018","01/02/2018")+1))/365))/(_xlfn.DAYS("28/02/2018","01/02/2018")+1))</f>
        <v>0.71232876712328763</v>
      </c>
    </row>
    <row r="25" spans="1:40" ht="30" customHeight="1" x14ac:dyDescent="0.2">
      <c r="A25" s="15" t="s">
        <v>81</v>
      </c>
      <c r="B25" s="22" t="s">
        <v>180</v>
      </c>
      <c r="C25" s="22" t="s">
        <v>157</v>
      </c>
      <c r="D25" s="22" t="s">
        <v>181</v>
      </c>
      <c r="E25" s="44">
        <v>0</v>
      </c>
      <c r="F25" s="47" t="str">
        <f>Global!AK25</f>
        <v>M</v>
      </c>
      <c r="G25" s="31" t="str">
        <f>Global!AL25</f>
        <v>M</v>
      </c>
      <c r="H25" s="31" t="str">
        <f>Global!AM25</f>
        <v>M</v>
      </c>
      <c r="I25" s="31" t="str">
        <f>Global!AN25</f>
        <v>M</v>
      </c>
      <c r="J25" s="31" t="str">
        <f>Global!AO25</f>
        <v>M</v>
      </c>
      <c r="K25" s="31" t="str">
        <f>Global!AP25</f>
        <v>M</v>
      </c>
      <c r="L25" s="31" t="str">
        <f>Global!AQ25</f>
        <v>M</v>
      </c>
      <c r="M25" s="31" t="str">
        <f>Global!AR25</f>
        <v>M</v>
      </c>
      <c r="N25" s="31" t="str">
        <f>Global!AS25</f>
        <v>M</v>
      </c>
      <c r="O25" s="31" t="str">
        <f>Global!AT25</f>
        <v>M</v>
      </c>
      <c r="P25" s="31" t="str">
        <f>Global!AU25</f>
        <v>M</v>
      </c>
      <c r="Q25" s="31" t="str">
        <f>Global!AV25</f>
        <v>M</v>
      </c>
      <c r="R25" s="31" t="str">
        <f>Global!AW25</f>
        <v>M</v>
      </c>
      <c r="S25" s="31" t="str">
        <f>Global!AX25</f>
        <v>M</v>
      </c>
      <c r="T25" s="31" t="str">
        <f>Global!AY25</f>
        <v>M</v>
      </c>
      <c r="U25" s="31" t="str">
        <f>Global!AZ25</f>
        <v>M</v>
      </c>
      <c r="V25" s="31" t="str">
        <f>Global!BA25</f>
        <v>M</v>
      </c>
      <c r="W25" s="31" t="str">
        <f>Global!BB25</f>
        <v>M</v>
      </c>
      <c r="X25" s="31" t="str">
        <f>Global!BC25</f>
        <v>M</v>
      </c>
      <c r="Y25" s="31" t="str">
        <f>Global!BD25</f>
        <v>M</v>
      </c>
      <c r="Z25" s="31" t="str">
        <f>Global!BE25</f>
        <v>M</v>
      </c>
      <c r="AA25" s="31" t="str">
        <f>Global!BF25</f>
        <v>M</v>
      </c>
      <c r="AB25" s="31" t="str">
        <f>Global!BG25</f>
        <v>M</v>
      </c>
      <c r="AC25" s="31" t="str">
        <f>Global!BH25</f>
        <v>M</v>
      </c>
      <c r="AD25" s="31" t="str">
        <f>Global!BI25</f>
        <v>M</v>
      </c>
      <c r="AE25" s="31" t="str">
        <f>Global!BJ25</f>
        <v>M</v>
      </c>
      <c r="AF25" s="31" t="str">
        <f>Global!BK25</f>
        <v>M</v>
      </c>
      <c r="AG25" s="31" t="str">
        <f>Global!BL25</f>
        <v>M</v>
      </c>
      <c r="AH25" s="31"/>
      <c r="AI25" s="48" t="str">
        <f>IFERROR(VLOOKUP(#REF!,Feuil1!$A:$B,2,FALSE),"")</f>
        <v/>
      </c>
      <c r="AJ25" s="103">
        <f>COUNTIF(Février[[#This Row],[1]:[29]],"RTT")+(COUNTIF(Février[[#This Row],[1]:[29]],"dRTT")/2)</f>
        <v>0</v>
      </c>
      <c r="AK25" s="105">
        <f>COUNTIF(Février[[#This Row],[1]:[29]],"C")+(COUNTIF(Février[[#This Row],[1]:[29]],"DC")/2)</f>
        <v>0</v>
      </c>
      <c r="AL25" s="26">
        <f>COUNTIF(Février[[#This Row],[1]:[29]],"M")</f>
        <v>28</v>
      </c>
      <c r="AM25" s="26">
        <f>COUNTIF(Février[[#This Row],[1]:[29]],"AT")</f>
        <v>0</v>
      </c>
      <c r="AN25" s="84">
        <f>IF(AND(Février[[#This Row],[Maladie]]=0,Février[[#This Row],[AT]]=0),((10*(_xlfn.DAYS("28/02/2018","01/02/2018")+1))/365),((_xlfn.DAYS("28/02/2018","01/02/2018")+1-(Février[[#This Row],[Maladie]]+Février[[#This Row],[AT]]))*((10*(_xlfn.DAYS("28/02/2018","01/02/2018")+1))/365))/(_xlfn.DAYS("28/02/2018","01/02/2018")+1))</f>
        <v>0</v>
      </c>
    </row>
    <row r="26" spans="1:40" ht="30" customHeight="1" x14ac:dyDescent="0.2">
      <c r="A26" s="15" t="s">
        <v>82</v>
      </c>
      <c r="B26" s="22" t="s">
        <v>182</v>
      </c>
      <c r="C26" s="22" t="s">
        <v>183</v>
      </c>
      <c r="D26" s="22" t="s">
        <v>184</v>
      </c>
      <c r="E26" s="44">
        <v>0</v>
      </c>
      <c r="F26" s="47" t="str">
        <f>Global!AK26</f>
        <v/>
      </c>
      <c r="G26" s="31" t="str">
        <f>Global!AL26</f>
        <v/>
      </c>
      <c r="H26" s="31" t="str">
        <f>Global!AM26</f>
        <v/>
      </c>
      <c r="I26" s="31" t="str">
        <f>Global!AN26</f>
        <v/>
      </c>
      <c r="J26" s="31" t="str">
        <f>Global!AO26</f>
        <v/>
      </c>
      <c r="K26" s="31" t="str">
        <f>Global!AP26</f>
        <v/>
      </c>
      <c r="L26" s="31" t="str">
        <f>Global!AQ26</f>
        <v/>
      </c>
      <c r="M26" s="31" t="str">
        <f>Global!AR26</f>
        <v/>
      </c>
      <c r="N26" s="31" t="str">
        <f>Global!AS26</f>
        <v/>
      </c>
      <c r="O26" s="31" t="str">
        <f>Global!AT26</f>
        <v/>
      </c>
      <c r="P26" s="31" t="str">
        <f>Global!AU26</f>
        <v/>
      </c>
      <c r="Q26" s="31" t="str">
        <f>Global!AV26</f>
        <v/>
      </c>
      <c r="R26" s="31" t="str">
        <f>Global!AW26</f>
        <v/>
      </c>
      <c r="S26" s="31" t="str">
        <f>Global!AX26</f>
        <v/>
      </c>
      <c r="T26" s="31" t="str">
        <f>Global!AY26</f>
        <v/>
      </c>
      <c r="U26" s="31" t="str">
        <f>Global!AZ26</f>
        <v/>
      </c>
      <c r="V26" s="31" t="str">
        <f>Global!BA26</f>
        <v/>
      </c>
      <c r="W26" s="31" t="str">
        <f>Global!BB26</f>
        <v/>
      </c>
      <c r="X26" s="31" t="str">
        <f>Global!BC26</f>
        <v>DC</v>
      </c>
      <c r="Y26" s="31" t="str">
        <f>Global!BD26</f>
        <v/>
      </c>
      <c r="Z26" s="31" t="str">
        <f>Global!BE26</f>
        <v/>
      </c>
      <c r="AA26" s="31" t="str">
        <f>Global!BF26</f>
        <v/>
      </c>
      <c r="AB26" s="31" t="str">
        <f>Global!BG26</f>
        <v/>
      </c>
      <c r="AC26" s="31" t="str">
        <f>Global!BH26</f>
        <v/>
      </c>
      <c r="AD26" s="31" t="str">
        <f>Global!BI26</f>
        <v/>
      </c>
      <c r="AE26" s="31" t="str">
        <f>Global!BJ26</f>
        <v/>
      </c>
      <c r="AF26" s="31" t="str">
        <f>Global!BK26</f>
        <v/>
      </c>
      <c r="AG26" s="31" t="str">
        <f>Global!BL26</f>
        <v/>
      </c>
      <c r="AH26" s="31"/>
      <c r="AI26" s="48" t="str">
        <f>IFERROR(VLOOKUP(#REF!,Feuil1!$A:$B,2,FALSE),"")</f>
        <v/>
      </c>
      <c r="AJ26" s="103">
        <f>COUNTIF(Février[[#This Row],[1]:[29]],"RTT")+(COUNTIF(Février[[#This Row],[1]:[29]],"dRTT")/2)</f>
        <v>0</v>
      </c>
      <c r="AK26" s="105">
        <f>COUNTIF(Février[[#This Row],[1]:[29]],"C")+(COUNTIF(Février[[#This Row],[1]:[29]],"DC")/2)</f>
        <v>0.5</v>
      </c>
      <c r="AL26" s="26">
        <f>COUNTIF(Février[[#This Row],[1]:[29]],"M")</f>
        <v>0</v>
      </c>
      <c r="AM26" s="26">
        <f>COUNTIF(Février[[#This Row],[1]:[29]],"AT")</f>
        <v>0</v>
      </c>
      <c r="AN26" s="84">
        <f>IF(AND(Février[[#This Row],[Maladie]]=0,Février[[#This Row],[AT]]=0),((10*(_xlfn.DAYS("28/02/2018","01/02/2018")+1))/365),((_xlfn.DAYS("28/02/2018","01/02/2018")+1-(Février[[#This Row],[Maladie]]+Février[[#This Row],[AT]]))*((10*(_xlfn.DAYS("28/02/2018","01/02/2018")+1))/365))/(_xlfn.DAYS("28/02/2018","01/02/2018")+1))</f>
        <v>0.76712328767123283</v>
      </c>
    </row>
    <row r="27" spans="1:40" ht="30" customHeight="1" x14ac:dyDescent="0.2">
      <c r="A27" s="15" t="s">
        <v>83</v>
      </c>
      <c r="B27" s="22" t="s">
        <v>185</v>
      </c>
      <c r="C27" s="22" t="s">
        <v>186</v>
      </c>
      <c r="D27" s="22" t="s">
        <v>187</v>
      </c>
      <c r="E27" s="44">
        <v>0</v>
      </c>
      <c r="F27" s="47" t="str">
        <f>Global!AK27</f>
        <v/>
      </c>
      <c r="G27" s="31" t="str">
        <f>Global!AL27</f>
        <v/>
      </c>
      <c r="H27" s="31" t="str">
        <f>Global!AM27</f>
        <v/>
      </c>
      <c r="I27" s="31" t="str">
        <f>Global!AN27</f>
        <v/>
      </c>
      <c r="J27" s="31" t="str">
        <f>Global!AO27</f>
        <v/>
      </c>
      <c r="K27" s="31" t="str">
        <f>Global!AP27</f>
        <v/>
      </c>
      <c r="L27" s="31" t="str">
        <f>Global!AQ27</f>
        <v/>
      </c>
      <c r="M27" s="31" t="str">
        <f>Global!AR27</f>
        <v/>
      </c>
      <c r="N27" s="31" t="str">
        <f>Global!AS27</f>
        <v/>
      </c>
      <c r="O27" s="31" t="str">
        <f>Global!AT27</f>
        <v/>
      </c>
      <c r="P27" s="31" t="str">
        <f>Global!AU27</f>
        <v/>
      </c>
      <c r="Q27" s="31" t="str">
        <f>Global!AV27</f>
        <v/>
      </c>
      <c r="R27" s="31" t="str">
        <f>Global!AW27</f>
        <v/>
      </c>
      <c r="S27" s="31" t="str">
        <f>Global!AX27</f>
        <v/>
      </c>
      <c r="T27" s="31" t="str">
        <f>Global!AY27</f>
        <v/>
      </c>
      <c r="U27" s="31" t="str">
        <f>Global!AZ27</f>
        <v/>
      </c>
      <c r="V27" s="31" t="str">
        <f>Global!BA27</f>
        <v/>
      </c>
      <c r="W27" s="31" t="str">
        <f>Global!BB27</f>
        <v/>
      </c>
      <c r="X27" s="31" t="str">
        <f>Global!BC27</f>
        <v/>
      </c>
      <c r="Y27" s="31" t="str">
        <f>Global!BD27</f>
        <v/>
      </c>
      <c r="Z27" s="31" t="str">
        <f>Global!BE27</f>
        <v/>
      </c>
      <c r="AA27" s="31" t="str">
        <f>Global!BF27</f>
        <v/>
      </c>
      <c r="AB27" s="31" t="str">
        <f>Global!BG27</f>
        <v/>
      </c>
      <c r="AC27" s="31" t="str">
        <f>Global!BH27</f>
        <v/>
      </c>
      <c r="AD27" s="31" t="str">
        <f>Global!BI27</f>
        <v/>
      </c>
      <c r="AE27" s="31" t="str">
        <f>Global!BJ27</f>
        <v>C</v>
      </c>
      <c r="AF27" s="31" t="str">
        <f>Global!BK27</f>
        <v>C</v>
      </c>
      <c r="AG27" s="31" t="str">
        <f>Global!BL27</f>
        <v>C</v>
      </c>
      <c r="AH27" s="31"/>
      <c r="AI27" s="48" t="str">
        <f>IFERROR(VLOOKUP(#REF!,Feuil1!$A:$B,2,FALSE),"")</f>
        <v/>
      </c>
      <c r="AJ27" s="103">
        <f>COUNTIF(Février[[#This Row],[1]:[29]],"RTT")+(COUNTIF(Février[[#This Row],[1]:[29]],"dRTT")/2)</f>
        <v>0</v>
      </c>
      <c r="AK27" s="105">
        <f>COUNTIF(Février[[#This Row],[1]:[29]],"C")+(COUNTIF(Février[[#This Row],[1]:[29]],"DC")/2)</f>
        <v>3</v>
      </c>
      <c r="AL27" s="26">
        <f>COUNTIF(Février[[#This Row],[1]:[29]],"M")</f>
        <v>0</v>
      </c>
      <c r="AM27" s="26">
        <f>COUNTIF(Février[[#This Row],[1]:[29]],"AT")</f>
        <v>0</v>
      </c>
      <c r="AN27" s="84">
        <f>IF(AND(Février[[#This Row],[Maladie]]=0,Février[[#This Row],[AT]]=0),((10*(_xlfn.DAYS("28/02/2018","01/02/2018")+1))/365),((_xlfn.DAYS("28/02/2018","01/02/2018")+1-(Février[[#This Row],[Maladie]]+Février[[#This Row],[AT]]))*((10*(_xlfn.DAYS("28/02/2018","01/02/2018")+1))/365))/(_xlfn.DAYS("28/02/2018","01/02/2018")+1))</f>
        <v>0.76712328767123283</v>
      </c>
    </row>
    <row r="28" spans="1:40" ht="30" customHeight="1" x14ac:dyDescent="0.2">
      <c r="A28" s="15" t="s">
        <v>84</v>
      </c>
      <c r="B28" s="22" t="s">
        <v>188</v>
      </c>
      <c r="C28" s="22" t="s">
        <v>189</v>
      </c>
      <c r="D28" s="22" t="s">
        <v>190</v>
      </c>
      <c r="E28" s="44">
        <v>0</v>
      </c>
      <c r="F28" s="47" t="str">
        <f>Global!AK28</f>
        <v/>
      </c>
      <c r="G28" s="31" t="str">
        <f>Global!AL28</f>
        <v/>
      </c>
      <c r="H28" s="31" t="str">
        <f>Global!AM28</f>
        <v/>
      </c>
      <c r="I28" s="31" t="str">
        <f>Global!AN28</f>
        <v/>
      </c>
      <c r="J28" s="31" t="str">
        <f>Global!AO28</f>
        <v/>
      </c>
      <c r="K28" s="31" t="str">
        <f>Global!AP28</f>
        <v/>
      </c>
      <c r="L28" s="31" t="str">
        <f>Global!AQ28</f>
        <v/>
      </c>
      <c r="M28" s="31" t="str">
        <f>Global!AR28</f>
        <v/>
      </c>
      <c r="N28" s="31" t="str">
        <f>Global!AS28</f>
        <v/>
      </c>
      <c r="O28" s="31" t="str">
        <f>Global!AT28</f>
        <v/>
      </c>
      <c r="P28" s="31" t="str">
        <f>Global!AU28</f>
        <v/>
      </c>
      <c r="Q28" s="31" t="str">
        <f>Global!AV28</f>
        <v/>
      </c>
      <c r="R28" s="31" t="str">
        <f>Global!AW28</f>
        <v/>
      </c>
      <c r="S28" s="31" t="str">
        <f>Global!AX28</f>
        <v/>
      </c>
      <c r="T28" s="31" t="str">
        <f>Global!AY28</f>
        <v/>
      </c>
      <c r="U28" s="31" t="str">
        <f>Global!AZ28</f>
        <v/>
      </c>
      <c r="V28" s="31" t="str">
        <f>Global!BA28</f>
        <v/>
      </c>
      <c r="W28" s="31" t="str">
        <f>Global!BB28</f>
        <v/>
      </c>
      <c r="X28" s="31" t="str">
        <f>Global!BC28</f>
        <v/>
      </c>
      <c r="Y28" s="31" t="str">
        <f>Global!BD28</f>
        <v/>
      </c>
      <c r="Z28" s="31" t="str">
        <f>Global!BE28</f>
        <v/>
      </c>
      <c r="AA28" s="31" t="str">
        <f>Global!BF28</f>
        <v/>
      </c>
      <c r="AB28" s="31" t="str">
        <f>Global!BG28</f>
        <v/>
      </c>
      <c r="AC28" s="31" t="str">
        <f>Global!BH28</f>
        <v/>
      </c>
      <c r="AD28" s="31" t="str">
        <f>Global!BI28</f>
        <v/>
      </c>
      <c r="AE28" s="31" t="str">
        <f>Global!BJ28</f>
        <v/>
      </c>
      <c r="AF28" s="31" t="str">
        <f>Global!BK28</f>
        <v/>
      </c>
      <c r="AG28" s="31" t="str">
        <f>Global!BL28</f>
        <v/>
      </c>
      <c r="AH28" s="31"/>
      <c r="AI28" s="48" t="str">
        <f>IFERROR(VLOOKUP(#REF!,Feuil1!$A:$B,2,FALSE),"")</f>
        <v/>
      </c>
      <c r="AJ28" s="103">
        <f>COUNTIF(Février[[#This Row],[1]:[29]],"RTT")+(COUNTIF(Février[[#This Row],[1]:[29]],"dRTT")/2)</f>
        <v>0</v>
      </c>
      <c r="AK28" s="105">
        <f>COUNTIF(Février[[#This Row],[1]:[29]],"C")+(COUNTIF(Février[[#This Row],[1]:[29]],"DC")/2)</f>
        <v>0</v>
      </c>
      <c r="AL28" s="26">
        <f>COUNTIF(Février[[#This Row],[1]:[29]],"M")</f>
        <v>0</v>
      </c>
      <c r="AM28" s="26">
        <f>COUNTIF(Février[[#This Row],[1]:[29]],"AT")</f>
        <v>0</v>
      </c>
      <c r="AN28" s="84">
        <f>IF(AND(Février[[#This Row],[Maladie]]=0,Février[[#This Row],[AT]]=0),((10*(_xlfn.DAYS("28/02/2018","01/02/2018")+1))/365),((_xlfn.DAYS("28/02/2018","01/02/2018")+1-(Février[[#This Row],[Maladie]]+Février[[#This Row],[AT]]))*((10*(_xlfn.DAYS("28/02/2018","01/02/2018")+1))/365))/(_xlfn.DAYS("28/02/2018","01/02/2018")+1))</f>
        <v>0.76712328767123283</v>
      </c>
    </row>
    <row r="29" spans="1:40" ht="30" customHeight="1" x14ac:dyDescent="0.2">
      <c r="A29" s="15" t="s">
        <v>85</v>
      </c>
      <c r="B29" s="22" t="s">
        <v>191</v>
      </c>
      <c r="C29" s="22" t="s">
        <v>192</v>
      </c>
      <c r="D29" s="22" t="s">
        <v>193</v>
      </c>
      <c r="E29" s="44">
        <v>0</v>
      </c>
      <c r="F29" s="47" t="str">
        <f>Global!AK29</f>
        <v/>
      </c>
      <c r="G29" s="31" t="str">
        <f>Global!AL29</f>
        <v/>
      </c>
      <c r="H29" s="31" t="str">
        <f>Global!AM29</f>
        <v/>
      </c>
      <c r="I29" s="31" t="str">
        <f>Global!AN29</f>
        <v/>
      </c>
      <c r="J29" s="31" t="str">
        <f>Global!AO29</f>
        <v/>
      </c>
      <c r="K29" s="31" t="str">
        <f>Global!AP29</f>
        <v/>
      </c>
      <c r="L29" s="31" t="str">
        <f>Global!AQ29</f>
        <v/>
      </c>
      <c r="M29" s="31" t="str">
        <f>Global!AR29</f>
        <v>C</v>
      </c>
      <c r="N29" s="31" t="str">
        <f>Global!AS29</f>
        <v/>
      </c>
      <c r="O29" s="31" t="str">
        <f>Global!AT29</f>
        <v/>
      </c>
      <c r="P29" s="31" t="str">
        <f>Global!AU29</f>
        <v/>
      </c>
      <c r="Q29" s="31" t="str">
        <f>Global!AV29</f>
        <v/>
      </c>
      <c r="R29" s="31" t="str">
        <f>Global!AW29</f>
        <v/>
      </c>
      <c r="S29" s="31" t="str">
        <f>Global!AX29</f>
        <v/>
      </c>
      <c r="T29" s="31" t="str">
        <f>Global!AY29</f>
        <v/>
      </c>
      <c r="U29" s="31" t="str">
        <f>Global!AZ29</f>
        <v/>
      </c>
      <c r="V29" s="31" t="str">
        <f>Global!BA29</f>
        <v/>
      </c>
      <c r="W29" s="31" t="str">
        <f>Global!BB29</f>
        <v/>
      </c>
      <c r="X29" s="31" t="str">
        <f>Global!BC29</f>
        <v/>
      </c>
      <c r="Y29" s="31" t="str">
        <f>Global!BD29</f>
        <v/>
      </c>
      <c r="Z29" s="31" t="str">
        <f>Global!BE29</f>
        <v/>
      </c>
      <c r="AA29" s="31" t="str">
        <f>Global!BF29</f>
        <v/>
      </c>
      <c r="AB29" s="31" t="str">
        <f>Global!BG29</f>
        <v/>
      </c>
      <c r="AC29" s="31" t="str">
        <f>Global!BH29</f>
        <v/>
      </c>
      <c r="AD29" s="31" t="str">
        <f>Global!BI29</f>
        <v/>
      </c>
      <c r="AE29" s="31" t="str">
        <f>Global!BJ29</f>
        <v/>
      </c>
      <c r="AF29" s="31" t="str">
        <f>Global!BK29</f>
        <v/>
      </c>
      <c r="AG29" s="31" t="str">
        <f>Global!BL29</f>
        <v/>
      </c>
      <c r="AH29" s="31"/>
      <c r="AI29" s="48" t="str">
        <f>IFERROR(VLOOKUP(#REF!,Feuil1!$A:$B,2,FALSE),"")</f>
        <v/>
      </c>
      <c r="AJ29" s="103">
        <f>COUNTIF(Février[[#This Row],[1]:[29]],"RTT")+(COUNTIF(Février[[#This Row],[1]:[29]],"dRTT")/2)</f>
        <v>0</v>
      </c>
      <c r="AK29" s="105">
        <f>COUNTIF(Février[[#This Row],[1]:[29]],"C")+(COUNTIF(Février[[#This Row],[1]:[29]],"DC")/2)</f>
        <v>1</v>
      </c>
      <c r="AL29" s="26">
        <f>COUNTIF(Février[[#This Row],[1]:[29]],"M")</f>
        <v>0</v>
      </c>
      <c r="AM29" s="26">
        <f>COUNTIF(Février[[#This Row],[1]:[29]],"AT")</f>
        <v>0</v>
      </c>
      <c r="AN29" s="84">
        <f>IF(AND(Février[[#This Row],[Maladie]]=0,Février[[#This Row],[AT]]=0),((10*(_xlfn.DAYS("28/02/2018","01/02/2018")+1))/365),((_xlfn.DAYS("28/02/2018","01/02/2018")+1-(Février[[#This Row],[Maladie]]+Février[[#This Row],[AT]]))*((10*(_xlfn.DAYS("28/02/2018","01/02/2018")+1))/365))/(_xlfn.DAYS("28/02/2018","01/02/2018")+1))</f>
        <v>0.76712328767123283</v>
      </c>
    </row>
    <row r="30" spans="1:40" ht="30" customHeight="1" x14ac:dyDescent="0.2">
      <c r="A30" s="15" t="s">
        <v>86</v>
      </c>
      <c r="B30" s="22" t="s">
        <v>194</v>
      </c>
      <c r="C30" s="22" t="s">
        <v>192</v>
      </c>
      <c r="D30" s="22" t="s">
        <v>195</v>
      </c>
      <c r="E30" s="44" t="s">
        <v>162</v>
      </c>
      <c r="F30" s="47" t="str">
        <f>Global!AK30</f>
        <v/>
      </c>
      <c r="G30" s="31" t="str">
        <f>Global!AL30</f>
        <v/>
      </c>
      <c r="H30" s="31" t="str">
        <f>Global!AM30</f>
        <v/>
      </c>
      <c r="I30" s="31" t="str">
        <f>Global!AN30</f>
        <v/>
      </c>
      <c r="J30" s="31" t="str">
        <f>Global!AO30</f>
        <v/>
      </c>
      <c r="K30" s="31" t="str">
        <f>Global!AP30</f>
        <v/>
      </c>
      <c r="L30" s="31" t="str">
        <f>Global!AQ30</f>
        <v/>
      </c>
      <c r="M30" s="31" t="str">
        <f>Global!AR30</f>
        <v/>
      </c>
      <c r="N30" s="31" t="str">
        <f>Global!AS30</f>
        <v/>
      </c>
      <c r="O30" s="31" t="str">
        <f>Global!AT30</f>
        <v/>
      </c>
      <c r="P30" s="31" t="str">
        <f>Global!AU30</f>
        <v/>
      </c>
      <c r="Q30" s="31" t="str">
        <f>Global!AV30</f>
        <v/>
      </c>
      <c r="R30" s="31" t="str">
        <f>Global!AW30</f>
        <v/>
      </c>
      <c r="S30" s="31" t="str">
        <f>Global!AX30</f>
        <v/>
      </c>
      <c r="T30" s="31" t="str">
        <f>Global!AY30</f>
        <v/>
      </c>
      <c r="U30" s="31" t="str">
        <f>Global!AZ30</f>
        <v/>
      </c>
      <c r="V30" s="31" t="str">
        <f>Global!BA30</f>
        <v/>
      </c>
      <c r="W30" s="31" t="str">
        <f>Global!BB30</f>
        <v/>
      </c>
      <c r="X30" s="31" t="str">
        <f>Global!BC30</f>
        <v/>
      </c>
      <c r="Y30" s="31" t="str">
        <f>Global!BD30</f>
        <v/>
      </c>
      <c r="Z30" s="31" t="str">
        <f>Global!BE30</f>
        <v/>
      </c>
      <c r="AA30" s="31" t="str">
        <f>Global!BF30</f>
        <v/>
      </c>
      <c r="AB30" s="31" t="str">
        <f>Global!BG30</f>
        <v/>
      </c>
      <c r="AC30" s="31" t="str">
        <f>Global!BH30</f>
        <v/>
      </c>
      <c r="AD30" s="31" t="str">
        <f>Global!BI30</f>
        <v/>
      </c>
      <c r="AE30" s="31" t="str">
        <f>Global!BJ30</f>
        <v/>
      </c>
      <c r="AF30" s="31" t="str">
        <f>Global!BK30</f>
        <v/>
      </c>
      <c r="AG30" s="31" t="str">
        <f>Global!BL30</f>
        <v/>
      </c>
      <c r="AH30" s="31"/>
      <c r="AI30" s="48" t="str">
        <f>IFERROR(VLOOKUP(#REF!,Feuil1!$A:$B,2,FALSE),"")</f>
        <v/>
      </c>
      <c r="AJ30" s="103">
        <f>COUNTIF(Février[[#This Row],[1]:[29]],"RTT")+(COUNTIF(Février[[#This Row],[1]:[29]],"dRTT")/2)</f>
        <v>0</v>
      </c>
      <c r="AK30" s="105">
        <f>COUNTIF(Février[[#This Row],[1]:[29]],"C")+(COUNTIF(Février[[#This Row],[1]:[29]],"DC")/2)</f>
        <v>0</v>
      </c>
      <c r="AL30" s="26">
        <f>COUNTIF(Février[[#This Row],[1]:[29]],"M")</f>
        <v>0</v>
      </c>
      <c r="AM30" s="26">
        <f>COUNTIF(Février[[#This Row],[1]:[29]],"AT")</f>
        <v>0</v>
      </c>
      <c r="AN30" s="84">
        <f>IF(AND(Février[[#This Row],[Maladie]]=0,Février[[#This Row],[AT]]=0),((10*(_xlfn.DAYS("28/02/2018","01/02/2018")+1))/365),((_xlfn.DAYS("28/02/2018","01/02/2018")+1-(Février[[#This Row],[Maladie]]+Février[[#This Row],[AT]]))*((10*(_xlfn.DAYS("28/02/2018","01/02/2018")+1))/365))/(_xlfn.DAYS("28/02/2018","01/02/2018")+1))</f>
        <v>0.76712328767123283</v>
      </c>
    </row>
    <row r="31" spans="1:40" ht="30" customHeight="1" x14ac:dyDescent="0.2">
      <c r="A31" s="15" t="s">
        <v>87</v>
      </c>
      <c r="B31" s="22" t="s">
        <v>196</v>
      </c>
      <c r="C31" s="22" t="s">
        <v>197</v>
      </c>
      <c r="D31" s="22" t="s">
        <v>198</v>
      </c>
      <c r="E31" s="44" t="s">
        <v>162</v>
      </c>
      <c r="F31" s="47" t="str">
        <f>Global!AK31</f>
        <v/>
      </c>
      <c r="G31" s="31" t="str">
        <f>Global!AL31</f>
        <v/>
      </c>
      <c r="H31" s="31" t="str">
        <f>Global!AM31</f>
        <v/>
      </c>
      <c r="I31" s="31" t="str">
        <f>Global!AN31</f>
        <v/>
      </c>
      <c r="J31" s="31" t="str">
        <f>Global!AO31</f>
        <v/>
      </c>
      <c r="K31" s="31" t="str">
        <f>Global!AP31</f>
        <v/>
      </c>
      <c r="L31" s="31" t="str">
        <f>Global!AQ31</f>
        <v/>
      </c>
      <c r="M31" s="31" t="str">
        <f>Global!AR31</f>
        <v/>
      </c>
      <c r="N31" s="31" t="str">
        <f>Global!AS31</f>
        <v/>
      </c>
      <c r="O31" s="31" t="str">
        <f>Global!AT31</f>
        <v/>
      </c>
      <c r="P31" s="31" t="str">
        <f>Global!AU31</f>
        <v/>
      </c>
      <c r="Q31" s="31" t="str">
        <f>Global!AV31</f>
        <v/>
      </c>
      <c r="R31" s="31" t="str">
        <f>Global!AW31</f>
        <v>C</v>
      </c>
      <c r="S31" s="31" t="str">
        <f>Global!AX31</f>
        <v/>
      </c>
      <c r="T31" s="31" t="str">
        <f>Global!AY31</f>
        <v/>
      </c>
      <c r="U31" s="31" t="str">
        <f>Global!AZ31</f>
        <v/>
      </c>
      <c r="V31" s="31" t="str">
        <f>Global!BA31</f>
        <v/>
      </c>
      <c r="W31" s="31" t="str">
        <f>Global!BB31</f>
        <v/>
      </c>
      <c r="X31" s="31" t="str">
        <f>Global!BC31</f>
        <v>C</v>
      </c>
      <c r="Y31" s="31" t="str">
        <f>Global!BD31</f>
        <v>C</v>
      </c>
      <c r="Z31" s="31" t="str">
        <f>Global!BE31</f>
        <v/>
      </c>
      <c r="AA31" s="31" t="str">
        <f>Global!BF31</f>
        <v/>
      </c>
      <c r="AB31" s="31" t="str">
        <f>Global!BG31</f>
        <v>C</v>
      </c>
      <c r="AC31" s="31" t="str">
        <f>Global!BH31</f>
        <v/>
      </c>
      <c r="AD31" s="31" t="str">
        <f>Global!BI31</f>
        <v/>
      </c>
      <c r="AE31" s="31" t="str">
        <f>Global!BJ31</f>
        <v/>
      </c>
      <c r="AF31" s="31" t="str">
        <f>Global!BK31</f>
        <v>C</v>
      </c>
      <c r="AG31" s="31" t="str">
        <f>Global!BL31</f>
        <v/>
      </c>
      <c r="AH31" s="31"/>
      <c r="AI31" s="48" t="str">
        <f>IFERROR(VLOOKUP(#REF!,Feuil1!$A:$B,2,FALSE),"")</f>
        <v/>
      </c>
      <c r="AJ31" s="103">
        <f>COUNTIF(Février[[#This Row],[1]:[29]],"RTT")+(COUNTIF(Février[[#This Row],[1]:[29]],"dRTT")/2)</f>
        <v>0</v>
      </c>
      <c r="AK31" s="105">
        <f>COUNTIF(Février[[#This Row],[1]:[29]],"C")+(COUNTIF(Février[[#This Row],[1]:[29]],"DC")/2)</f>
        <v>5</v>
      </c>
      <c r="AL31" s="26">
        <f>COUNTIF(Février[[#This Row],[1]:[29]],"M")</f>
        <v>0</v>
      </c>
      <c r="AM31" s="26">
        <f>COUNTIF(Février[[#This Row],[1]:[29]],"AT")</f>
        <v>0</v>
      </c>
      <c r="AN31" s="84">
        <f>IF(AND(Février[[#This Row],[Maladie]]=0,Février[[#This Row],[AT]]=0),((10*(_xlfn.DAYS("28/02/2018","01/02/2018")+1))/365),((_xlfn.DAYS("28/02/2018","01/02/2018")+1-(Février[[#This Row],[Maladie]]+Février[[#This Row],[AT]]))*((10*(_xlfn.DAYS("28/02/2018","01/02/2018")+1))/365))/(_xlfn.DAYS("28/02/2018","01/02/2018")+1))</f>
        <v>0.76712328767123283</v>
      </c>
    </row>
    <row r="32" spans="1:40" ht="30" customHeight="1" x14ac:dyDescent="0.2">
      <c r="A32" s="15" t="s">
        <v>88</v>
      </c>
      <c r="B32" s="22" t="s">
        <v>199</v>
      </c>
      <c r="C32" s="22" t="s">
        <v>200</v>
      </c>
      <c r="D32" s="22" t="s">
        <v>201</v>
      </c>
      <c r="E32" s="44">
        <v>0</v>
      </c>
      <c r="F32" s="47" t="str">
        <f>Global!AK32</f>
        <v/>
      </c>
      <c r="G32" s="31" t="str">
        <f>Global!AL32</f>
        <v/>
      </c>
      <c r="H32" s="31" t="str">
        <f>Global!AM32</f>
        <v/>
      </c>
      <c r="I32" s="31" t="str">
        <f>Global!AN32</f>
        <v/>
      </c>
      <c r="J32" s="31" t="str">
        <f>Global!AO32</f>
        <v/>
      </c>
      <c r="K32" s="31" t="str">
        <f>Global!AP32</f>
        <v/>
      </c>
      <c r="L32" s="31" t="str">
        <f>Global!AQ32</f>
        <v/>
      </c>
      <c r="M32" s="31" t="str">
        <f>Global!AR32</f>
        <v/>
      </c>
      <c r="N32" s="31" t="str">
        <f>Global!AS32</f>
        <v>DC</v>
      </c>
      <c r="O32" s="31" t="str">
        <f>Global!AT32</f>
        <v/>
      </c>
      <c r="P32" s="31" t="str">
        <f>Global!AU32</f>
        <v/>
      </c>
      <c r="Q32" s="31" t="str">
        <f>Global!AV32</f>
        <v/>
      </c>
      <c r="R32" s="31" t="str">
        <f>Global!AW32</f>
        <v/>
      </c>
      <c r="S32" s="31" t="str">
        <f>Global!AX32</f>
        <v/>
      </c>
      <c r="T32" s="31" t="str">
        <f>Global!AY32</f>
        <v/>
      </c>
      <c r="U32" s="31" t="str">
        <f>Global!AZ32</f>
        <v/>
      </c>
      <c r="V32" s="31" t="str">
        <f>Global!BA32</f>
        <v/>
      </c>
      <c r="W32" s="31" t="str">
        <f>Global!BB32</f>
        <v/>
      </c>
      <c r="X32" s="31" t="str">
        <f>Global!BC32</f>
        <v/>
      </c>
      <c r="Y32" s="31" t="str">
        <f>Global!BD32</f>
        <v/>
      </c>
      <c r="Z32" s="31" t="str">
        <f>Global!BE32</f>
        <v/>
      </c>
      <c r="AA32" s="31" t="str">
        <f>Global!BF32</f>
        <v/>
      </c>
      <c r="AB32" s="31" t="str">
        <f>Global!BG32</f>
        <v/>
      </c>
      <c r="AC32" s="31" t="str">
        <f>Global!BH32</f>
        <v/>
      </c>
      <c r="AD32" s="31" t="str">
        <f>Global!BI32</f>
        <v/>
      </c>
      <c r="AE32" s="31" t="str">
        <f>Global!BJ32</f>
        <v/>
      </c>
      <c r="AF32" s="31" t="str">
        <f>Global!BK32</f>
        <v/>
      </c>
      <c r="AG32" s="31" t="str">
        <f>Global!BL32</f>
        <v/>
      </c>
      <c r="AH32" s="31"/>
      <c r="AI32" s="48" t="str">
        <f>IFERROR(VLOOKUP(#REF!,Feuil1!$A:$B,2,FALSE),"")</f>
        <v/>
      </c>
      <c r="AJ32" s="103">
        <f>COUNTIF(Février[[#This Row],[1]:[29]],"RTT")+(COUNTIF(Février[[#This Row],[1]:[29]],"dRTT")/2)</f>
        <v>0</v>
      </c>
      <c r="AK32" s="105">
        <f>COUNTIF(Février[[#This Row],[1]:[29]],"C")+(COUNTIF(Février[[#This Row],[1]:[29]],"DC")/2)</f>
        <v>0.5</v>
      </c>
      <c r="AL32" s="26">
        <f>COUNTIF(Février[[#This Row],[1]:[29]],"M")</f>
        <v>0</v>
      </c>
      <c r="AM32" s="26">
        <f>COUNTIF(Février[[#This Row],[1]:[29]],"AT")</f>
        <v>0</v>
      </c>
      <c r="AN32" s="84">
        <f>IF(AND(Février[[#This Row],[Maladie]]=0,Février[[#This Row],[AT]]=0),((10*(_xlfn.DAYS("28/02/2018","01/02/2018")+1))/365),((_xlfn.DAYS("28/02/2018","01/02/2018")+1-(Février[[#This Row],[Maladie]]+Février[[#This Row],[AT]]))*((10*(_xlfn.DAYS("28/02/2018","01/02/2018")+1))/365))/(_xlfn.DAYS("28/02/2018","01/02/2018")+1))</f>
        <v>0.76712328767123283</v>
      </c>
    </row>
    <row r="33" spans="1:40" ht="30" customHeight="1" x14ac:dyDescent="0.2">
      <c r="A33" s="13" t="s">
        <v>89</v>
      </c>
      <c r="B33" s="22" t="s">
        <v>202</v>
      </c>
      <c r="C33" s="22" t="s">
        <v>172</v>
      </c>
      <c r="D33" s="22" t="s">
        <v>203</v>
      </c>
      <c r="E33" s="44">
        <v>0</v>
      </c>
      <c r="F33" s="47" t="str">
        <f>Global!AK33</f>
        <v/>
      </c>
      <c r="G33" s="31" t="str">
        <f>Global!AL33</f>
        <v/>
      </c>
      <c r="H33" s="31" t="str">
        <f>Global!AM33</f>
        <v/>
      </c>
      <c r="I33" s="31" t="str">
        <f>Global!AN33</f>
        <v/>
      </c>
      <c r="J33" s="31" t="str">
        <f>Global!AO33</f>
        <v/>
      </c>
      <c r="K33" s="31" t="str">
        <f>Global!AP33</f>
        <v/>
      </c>
      <c r="L33" s="31" t="str">
        <f>Global!AQ33</f>
        <v/>
      </c>
      <c r="M33" s="31" t="str">
        <f>Global!AR33</f>
        <v/>
      </c>
      <c r="N33" s="31" t="str">
        <f>Global!AS33</f>
        <v/>
      </c>
      <c r="O33" s="31" t="str">
        <f>Global!AT33</f>
        <v/>
      </c>
      <c r="P33" s="31" t="str">
        <f>Global!AU33</f>
        <v/>
      </c>
      <c r="Q33" s="31" t="str">
        <f>Global!AV33</f>
        <v/>
      </c>
      <c r="R33" s="31" t="str">
        <f>Global!AW33</f>
        <v/>
      </c>
      <c r="S33" s="31" t="str">
        <f>Global!AX33</f>
        <v/>
      </c>
      <c r="T33" s="31" t="str">
        <f>Global!AY33</f>
        <v/>
      </c>
      <c r="U33" s="31" t="str">
        <f>Global!AZ33</f>
        <v/>
      </c>
      <c r="V33" s="31" t="str">
        <f>Global!BA33</f>
        <v/>
      </c>
      <c r="W33" s="31" t="str">
        <f>Global!BB33</f>
        <v/>
      </c>
      <c r="X33" s="31" t="str">
        <f>Global!BC33</f>
        <v/>
      </c>
      <c r="Y33" s="31" t="str">
        <f>Global!BD33</f>
        <v/>
      </c>
      <c r="Z33" s="31" t="str">
        <f>Global!BE33</f>
        <v/>
      </c>
      <c r="AA33" s="31" t="str">
        <f>Global!BF33</f>
        <v/>
      </c>
      <c r="AB33" s="31" t="str">
        <f>Global!BG33</f>
        <v/>
      </c>
      <c r="AC33" s="31" t="str">
        <f>Global!BH33</f>
        <v/>
      </c>
      <c r="AD33" s="31" t="str">
        <f>Global!BI33</f>
        <v/>
      </c>
      <c r="AE33" s="31" t="str">
        <f>Global!BJ33</f>
        <v/>
      </c>
      <c r="AF33" s="31" t="str">
        <f>Global!BK33</f>
        <v/>
      </c>
      <c r="AG33" s="31" t="str">
        <f>Global!BL33</f>
        <v/>
      </c>
      <c r="AH33" s="31"/>
      <c r="AI33" s="48" t="str">
        <f>IFERROR(VLOOKUP(#REF!,Feuil1!$A:$B,2,FALSE),"")</f>
        <v/>
      </c>
      <c r="AJ33" s="103">
        <f>COUNTIF(Février[[#This Row],[1]:[29]],"RTT")+(COUNTIF(Février[[#This Row],[1]:[29]],"dRTT")/2)</f>
        <v>0</v>
      </c>
      <c r="AK33" s="105">
        <f>COUNTIF(Février[[#This Row],[1]:[29]],"C")+(COUNTIF(Février[[#This Row],[1]:[29]],"DC")/2)</f>
        <v>0</v>
      </c>
      <c r="AL33" s="26">
        <f>COUNTIF(Février[[#This Row],[1]:[29]],"M")</f>
        <v>0</v>
      </c>
      <c r="AM33" s="26">
        <f>COUNTIF(Février[[#This Row],[1]:[29]],"AT")</f>
        <v>0</v>
      </c>
      <c r="AN33" s="84">
        <f>IF(AND(Février[[#This Row],[Maladie]]=0,Février[[#This Row],[AT]]=0),((10*(_xlfn.DAYS("28/02/2018","01/02/2018")+1))/365),((_xlfn.DAYS("28/02/2018","01/02/2018")+1-(Février[[#This Row],[Maladie]]+Février[[#This Row],[AT]]))*((10*(_xlfn.DAYS("28/02/2018","01/02/2018")+1))/365))/(_xlfn.DAYS("28/02/2018","01/02/2018")+1))</f>
        <v>0.76712328767123283</v>
      </c>
    </row>
    <row r="34" spans="1:40" ht="30" customHeight="1" x14ac:dyDescent="0.2">
      <c r="A34" s="13" t="s">
        <v>90</v>
      </c>
      <c r="B34" s="22" t="s">
        <v>204</v>
      </c>
      <c r="C34" s="22" t="s">
        <v>205</v>
      </c>
      <c r="D34" s="22" t="s">
        <v>206</v>
      </c>
      <c r="E34" s="44" t="s">
        <v>162</v>
      </c>
      <c r="F34" s="47" t="str">
        <f>Global!AK34</f>
        <v/>
      </c>
      <c r="G34" s="31" t="str">
        <f>Global!AL34</f>
        <v/>
      </c>
      <c r="H34" s="31" t="str">
        <f>Global!AM34</f>
        <v/>
      </c>
      <c r="I34" s="31" t="str">
        <f>Global!AN34</f>
        <v/>
      </c>
      <c r="J34" s="31" t="str">
        <f>Global!AO34</f>
        <v/>
      </c>
      <c r="K34" s="31" t="str">
        <f>Global!AP34</f>
        <v/>
      </c>
      <c r="L34" s="31" t="str">
        <f>Global!AQ34</f>
        <v/>
      </c>
      <c r="M34" s="31" t="str">
        <f>Global!AR34</f>
        <v/>
      </c>
      <c r="N34" s="31" t="str">
        <f>Global!AS34</f>
        <v/>
      </c>
      <c r="O34" s="31" t="str">
        <f>Global!AT34</f>
        <v/>
      </c>
      <c r="P34" s="31" t="str">
        <f>Global!AU34</f>
        <v/>
      </c>
      <c r="Q34" s="31" t="str">
        <f>Global!AV34</f>
        <v/>
      </c>
      <c r="R34" s="31" t="str">
        <f>Global!AW34</f>
        <v/>
      </c>
      <c r="S34" s="31" t="str">
        <f>Global!AX34</f>
        <v/>
      </c>
      <c r="T34" s="31" t="str">
        <f>Global!AY34</f>
        <v/>
      </c>
      <c r="U34" s="31" t="str">
        <f>Global!AZ34</f>
        <v/>
      </c>
      <c r="V34" s="31" t="str">
        <f>Global!BA34</f>
        <v/>
      </c>
      <c r="W34" s="31" t="str">
        <f>Global!BB34</f>
        <v/>
      </c>
      <c r="X34" s="31" t="str">
        <f>Global!BC34</f>
        <v/>
      </c>
      <c r="Y34" s="31" t="str">
        <f>Global!BD34</f>
        <v/>
      </c>
      <c r="Z34" s="31" t="str">
        <f>Global!BE34</f>
        <v/>
      </c>
      <c r="AA34" s="31" t="str">
        <f>Global!BF34</f>
        <v/>
      </c>
      <c r="AB34" s="31" t="str">
        <f>Global!BG34</f>
        <v/>
      </c>
      <c r="AC34" s="31" t="str">
        <f>Global!BH34</f>
        <v/>
      </c>
      <c r="AD34" s="31" t="str">
        <f>Global!BI34</f>
        <v/>
      </c>
      <c r="AE34" s="31" t="str">
        <f>Global!BJ34</f>
        <v/>
      </c>
      <c r="AF34" s="31" t="str">
        <f>Global!BK34</f>
        <v/>
      </c>
      <c r="AG34" s="31" t="str">
        <f>Global!BL34</f>
        <v/>
      </c>
      <c r="AH34" s="31"/>
      <c r="AI34" s="48" t="str">
        <f>IFERROR(VLOOKUP(#REF!,Feuil1!$A:$B,2,FALSE),"")</f>
        <v/>
      </c>
      <c r="AJ34" s="103">
        <f>COUNTIF(Février[[#This Row],[1]:[29]],"RTT")+(COUNTIF(Février[[#This Row],[1]:[29]],"dRTT")/2)</f>
        <v>0</v>
      </c>
      <c r="AK34" s="105">
        <f>COUNTIF(Février[[#This Row],[1]:[29]],"C")+(COUNTIF(Février[[#This Row],[1]:[29]],"DC")/2)</f>
        <v>0</v>
      </c>
      <c r="AL34" s="26">
        <f>COUNTIF(Février[[#This Row],[1]:[29]],"M")</f>
        <v>0</v>
      </c>
      <c r="AM34" s="26">
        <f>COUNTIF(Février[[#This Row],[1]:[29]],"AT")</f>
        <v>0</v>
      </c>
      <c r="AN34" s="84">
        <f>IF(AND(Février[[#This Row],[Maladie]]=0,Février[[#This Row],[AT]]=0),((10*(_xlfn.DAYS("28/02/2018","01/02/2018")+1))/365),((_xlfn.DAYS("28/02/2018","01/02/2018")+1-(Février[[#This Row],[Maladie]]+Février[[#This Row],[AT]]))*((10*(_xlfn.DAYS("28/02/2018","01/02/2018")+1))/365))/(_xlfn.DAYS("28/02/2018","01/02/2018")+1))</f>
        <v>0.76712328767123283</v>
      </c>
    </row>
    <row r="35" spans="1:40" ht="30" customHeight="1" x14ac:dyDescent="0.2">
      <c r="A35" s="13" t="s">
        <v>91</v>
      </c>
      <c r="B35" s="22" t="s">
        <v>207</v>
      </c>
      <c r="C35" s="22" t="s">
        <v>208</v>
      </c>
      <c r="D35" s="22" t="s">
        <v>209</v>
      </c>
      <c r="E35" s="44" t="s">
        <v>162</v>
      </c>
      <c r="F35" s="47" t="str">
        <f>Global!AK35</f>
        <v/>
      </c>
      <c r="G35" s="31" t="str">
        <f>Global!AL35</f>
        <v/>
      </c>
      <c r="H35" s="31" t="str">
        <f>Global!AM35</f>
        <v/>
      </c>
      <c r="I35" s="31" t="str">
        <f>Global!AN35</f>
        <v/>
      </c>
      <c r="J35" s="31" t="str">
        <f>Global!AO35</f>
        <v/>
      </c>
      <c r="K35" s="31" t="str">
        <f>Global!AP35</f>
        <v/>
      </c>
      <c r="L35" s="31" t="str">
        <f>Global!AQ35</f>
        <v/>
      </c>
      <c r="M35" s="31" t="str">
        <f>Global!AR35</f>
        <v/>
      </c>
      <c r="N35" s="31" t="str">
        <f>Global!AS35</f>
        <v/>
      </c>
      <c r="O35" s="31" t="str">
        <f>Global!AT35</f>
        <v/>
      </c>
      <c r="P35" s="31" t="str">
        <f>Global!AU35</f>
        <v/>
      </c>
      <c r="Q35" s="31" t="str">
        <f>Global!AV35</f>
        <v/>
      </c>
      <c r="R35" s="31" t="str">
        <f>Global!AW35</f>
        <v/>
      </c>
      <c r="S35" s="31" t="str">
        <f>Global!AX35</f>
        <v/>
      </c>
      <c r="T35" s="31" t="str">
        <f>Global!AY35</f>
        <v/>
      </c>
      <c r="U35" s="31" t="str">
        <f>Global!AZ35</f>
        <v/>
      </c>
      <c r="V35" s="31" t="str">
        <f>Global!BA35</f>
        <v/>
      </c>
      <c r="W35" s="31" t="str">
        <f>Global!BB35</f>
        <v/>
      </c>
      <c r="X35" s="31" t="str">
        <f>Global!BC35</f>
        <v/>
      </c>
      <c r="Y35" s="31" t="str">
        <f>Global!BD35</f>
        <v/>
      </c>
      <c r="Z35" s="31" t="str">
        <f>Global!BE35</f>
        <v/>
      </c>
      <c r="AA35" s="31" t="str">
        <f>Global!BF35</f>
        <v/>
      </c>
      <c r="AB35" s="31" t="str">
        <f>Global!BG35</f>
        <v/>
      </c>
      <c r="AC35" s="31" t="str">
        <f>Global!BH35</f>
        <v/>
      </c>
      <c r="AD35" s="31" t="str">
        <f>Global!BI35</f>
        <v/>
      </c>
      <c r="AE35" s="31" t="str">
        <f>Global!BJ35</f>
        <v/>
      </c>
      <c r="AF35" s="31" t="str">
        <f>Global!BK35</f>
        <v/>
      </c>
      <c r="AG35" s="31" t="str">
        <f>Global!BL35</f>
        <v/>
      </c>
      <c r="AH35" s="31"/>
      <c r="AI35" s="48" t="str">
        <f>IFERROR(VLOOKUP(#REF!,Feuil1!$A:$B,2,FALSE),"")</f>
        <v/>
      </c>
      <c r="AJ35" s="103">
        <f>COUNTIF(Février[[#This Row],[1]:[29]],"RTT")+(COUNTIF(Février[[#This Row],[1]:[29]],"dRTT")/2)</f>
        <v>0</v>
      </c>
      <c r="AK35" s="105">
        <f>COUNTIF(Février[[#This Row],[1]:[29]],"C")+(COUNTIF(Février[[#This Row],[1]:[29]],"DC")/2)</f>
        <v>0</v>
      </c>
      <c r="AL35" s="26">
        <f>COUNTIF(Février[[#This Row],[1]:[29]],"M")</f>
        <v>0</v>
      </c>
      <c r="AM35" s="26">
        <f>COUNTIF(Février[[#This Row],[1]:[29]],"AT")</f>
        <v>0</v>
      </c>
      <c r="AN35" s="84">
        <f>IF(AND(Février[[#This Row],[Maladie]]=0,Février[[#This Row],[AT]]=0),((10*(_xlfn.DAYS("28/02/2018","01/02/2018")+1))/365),((_xlfn.DAYS("28/02/2018","01/02/2018")+1-(Février[[#This Row],[Maladie]]+Février[[#This Row],[AT]]))*((10*(_xlfn.DAYS("28/02/2018","01/02/2018")+1))/365))/(_xlfn.DAYS("28/02/2018","01/02/2018")+1))</f>
        <v>0.76712328767123283</v>
      </c>
    </row>
    <row r="36" spans="1:40" ht="30" customHeight="1" x14ac:dyDescent="0.2">
      <c r="A36" s="13" t="s">
        <v>92</v>
      </c>
      <c r="B36" s="22" t="s">
        <v>210</v>
      </c>
      <c r="C36" s="22" t="s">
        <v>211</v>
      </c>
      <c r="D36" s="22" t="s">
        <v>212</v>
      </c>
      <c r="E36" s="44">
        <v>0</v>
      </c>
      <c r="F36" s="47" t="str">
        <f>Global!AK36</f>
        <v/>
      </c>
      <c r="G36" s="31" t="str">
        <f>Global!AL36</f>
        <v/>
      </c>
      <c r="H36" s="31" t="str">
        <f>Global!AM36</f>
        <v/>
      </c>
      <c r="I36" s="31" t="str">
        <f>Global!AN36</f>
        <v/>
      </c>
      <c r="J36" s="31" t="str">
        <f>Global!AO36</f>
        <v>C</v>
      </c>
      <c r="K36" s="31" t="str">
        <f>Global!AP36</f>
        <v>C</v>
      </c>
      <c r="L36" s="31" t="str">
        <f>Global!AQ36</f>
        <v>C</v>
      </c>
      <c r="M36" s="31" t="str">
        <f>Global!AR36</f>
        <v>C</v>
      </c>
      <c r="N36" s="31" t="str">
        <f>Global!AS36</f>
        <v>C</v>
      </c>
      <c r="O36" s="31" t="str">
        <f>Global!AT36</f>
        <v/>
      </c>
      <c r="P36" s="31" t="str">
        <f>Global!AU36</f>
        <v/>
      </c>
      <c r="Q36" s="31" t="str">
        <f>Global!AV36</f>
        <v>C</v>
      </c>
      <c r="R36" s="31" t="str">
        <f>Global!AW36</f>
        <v>C</v>
      </c>
      <c r="S36" s="31" t="str">
        <f>Global!AX36</f>
        <v>C</v>
      </c>
      <c r="T36" s="31" t="str">
        <f>Global!AY36</f>
        <v>C</v>
      </c>
      <c r="U36" s="31" t="str">
        <f>Global!AZ36</f>
        <v>C</v>
      </c>
      <c r="V36" s="31" t="str">
        <f>Global!BA36</f>
        <v/>
      </c>
      <c r="W36" s="31" t="str">
        <f>Global!BB36</f>
        <v/>
      </c>
      <c r="X36" s="31" t="str">
        <f>Global!BC36</f>
        <v>C</v>
      </c>
      <c r="Y36" s="31" t="str">
        <f>Global!BD36</f>
        <v>C</v>
      </c>
      <c r="Z36" s="31" t="str">
        <f>Global!BE36</f>
        <v>C</v>
      </c>
      <c r="AA36" s="31" t="str">
        <f>Global!BF36</f>
        <v>C</v>
      </c>
      <c r="AB36" s="31" t="str">
        <f>Global!BG36</f>
        <v>C</v>
      </c>
      <c r="AC36" s="31" t="str">
        <f>Global!BH36</f>
        <v/>
      </c>
      <c r="AD36" s="31" t="str">
        <f>Global!BI36</f>
        <v/>
      </c>
      <c r="AE36" s="31" t="str">
        <f>Global!BJ36</f>
        <v/>
      </c>
      <c r="AF36" s="31" t="str">
        <f>Global!BK36</f>
        <v/>
      </c>
      <c r="AG36" s="31" t="str">
        <f>Global!BL36</f>
        <v/>
      </c>
      <c r="AH36" s="31"/>
      <c r="AI36" s="48" t="str">
        <f>IFERROR(VLOOKUP(#REF!,Feuil1!$A:$B,2,FALSE),"")</f>
        <v/>
      </c>
      <c r="AJ36" s="103">
        <f>COUNTIF(Février[[#This Row],[1]:[29]],"RTT")+(COUNTIF(Février[[#This Row],[1]:[29]],"dRTT")/2)</f>
        <v>0</v>
      </c>
      <c r="AK36" s="105">
        <f>COUNTIF(Février[[#This Row],[1]:[29]],"C")+(COUNTIF(Février[[#This Row],[1]:[29]],"DC")/2)</f>
        <v>15</v>
      </c>
      <c r="AL36" s="26">
        <f>COUNTIF(Février[[#This Row],[1]:[29]],"M")</f>
        <v>0</v>
      </c>
      <c r="AM36" s="26">
        <f>COUNTIF(Février[[#This Row],[1]:[29]],"AT")</f>
        <v>0</v>
      </c>
      <c r="AN36" s="84">
        <f>IF(AND(Février[[#This Row],[Maladie]]=0,Février[[#This Row],[AT]]=0),((10*(_xlfn.DAYS("28/02/2018","01/02/2018")+1))/365),((_xlfn.DAYS("28/02/2018","01/02/2018")+1-(Février[[#This Row],[Maladie]]+Février[[#This Row],[AT]]))*((10*(_xlfn.DAYS("28/02/2018","01/02/2018")+1))/365))/(_xlfn.DAYS("28/02/2018","01/02/2018")+1))</f>
        <v>0.76712328767123283</v>
      </c>
    </row>
    <row r="37" spans="1:40" ht="30" customHeight="1" x14ac:dyDescent="0.2">
      <c r="A37" s="13" t="s">
        <v>93</v>
      </c>
      <c r="B37" s="22" t="s">
        <v>213</v>
      </c>
      <c r="C37" s="22" t="s">
        <v>148</v>
      </c>
      <c r="D37" s="22" t="s">
        <v>214</v>
      </c>
      <c r="E37" s="44">
        <v>0</v>
      </c>
      <c r="F37" s="47" t="str">
        <f>Global!AK37</f>
        <v/>
      </c>
      <c r="G37" s="31" t="str">
        <f>Global!AL37</f>
        <v/>
      </c>
      <c r="H37" s="31" t="str">
        <f>Global!AM37</f>
        <v/>
      </c>
      <c r="I37" s="31" t="str">
        <f>Global!AN37</f>
        <v/>
      </c>
      <c r="J37" s="31" t="str">
        <f>Global!AO37</f>
        <v/>
      </c>
      <c r="K37" s="31" t="str">
        <f>Global!AP37</f>
        <v/>
      </c>
      <c r="L37" s="31" t="str">
        <f>Global!AQ37</f>
        <v/>
      </c>
      <c r="M37" s="31" t="str">
        <f>Global!AR37</f>
        <v/>
      </c>
      <c r="N37" s="31" t="str">
        <f>Global!AS37</f>
        <v/>
      </c>
      <c r="O37" s="31" t="str">
        <f>Global!AT37</f>
        <v/>
      </c>
      <c r="P37" s="31" t="str">
        <f>Global!AU37</f>
        <v/>
      </c>
      <c r="Q37" s="31" t="str">
        <f>Global!AV37</f>
        <v/>
      </c>
      <c r="R37" s="31" t="str">
        <f>Global!AW37</f>
        <v/>
      </c>
      <c r="S37" s="31" t="str">
        <f>Global!AX37</f>
        <v/>
      </c>
      <c r="T37" s="31" t="str">
        <f>Global!AY37</f>
        <v/>
      </c>
      <c r="U37" s="31" t="str">
        <f>Global!AZ37</f>
        <v/>
      </c>
      <c r="V37" s="31" t="str">
        <f>Global!BA37</f>
        <v/>
      </c>
      <c r="W37" s="31" t="str">
        <f>Global!BB37</f>
        <v/>
      </c>
      <c r="X37" s="31" t="str">
        <f>Global!BC37</f>
        <v/>
      </c>
      <c r="Y37" s="31" t="str">
        <f>Global!BD37</f>
        <v/>
      </c>
      <c r="Z37" s="31" t="str">
        <f>Global!BE37</f>
        <v/>
      </c>
      <c r="AA37" s="31" t="str">
        <f>Global!BF37</f>
        <v/>
      </c>
      <c r="AB37" s="31" t="str">
        <f>Global!BG37</f>
        <v/>
      </c>
      <c r="AC37" s="31" t="str">
        <f>Global!BH37</f>
        <v/>
      </c>
      <c r="AD37" s="31" t="str">
        <f>Global!BI37</f>
        <v/>
      </c>
      <c r="AE37" s="31" t="str">
        <f>Global!BJ37</f>
        <v/>
      </c>
      <c r="AF37" s="31" t="str">
        <f>Global!BK37</f>
        <v/>
      </c>
      <c r="AG37" s="31" t="str">
        <f>Global!BL37</f>
        <v/>
      </c>
      <c r="AH37" s="31"/>
      <c r="AI37" s="48" t="str">
        <f>IFERROR(VLOOKUP(#REF!,Feuil1!$A:$B,2,FALSE),"")</f>
        <v/>
      </c>
      <c r="AJ37" s="103">
        <f>COUNTIF(Février[[#This Row],[1]:[29]],"RTT")+(COUNTIF(Février[[#This Row],[1]:[29]],"dRTT")/2)</f>
        <v>0</v>
      </c>
      <c r="AK37" s="105">
        <f>COUNTIF(Février[[#This Row],[1]:[29]],"C")+(COUNTIF(Février[[#This Row],[1]:[29]],"DC")/2)</f>
        <v>0</v>
      </c>
      <c r="AL37" s="26">
        <f>COUNTIF(Février[[#This Row],[1]:[29]],"M")</f>
        <v>0</v>
      </c>
      <c r="AM37" s="26">
        <f>COUNTIF(Février[[#This Row],[1]:[29]],"AT")</f>
        <v>0</v>
      </c>
      <c r="AN37" s="84">
        <f>IF(AND(Février[[#This Row],[Maladie]]=0,Février[[#This Row],[AT]]=0),((10*(_xlfn.DAYS("28/02/2018","01/02/2018")+1))/365),((_xlfn.DAYS("28/02/2018","01/02/2018")+1-(Février[[#This Row],[Maladie]]+Février[[#This Row],[AT]]))*((10*(_xlfn.DAYS("28/02/2018","01/02/2018")+1))/365))/(_xlfn.DAYS("28/02/2018","01/02/2018")+1))</f>
        <v>0.76712328767123283</v>
      </c>
    </row>
    <row r="38" spans="1:40" ht="30" customHeight="1" x14ac:dyDescent="0.2">
      <c r="A38" s="13" t="s">
        <v>94</v>
      </c>
      <c r="B38" s="22" t="s">
        <v>215</v>
      </c>
      <c r="C38" s="22" t="s">
        <v>216</v>
      </c>
      <c r="D38" s="22" t="s">
        <v>217</v>
      </c>
      <c r="E38" s="44">
        <v>0</v>
      </c>
      <c r="F38" s="47" t="str">
        <f>Global!AK38</f>
        <v/>
      </c>
      <c r="G38" s="31" t="str">
        <f>Global!AL38</f>
        <v/>
      </c>
      <c r="H38" s="31" t="str">
        <f>Global!AM38</f>
        <v/>
      </c>
      <c r="I38" s="31" t="str">
        <f>Global!AN38</f>
        <v/>
      </c>
      <c r="J38" s="31" t="str">
        <f>Global!AO38</f>
        <v/>
      </c>
      <c r="K38" s="31" t="str">
        <f>Global!AP38</f>
        <v/>
      </c>
      <c r="L38" s="31" t="str">
        <f>Global!AQ38</f>
        <v/>
      </c>
      <c r="M38" s="31" t="str">
        <f>Global!AR38</f>
        <v/>
      </c>
      <c r="N38" s="31" t="str">
        <f>Global!AS38</f>
        <v/>
      </c>
      <c r="O38" s="31" t="str">
        <f>Global!AT38</f>
        <v/>
      </c>
      <c r="P38" s="31" t="str">
        <f>Global!AU38</f>
        <v/>
      </c>
      <c r="Q38" s="31" t="str">
        <f>Global!AV38</f>
        <v/>
      </c>
      <c r="R38" s="31" t="str">
        <f>Global!AW38</f>
        <v/>
      </c>
      <c r="S38" s="31" t="str">
        <f>Global!AX38</f>
        <v/>
      </c>
      <c r="T38" s="31" t="str">
        <f>Global!AY38</f>
        <v/>
      </c>
      <c r="U38" s="31" t="str">
        <f>Global!AZ38</f>
        <v>C</v>
      </c>
      <c r="V38" s="31" t="str">
        <f>Global!BA38</f>
        <v/>
      </c>
      <c r="W38" s="31" t="str">
        <f>Global!BB38</f>
        <v/>
      </c>
      <c r="X38" s="31" t="str">
        <f>Global!BC38</f>
        <v/>
      </c>
      <c r="Y38" s="31" t="str">
        <f>Global!BD38</f>
        <v/>
      </c>
      <c r="Z38" s="31" t="str">
        <f>Global!BE38</f>
        <v/>
      </c>
      <c r="AA38" s="31" t="str">
        <f>Global!BF38</f>
        <v/>
      </c>
      <c r="AB38" s="31" t="str">
        <f>Global!BG38</f>
        <v/>
      </c>
      <c r="AC38" s="31" t="str">
        <f>Global!BH38</f>
        <v/>
      </c>
      <c r="AD38" s="31" t="str">
        <f>Global!BI38</f>
        <v/>
      </c>
      <c r="AE38" s="31" t="str">
        <f>Global!BJ38</f>
        <v/>
      </c>
      <c r="AF38" s="31" t="str">
        <f>Global!BK38</f>
        <v/>
      </c>
      <c r="AG38" s="31" t="str">
        <f>Global!BL38</f>
        <v/>
      </c>
      <c r="AH38" s="31"/>
      <c r="AI38" s="48" t="str">
        <f>IFERROR(VLOOKUP(#REF!,Feuil1!$A:$B,2,FALSE),"")</f>
        <v/>
      </c>
      <c r="AJ38" s="103">
        <f>COUNTIF(Février[[#This Row],[1]:[29]],"RTT")+(COUNTIF(Février[[#This Row],[1]:[29]],"dRTT")/2)</f>
        <v>0</v>
      </c>
      <c r="AK38" s="105">
        <f>COUNTIF(Février[[#This Row],[1]:[29]],"C")+(COUNTIF(Février[[#This Row],[1]:[29]],"DC")/2)</f>
        <v>1</v>
      </c>
      <c r="AL38" s="26">
        <f>COUNTIF(Février[[#This Row],[1]:[29]],"M")</f>
        <v>0</v>
      </c>
      <c r="AM38" s="26">
        <f>COUNTIF(Février[[#This Row],[1]:[29]],"AT")</f>
        <v>0</v>
      </c>
      <c r="AN38" s="84">
        <f>IF(AND(Février[[#This Row],[Maladie]]=0,Février[[#This Row],[AT]]=0),((10*(_xlfn.DAYS("28/02/2018","01/02/2018")+1))/365),((_xlfn.DAYS("28/02/2018","01/02/2018")+1-(Février[[#This Row],[Maladie]]+Février[[#This Row],[AT]]))*((10*(_xlfn.DAYS("28/02/2018","01/02/2018")+1))/365))/(_xlfn.DAYS("28/02/2018","01/02/2018")+1))</f>
        <v>0.76712328767123283</v>
      </c>
    </row>
    <row r="39" spans="1:40" ht="30" customHeight="1" x14ac:dyDescent="0.2">
      <c r="A39" s="16" t="s">
        <v>95</v>
      </c>
      <c r="B39" s="22" t="s">
        <v>218</v>
      </c>
      <c r="C39" s="22" t="s">
        <v>219</v>
      </c>
      <c r="D39" s="22" t="s">
        <v>220</v>
      </c>
      <c r="E39" s="44">
        <v>0</v>
      </c>
      <c r="F39" s="47" t="str">
        <f>Global!AK39</f>
        <v/>
      </c>
      <c r="G39" s="31" t="str">
        <f>Global!AL39</f>
        <v/>
      </c>
      <c r="H39" s="31" t="str">
        <f>Global!AM39</f>
        <v/>
      </c>
      <c r="I39" s="31" t="str">
        <f>Global!AN39</f>
        <v/>
      </c>
      <c r="J39" s="31" t="str">
        <f>Global!AO39</f>
        <v/>
      </c>
      <c r="K39" s="31" t="str">
        <f>Global!AP39</f>
        <v/>
      </c>
      <c r="L39" s="31" t="str">
        <f>Global!AQ39</f>
        <v/>
      </c>
      <c r="M39" s="31" t="str">
        <f>Global!AR39</f>
        <v/>
      </c>
      <c r="N39" s="31" t="str">
        <f>Global!AS39</f>
        <v/>
      </c>
      <c r="O39" s="31" t="str">
        <f>Global!AT39</f>
        <v/>
      </c>
      <c r="P39" s="31" t="str">
        <f>Global!AU39</f>
        <v/>
      </c>
      <c r="Q39" s="31" t="str">
        <f>Global!AV39</f>
        <v/>
      </c>
      <c r="R39" s="31" t="str">
        <f>Global!AW39</f>
        <v/>
      </c>
      <c r="S39" s="31" t="str">
        <f>Global!AX39</f>
        <v/>
      </c>
      <c r="T39" s="31" t="str">
        <f>Global!AY39</f>
        <v/>
      </c>
      <c r="U39" s="31" t="str">
        <f>Global!AZ39</f>
        <v/>
      </c>
      <c r="V39" s="31" t="str">
        <f>Global!BA39</f>
        <v/>
      </c>
      <c r="W39" s="31" t="str">
        <f>Global!BB39</f>
        <v/>
      </c>
      <c r="X39" s="31" t="str">
        <f>Global!BC39</f>
        <v/>
      </c>
      <c r="Y39" s="31" t="str">
        <f>Global!BD39</f>
        <v/>
      </c>
      <c r="Z39" s="31" t="str">
        <f>Global!BE39</f>
        <v/>
      </c>
      <c r="AA39" s="31" t="str">
        <f>Global!BF39</f>
        <v/>
      </c>
      <c r="AB39" s="31" t="str">
        <f>Global!BG39</f>
        <v/>
      </c>
      <c r="AC39" s="31" t="str">
        <f>Global!BH39</f>
        <v/>
      </c>
      <c r="AD39" s="31" t="str">
        <f>Global!BI39</f>
        <v/>
      </c>
      <c r="AE39" s="31" t="str">
        <f>Global!BJ39</f>
        <v/>
      </c>
      <c r="AF39" s="31" t="str">
        <f>Global!BK39</f>
        <v>C</v>
      </c>
      <c r="AG39" s="31" t="str">
        <f>Global!BL39</f>
        <v/>
      </c>
      <c r="AH39" s="31"/>
      <c r="AI39" s="48" t="str">
        <f>IFERROR(VLOOKUP(#REF!,Feuil1!$A:$B,2,FALSE),"")</f>
        <v/>
      </c>
      <c r="AJ39" s="103">
        <f>COUNTIF(Février[[#This Row],[1]:[29]],"RTT")+(COUNTIF(Février[[#This Row],[1]:[29]],"dRTT")/2)</f>
        <v>0</v>
      </c>
      <c r="AK39" s="105">
        <f>COUNTIF(Février[[#This Row],[1]:[29]],"C")+(COUNTIF(Février[[#This Row],[1]:[29]],"DC")/2)</f>
        <v>1</v>
      </c>
      <c r="AL39" s="26">
        <f>COUNTIF(Février[[#This Row],[1]:[29]],"M")</f>
        <v>0</v>
      </c>
      <c r="AM39" s="26">
        <f>COUNTIF(Février[[#This Row],[1]:[29]],"AT")</f>
        <v>0</v>
      </c>
      <c r="AN39" s="84">
        <f>IF(AND(Février[[#This Row],[Maladie]]=0,Février[[#This Row],[AT]]=0),((10*(_xlfn.DAYS("28/02/2018","01/02/2018")+1))/365),((_xlfn.DAYS("28/02/2018","01/02/2018")+1-(Février[[#This Row],[Maladie]]+Février[[#This Row],[AT]]))*((10*(_xlfn.DAYS("28/02/2018","01/02/2018")+1))/365))/(_xlfn.DAYS("28/02/2018","01/02/2018")+1))</f>
        <v>0.76712328767123283</v>
      </c>
    </row>
    <row r="40" spans="1:40" ht="30" customHeight="1" x14ac:dyDescent="0.2">
      <c r="A40" s="15" t="s">
        <v>96</v>
      </c>
      <c r="B40" s="22" t="s">
        <v>221</v>
      </c>
      <c r="C40" s="22" t="s">
        <v>222</v>
      </c>
      <c r="D40" s="22" t="s">
        <v>223</v>
      </c>
      <c r="E40" s="44">
        <v>0</v>
      </c>
      <c r="F40" s="47" t="str">
        <f>Global!AK40</f>
        <v/>
      </c>
      <c r="G40" s="31" t="str">
        <f>Global!AL40</f>
        <v/>
      </c>
      <c r="H40" s="31" t="str">
        <f>Global!AM40</f>
        <v/>
      </c>
      <c r="I40" s="31" t="str">
        <f>Global!AN40</f>
        <v/>
      </c>
      <c r="J40" s="31" t="str">
        <f>Global!AO40</f>
        <v/>
      </c>
      <c r="K40" s="31" t="str">
        <f>Global!AP40</f>
        <v/>
      </c>
      <c r="L40" s="31" t="str">
        <f>Global!AQ40</f>
        <v>C</v>
      </c>
      <c r="M40" s="31" t="str">
        <f>Global!AR40</f>
        <v/>
      </c>
      <c r="N40" s="31" t="str">
        <f>Global!AS40</f>
        <v/>
      </c>
      <c r="O40" s="31" t="str">
        <f>Global!AT40</f>
        <v/>
      </c>
      <c r="P40" s="31" t="str">
        <f>Global!AU40</f>
        <v/>
      </c>
      <c r="Q40" s="31" t="str">
        <f>Global!AV40</f>
        <v/>
      </c>
      <c r="R40" s="31" t="str">
        <f>Global!AW40</f>
        <v/>
      </c>
      <c r="S40" s="31" t="str">
        <f>Global!AX40</f>
        <v/>
      </c>
      <c r="T40" s="31" t="str">
        <f>Global!AY40</f>
        <v/>
      </c>
      <c r="U40" s="31" t="str">
        <f>Global!AZ40</f>
        <v/>
      </c>
      <c r="V40" s="31" t="str">
        <f>Global!BA40</f>
        <v/>
      </c>
      <c r="W40" s="31" t="str">
        <f>Global!BB40</f>
        <v/>
      </c>
      <c r="X40" s="31" t="str">
        <f>Global!BC40</f>
        <v/>
      </c>
      <c r="Y40" s="31" t="str">
        <f>Global!BD40</f>
        <v/>
      </c>
      <c r="Z40" s="31" t="str">
        <f>Global!BE40</f>
        <v/>
      </c>
      <c r="AA40" s="31" t="str">
        <f>Global!BF40</f>
        <v/>
      </c>
      <c r="AB40" s="31" t="str">
        <f>Global!BG40</f>
        <v/>
      </c>
      <c r="AC40" s="31" t="str">
        <f>Global!BH40</f>
        <v/>
      </c>
      <c r="AD40" s="31" t="str">
        <f>Global!BI40</f>
        <v/>
      </c>
      <c r="AE40" s="31" t="str">
        <f>Global!BJ40</f>
        <v/>
      </c>
      <c r="AF40" s="31" t="str">
        <f>Global!BK40</f>
        <v/>
      </c>
      <c r="AG40" s="31" t="str">
        <f>Global!BL40</f>
        <v/>
      </c>
      <c r="AH40" s="31"/>
      <c r="AI40" s="48" t="str">
        <f>IFERROR(VLOOKUP(#REF!,Feuil1!$A:$B,2,FALSE),"")</f>
        <v/>
      </c>
      <c r="AJ40" s="103">
        <f>COUNTIF(Février[[#This Row],[1]:[29]],"RTT")+(COUNTIF(Février[[#This Row],[1]:[29]],"dRTT")/2)</f>
        <v>0</v>
      </c>
      <c r="AK40" s="105">
        <f>COUNTIF(Février[[#This Row],[1]:[29]],"C")+(COUNTIF(Février[[#This Row],[1]:[29]],"DC")/2)</f>
        <v>1</v>
      </c>
      <c r="AL40" s="26">
        <f>COUNTIF(Février[[#This Row],[1]:[29]],"M")</f>
        <v>0</v>
      </c>
      <c r="AM40" s="26">
        <f>COUNTIF(Février[[#This Row],[1]:[29]],"AT")</f>
        <v>0</v>
      </c>
      <c r="AN40" s="84">
        <f>IF(AND(Février[[#This Row],[Maladie]]=0,Février[[#This Row],[AT]]=0),((10*(_xlfn.DAYS("28/02/2018","01/02/2018")+1))/365),((_xlfn.DAYS("28/02/2018","01/02/2018")+1-(Février[[#This Row],[Maladie]]+Février[[#This Row],[AT]]))*((10*(_xlfn.DAYS("28/02/2018","01/02/2018")+1))/365))/(_xlfn.DAYS("28/02/2018","01/02/2018")+1))</f>
        <v>0.76712328767123283</v>
      </c>
    </row>
    <row r="41" spans="1:40" ht="30" customHeight="1" x14ac:dyDescent="0.2">
      <c r="A41" s="15" t="s">
        <v>97</v>
      </c>
      <c r="B41" s="22" t="s">
        <v>224</v>
      </c>
      <c r="C41" s="22" t="s">
        <v>225</v>
      </c>
      <c r="D41" s="22" t="s">
        <v>226</v>
      </c>
      <c r="E41" s="44">
        <v>0</v>
      </c>
      <c r="F41" s="47" t="str">
        <f>Global!AK41</f>
        <v/>
      </c>
      <c r="G41" s="31" t="str">
        <f>Global!AL41</f>
        <v/>
      </c>
      <c r="H41" s="31" t="str">
        <f>Global!AM41</f>
        <v/>
      </c>
      <c r="I41" s="31" t="str">
        <f>Global!AN41</f>
        <v/>
      </c>
      <c r="J41" s="31" t="str">
        <f>Global!AO41</f>
        <v/>
      </c>
      <c r="K41" s="31" t="str">
        <f>Global!AP41</f>
        <v/>
      </c>
      <c r="L41" s="31" t="str">
        <f>Global!AQ41</f>
        <v/>
      </c>
      <c r="M41" s="31" t="str">
        <f>Global!AR41</f>
        <v/>
      </c>
      <c r="N41" s="31" t="str">
        <f>Global!AS41</f>
        <v/>
      </c>
      <c r="O41" s="31" t="str">
        <f>Global!AT41</f>
        <v/>
      </c>
      <c r="P41" s="31" t="str">
        <f>Global!AU41</f>
        <v/>
      </c>
      <c r="Q41" s="31" t="str">
        <f>Global!AV41</f>
        <v/>
      </c>
      <c r="R41" s="31" t="str">
        <f>Global!AW41</f>
        <v/>
      </c>
      <c r="S41" s="31" t="str">
        <f>Global!AX41</f>
        <v/>
      </c>
      <c r="T41" s="31" t="str">
        <f>Global!AY41</f>
        <v/>
      </c>
      <c r="U41" s="31" t="str">
        <f>Global!AZ41</f>
        <v/>
      </c>
      <c r="V41" s="31" t="str">
        <f>Global!BA41</f>
        <v/>
      </c>
      <c r="W41" s="31" t="str">
        <f>Global!BB41</f>
        <v/>
      </c>
      <c r="X41" s="31" t="str">
        <f>Global!BC41</f>
        <v/>
      </c>
      <c r="Y41" s="31" t="str">
        <f>Global!BD41</f>
        <v/>
      </c>
      <c r="Z41" s="31" t="str">
        <f>Global!BE41</f>
        <v/>
      </c>
      <c r="AA41" s="31" t="str">
        <f>Global!BF41</f>
        <v/>
      </c>
      <c r="AB41" s="31" t="str">
        <f>Global!BG41</f>
        <v/>
      </c>
      <c r="AC41" s="31" t="str">
        <f>Global!BH41</f>
        <v/>
      </c>
      <c r="AD41" s="31" t="str">
        <f>Global!BI41</f>
        <v/>
      </c>
      <c r="AE41" s="31" t="str">
        <f>Global!BJ41</f>
        <v/>
      </c>
      <c r="AF41" s="31" t="str">
        <f>Global!BK41</f>
        <v/>
      </c>
      <c r="AG41" s="31" t="str">
        <f>Global!BL41</f>
        <v/>
      </c>
      <c r="AH41" s="31"/>
      <c r="AI41" s="48" t="str">
        <f>IFERROR(VLOOKUP(#REF!,Feuil1!$A:$B,2,FALSE),"")</f>
        <v/>
      </c>
      <c r="AJ41" s="103">
        <f>COUNTIF(Février[[#This Row],[1]:[29]],"RTT")+(COUNTIF(Février[[#This Row],[1]:[29]],"dRTT")/2)</f>
        <v>0</v>
      </c>
      <c r="AK41" s="105">
        <f>COUNTIF(Février[[#This Row],[1]:[29]],"C")+(COUNTIF(Février[[#This Row],[1]:[29]],"DC")/2)</f>
        <v>0</v>
      </c>
      <c r="AL41" s="26">
        <f>COUNTIF(Février[[#This Row],[1]:[29]],"M")</f>
        <v>0</v>
      </c>
      <c r="AM41" s="26">
        <f>COUNTIF(Février[[#This Row],[1]:[29]],"AT")</f>
        <v>0</v>
      </c>
      <c r="AN41" s="84">
        <f>IF(AND(Février[[#This Row],[Maladie]]=0,Février[[#This Row],[AT]]=0),((10*(_xlfn.DAYS("28/02/2018","01/02/2018")+1))/365),((_xlfn.DAYS("28/02/2018","01/02/2018")+1-(Février[[#This Row],[Maladie]]+Février[[#This Row],[AT]]))*((10*(_xlfn.DAYS("28/02/2018","01/02/2018")+1))/365))/(_xlfn.DAYS("28/02/2018","01/02/2018")+1))</f>
        <v>0.76712328767123283</v>
      </c>
    </row>
    <row r="42" spans="1:40" ht="30" customHeight="1" x14ac:dyDescent="0.2">
      <c r="A42" s="13" t="s">
        <v>98</v>
      </c>
      <c r="B42" s="22" t="s">
        <v>227</v>
      </c>
      <c r="C42" s="22" t="s">
        <v>228</v>
      </c>
      <c r="D42" s="22" t="s">
        <v>229</v>
      </c>
      <c r="E42" s="44">
        <v>0</v>
      </c>
      <c r="F42" s="47" t="str">
        <f>Global!AK42</f>
        <v/>
      </c>
      <c r="G42" s="31" t="str">
        <f>Global!AL42</f>
        <v/>
      </c>
      <c r="H42" s="31" t="str">
        <f>Global!AM42</f>
        <v/>
      </c>
      <c r="I42" s="31" t="str">
        <f>Global!AN42</f>
        <v/>
      </c>
      <c r="J42" s="31" t="str">
        <f>Global!AO42</f>
        <v/>
      </c>
      <c r="K42" s="31" t="str">
        <f>Global!AP42</f>
        <v/>
      </c>
      <c r="L42" s="31" t="str">
        <f>Global!AQ42</f>
        <v/>
      </c>
      <c r="M42" s="31" t="str">
        <f>Global!AR42</f>
        <v/>
      </c>
      <c r="N42" s="31" t="str">
        <f>Global!AS42</f>
        <v/>
      </c>
      <c r="O42" s="31" t="str">
        <f>Global!AT42</f>
        <v/>
      </c>
      <c r="P42" s="31" t="str">
        <f>Global!AU42</f>
        <v/>
      </c>
      <c r="Q42" s="31" t="str">
        <f>Global!AV42</f>
        <v/>
      </c>
      <c r="R42" s="31" t="str">
        <f>Global!AW42</f>
        <v/>
      </c>
      <c r="S42" s="31" t="str">
        <f>Global!AX42</f>
        <v/>
      </c>
      <c r="T42" s="31" t="str">
        <f>Global!AY42</f>
        <v/>
      </c>
      <c r="U42" s="31" t="str">
        <f>Global!AZ42</f>
        <v/>
      </c>
      <c r="V42" s="31" t="str">
        <f>Global!BA42</f>
        <v/>
      </c>
      <c r="W42" s="31" t="str">
        <f>Global!BB42</f>
        <v/>
      </c>
      <c r="X42" s="31" t="str">
        <f>Global!BC42</f>
        <v/>
      </c>
      <c r="Y42" s="31" t="str">
        <f>Global!BD42</f>
        <v/>
      </c>
      <c r="Z42" s="31" t="str">
        <f>Global!BE42</f>
        <v/>
      </c>
      <c r="AA42" s="31" t="str">
        <f>Global!BF42</f>
        <v/>
      </c>
      <c r="AB42" s="31" t="str">
        <f>Global!BG42</f>
        <v/>
      </c>
      <c r="AC42" s="31" t="str">
        <f>Global!BH42</f>
        <v/>
      </c>
      <c r="AD42" s="31" t="str">
        <f>Global!BI42</f>
        <v/>
      </c>
      <c r="AE42" s="31" t="str">
        <f>Global!BJ42</f>
        <v/>
      </c>
      <c r="AF42" s="31" t="str">
        <f>Global!BK42</f>
        <v/>
      </c>
      <c r="AG42" s="31" t="str">
        <f>Global!BL42</f>
        <v/>
      </c>
      <c r="AH42" s="31"/>
      <c r="AI42" s="48" t="str">
        <f>IFERROR(VLOOKUP(#REF!,Feuil1!$A:$B,2,FALSE),"")</f>
        <v/>
      </c>
      <c r="AJ42" s="103">
        <f>COUNTIF(Février[[#This Row],[1]:[29]],"RTT")+(COUNTIF(Février[[#This Row],[1]:[29]],"dRTT")/2)</f>
        <v>0</v>
      </c>
      <c r="AK42" s="105">
        <f>COUNTIF(Février[[#This Row],[1]:[29]],"C")+(COUNTIF(Février[[#This Row],[1]:[29]],"DC")/2)</f>
        <v>0</v>
      </c>
      <c r="AL42" s="26">
        <f>COUNTIF(Février[[#This Row],[1]:[29]],"M")</f>
        <v>0</v>
      </c>
      <c r="AM42" s="26">
        <f>COUNTIF(Février[[#This Row],[1]:[29]],"AT")</f>
        <v>0</v>
      </c>
      <c r="AN42" s="84">
        <f>IF(AND(Février[[#This Row],[Maladie]]=0,Février[[#This Row],[AT]]=0),((10*(_xlfn.DAYS("28/02/2018","01/02/2018")+1))/365),((_xlfn.DAYS("28/02/2018","01/02/2018")+1-(Février[[#This Row],[Maladie]]+Février[[#This Row],[AT]]))*((10*(_xlfn.DAYS("28/02/2018","01/02/2018")+1))/365))/(_xlfn.DAYS("28/02/2018","01/02/2018")+1))</f>
        <v>0.76712328767123283</v>
      </c>
    </row>
    <row r="43" spans="1:40" ht="30" customHeight="1" x14ac:dyDescent="0.2">
      <c r="A43" s="15" t="s">
        <v>99</v>
      </c>
      <c r="B43" s="22" t="s">
        <v>230</v>
      </c>
      <c r="C43" s="22" t="s">
        <v>231</v>
      </c>
      <c r="D43" s="22" t="s">
        <v>232</v>
      </c>
      <c r="E43" s="44">
        <v>0</v>
      </c>
      <c r="F43" s="47" t="str">
        <f>Global!AK43</f>
        <v>M</v>
      </c>
      <c r="G43" s="31" t="str">
        <f>Global!AL43</f>
        <v>M</v>
      </c>
      <c r="H43" s="31" t="str">
        <f>Global!AM43</f>
        <v>M</v>
      </c>
      <c r="I43" s="31" t="str">
        <f>Global!AN43</f>
        <v>M</v>
      </c>
      <c r="J43" s="31" t="str">
        <f>Global!AO43</f>
        <v/>
      </c>
      <c r="K43" s="31" t="str">
        <f>Global!AP43</f>
        <v/>
      </c>
      <c r="L43" s="31" t="str">
        <f>Global!AQ43</f>
        <v/>
      </c>
      <c r="M43" s="31" t="str">
        <f>Global!AR43</f>
        <v/>
      </c>
      <c r="N43" s="31" t="str">
        <f>Global!AS43</f>
        <v/>
      </c>
      <c r="O43" s="31" t="str">
        <f>Global!AT43</f>
        <v/>
      </c>
      <c r="P43" s="31" t="str">
        <f>Global!AU43</f>
        <v/>
      </c>
      <c r="Q43" s="31" t="str">
        <f>Global!AV43</f>
        <v/>
      </c>
      <c r="R43" s="31" t="str">
        <f>Global!AW43</f>
        <v/>
      </c>
      <c r="S43" s="31" t="str">
        <f>Global!AX43</f>
        <v/>
      </c>
      <c r="T43" s="31" t="str">
        <f>Global!AY43</f>
        <v/>
      </c>
      <c r="U43" s="31" t="str">
        <f>Global!AZ43</f>
        <v/>
      </c>
      <c r="V43" s="31" t="str">
        <f>Global!BA43</f>
        <v/>
      </c>
      <c r="W43" s="31" t="str">
        <f>Global!BB43</f>
        <v/>
      </c>
      <c r="X43" s="31" t="str">
        <f>Global!BC43</f>
        <v/>
      </c>
      <c r="Y43" s="31" t="str">
        <f>Global!BD43</f>
        <v/>
      </c>
      <c r="Z43" s="31" t="str">
        <f>Global!BE43</f>
        <v/>
      </c>
      <c r="AA43" s="31" t="str">
        <f>Global!BF43</f>
        <v/>
      </c>
      <c r="AB43" s="31" t="str">
        <f>Global!BG43</f>
        <v/>
      </c>
      <c r="AC43" s="31" t="str">
        <f>Global!BH43</f>
        <v/>
      </c>
      <c r="AD43" s="31" t="str">
        <f>Global!BI43</f>
        <v/>
      </c>
      <c r="AE43" s="31" t="str">
        <f>Global!BJ43</f>
        <v/>
      </c>
      <c r="AF43" s="31" t="str">
        <f>Global!BK43</f>
        <v/>
      </c>
      <c r="AG43" s="31" t="str">
        <f>Global!BL43</f>
        <v/>
      </c>
      <c r="AH43" s="31"/>
      <c r="AI43" s="48" t="str">
        <f>IFERROR(VLOOKUP(#REF!,Feuil1!$A:$B,2,FALSE),"")</f>
        <v/>
      </c>
      <c r="AJ43" s="103">
        <f>COUNTIF(Février[[#This Row],[1]:[29]],"RTT")+(COUNTIF(Février[[#This Row],[1]:[29]],"dRTT")/2)</f>
        <v>0</v>
      </c>
      <c r="AK43" s="105">
        <f>COUNTIF(Février[[#This Row],[1]:[29]],"C")+(COUNTIF(Février[[#This Row],[1]:[29]],"DC")/2)</f>
        <v>0</v>
      </c>
      <c r="AL43" s="26">
        <f>COUNTIF(Février[[#This Row],[1]:[29]],"M")</f>
        <v>4</v>
      </c>
      <c r="AM43" s="26">
        <f>COUNTIF(Février[[#This Row],[1]:[29]],"AT")</f>
        <v>0</v>
      </c>
      <c r="AN43" s="84">
        <f>IF(AND(Février[[#This Row],[Maladie]]=0,Février[[#This Row],[AT]]=0),((10*(_xlfn.DAYS("28/02/2018","01/02/2018")+1))/365),((_xlfn.DAYS("28/02/2018","01/02/2018")+1-(Février[[#This Row],[Maladie]]+Février[[#This Row],[AT]]))*((10*(_xlfn.DAYS("28/02/2018","01/02/2018")+1))/365))/(_xlfn.DAYS("28/02/2018","01/02/2018")+1))</f>
        <v>0.65753424657534243</v>
      </c>
    </row>
    <row r="44" spans="1:40" ht="30" customHeight="1" x14ac:dyDescent="0.2">
      <c r="A44" s="15" t="s">
        <v>100</v>
      </c>
      <c r="B44" s="22" t="s">
        <v>233</v>
      </c>
      <c r="C44" s="22" t="s">
        <v>234</v>
      </c>
      <c r="D44" s="22" t="s">
        <v>235</v>
      </c>
      <c r="E44" s="44">
        <v>0</v>
      </c>
      <c r="F44" s="47" t="str">
        <f>Global!AK44</f>
        <v>M</v>
      </c>
      <c r="G44" s="31" t="str">
        <f>Global!AL44</f>
        <v>M</v>
      </c>
      <c r="H44" s="31" t="str">
        <f>Global!AM44</f>
        <v>M</v>
      </c>
      <c r="I44" s="31" t="str">
        <f>Global!AN44</f>
        <v>M</v>
      </c>
      <c r="J44" s="31" t="str">
        <f>Global!AO44</f>
        <v>M</v>
      </c>
      <c r="K44" s="31" t="str">
        <f>Global!AP44</f>
        <v>M</v>
      </c>
      <c r="L44" s="31" t="str">
        <f>Global!AQ44</f>
        <v>M</v>
      </c>
      <c r="M44" s="31" t="str">
        <f>Global!AR44</f>
        <v>M</v>
      </c>
      <c r="N44" s="31" t="str">
        <f>Global!AS44</f>
        <v>M</v>
      </c>
      <c r="O44" s="31" t="str">
        <f>Global!AT44</f>
        <v>M</v>
      </c>
      <c r="P44" s="31" t="str">
        <f>Global!AU44</f>
        <v>M</v>
      </c>
      <c r="Q44" s="31" t="str">
        <f>Global!AV44</f>
        <v>M</v>
      </c>
      <c r="R44" s="31" t="str">
        <f>Global!AW44</f>
        <v>M</v>
      </c>
      <c r="S44" s="31" t="str">
        <f>Global!AX44</f>
        <v>M</v>
      </c>
      <c r="T44" s="31" t="str">
        <f>Global!AY44</f>
        <v>M</v>
      </c>
      <c r="U44" s="31" t="str">
        <f>Global!AZ44</f>
        <v>M</v>
      </c>
      <c r="V44" s="31" t="str">
        <f>Global!BA44</f>
        <v>M</v>
      </c>
      <c r="W44" s="31" t="str">
        <f>Global!BB44</f>
        <v>M</v>
      </c>
      <c r="X44" s="31" t="str">
        <f>Global!BC44</f>
        <v>M</v>
      </c>
      <c r="Y44" s="31" t="str">
        <f>Global!BD44</f>
        <v>M</v>
      </c>
      <c r="Z44" s="31" t="str">
        <f>Global!BE44</f>
        <v>M</v>
      </c>
      <c r="AA44" s="31" t="str">
        <f>Global!BF44</f>
        <v>M</v>
      </c>
      <c r="AB44" s="31" t="str">
        <f>Global!BG44</f>
        <v>M</v>
      </c>
      <c r="AC44" s="31" t="str">
        <f>Global!BH44</f>
        <v>M</v>
      </c>
      <c r="AD44" s="31" t="str">
        <f>Global!BI44</f>
        <v>M</v>
      </c>
      <c r="AE44" s="31" t="str">
        <f>Global!BJ44</f>
        <v>M</v>
      </c>
      <c r="AF44" s="31" t="str">
        <f>Global!BK44</f>
        <v>M</v>
      </c>
      <c r="AG44" s="31" t="str">
        <f>Global!BL44</f>
        <v>M</v>
      </c>
      <c r="AH44" s="31"/>
      <c r="AI44" s="48" t="str">
        <f>IFERROR(VLOOKUP(#REF!,Feuil1!$A:$B,2,FALSE),"")</f>
        <v/>
      </c>
      <c r="AJ44" s="103">
        <f>COUNTIF(Février[[#This Row],[1]:[29]],"RTT")+(COUNTIF(Février[[#This Row],[1]:[29]],"dRTT")/2)</f>
        <v>0</v>
      </c>
      <c r="AK44" s="105">
        <f>COUNTIF(Février[[#This Row],[1]:[29]],"C")+(COUNTIF(Février[[#This Row],[1]:[29]],"DC")/2)</f>
        <v>0</v>
      </c>
      <c r="AL44" s="26">
        <f>COUNTIF(Février[[#This Row],[1]:[29]],"M")</f>
        <v>28</v>
      </c>
      <c r="AM44" s="26">
        <f>COUNTIF(Février[[#This Row],[1]:[29]],"AT")</f>
        <v>0</v>
      </c>
      <c r="AN44" s="84">
        <f>IF(AND(Février[[#This Row],[Maladie]]=0,Février[[#This Row],[AT]]=0),((10*(_xlfn.DAYS("28/02/2018","01/02/2018")+1))/365),((_xlfn.DAYS("28/02/2018","01/02/2018")+1-(Février[[#This Row],[Maladie]]+Février[[#This Row],[AT]]))*((10*(_xlfn.DAYS("28/02/2018","01/02/2018")+1))/365))/(_xlfn.DAYS("28/02/2018","01/02/2018")+1))</f>
        <v>0</v>
      </c>
    </row>
    <row r="45" spans="1:40" ht="30" customHeight="1" x14ac:dyDescent="0.2">
      <c r="A45" s="15" t="s">
        <v>101</v>
      </c>
      <c r="B45" s="22" t="s">
        <v>236</v>
      </c>
      <c r="C45" s="22" t="s">
        <v>237</v>
      </c>
      <c r="D45" s="22" t="s">
        <v>238</v>
      </c>
      <c r="E45" s="44">
        <v>0</v>
      </c>
      <c r="F45" s="47" t="str">
        <f>Global!AK45</f>
        <v/>
      </c>
      <c r="G45" s="31" t="str">
        <f>Global!AL45</f>
        <v/>
      </c>
      <c r="H45" s="31" t="str">
        <f>Global!AM45</f>
        <v/>
      </c>
      <c r="I45" s="31" t="str">
        <f>Global!AN45</f>
        <v/>
      </c>
      <c r="J45" s="31" t="str">
        <f>Global!AO45</f>
        <v/>
      </c>
      <c r="K45" s="31" t="str">
        <f>Global!AP45</f>
        <v/>
      </c>
      <c r="L45" s="31" t="str">
        <f>Global!AQ45</f>
        <v/>
      </c>
      <c r="M45" s="31" t="str">
        <f>Global!AR45</f>
        <v/>
      </c>
      <c r="N45" s="31" t="str">
        <f>Global!AS45</f>
        <v/>
      </c>
      <c r="O45" s="31" t="str">
        <f>Global!AT45</f>
        <v/>
      </c>
      <c r="P45" s="31" t="str">
        <f>Global!AU45</f>
        <v/>
      </c>
      <c r="Q45" s="31" t="str">
        <f>Global!AV45</f>
        <v/>
      </c>
      <c r="R45" s="31" t="str">
        <f>Global!AW45</f>
        <v/>
      </c>
      <c r="S45" s="31" t="str">
        <f>Global!AX45</f>
        <v/>
      </c>
      <c r="T45" s="31" t="str">
        <f>Global!AY45</f>
        <v/>
      </c>
      <c r="U45" s="31" t="str">
        <f>Global!AZ45</f>
        <v/>
      </c>
      <c r="V45" s="31" t="str">
        <f>Global!BA45</f>
        <v/>
      </c>
      <c r="W45" s="31" t="str">
        <f>Global!BB45</f>
        <v/>
      </c>
      <c r="X45" s="31" t="str">
        <f>Global!BC45</f>
        <v/>
      </c>
      <c r="Y45" s="31" t="str">
        <f>Global!BD45</f>
        <v/>
      </c>
      <c r="Z45" s="31" t="str">
        <f>Global!BE45</f>
        <v/>
      </c>
      <c r="AA45" s="31" t="str">
        <f>Global!BF45</f>
        <v/>
      </c>
      <c r="AB45" s="31" t="str">
        <f>Global!BG45</f>
        <v/>
      </c>
      <c r="AC45" s="31" t="str">
        <f>Global!BH45</f>
        <v/>
      </c>
      <c r="AD45" s="31" t="str">
        <f>Global!BI45</f>
        <v/>
      </c>
      <c r="AE45" s="31" t="str">
        <f>Global!BJ45</f>
        <v/>
      </c>
      <c r="AF45" s="31" t="str">
        <f>Global!BK45</f>
        <v/>
      </c>
      <c r="AG45" s="31" t="str">
        <f>Global!BL45</f>
        <v/>
      </c>
      <c r="AH45" s="31"/>
      <c r="AI45" s="48" t="str">
        <f>IFERROR(VLOOKUP(#REF!,Feuil1!$A:$B,2,FALSE),"")</f>
        <v/>
      </c>
      <c r="AJ45" s="103">
        <f>COUNTIF(Février[[#This Row],[1]:[29]],"RTT")+(COUNTIF(Février[[#This Row],[1]:[29]],"dRTT")/2)</f>
        <v>0</v>
      </c>
      <c r="AK45" s="105">
        <f>COUNTIF(Février[[#This Row],[1]:[29]],"C")+(COUNTIF(Février[[#This Row],[1]:[29]],"DC")/2)</f>
        <v>0</v>
      </c>
      <c r="AL45" s="26">
        <f>COUNTIF(Février[[#This Row],[1]:[29]],"M")</f>
        <v>0</v>
      </c>
      <c r="AM45" s="26">
        <f>COUNTIF(Février[[#This Row],[1]:[29]],"AT")</f>
        <v>0</v>
      </c>
      <c r="AN45" s="84">
        <f>IF(AND(Février[[#This Row],[Maladie]]=0,Février[[#This Row],[AT]]=0),((10*(_xlfn.DAYS("28/02/2018","01/02/2018")+1))/365),((_xlfn.DAYS("28/02/2018","01/02/2018")+1-(Février[[#This Row],[Maladie]]+Février[[#This Row],[AT]]))*((10*(_xlfn.DAYS("28/02/2018","01/02/2018")+1))/365))/(_xlfn.DAYS("28/02/2018","01/02/2018")+1))</f>
        <v>0.76712328767123283</v>
      </c>
    </row>
    <row r="46" spans="1:40" ht="30" customHeight="1" x14ac:dyDescent="0.2">
      <c r="A46" s="17" t="s">
        <v>102</v>
      </c>
      <c r="B46" s="17" t="s">
        <v>239</v>
      </c>
      <c r="C46" s="17" t="s">
        <v>240</v>
      </c>
      <c r="D46" s="17" t="s">
        <v>241</v>
      </c>
      <c r="E46" s="23">
        <v>0</v>
      </c>
      <c r="F46" s="47" t="str">
        <f>Global!AK46</f>
        <v/>
      </c>
      <c r="G46" s="31" t="str">
        <f>Global!AL46</f>
        <v/>
      </c>
      <c r="H46" s="31" t="str">
        <f>Global!AM46</f>
        <v/>
      </c>
      <c r="I46" s="31" t="str">
        <f>Global!AN46</f>
        <v/>
      </c>
      <c r="J46" s="31" t="str">
        <f>Global!AO46</f>
        <v/>
      </c>
      <c r="K46" s="31" t="str">
        <f>Global!AP46</f>
        <v>C</v>
      </c>
      <c r="L46" s="31" t="str">
        <f>Global!AQ46</f>
        <v/>
      </c>
      <c r="M46" s="31" t="str">
        <f>Global!AR46</f>
        <v/>
      </c>
      <c r="N46" s="31" t="str">
        <f>Global!AS46</f>
        <v/>
      </c>
      <c r="O46" s="31" t="str">
        <f>Global!AT46</f>
        <v/>
      </c>
      <c r="P46" s="31" t="str">
        <f>Global!AU46</f>
        <v/>
      </c>
      <c r="Q46" s="31" t="str">
        <f>Global!AV46</f>
        <v>RTT</v>
      </c>
      <c r="R46" s="31" t="str">
        <f>Global!AW46</f>
        <v>RTT</v>
      </c>
      <c r="S46" s="31" t="str">
        <f>Global!AX46</f>
        <v>RTT</v>
      </c>
      <c r="T46" s="31" t="str">
        <f>Global!AY46</f>
        <v>RTT</v>
      </c>
      <c r="U46" s="31" t="str">
        <f>Global!AZ46</f>
        <v>RTT</v>
      </c>
      <c r="V46" s="31" t="str">
        <f>Global!BA46</f>
        <v/>
      </c>
      <c r="W46" s="31" t="str">
        <f>Global!BB46</f>
        <v/>
      </c>
      <c r="X46" s="31" t="str">
        <f>Global!BC46</f>
        <v>C</v>
      </c>
      <c r="Y46" s="31" t="str">
        <f>Global!BD46</f>
        <v>C</v>
      </c>
      <c r="Z46" s="31" t="str">
        <f>Global!BE46</f>
        <v>C</v>
      </c>
      <c r="AA46" s="31" t="str">
        <f>Global!BF46</f>
        <v>C</v>
      </c>
      <c r="AB46" s="31" t="str">
        <f>Global!BG46</f>
        <v>C</v>
      </c>
      <c r="AC46" s="31" t="str">
        <f>Global!BH46</f>
        <v/>
      </c>
      <c r="AD46" s="31" t="str">
        <f>Global!BI46</f>
        <v/>
      </c>
      <c r="AE46" s="31" t="str">
        <f>Global!BJ46</f>
        <v>C</v>
      </c>
      <c r="AF46" s="31" t="str">
        <f>Global!BK46</f>
        <v>C</v>
      </c>
      <c r="AG46" s="31" t="str">
        <f>Global!BL46</f>
        <v>C</v>
      </c>
      <c r="AH46" s="31"/>
      <c r="AI46" s="48" t="str">
        <f>IFERROR(VLOOKUP(#REF!,Feuil1!$A:$B,2,FALSE),"")</f>
        <v/>
      </c>
      <c r="AJ46" s="103">
        <f>COUNTIF(Février[[#This Row],[1]:[29]],"RTT")+(COUNTIF(Février[[#This Row],[1]:[29]],"dRTT")/2)</f>
        <v>5</v>
      </c>
      <c r="AK46" s="105">
        <f>COUNTIF(Février[[#This Row],[1]:[29]],"C")+(COUNTIF(Février[[#This Row],[1]:[29]],"DC")/2)</f>
        <v>9</v>
      </c>
      <c r="AL46" s="26">
        <f>COUNTIF(Février[[#This Row],[1]:[29]],"M")</f>
        <v>0</v>
      </c>
      <c r="AM46" s="26">
        <f>COUNTIF(Février[[#This Row],[1]:[29]],"AT")</f>
        <v>0</v>
      </c>
      <c r="AN46" s="84">
        <f>IF(AND(Février[[#This Row],[Maladie]]=0,Février[[#This Row],[AT]]=0),((10*(_xlfn.DAYS("28/02/2018","01/02/2018")+1))/365),((_xlfn.DAYS("28/02/2018","01/02/2018")+1-(Février[[#This Row],[Maladie]]+Février[[#This Row],[AT]]))*((10*(_xlfn.DAYS("28/02/2018","01/02/2018")+1))/365))/(_xlfn.DAYS("28/02/2018","01/02/2018")+1))</f>
        <v>0.76712328767123283</v>
      </c>
    </row>
    <row r="47" spans="1:40" ht="30" customHeight="1" x14ac:dyDescent="0.2">
      <c r="A47" s="17" t="s">
        <v>103</v>
      </c>
      <c r="B47" s="17" t="s">
        <v>242</v>
      </c>
      <c r="C47" s="17" t="s">
        <v>243</v>
      </c>
      <c r="D47" s="17" t="s">
        <v>244</v>
      </c>
      <c r="E47" s="23">
        <v>0</v>
      </c>
      <c r="F47" s="47" t="str">
        <f>Global!AK47</f>
        <v>M</v>
      </c>
      <c r="G47" s="31" t="str">
        <f>Global!AL47</f>
        <v>M</v>
      </c>
      <c r="H47" s="31" t="str">
        <f>Global!AM47</f>
        <v>M</v>
      </c>
      <c r="I47" s="31" t="str">
        <f>Global!AN47</f>
        <v>M</v>
      </c>
      <c r="J47" s="31" t="str">
        <f>Global!AO47</f>
        <v>M</v>
      </c>
      <c r="K47" s="31" t="str">
        <f>Global!AP47</f>
        <v>M</v>
      </c>
      <c r="L47" s="31" t="str">
        <f>Global!AQ47</f>
        <v>M</v>
      </c>
      <c r="M47" s="31" t="str">
        <f>Global!AR47</f>
        <v>M</v>
      </c>
      <c r="N47" s="31" t="str">
        <f>Global!AS47</f>
        <v>M</v>
      </c>
      <c r="O47" s="31" t="str">
        <f>Global!AT47</f>
        <v/>
      </c>
      <c r="P47" s="31" t="str">
        <f>Global!AU47</f>
        <v/>
      </c>
      <c r="Q47" s="31" t="str">
        <f>Global!AV47</f>
        <v/>
      </c>
      <c r="R47" s="31" t="str">
        <f>Global!AW47</f>
        <v/>
      </c>
      <c r="S47" s="31" t="str">
        <f>Global!AX47</f>
        <v/>
      </c>
      <c r="T47" s="31" t="str">
        <f>Global!AY47</f>
        <v/>
      </c>
      <c r="U47" s="31" t="str">
        <f>Global!AZ47</f>
        <v/>
      </c>
      <c r="V47" s="31" t="str">
        <f>Global!BA47</f>
        <v/>
      </c>
      <c r="W47" s="31" t="str">
        <f>Global!BB47</f>
        <v/>
      </c>
      <c r="X47" s="31" t="str">
        <f>Global!BC47</f>
        <v/>
      </c>
      <c r="Y47" s="31" t="str">
        <f>Global!BD47</f>
        <v>C</v>
      </c>
      <c r="Z47" s="31" t="str">
        <f>Global!BE47</f>
        <v/>
      </c>
      <c r="AA47" s="31" t="str">
        <f>Global!BF47</f>
        <v>C</v>
      </c>
      <c r="AB47" s="31" t="str">
        <f>Global!BG47</f>
        <v/>
      </c>
      <c r="AC47" s="31" t="str">
        <f>Global!BH47</f>
        <v/>
      </c>
      <c r="AD47" s="31" t="str">
        <f>Global!BI47</f>
        <v/>
      </c>
      <c r="AE47" s="31" t="str">
        <f>Global!BJ47</f>
        <v/>
      </c>
      <c r="AF47" s="31" t="str">
        <f>Global!BK47</f>
        <v/>
      </c>
      <c r="AG47" s="31" t="str">
        <f>Global!BL47</f>
        <v/>
      </c>
      <c r="AH47" s="31"/>
      <c r="AI47" s="48" t="str">
        <f>IFERROR(VLOOKUP(#REF!,Feuil1!$A:$B,2,FALSE),"")</f>
        <v/>
      </c>
      <c r="AJ47" s="103">
        <f>COUNTIF(Février[[#This Row],[1]:[29]],"RTT")+(COUNTIF(Février[[#This Row],[1]:[29]],"dRTT")/2)</f>
        <v>0</v>
      </c>
      <c r="AK47" s="105">
        <f>COUNTIF(Février[[#This Row],[1]:[29]],"C")+(COUNTIF(Février[[#This Row],[1]:[29]],"DC")/2)</f>
        <v>2</v>
      </c>
      <c r="AL47" s="26">
        <f>COUNTIF(Février[[#This Row],[1]:[29]],"M")</f>
        <v>9</v>
      </c>
      <c r="AM47" s="26">
        <f>COUNTIF(Février[[#This Row],[1]:[29]],"AT")</f>
        <v>0</v>
      </c>
      <c r="AN47" s="84">
        <f>IF(AND(Février[[#This Row],[Maladie]]=0,Février[[#This Row],[AT]]=0),((10*(_xlfn.DAYS("28/02/2018","01/02/2018")+1))/365),((_xlfn.DAYS("28/02/2018","01/02/2018")+1-(Février[[#This Row],[Maladie]]+Février[[#This Row],[AT]]))*((10*(_xlfn.DAYS("28/02/2018","01/02/2018")+1))/365))/(_xlfn.DAYS("28/02/2018","01/02/2018")+1))</f>
        <v>0.52054794520547942</v>
      </c>
    </row>
    <row r="48" spans="1:40" ht="30" customHeight="1" x14ac:dyDescent="0.2">
      <c r="A48" s="17" t="s">
        <v>104</v>
      </c>
      <c r="B48" s="17" t="s">
        <v>245</v>
      </c>
      <c r="C48" s="17" t="s">
        <v>246</v>
      </c>
      <c r="D48" s="17" t="s">
        <v>247</v>
      </c>
      <c r="E48" s="23">
        <v>0</v>
      </c>
      <c r="F48" s="47" t="str">
        <f>Global!AK48</f>
        <v/>
      </c>
      <c r="G48" s="31" t="str">
        <f>Global!AL48</f>
        <v/>
      </c>
      <c r="H48" s="31" t="str">
        <f>Global!AM48</f>
        <v/>
      </c>
      <c r="I48" s="31" t="str">
        <f>Global!AN48</f>
        <v/>
      </c>
      <c r="J48" s="31" t="str">
        <f>Global!AO48</f>
        <v/>
      </c>
      <c r="K48" s="31" t="str">
        <f>Global!AP48</f>
        <v/>
      </c>
      <c r="L48" s="31" t="str">
        <f>Global!AQ48</f>
        <v/>
      </c>
      <c r="M48" s="31" t="str">
        <f>Global!AR48</f>
        <v/>
      </c>
      <c r="N48" s="31" t="str">
        <f>Global!AS48</f>
        <v/>
      </c>
      <c r="O48" s="31" t="str">
        <f>Global!AT48</f>
        <v/>
      </c>
      <c r="P48" s="31" t="str">
        <f>Global!AU48</f>
        <v/>
      </c>
      <c r="Q48" s="31" t="str">
        <f>Global!AV48</f>
        <v/>
      </c>
      <c r="R48" s="31" t="str">
        <f>Global!AW48</f>
        <v/>
      </c>
      <c r="S48" s="31" t="str">
        <f>Global!AX48</f>
        <v/>
      </c>
      <c r="T48" s="31" t="str">
        <f>Global!AY48</f>
        <v/>
      </c>
      <c r="U48" s="31" t="str">
        <f>Global!AZ48</f>
        <v/>
      </c>
      <c r="V48" s="31" t="str">
        <f>Global!BA48</f>
        <v/>
      </c>
      <c r="W48" s="31" t="str">
        <f>Global!BB48</f>
        <v/>
      </c>
      <c r="X48" s="31" t="str">
        <f>Global!BC48</f>
        <v/>
      </c>
      <c r="Y48" s="31" t="str">
        <f>Global!BD48</f>
        <v/>
      </c>
      <c r="Z48" s="31" t="str">
        <f>Global!BE48</f>
        <v/>
      </c>
      <c r="AA48" s="31" t="str">
        <f>Global!BF48</f>
        <v/>
      </c>
      <c r="AB48" s="31" t="str">
        <f>Global!BG48</f>
        <v/>
      </c>
      <c r="AC48" s="31" t="str">
        <f>Global!BH48</f>
        <v/>
      </c>
      <c r="AD48" s="31" t="str">
        <f>Global!BI48</f>
        <v/>
      </c>
      <c r="AE48" s="31" t="str">
        <f>Global!BJ48</f>
        <v/>
      </c>
      <c r="AF48" s="31" t="str">
        <f>Global!BK48</f>
        <v/>
      </c>
      <c r="AG48" s="31" t="str">
        <f>Global!BL48</f>
        <v/>
      </c>
      <c r="AH48" s="31"/>
      <c r="AI48" s="48" t="str">
        <f>IFERROR(VLOOKUP(#REF!,Feuil1!$A:$B,2,FALSE),"")</f>
        <v/>
      </c>
      <c r="AJ48" s="103">
        <f>COUNTIF(Février[[#This Row],[1]:[29]],"RTT")+(COUNTIF(Février[[#This Row],[1]:[29]],"dRTT")/2)</f>
        <v>0</v>
      </c>
      <c r="AK48" s="105">
        <f>COUNTIF(Février[[#This Row],[1]:[29]],"C")+(COUNTIF(Février[[#This Row],[1]:[29]],"DC")/2)</f>
        <v>0</v>
      </c>
      <c r="AL48" s="26">
        <f>COUNTIF(Février[[#This Row],[1]:[29]],"M")</f>
        <v>0</v>
      </c>
      <c r="AM48" s="26">
        <f>COUNTIF(Février[[#This Row],[1]:[29]],"AT")</f>
        <v>0</v>
      </c>
      <c r="AN48" s="84">
        <f>IF(AND(Février[[#This Row],[Maladie]]=0,Février[[#This Row],[AT]]=0),((10*(_xlfn.DAYS("28/02/2018","01/02/2018")+1))/365),((_xlfn.DAYS("28/02/2018","01/02/2018")+1-(Février[[#This Row],[Maladie]]+Février[[#This Row],[AT]]))*((10*(_xlfn.DAYS("28/02/2018","01/02/2018")+1))/365))/(_xlfn.DAYS("28/02/2018","01/02/2018")+1))</f>
        <v>0.76712328767123283</v>
      </c>
    </row>
    <row r="49" spans="1:40" ht="30" customHeight="1" x14ac:dyDescent="0.2">
      <c r="A49" s="17" t="s">
        <v>105</v>
      </c>
      <c r="B49" s="17" t="s">
        <v>248</v>
      </c>
      <c r="C49" s="17" t="s">
        <v>249</v>
      </c>
      <c r="D49" s="17" t="s">
        <v>250</v>
      </c>
      <c r="E49" s="23">
        <v>0</v>
      </c>
      <c r="F49" s="47" t="str">
        <f>Global!AK49</f>
        <v/>
      </c>
      <c r="G49" s="31" t="str">
        <f>Global!AL49</f>
        <v/>
      </c>
      <c r="H49" s="31" t="str">
        <f>Global!AM49</f>
        <v/>
      </c>
      <c r="I49" s="31" t="str">
        <f>Global!AN49</f>
        <v/>
      </c>
      <c r="J49" s="31" t="str">
        <f>Global!AO49</f>
        <v/>
      </c>
      <c r="K49" s="31" t="str">
        <f>Global!AP49</f>
        <v/>
      </c>
      <c r="L49" s="31" t="str">
        <f>Global!AQ49</f>
        <v/>
      </c>
      <c r="M49" s="31" t="str">
        <f>Global!AR49</f>
        <v/>
      </c>
      <c r="N49" s="31" t="str">
        <f>Global!AS49</f>
        <v/>
      </c>
      <c r="O49" s="31" t="str">
        <f>Global!AT49</f>
        <v/>
      </c>
      <c r="P49" s="31" t="str">
        <f>Global!AU49</f>
        <v/>
      </c>
      <c r="Q49" s="31" t="str">
        <f>Global!AV49</f>
        <v/>
      </c>
      <c r="R49" s="31" t="str">
        <f>Global!AW49</f>
        <v/>
      </c>
      <c r="S49" s="31" t="str">
        <f>Global!AX49</f>
        <v/>
      </c>
      <c r="T49" s="31" t="str">
        <f>Global!AY49</f>
        <v/>
      </c>
      <c r="U49" s="31" t="str">
        <f>Global!AZ49</f>
        <v/>
      </c>
      <c r="V49" s="31" t="str">
        <f>Global!BA49</f>
        <v/>
      </c>
      <c r="W49" s="31" t="str">
        <f>Global!BB49</f>
        <v/>
      </c>
      <c r="X49" s="31" t="str">
        <f>Global!BC49</f>
        <v/>
      </c>
      <c r="Y49" s="31" t="str">
        <f>Global!BD49</f>
        <v/>
      </c>
      <c r="Z49" s="31" t="str">
        <f>Global!BE49</f>
        <v/>
      </c>
      <c r="AA49" s="31" t="str">
        <f>Global!BF49</f>
        <v/>
      </c>
      <c r="AB49" s="31" t="str">
        <f>Global!BG49</f>
        <v/>
      </c>
      <c r="AC49" s="31" t="str">
        <f>Global!BH49</f>
        <v/>
      </c>
      <c r="AD49" s="31" t="str">
        <f>Global!BI49</f>
        <v/>
      </c>
      <c r="AE49" s="31" t="str">
        <f>Global!BJ49</f>
        <v/>
      </c>
      <c r="AF49" s="31" t="str">
        <f>Global!BK49</f>
        <v/>
      </c>
      <c r="AG49" s="31" t="str">
        <f>Global!BL49</f>
        <v/>
      </c>
      <c r="AH49" s="31"/>
      <c r="AI49" s="48" t="str">
        <f>IFERROR(VLOOKUP(#REF!,Feuil1!$A:$B,2,FALSE),"")</f>
        <v/>
      </c>
      <c r="AJ49" s="103">
        <f>COUNTIF(Février[[#This Row],[1]:[29]],"RTT")+(COUNTIF(Février[[#This Row],[1]:[29]],"dRTT")/2)</f>
        <v>0</v>
      </c>
      <c r="AK49" s="105">
        <f>COUNTIF(Février[[#This Row],[1]:[29]],"C")+(COUNTIF(Février[[#This Row],[1]:[29]],"DC")/2)</f>
        <v>0</v>
      </c>
      <c r="AL49" s="26">
        <f>COUNTIF(Février[[#This Row],[1]:[29]],"M")</f>
        <v>0</v>
      </c>
      <c r="AM49" s="26">
        <f>COUNTIF(Février[[#This Row],[1]:[29]],"AT")</f>
        <v>0</v>
      </c>
      <c r="AN49" s="84">
        <f>IF(AND(Février[[#This Row],[Maladie]]=0,Février[[#This Row],[AT]]=0),((10*(_xlfn.DAYS("28/02/2018","01/02/2018")+1))/365),((_xlfn.DAYS("28/02/2018","01/02/2018")+1-(Février[[#This Row],[Maladie]]+Février[[#This Row],[AT]]))*((10*(_xlfn.DAYS("28/02/2018","01/02/2018")+1))/365))/(_xlfn.DAYS("28/02/2018","01/02/2018")+1))</f>
        <v>0.76712328767123283</v>
      </c>
    </row>
    <row r="50" spans="1:40" ht="30" customHeight="1" x14ac:dyDescent="0.2">
      <c r="A50" s="17" t="s">
        <v>106</v>
      </c>
      <c r="B50" s="17" t="s">
        <v>251</v>
      </c>
      <c r="C50" s="17" t="s">
        <v>252</v>
      </c>
      <c r="D50" s="17" t="s">
        <v>253</v>
      </c>
      <c r="E50" s="23">
        <v>0</v>
      </c>
      <c r="F50" s="47" t="str">
        <f>Global!AK50</f>
        <v/>
      </c>
      <c r="G50" s="31" t="str">
        <f>Global!AL50</f>
        <v/>
      </c>
      <c r="H50" s="31" t="str">
        <f>Global!AM50</f>
        <v/>
      </c>
      <c r="I50" s="31" t="str">
        <f>Global!AN50</f>
        <v/>
      </c>
      <c r="J50" s="31" t="str">
        <f>Global!AO50</f>
        <v/>
      </c>
      <c r="K50" s="31" t="str">
        <f>Global!AP50</f>
        <v/>
      </c>
      <c r="L50" s="31" t="str">
        <f>Global!AQ50</f>
        <v/>
      </c>
      <c r="M50" s="31" t="str">
        <f>Global!AR50</f>
        <v/>
      </c>
      <c r="N50" s="31" t="str">
        <f>Global!AS50</f>
        <v/>
      </c>
      <c r="O50" s="31" t="str">
        <f>Global!AT50</f>
        <v/>
      </c>
      <c r="P50" s="31" t="str">
        <f>Global!AU50</f>
        <v/>
      </c>
      <c r="Q50" s="31" t="str">
        <f>Global!AV50</f>
        <v/>
      </c>
      <c r="R50" s="31" t="str">
        <f>Global!AW50</f>
        <v/>
      </c>
      <c r="S50" s="31" t="str">
        <f>Global!AX50</f>
        <v/>
      </c>
      <c r="T50" s="31" t="str">
        <f>Global!AY50</f>
        <v>C</v>
      </c>
      <c r="U50" s="31" t="str">
        <f>Global!AZ50</f>
        <v/>
      </c>
      <c r="V50" s="31" t="str">
        <f>Global!BA50</f>
        <v/>
      </c>
      <c r="W50" s="31" t="str">
        <f>Global!BB50</f>
        <v/>
      </c>
      <c r="X50" s="31" t="str">
        <f>Global!BC50</f>
        <v/>
      </c>
      <c r="Y50" s="31" t="str">
        <f>Global!BD50</f>
        <v/>
      </c>
      <c r="Z50" s="31" t="str">
        <f>Global!BE50</f>
        <v/>
      </c>
      <c r="AA50" s="31" t="str">
        <f>Global!BF50</f>
        <v/>
      </c>
      <c r="AB50" s="31" t="str">
        <f>Global!BG50</f>
        <v/>
      </c>
      <c r="AC50" s="31" t="str">
        <f>Global!BH50</f>
        <v/>
      </c>
      <c r="AD50" s="31" t="str">
        <f>Global!BI50</f>
        <v/>
      </c>
      <c r="AE50" s="31" t="str">
        <f>Global!BJ50</f>
        <v/>
      </c>
      <c r="AF50" s="31" t="str">
        <f>Global!BK50</f>
        <v/>
      </c>
      <c r="AG50" s="31" t="str">
        <f>Global!BL50</f>
        <v/>
      </c>
      <c r="AH50" s="31"/>
      <c r="AI50" s="48" t="str">
        <f>IFERROR(VLOOKUP(#REF!,Feuil1!$A:$B,2,FALSE),"")</f>
        <v/>
      </c>
      <c r="AJ50" s="103">
        <f>COUNTIF(Février[[#This Row],[1]:[29]],"RTT")+(COUNTIF(Février[[#This Row],[1]:[29]],"dRTT")/2)</f>
        <v>0</v>
      </c>
      <c r="AK50" s="105">
        <f>COUNTIF(Février[[#This Row],[1]:[29]],"C")+(COUNTIF(Février[[#This Row],[1]:[29]],"DC")/2)</f>
        <v>1</v>
      </c>
      <c r="AL50" s="26">
        <f>COUNTIF(Février[[#This Row],[1]:[29]],"M")</f>
        <v>0</v>
      </c>
      <c r="AM50" s="26">
        <f>COUNTIF(Février[[#This Row],[1]:[29]],"AT")</f>
        <v>0</v>
      </c>
      <c r="AN50" s="84">
        <f>IF(AND(Février[[#This Row],[Maladie]]=0,Février[[#This Row],[AT]]=0),((10*(_xlfn.DAYS("28/02/2018","01/02/2018")+1))/365),((_xlfn.DAYS("28/02/2018","01/02/2018")+1-(Février[[#This Row],[Maladie]]+Février[[#This Row],[AT]]))*((10*(_xlfn.DAYS("28/02/2018","01/02/2018")+1))/365))/(_xlfn.DAYS("28/02/2018","01/02/2018")+1))</f>
        <v>0.76712328767123283</v>
      </c>
    </row>
    <row r="51" spans="1:40" ht="30" customHeight="1" x14ac:dyDescent="0.2">
      <c r="A51" s="17" t="s">
        <v>107</v>
      </c>
      <c r="B51" s="17" t="s">
        <v>254</v>
      </c>
      <c r="C51" s="17" t="s">
        <v>255</v>
      </c>
      <c r="D51" s="17" t="s">
        <v>256</v>
      </c>
      <c r="E51" s="23">
        <v>0</v>
      </c>
      <c r="F51" s="47" t="str">
        <f>Global!AK51</f>
        <v/>
      </c>
      <c r="G51" s="31" t="str">
        <f>Global!AL51</f>
        <v/>
      </c>
      <c r="H51" s="31" t="str">
        <f>Global!AM51</f>
        <v/>
      </c>
      <c r="I51" s="31" t="str">
        <f>Global!AN51</f>
        <v/>
      </c>
      <c r="J51" s="31" t="str">
        <f>Global!AO51</f>
        <v>C</v>
      </c>
      <c r="K51" s="31" t="str">
        <f>Global!AP51</f>
        <v>C</v>
      </c>
      <c r="L51" s="31" t="str">
        <f>Global!AQ51</f>
        <v>C</v>
      </c>
      <c r="M51" s="31" t="str">
        <f>Global!AR51</f>
        <v>C</v>
      </c>
      <c r="N51" s="31" t="str">
        <f>Global!AS51</f>
        <v>C</v>
      </c>
      <c r="O51" s="31" t="str">
        <f>Global!AT51</f>
        <v/>
      </c>
      <c r="P51" s="31" t="str">
        <f>Global!AU51</f>
        <v/>
      </c>
      <c r="Q51" s="31" t="str">
        <f>Global!AV51</f>
        <v/>
      </c>
      <c r="R51" s="31" t="str">
        <f>Global!AW51</f>
        <v/>
      </c>
      <c r="S51" s="31" t="str">
        <f>Global!AX51</f>
        <v/>
      </c>
      <c r="T51" s="31" t="str">
        <f>Global!AY51</f>
        <v/>
      </c>
      <c r="U51" s="31" t="str">
        <f>Global!AZ51</f>
        <v/>
      </c>
      <c r="V51" s="31" t="str">
        <f>Global!BA51</f>
        <v/>
      </c>
      <c r="W51" s="31" t="str">
        <f>Global!BB51</f>
        <v/>
      </c>
      <c r="X51" s="31" t="str">
        <f>Global!BC51</f>
        <v/>
      </c>
      <c r="Y51" s="31" t="str">
        <f>Global!BD51</f>
        <v/>
      </c>
      <c r="Z51" s="31" t="str">
        <f>Global!BE51</f>
        <v/>
      </c>
      <c r="AA51" s="31" t="str">
        <f>Global!BF51</f>
        <v/>
      </c>
      <c r="AB51" s="31" t="str">
        <f>Global!BG51</f>
        <v/>
      </c>
      <c r="AC51" s="31" t="str">
        <f>Global!BH51</f>
        <v/>
      </c>
      <c r="AD51" s="31" t="str">
        <f>Global!BI51</f>
        <v/>
      </c>
      <c r="AE51" s="31" t="str">
        <f>Global!BJ51</f>
        <v/>
      </c>
      <c r="AF51" s="31" t="str">
        <f>Global!BK51</f>
        <v/>
      </c>
      <c r="AG51" s="31" t="str">
        <f>Global!BL51</f>
        <v/>
      </c>
      <c r="AH51" s="31"/>
      <c r="AI51" s="48" t="str">
        <f>IFERROR(VLOOKUP(#REF!,Feuil1!$A:$B,2,FALSE),"")</f>
        <v/>
      </c>
      <c r="AJ51" s="103">
        <f>COUNTIF(Février[[#This Row],[1]:[29]],"RTT")+(COUNTIF(Février[[#This Row],[1]:[29]],"dRTT")/2)</f>
        <v>0</v>
      </c>
      <c r="AK51" s="105">
        <f>COUNTIF(Février[[#This Row],[1]:[29]],"C")+(COUNTIF(Février[[#This Row],[1]:[29]],"DC")/2)</f>
        <v>5</v>
      </c>
      <c r="AL51" s="26">
        <f>COUNTIF(Février[[#This Row],[1]:[29]],"M")</f>
        <v>0</v>
      </c>
      <c r="AM51" s="26">
        <f>COUNTIF(Février[[#This Row],[1]:[29]],"AT")</f>
        <v>0</v>
      </c>
      <c r="AN51" s="84">
        <f>IF(AND(Février[[#This Row],[Maladie]]=0,Février[[#This Row],[AT]]=0),((10*(_xlfn.DAYS("28/02/2018","01/02/2018")+1))/365),((_xlfn.DAYS("28/02/2018","01/02/2018")+1-(Février[[#This Row],[Maladie]]+Février[[#This Row],[AT]]))*((10*(_xlfn.DAYS("28/02/2018","01/02/2018")+1))/365))/(_xlfn.DAYS("28/02/2018","01/02/2018")+1))</f>
        <v>0.76712328767123283</v>
      </c>
    </row>
    <row r="52" spans="1:40" ht="30" customHeight="1" x14ac:dyDescent="0.2">
      <c r="A52" s="17" t="s">
        <v>108</v>
      </c>
      <c r="B52" s="17" t="s">
        <v>257</v>
      </c>
      <c r="C52" s="17" t="s">
        <v>258</v>
      </c>
      <c r="D52" s="17" t="s">
        <v>259</v>
      </c>
      <c r="E52" s="23">
        <v>0</v>
      </c>
      <c r="F52" s="47" t="str">
        <f>Global!AK52</f>
        <v/>
      </c>
      <c r="G52" s="31" t="str">
        <f>Global!AL52</f>
        <v/>
      </c>
      <c r="H52" s="31" t="str">
        <f>Global!AM52</f>
        <v/>
      </c>
      <c r="I52" s="31" t="str">
        <f>Global!AN52</f>
        <v/>
      </c>
      <c r="J52" s="31" t="str">
        <f>Global!AO52</f>
        <v/>
      </c>
      <c r="K52" s="31" t="str">
        <f>Global!AP52</f>
        <v/>
      </c>
      <c r="L52" s="31" t="str">
        <f>Global!AQ52</f>
        <v/>
      </c>
      <c r="M52" s="31" t="str">
        <f>Global!AR52</f>
        <v/>
      </c>
      <c r="N52" s="31" t="str">
        <f>Global!AS52</f>
        <v/>
      </c>
      <c r="O52" s="31" t="str">
        <f>Global!AT52</f>
        <v/>
      </c>
      <c r="P52" s="31" t="str">
        <f>Global!AU52</f>
        <v/>
      </c>
      <c r="Q52" s="31" t="str">
        <f>Global!AV52</f>
        <v/>
      </c>
      <c r="R52" s="31" t="str">
        <f>Global!AW52</f>
        <v/>
      </c>
      <c r="S52" s="31" t="str">
        <f>Global!AX52</f>
        <v/>
      </c>
      <c r="T52" s="31" t="str">
        <f>Global!AY52</f>
        <v/>
      </c>
      <c r="U52" s="31" t="str">
        <f>Global!AZ52</f>
        <v/>
      </c>
      <c r="V52" s="31" t="str">
        <f>Global!BA52</f>
        <v/>
      </c>
      <c r="W52" s="31" t="str">
        <f>Global!BB52</f>
        <v/>
      </c>
      <c r="X52" s="31" t="str">
        <f>Global!BC52</f>
        <v/>
      </c>
      <c r="Y52" s="31" t="str">
        <f>Global!BD52</f>
        <v/>
      </c>
      <c r="Z52" s="31" t="str">
        <f>Global!BE52</f>
        <v/>
      </c>
      <c r="AA52" s="31" t="str">
        <f>Global!BF52</f>
        <v/>
      </c>
      <c r="AB52" s="31" t="str">
        <f>Global!BG52</f>
        <v/>
      </c>
      <c r="AC52" s="31" t="str">
        <f>Global!BH52</f>
        <v/>
      </c>
      <c r="AD52" s="31" t="str">
        <f>Global!BI52</f>
        <v/>
      </c>
      <c r="AE52" s="31" t="str">
        <f>Global!BJ52</f>
        <v/>
      </c>
      <c r="AF52" s="31" t="str">
        <f>Global!BK52</f>
        <v>C</v>
      </c>
      <c r="AG52" s="31" t="str">
        <f>Global!BL52</f>
        <v/>
      </c>
      <c r="AH52" s="31"/>
      <c r="AI52" s="48" t="str">
        <f>IFERROR(VLOOKUP(#REF!,Feuil1!$A:$B,2,FALSE),"")</f>
        <v/>
      </c>
      <c r="AJ52" s="103">
        <f>COUNTIF(Février[[#This Row],[1]:[29]],"RTT")+(COUNTIF(Février[[#This Row],[1]:[29]],"dRTT")/2)</f>
        <v>0</v>
      </c>
      <c r="AK52" s="105">
        <f>COUNTIF(Février[[#This Row],[1]:[29]],"C")+(COUNTIF(Février[[#This Row],[1]:[29]],"DC")/2)</f>
        <v>1</v>
      </c>
      <c r="AL52" s="26">
        <f>COUNTIF(Février[[#This Row],[1]:[29]],"M")</f>
        <v>0</v>
      </c>
      <c r="AM52" s="26">
        <f>COUNTIF(Février[[#This Row],[1]:[29]],"AT")</f>
        <v>0</v>
      </c>
      <c r="AN52" s="84">
        <f>IF(AND(Février[[#This Row],[Maladie]]=0,Février[[#This Row],[AT]]=0),((10*(_xlfn.DAYS("28/02/2018","01/02/2018")+1))/365),((_xlfn.DAYS("28/02/2018","01/02/2018")+1-(Février[[#This Row],[Maladie]]+Février[[#This Row],[AT]]))*((10*(_xlfn.DAYS("28/02/2018","01/02/2018")+1))/365))/(_xlfn.DAYS("28/02/2018","01/02/2018")+1))</f>
        <v>0.76712328767123283</v>
      </c>
    </row>
    <row r="53" spans="1:40" ht="30" customHeight="1" x14ac:dyDescent="0.2">
      <c r="A53" s="17" t="s">
        <v>109</v>
      </c>
      <c r="B53" s="17" t="s">
        <v>260</v>
      </c>
      <c r="C53" s="17" t="s">
        <v>261</v>
      </c>
      <c r="D53" s="17" t="s">
        <v>262</v>
      </c>
      <c r="E53" s="23">
        <v>0</v>
      </c>
      <c r="F53" s="47" t="str">
        <f>Global!AK53</f>
        <v>C</v>
      </c>
      <c r="G53" s="31" t="str">
        <f>Global!AL53</f>
        <v>C</v>
      </c>
      <c r="H53" s="31" t="str">
        <f>Global!AM53</f>
        <v/>
      </c>
      <c r="I53" s="31" t="str">
        <f>Global!AN53</f>
        <v/>
      </c>
      <c r="J53" s="31" t="str">
        <f>Global!AO53</f>
        <v/>
      </c>
      <c r="K53" s="31" t="str">
        <f>Global!AP53</f>
        <v/>
      </c>
      <c r="L53" s="31" t="str">
        <f>Global!AQ53</f>
        <v/>
      </c>
      <c r="M53" s="31" t="str">
        <f>Global!AR53</f>
        <v/>
      </c>
      <c r="N53" s="31" t="str">
        <f>Global!AS53</f>
        <v/>
      </c>
      <c r="O53" s="31" t="str">
        <f>Global!AT53</f>
        <v/>
      </c>
      <c r="P53" s="31" t="str">
        <f>Global!AU53</f>
        <v/>
      </c>
      <c r="Q53" s="31" t="str">
        <f>Global!AV53</f>
        <v/>
      </c>
      <c r="R53" s="31" t="str">
        <f>Global!AW53</f>
        <v/>
      </c>
      <c r="S53" s="31" t="str">
        <f>Global!AX53</f>
        <v/>
      </c>
      <c r="T53" s="31" t="str">
        <f>Global!AY53</f>
        <v/>
      </c>
      <c r="U53" s="31" t="str">
        <f>Global!AZ53</f>
        <v/>
      </c>
      <c r="V53" s="31" t="str">
        <f>Global!BA53</f>
        <v/>
      </c>
      <c r="W53" s="31" t="str">
        <f>Global!BB53</f>
        <v/>
      </c>
      <c r="X53" s="31" t="str">
        <f>Global!BC53</f>
        <v/>
      </c>
      <c r="Y53" s="31" t="str">
        <f>Global!BD53</f>
        <v/>
      </c>
      <c r="Z53" s="31" t="str">
        <f>Global!BE53</f>
        <v/>
      </c>
      <c r="AA53" s="31" t="str">
        <f>Global!BF53</f>
        <v/>
      </c>
      <c r="AB53" s="31" t="str">
        <f>Global!BG53</f>
        <v/>
      </c>
      <c r="AC53" s="31" t="str">
        <f>Global!BH53</f>
        <v/>
      </c>
      <c r="AD53" s="31" t="str">
        <f>Global!BI53</f>
        <v/>
      </c>
      <c r="AE53" s="31" t="str">
        <f>Global!BJ53</f>
        <v/>
      </c>
      <c r="AF53" s="31" t="str">
        <f>Global!BK53</f>
        <v/>
      </c>
      <c r="AG53" s="31" t="str">
        <f>Global!BL53</f>
        <v/>
      </c>
      <c r="AH53" s="31"/>
      <c r="AI53" s="48" t="str">
        <f>IFERROR(VLOOKUP(#REF!,Feuil1!$A:$B,2,FALSE),"")</f>
        <v/>
      </c>
      <c r="AJ53" s="103">
        <f>COUNTIF(Février[[#This Row],[1]:[29]],"RTT")+(COUNTIF(Février[[#This Row],[1]:[29]],"dRTT")/2)</f>
        <v>0</v>
      </c>
      <c r="AK53" s="105">
        <f>COUNTIF(Février[[#This Row],[1]:[29]],"C")+(COUNTIF(Février[[#This Row],[1]:[29]],"DC")/2)</f>
        <v>2</v>
      </c>
      <c r="AL53" s="26">
        <f>COUNTIF(Février[[#This Row],[1]:[29]],"M")</f>
        <v>0</v>
      </c>
      <c r="AM53" s="26">
        <f>COUNTIF(Février[[#This Row],[1]:[29]],"AT")</f>
        <v>0</v>
      </c>
      <c r="AN53" s="84">
        <f>IF(AND(Février[[#This Row],[Maladie]]=0,Février[[#This Row],[AT]]=0),((10*(_xlfn.DAYS("28/02/2018","01/02/2018")+1))/365),((_xlfn.DAYS("28/02/2018","01/02/2018")+1-(Février[[#This Row],[Maladie]]+Février[[#This Row],[AT]]))*((10*(_xlfn.DAYS("28/02/2018","01/02/2018")+1))/365))/(_xlfn.DAYS("28/02/2018","01/02/2018")+1))</f>
        <v>0.76712328767123283</v>
      </c>
    </row>
    <row r="54" spans="1:40" ht="30" customHeight="1" x14ac:dyDescent="0.2">
      <c r="A54" s="18" t="s">
        <v>110</v>
      </c>
      <c r="B54" s="18" t="s">
        <v>263</v>
      </c>
      <c r="C54" s="18" t="s">
        <v>264</v>
      </c>
      <c r="D54" s="18" t="s">
        <v>265</v>
      </c>
      <c r="E54" s="24">
        <v>0</v>
      </c>
      <c r="F54" s="47" t="str">
        <f>Global!AK54</f>
        <v/>
      </c>
      <c r="G54" s="31" t="str">
        <f>Global!AL54</f>
        <v/>
      </c>
      <c r="H54" s="31" t="str">
        <f>Global!AM54</f>
        <v/>
      </c>
      <c r="I54" s="31" t="str">
        <f>Global!AN54</f>
        <v/>
      </c>
      <c r="J54" s="31" t="str">
        <f>Global!AO54</f>
        <v/>
      </c>
      <c r="K54" s="31" t="str">
        <f>Global!AP54</f>
        <v/>
      </c>
      <c r="L54" s="31" t="str">
        <f>Global!AQ54</f>
        <v/>
      </c>
      <c r="M54" s="31" t="str">
        <f>Global!AR54</f>
        <v/>
      </c>
      <c r="N54" s="31" t="str">
        <f>Global!AS54</f>
        <v/>
      </c>
      <c r="O54" s="31" t="str">
        <f>Global!AT54</f>
        <v/>
      </c>
      <c r="P54" s="31" t="str">
        <f>Global!AU54</f>
        <v/>
      </c>
      <c r="Q54" s="31" t="str">
        <f>Global!AV54</f>
        <v/>
      </c>
      <c r="R54" s="31" t="str">
        <f>Global!AW54</f>
        <v>C</v>
      </c>
      <c r="S54" s="31" t="str">
        <f>Global!AX54</f>
        <v>C</v>
      </c>
      <c r="T54" s="31" t="str">
        <f>Global!AY54</f>
        <v>C</v>
      </c>
      <c r="U54" s="31" t="str">
        <f>Global!AZ54</f>
        <v>C</v>
      </c>
      <c r="V54" s="31" t="str">
        <f>Global!BA54</f>
        <v/>
      </c>
      <c r="W54" s="31" t="str">
        <f>Global!BB54</f>
        <v/>
      </c>
      <c r="X54" s="31" t="str">
        <f>Global!BC54</f>
        <v>C</v>
      </c>
      <c r="Y54" s="31" t="str">
        <f>Global!BD54</f>
        <v>C</v>
      </c>
      <c r="Z54" s="31" t="str">
        <f>Global!BE54</f>
        <v>C</v>
      </c>
      <c r="AA54" s="31" t="str">
        <f>Global!BF54</f>
        <v>C</v>
      </c>
      <c r="AB54" s="31" t="str">
        <f>Global!BG54</f>
        <v>C</v>
      </c>
      <c r="AC54" s="31" t="str">
        <f>Global!BH54</f>
        <v/>
      </c>
      <c r="AD54" s="31" t="str">
        <f>Global!BI54</f>
        <v/>
      </c>
      <c r="AE54" s="31" t="str">
        <f>Global!BJ54</f>
        <v>C</v>
      </c>
      <c r="AF54" s="31" t="str">
        <f>Global!BK54</f>
        <v>C</v>
      </c>
      <c r="AG54" s="31" t="str">
        <f>Global!BL54</f>
        <v>C</v>
      </c>
      <c r="AH54" s="31"/>
      <c r="AI54" s="48" t="str">
        <f>IFERROR(VLOOKUP(#REF!,Feuil1!$A:$B,2,FALSE),"")</f>
        <v/>
      </c>
      <c r="AJ54" s="103">
        <f>COUNTIF(Février[[#This Row],[1]:[29]],"RTT")+(COUNTIF(Février[[#This Row],[1]:[29]],"dRTT")/2)</f>
        <v>0</v>
      </c>
      <c r="AK54" s="105">
        <f>COUNTIF(Février[[#This Row],[1]:[29]],"C")+(COUNTIF(Février[[#This Row],[1]:[29]],"DC")/2)</f>
        <v>12</v>
      </c>
      <c r="AL54" s="26">
        <f>COUNTIF(Février[[#This Row],[1]:[29]],"M")</f>
        <v>0</v>
      </c>
      <c r="AM54" s="26">
        <f>COUNTIF(Février[[#This Row],[1]:[29]],"AT")</f>
        <v>0</v>
      </c>
      <c r="AN54" s="84">
        <f>IF(AND(Février[[#This Row],[Maladie]]=0,Février[[#This Row],[AT]]=0),((10*(_xlfn.DAYS("28/02/2018","01/02/2018")+1))/365),((_xlfn.DAYS("28/02/2018","01/02/2018")+1-(Février[[#This Row],[Maladie]]+Février[[#This Row],[AT]]))*((10*(_xlfn.DAYS("28/02/2018","01/02/2018")+1))/365))/(_xlfn.DAYS("28/02/2018","01/02/2018")+1))</f>
        <v>0.76712328767123283</v>
      </c>
    </row>
    <row r="55" spans="1:40" ht="30" customHeight="1" x14ac:dyDescent="0.2">
      <c r="A55" s="17" t="s">
        <v>111</v>
      </c>
      <c r="B55" s="17" t="s">
        <v>266</v>
      </c>
      <c r="C55" s="17" t="s">
        <v>267</v>
      </c>
      <c r="D55" s="17" t="s">
        <v>268</v>
      </c>
      <c r="E55" s="23">
        <v>0</v>
      </c>
      <c r="F55" s="47" t="str">
        <f>Global!AK55</f>
        <v>M</v>
      </c>
      <c r="G55" s="31" t="str">
        <f>Global!AL55</f>
        <v>M</v>
      </c>
      <c r="H55" s="31" t="str">
        <f>Global!AM55</f>
        <v>M</v>
      </c>
      <c r="I55" s="31" t="str">
        <f>Global!AN55</f>
        <v>M</v>
      </c>
      <c r="J55" s="31" t="str">
        <f>Global!AO55</f>
        <v>M</v>
      </c>
      <c r="K55" s="31" t="str">
        <f>Global!AP55</f>
        <v>M</v>
      </c>
      <c r="L55" s="31" t="str">
        <f>Global!AQ55</f>
        <v>M</v>
      </c>
      <c r="M55" s="31" t="str">
        <f>Global!AR55</f>
        <v>M</v>
      </c>
      <c r="N55" s="31" t="str">
        <f>Global!AS55</f>
        <v>M</v>
      </c>
      <c r="O55" s="31" t="str">
        <f>Global!AT55</f>
        <v>M</v>
      </c>
      <c r="P55" s="31" t="str">
        <f>Global!AU55</f>
        <v>M</v>
      </c>
      <c r="Q55" s="31" t="str">
        <f>Global!AV55</f>
        <v>M</v>
      </c>
      <c r="R55" s="31" t="str">
        <f>Global!AW55</f>
        <v>M</v>
      </c>
      <c r="S55" s="31" t="str">
        <f>Global!AX55</f>
        <v>M</v>
      </c>
      <c r="T55" s="31" t="str">
        <f>Global!AY55</f>
        <v>M</v>
      </c>
      <c r="U55" s="31" t="str">
        <f>Global!AZ55</f>
        <v>M</v>
      </c>
      <c r="V55" s="31" t="str">
        <f>Global!BA55</f>
        <v>M</v>
      </c>
      <c r="W55" s="31" t="str">
        <f>Global!BB55</f>
        <v>M</v>
      </c>
      <c r="X55" s="31" t="str">
        <f>Global!BC55</f>
        <v>M</v>
      </c>
      <c r="Y55" s="31" t="str">
        <f>Global!BD55</f>
        <v>M</v>
      </c>
      <c r="Z55" s="31" t="str">
        <f>Global!BE55</f>
        <v>M</v>
      </c>
      <c r="AA55" s="31" t="str">
        <f>Global!BF55</f>
        <v>M</v>
      </c>
      <c r="AB55" s="31" t="str">
        <f>Global!BG55</f>
        <v>M</v>
      </c>
      <c r="AC55" s="31" t="str">
        <f>Global!BH55</f>
        <v>M</v>
      </c>
      <c r="AD55" s="31" t="str">
        <f>Global!BI55</f>
        <v>M</v>
      </c>
      <c r="AE55" s="31" t="str">
        <f>Global!BJ55</f>
        <v>M</v>
      </c>
      <c r="AF55" s="31" t="str">
        <f>Global!BK55</f>
        <v>M</v>
      </c>
      <c r="AG55" s="31" t="str">
        <f>Global!BL55</f>
        <v>M</v>
      </c>
      <c r="AH55" s="31"/>
      <c r="AI55" s="48" t="str">
        <f>IFERROR(VLOOKUP(#REF!,Feuil1!$A:$B,2,FALSE),"")</f>
        <v/>
      </c>
      <c r="AJ55" s="103">
        <f>COUNTIF(Février[[#This Row],[1]:[29]],"RTT")+(COUNTIF(Février[[#This Row],[1]:[29]],"dRTT")/2)</f>
        <v>0</v>
      </c>
      <c r="AK55" s="105">
        <f>COUNTIF(Février[[#This Row],[1]:[29]],"C")+(COUNTIF(Février[[#This Row],[1]:[29]],"DC")/2)</f>
        <v>0</v>
      </c>
      <c r="AL55" s="26">
        <f>COUNTIF(Février[[#This Row],[1]:[29]],"M")</f>
        <v>28</v>
      </c>
      <c r="AM55" s="26">
        <f>COUNTIF(Février[[#This Row],[1]:[29]],"AT")</f>
        <v>0</v>
      </c>
      <c r="AN55" s="84">
        <f>IF(AND(Février[[#This Row],[Maladie]]=0,Février[[#This Row],[AT]]=0),((10*(_xlfn.DAYS("28/02/2018","01/02/2018")+1))/365),((_xlfn.DAYS("28/02/2018","01/02/2018")+1-(Février[[#This Row],[Maladie]]+Février[[#This Row],[AT]]))*((10*(_xlfn.DAYS("28/02/2018","01/02/2018")+1))/365))/(_xlfn.DAYS("28/02/2018","01/02/2018")+1))</f>
        <v>0</v>
      </c>
    </row>
    <row r="56" spans="1:40" ht="30" customHeight="1" thickBot="1" x14ac:dyDescent="0.25">
      <c r="A56" s="17" t="s">
        <v>112</v>
      </c>
      <c r="B56" s="17" t="s">
        <v>269</v>
      </c>
      <c r="C56" s="17" t="s">
        <v>270</v>
      </c>
      <c r="D56" s="17" t="s">
        <v>271</v>
      </c>
      <c r="E56" s="23">
        <v>0</v>
      </c>
      <c r="F56" s="49" t="str">
        <f>Global!AK56</f>
        <v/>
      </c>
      <c r="G56" s="50" t="str">
        <f>Global!AL56</f>
        <v/>
      </c>
      <c r="H56" s="50" t="str">
        <f>Global!AM56</f>
        <v/>
      </c>
      <c r="I56" s="50" t="str">
        <f>Global!AN56</f>
        <v/>
      </c>
      <c r="J56" s="50" t="str">
        <f>Global!AO56</f>
        <v/>
      </c>
      <c r="K56" s="50" t="str">
        <f>Global!AP56</f>
        <v/>
      </c>
      <c r="L56" s="50" t="str">
        <f>Global!AQ56</f>
        <v/>
      </c>
      <c r="M56" s="50" t="str">
        <f>Global!AR56</f>
        <v/>
      </c>
      <c r="N56" s="50" t="str">
        <f>Global!AS56</f>
        <v/>
      </c>
      <c r="O56" s="50" t="str">
        <f>Global!AT56</f>
        <v/>
      </c>
      <c r="P56" s="50" t="str">
        <f>Global!AU56</f>
        <v/>
      </c>
      <c r="Q56" s="50" t="str">
        <f>Global!AV56</f>
        <v/>
      </c>
      <c r="R56" s="50" t="str">
        <f>Global!AW56</f>
        <v/>
      </c>
      <c r="S56" s="50" t="str">
        <f>Global!AX56</f>
        <v/>
      </c>
      <c r="T56" s="50" t="str">
        <f>Global!AY56</f>
        <v/>
      </c>
      <c r="U56" s="50" t="str">
        <f>Global!AZ56</f>
        <v/>
      </c>
      <c r="V56" s="50" t="str">
        <f>Global!BA56</f>
        <v/>
      </c>
      <c r="W56" s="50" t="str">
        <f>Global!BB56</f>
        <v/>
      </c>
      <c r="X56" s="50" t="str">
        <f>Global!BC56</f>
        <v/>
      </c>
      <c r="Y56" s="50" t="str">
        <f>Global!BD56</f>
        <v/>
      </c>
      <c r="Z56" s="50" t="str">
        <f>Global!BE56</f>
        <v/>
      </c>
      <c r="AA56" s="50" t="str">
        <f>Global!BF56</f>
        <v/>
      </c>
      <c r="AB56" s="50" t="str">
        <f>Global!BG56</f>
        <v/>
      </c>
      <c r="AC56" s="50" t="str">
        <f>Global!BH56</f>
        <v/>
      </c>
      <c r="AD56" s="50" t="str">
        <f>Global!BI56</f>
        <v/>
      </c>
      <c r="AE56" s="50" t="str">
        <f>Global!BJ56</f>
        <v/>
      </c>
      <c r="AF56" s="50" t="str">
        <f>Global!BK56</f>
        <v/>
      </c>
      <c r="AG56" s="50" t="str">
        <f>Global!BL56</f>
        <v/>
      </c>
      <c r="AH56" s="50"/>
      <c r="AI56" s="51" t="str">
        <f>IFERROR(VLOOKUP(#REF!,Feuil1!$A:$B,2,FALSE),"")</f>
        <v/>
      </c>
      <c r="AJ56" s="103">
        <f>COUNTIF(Février[[#This Row],[1]:[29]],"RTT")+(COUNTIF(Février[[#This Row],[1]:[29]],"dRTT")/2)</f>
        <v>0</v>
      </c>
      <c r="AK56" s="105">
        <f>COUNTIF(Février[[#This Row],[1]:[29]],"C")+(COUNTIF(Février[[#This Row],[1]:[29]],"DC")/2)</f>
        <v>0</v>
      </c>
      <c r="AL56" s="26">
        <f>COUNTIF(Février[[#This Row],[1]:[29]],"M")</f>
        <v>0</v>
      </c>
      <c r="AM56" s="26">
        <f>COUNTIF(Février[[#This Row],[1]:[29]],"AT")</f>
        <v>0</v>
      </c>
      <c r="AN56" s="84">
        <f>IF(AND(Février[[#This Row],[Maladie]]=0,Février[[#This Row],[AT]]=0),((10*(_xlfn.DAYS("28/02/2018","01/02/2018")+1))/365),((_xlfn.DAYS("28/02/2018","01/02/2018")+1-(Février[[#This Row],[Maladie]]+Février[[#This Row],[AT]]))*((10*(_xlfn.DAYS("28/02/2018","01/02/2018")+1))/365))/(_xlfn.DAYS("28/02/2018","01/02/2018")+1))</f>
        <v>0.76712328767123283</v>
      </c>
    </row>
    <row r="57" spans="1:40" x14ac:dyDescent="0.2">
      <c r="A57" s="1"/>
    </row>
  </sheetData>
  <mergeCells count="6">
    <mergeCell ref="F5:AI5"/>
    <mergeCell ref="G3:H3"/>
    <mergeCell ref="J3:K3"/>
    <mergeCell ref="U3:V3"/>
    <mergeCell ref="AC3:AD3"/>
    <mergeCell ref="AH3:AI3"/>
  </mergeCells>
  <conditionalFormatting sqref="AH7">
    <cfRule type="expression" dxfId="182" priority="24">
      <formula>MONTH(DATE(AnnéeCalendrier,2,29))&lt;&gt;2</formula>
    </cfRule>
  </conditionalFormatting>
  <conditionalFormatting sqref="AJ8:AJ56">
    <cfRule type="dataBar" priority="32">
      <dataBar>
        <cfvo type="min"/>
        <cfvo type="formula" val="DATEDIF(DATE(calendaryear,2,1),DATE(calendaryear,3,1),&quot;d&quot;)"/>
        <color rgb="FFC3C79C"/>
      </dataBar>
      <extLst>
        <ext xmlns:x14="http://schemas.microsoft.com/office/spreadsheetml/2009/9/main" uri="{B025F937-C7B1-47D3-B67F-A62EFF666E3E}">
          <x14:id>{4F94D950-1DDF-427B-A7C0-23699DE816F6}</x14:id>
        </ext>
      </extLst>
    </cfRule>
  </conditionalFormatting>
  <conditionalFormatting sqref="AH8:AI56">
    <cfRule type="expression" dxfId="181" priority="17">
      <formula>AH8=""</formula>
    </cfRule>
    <cfRule type="expression" dxfId="180" priority="18">
      <formula>AH8=CléPersonnalisée2</formula>
    </cfRule>
    <cfRule type="expression" dxfId="179" priority="19">
      <formula>AH8=CléPersonnalisée1</formula>
    </cfRule>
    <cfRule type="expression" dxfId="178" priority="20">
      <formula>AH8=CléMaladie</formula>
    </cfRule>
    <cfRule type="expression" dxfId="177" priority="21">
      <formula>AH8=CléPersonnel</formula>
    </cfRule>
    <cfRule type="expression" dxfId="176" priority="22">
      <formula>AH8=CléCongé</formula>
    </cfRule>
  </conditionalFormatting>
  <conditionalFormatting sqref="F6:AG7">
    <cfRule type="expression" dxfId="175" priority="15" stopIfTrue="1">
      <formula>WEEKDAY(F$1)=7</formula>
    </cfRule>
    <cfRule type="expression" dxfId="174" priority="16" stopIfTrue="1">
      <formula>WEEKDAY(F$1)=1</formula>
    </cfRule>
  </conditionalFormatting>
  <conditionalFormatting sqref="F8:AG56">
    <cfRule type="expression" dxfId="173" priority="4">
      <formula>F8=CléPersonnalisée4</formula>
    </cfRule>
    <cfRule type="expression" dxfId="172" priority="5">
      <formula>F8=CléPersonnalisée5</formula>
    </cfRule>
    <cfRule type="expression" dxfId="171" priority="6">
      <formula>F8=CléPersonnalisée3</formula>
    </cfRule>
    <cfRule type="expression" dxfId="170" priority="7">
      <formula>F8=CléPersonnalisée2</formula>
    </cfRule>
    <cfRule type="expression" dxfId="169" priority="8">
      <formula>F8=CléPersonnalisée1</formula>
    </cfRule>
    <cfRule type="expression" dxfId="168" priority="9">
      <formula>F8=CléMaladie</formula>
    </cfRule>
    <cfRule type="expression" dxfId="167" priority="10">
      <formula>F8=CléPersonnel</formula>
    </cfRule>
    <cfRule type="expression" dxfId="166" priority="11" stopIfTrue="1">
      <formula>F8=CléCongé</formula>
    </cfRule>
    <cfRule type="expression" dxfId="165" priority="12" stopIfTrue="1">
      <formula>F8=CléDemiCongés</formula>
    </cfRule>
    <cfRule type="expression" dxfId="164" priority="13">
      <formula>F8=""</formula>
    </cfRule>
  </conditionalFormatting>
  <conditionalFormatting sqref="F8:AG56">
    <cfRule type="expression" dxfId="163" priority="2" stopIfTrue="1">
      <formula>WEEKDAY(F$1)=7</formula>
    </cfRule>
    <cfRule type="expression" dxfId="162"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J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ignoredErrors>
    <ignoredError sqref="AI8:AI56" calculatedColumn="1"/>
  </ignoredErrors>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4F94D950-1DDF-427B-A7C0-23699DE816F6}">
            <x14:dataBar>
              <x14:cfvo type="autoMin"/>
              <x14:cfvo type="formula">
                <xm:f>DATEDIF(DATE(calendaryear,2,1),DATE(calendaryear,3,1),"d")</xm:f>
              </x14:cfvo>
              <x14:negativeFillColor rgb="FFFF0000"/>
              <x14:axisColor rgb="FF000000"/>
            </x14:dataBar>
          </x14:cfRule>
          <xm:sqref>AJ8:AJ56</xm:sqref>
        </x14:conditionalFormatting>
        <x14:conditionalFormatting xmlns:xm="http://schemas.microsoft.com/office/excel/2006/main">
          <x14:cfRule type="expression" priority="1" stopIfTrue="1" id="{B64987AB-1FE2-5144-893A-3618011D33A5}">
            <xm:f>F$1=VLOOKUP(F$1,JFériés!$D$1:$D$11,1,FALSE)</xm:f>
            <x14:dxf>
              <font>
                <color theme="1"/>
              </font>
              <fill>
                <patternFill>
                  <bgColor theme="5" tint="0.59996337778862885"/>
                </patternFill>
              </fill>
            </x14:dxf>
          </x14:cfRule>
          <xm:sqref>F8:AG56</xm:sqref>
        </x14:conditionalFormatting>
        <x14:conditionalFormatting xmlns:xm="http://schemas.microsoft.com/office/excel/2006/main">
          <x14:cfRule type="expression" priority="14" stopIfTrue="1" id="{B6B539DD-7CD0-FD4C-AF5E-1B247F2BF40F}">
            <xm:f>F$1=VLOOKUP(F$1,JFériés!$D$1:$D$11,1,FALSE)</xm:f>
            <x14:dxf>
              <font>
                <color theme="1"/>
              </font>
              <fill>
                <patternFill>
                  <bgColor theme="5" tint="0.59996337778862885"/>
                </patternFill>
              </fill>
            </x14:dxf>
          </x14:cfRule>
          <xm:sqref>F6:AG7</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5" enableFormatConditionsCalculation="0">
    <tabColor rgb="FF919756"/>
    <pageSetUpPr fitToPage="1"/>
  </sheetPr>
  <dimension ref="A1:AO57"/>
  <sheetViews>
    <sheetView showGridLines="0" topLeftCell="A36" zoomScale="95" zoomScaleNormal="95" zoomScalePageLayoutView="95" workbookViewId="0">
      <selection activeCell="A17" sqref="A17:XFD17"/>
    </sheetView>
  </sheetViews>
  <sheetFormatPr baseColWidth="10" defaultColWidth="8.83203125" defaultRowHeight="15" x14ac:dyDescent="0.2"/>
  <cols>
    <col min="1" max="1" width="9" customWidth="1"/>
    <col min="2" max="4" width="25.6640625" style="1" customWidth="1"/>
    <col min="5" max="5" width="5.83203125" style="1" bestFit="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65" customHeight="1" x14ac:dyDescent="0.2">
      <c r="F1" s="62">
        <f>DATE(AnnéeCalendrier,3,1)</f>
        <v>43160</v>
      </c>
      <c r="G1" s="62">
        <f>DATE(AnnéeCalendrier,3,2)</f>
        <v>43161</v>
      </c>
      <c r="H1" s="62">
        <f>DATE(AnnéeCalendrier,3,3)</f>
        <v>43162</v>
      </c>
      <c r="I1" s="62">
        <f>DATE(AnnéeCalendrier,3,4)</f>
        <v>43163</v>
      </c>
      <c r="J1" s="62">
        <f>DATE(AnnéeCalendrier,3,5)</f>
        <v>43164</v>
      </c>
      <c r="K1" s="62">
        <f>DATE(AnnéeCalendrier,3,6)</f>
        <v>43165</v>
      </c>
      <c r="L1" s="62">
        <f>DATE(AnnéeCalendrier,3,7)</f>
        <v>43166</v>
      </c>
      <c r="M1" s="62">
        <f>DATE(AnnéeCalendrier,3,8)</f>
        <v>43167</v>
      </c>
      <c r="N1" s="62">
        <f>DATE(AnnéeCalendrier,3,9)</f>
        <v>43168</v>
      </c>
      <c r="O1" s="62">
        <f>DATE(AnnéeCalendrier,3,10)</f>
        <v>43169</v>
      </c>
      <c r="P1" s="62">
        <f>DATE(AnnéeCalendrier,3,11)</f>
        <v>43170</v>
      </c>
      <c r="Q1" s="62">
        <f>DATE(AnnéeCalendrier,3,12)</f>
        <v>43171</v>
      </c>
      <c r="R1" s="62">
        <f>DATE(AnnéeCalendrier,3,13)</f>
        <v>43172</v>
      </c>
      <c r="S1" s="62">
        <f>DATE(AnnéeCalendrier,3,14)</f>
        <v>43173</v>
      </c>
      <c r="T1" s="62">
        <f>DATE(AnnéeCalendrier,3,15)</f>
        <v>43174</v>
      </c>
      <c r="U1" s="62">
        <f>DATE(AnnéeCalendrier,3,16)</f>
        <v>43175</v>
      </c>
      <c r="V1" s="62">
        <f>DATE(AnnéeCalendrier,3,17)</f>
        <v>43176</v>
      </c>
      <c r="W1" s="62">
        <f>DATE(AnnéeCalendrier,3,18)</f>
        <v>43177</v>
      </c>
      <c r="X1" s="62">
        <f>DATE(AnnéeCalendrier,3,19)</f>
        <v>43178</v>
      </c>
      <c r="Y1" s="62">
        <f>DATE(AnnéeCalendrier,3,20)</f>
        <v>43179</v>
      </c>
      <c r="Z1" s="62">
        <f>DATE(AnnéeCalendrier,3,21)</f>
        <v>43180</v>
      </c>
      <c r="AA1" s="62">
        <f>DATE(AnnéeCalendrier,3,22)</f>
        <v>43181</v>
      </c>
      <c r="AB1" s="62">
        <f>DATE(AnnéeCalendrier,3,23)</f>
        <v>43182</v>
      </c>
      <c r="AC1" s="62">
        <f>DATE(AnnéeCalendrier,3,24)</f>
        <v>43183</v>
      </c>
      <c r="AD1" s="62">
        <f>DATE(AnnéeCalendrier,3,25)</f>
        <v>43184</v>
      </c>
      <c r="AE1" s="62">
        <f>DATE(AnnéeCalendrier,3,26)</f>
        <v>43185</v>
      </c>
      <c r="AF1" s="62">
        <f>DATE(AnnéeCalendrier,3,27)</f>
        <v>43186</v>
      </c>
      <c r="AG1" s="62">
        <f>DATE(AnnéeCalendrier,3,28)</f>
        <v>43187</v>
      </c>
      <c r="AH1" s="62">
        <f>DATE(AnnéeCalendrier,3,29)</f>
        <v>43188</v>
      </c>
      <c r="AI1" s="62">
        <f>DATE(AnnéeCalendrier,3,30)</f>
        <v>43189</v>
      </c>
      <c r="AJ1" s="62">
        <f>DATE(AnnéeCalendrier,3,31)</f>
        <v>43190</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47</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1"/>
      <c r="AJ5" s="69"/>
      <c r="AK5" s="10"/>
    </row>
    <row r="6" spans="1:41" ht="15" customHeight="1" x14ac:dyDescent="0.2">
      <c r="A6" s="1"/>
      <c r="B6" s="10"/>
      <c r="C6" s="10"/>
      <c r="D6" s="10"/>
      <c r="E6" s="10"/>
      <c r="F6" s="45" t="str">
        <f>TEXT(WEEKDAY(DATE(AnnéeCalendrier,3,1),1),"jjj")</f>
        <v>jeu</v>
      </c>
      <c r="G6" s="35" t="str">
        <f>TEXT(WEEKDAY(DATE(AnnéeCalendrier,3,2),1),"jjj")</f>
        <v>ven</v>
      </c>
      <c r="H6" s="35" t="str">
        <f>TEXT(WEEKDAY(DATE(AnnéeCalendrier,3,3),1),"jjj")</f>
        <v>sam</v>
      </c>
      <c r="I6" s="35" t="str">
        <f>TEXT(WEEKDAY(DATE(AnnéeCalendrier,3,4),1),"jjj")</f>
        <v>dim</v>
      </c>
      <c r="J6" s="35" t="str">
        <f>TEXT(WEEKDAY(DATE(AnnéeCalendrier,3,5),1),"jjj")</f>
        <v>lun</v>
      </c>
      <c r="K6" s="35" t="str">
        <f>TEXT(WEEKDAY(DATE(AnnéeCalendrier,3,6),1),"jjj")</f>
        <v>mar</v>
      </c>
      <c r="L6" s="35" t="str">
        <f>TEXT(WEEKDAY(DATE(AnnéeCalendrier,3,7),1),"jjj")</f>
        <v>mer</v>
      </c>
      <c r="M6" s="35" t="str">
        <f>TEXT(WEEKDAY(DATE(AnnéeCalendrier,3,8),1),"jjj")</f>
        <v>jeu</v>
      </c>
      <c r="N6" s="35" t="str">
        <f>TEXT(WEEKDAY(DATE(AnnéeCalendrier,3,9),1),"jjj")</f>
        <v>ven</v>
      </c>
      <c r="O6" s="35" t="str">
        <f>TEXT(WEEKDAY(DATE(AnnéeCalendrier,3,10),1),"jjj")</f>
        <v>sam</v>
      </c>
      <c r="P6" s="35" t="str">
        <f>TEXT(WEEKDAY(DATE(AnnéeCalendrier,3,11),1),"jjj")</f>
        <v>dim</v>
      </c>
      <c r="Q6" s="35" t="str">
        <f>TEXT(WEEKDAY(DATE(AnnéeCalendrier,3,12),1),"jjj")</f>
        <v>lun</v>
      </c>
      <c r="R6" s="35" t="str">
        <f>TEXT(WEEKDAY(DATE(AnnéeCalendrier,3,13),1),"jjj")</f>
        <v>mar</v>
      </c>
      <c r="S6" s="35" t="str">
        <f>TEXT(WEEKDAY(DATE(AnnéeCalendrier,3,14),1),"jjj")</f>
        <v>mer</v>
      </c>
      <c r="T6" s="35" t="str">
        <f>TEXT(WEEKDAY(DATE(AnnéeCalendrier,3,15),1),"jjj")</f>
        <v>jeu</v>
      </c>
      <c r="U6" s="35" t="str">
        <f>TEXT(WEEKDAY(DATE(AnnéeCalendrier,3,16),1),"jjj")</f>
        <v>ven</v>
      </c>
      <c r="V6" s="35" t="str">
        <f>TEXT(WEEKDAY(DATE(AnnéeCalendrier,3,17),1),"jjj")</f>
        <v>sam</v>
      </c>
      <c r="W6" s="35" t="str">
        <f>TEXT(WEEKDAY(DATE(AnnéeCalendrier,3,18),1),"jjj")</f>
        <v>dim</v>
      </c>
      <c r="X6" s="35" t="str">
        <f>TEXT(WEEKDAY(DATE(AnnéeCalendrier,3,19),1),"jjj")</f>
        <v>lun</v>
      </c>
      <c r="Y6" s="35" t="str">
        <f>TEXT(WEEKDAY(DATE(AnnéeCalendrier,3,20),1),"jjj")</f>
        <v>mar</v>
      </c>
      <c r="Z6" s="35" t="str">
        <f>TEXT(WEEKDAY(DATE(AnnéeCalendrier,3,21),1),"jjj")</f>
        <v>mer</v>
      </c>
      <c r="AA6" s="35" t="str">
        <f>TEXT(WEEKDAY(DATE(AnnéeCalendrier,3,22),1),"jjj")</f>
        <v>jeu</v>
      </c>
      <c r="AB6" s="35" t="str">
        <f>TEXT(WEEKDAY(DATE(AnnéeCalendrier,3,23),1),"jjj")</f>
        <v>ven</v>
      </c>
      <c r="AC6" s="35" t="str">
        <f>TEXT(WEEKDAY(DATE(AnnéeCalendrier,3,24),1),"jjj")</f>
        <v>sam</v>
      </c>
      <c r="AD6" s="35" t="str">
        <f>TEXT(WEEKDAY(DATE(AnnéeCalendrier,3,25),1),"jjj")</f>
        <v>dim</v>
      </c>
      <c r="AE6" s="35" t="str">
        <f>TEXT(WEEKDAY(DATE(AnnéeCalendrier,3,26),1),"jjj")</f>
        <v>lun</v>
      </c>
      <c r="AF6" s="35" t="str">
        <f>TEXT(WEEKDAY(DATE(AnnéeCalendrier,3,27),1),"jjj")</f>
        <v>mar</v>
      </c>
      <c r="AG6" s="35" t="str">
        <f>TEXT(WEEKDAY(DATE(AnnéeCalendrier,3,28),1),"jjj")</f>
        <v>mer</v>
      </c>
      <c r="AH6" s="35" t="str">
        <f>TEXT(WEEKDAY(DATE(AnnéeCalendrier,3,29),1),"jjj")</f>
        <v>jeu</v>
      </c>
      <c r="AI6" s="35" t="str">
        <f>TEXT(WEEKDAY(DATE(AnnéeCalendrier,3,30),1),"jjj")</f>
        <v>ven</v>
      </c>
      <c r="AJ6" s="46" t="str">
        <f>TEXT(WEEKDAY(DATE(AnnéeCalendrier,3,31),1),"jjj")</f>
        <v>sam</v>
      </c>
      <c r="AK6" s="10"/>
    </row>
    <row r="7" spans="1:41" ht="15" customHeight="1" thickBot="1" x14ac:dyDescent="0.25">
      <c r="A7" s="36" t="s">
        <v>63</v>
      </c>
      <c r="B7" s="36" t="s">
        <v>128</v>
      </c>
      <c r="C7" s="36" t="s">
        <v>129</v>
      </c>
      <c r="D7" s="36" t="s">
        <v>13</v>
      </c>
      <c r="E7" s="43" t="s">
        <v>113</v>
      </c>
      <c r="F7" s="76" t="s">
        <v>14</v>
      </c>
      <c r="G7" s="75" t="s">
        <v>15</v>
      </c>
      <c r="H7" s="75" t="s">
        <v>16</v>
      </c>
      <c r="I7" s="75" t="s">
        <v>17</v>
      </c>
      <c r="J7" s="75" t="s">
        <v>18</v>
      </c>
      <c r="K7" s="75" t="s">
        <v>19</v>
      </c>
      <c r="L7" s="75" t="s">
        <v>20</v>
      </c>
      <c r="M7" s="75" t="s">
        <v>21</v>
      </c>
      <c r="N7" s="75" t="s">
        <v>22</v>
      </c>
      <c r="O7" s="75" t="s">
        <v>23</v>
      </c>
      <c r="P7" s="75" t="s">
        <v>24</v>
      </c>
      <c r="Q7" s="75" t="s">
        <v>25</v>
      </c>
      <c r="R7" s="75" t="s">
        <v>26</v>
      </c>
      <c r="S7" s="75" t="s">
        <v>27</v>
      </c>
      <c r="T7" s="75" t="s">
        <v>28</v>
      </c>
      <c r="U7" s="75" t="s">
        <v>29</v>
      </c>
      <c r="V7" s="75" t="s">
        <v>30</v>
      </c>
      <c r="W7" s="75" t="s">
        <v>31</v>
      </c>
      <c r="X7" s="75" t="s">
        <v>32</v>
      </c>
      <c r="Y7" s="75" t="s">
        <v>33</v>
      </c>
      <c r="Z7" s="75" t="s">
        <v>34</v>
      </c>
      <c r="AA7" s="75" t="s">
        <v>35</v>
      </c>
      <c r="AB7" s="75" t="s">
        <v>36</v>
      </c>
      <c r="AC7" s="75" t="s">
        <v>37</v>
      </c>
      <c r="AD7" s="75" t="s">
        <v>38</v>
      </c>
      <c r="AE7" s="75" t="s">
        <v>39</v>
      </c>
      <c r="AF7" s="75" t="s">
        <v>40</v>
      </c>
      <c r="AG7" s="75" t="s">
        <v>41</v>
      </c>
      <c r="AH7" s="75" t="s">
        <v>42</v>
      </c>
      <c r="AI7" s="75" t="s">
        <v>43</v>
      </c>
      <c r="AJ7" s="77"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Global!BM8</f>
        <v/>
      </c>
      <c r="G8" s="79" t="str">
        <f>Global!BN8</f>
        <v/>
      </c>
      <c r="H8" s="79" t="str">
        <f>Global!BO8</f>
        <v/>
      </c>
      <c r="I8" s="79" t="str">
        <f>Global!BP8</f>
        <v/>
      </c>
      <c r="J8" s="79" t="str">
        <f>Global!BQ8</f>
        <v/>
      </c>
      <c r="K8" s="79" t="str">
        <f>Global!BR8</f>
        <v/>
      </c>
      <c r="L8" s="79" t="str">
        <f>Global!BS8</f>
        <v/>
      </c>
      <c r="M8" s="79" t="str">
        <f>Global!BT8</f>
        <v/>
      </c>
      <c r="N8" s="79" t="str">
        <f>Global!BU8</f>
        <v/>
      </c>
      <c r="O8" s="79" t="str">
        <f>Global!BV8</f>
        <v/>
      </c>
      <c r="P8" s="79" t="str">
        <f>Global!BW8</f>
        <v/>
      </c>
      <c r="Q8" s="79" t="str">
        <f>Global!BX8</f>
        <v/>
      </c>
      <c r="R8" s="79" t="str">
        <f>Global!BY8</f>
        <v/>
      </c>
      <c r="S8" s="79" t="str">
        <f>Global!BZ8</f>
        <v/>
      </c>
      <c r="T8" s="79" t="str">
        <f>Global!CA8</f>
        <v/>
      </c>
      <c r="U8" s="79" t="str">
        <f>Global!CB8</f>
        <v>C</v>
      </c>
      <c r="V8" s="79" t="str">
        <f>Global!CC8</f>
        <v/>
      </c>
      <c r="W8" s="79" t="str">
        <f>Global!CD8</f>
        <v/>
      </c>
      <c r="X8" s="79" t="str">
        <f>Global!CE8</f>
        <v/>
      </c>
      <c r="Y8" s="79" t="str">
        <f>Global!CF8</f>
        <v/>
      </c>
      <c r="Z8" s="79" t="str">
        <f>Global!CG8</f>
        <v/>
      </c>
      <c r="AA8" s="79" t="str">
        <f>Global!CH8</f>
        <v/>
      </c>
      <c r="AB8" s="79" t="str">
        <f>Global!CI8</f>
        <v/>
      </c>
      <c r="AC8" s="79" t="str">
        <f>Global!CJ8</f>
        <v/>
      </c>
      <c r="AD8" s="79" t="str">
        <f>Global!CK8</f>
        <v/>
      </c>
      <c r="AE8" s="79" t="str">
        <f>Global!CL8</f>
        <v/>
      </c>
      <c r="AF8" s="79" t="str">
        <f>Global!CM8</f>
        <v/>
      </c>
      <c r="AG8" s="79" t="str">
        <f>Global!CN8</f>
        <v/>
      </c>
      <c r="AH8" s="79" t="str">
        <f>Global!CO8</f>
        <v/>
      </c>
      <c r="AI8" s="79" t="str">
        <f>Global!CP8</f>
        <v/>
      </c>
      <c r="AJ8" s="80" t="str">
        <f>Global!CQ8</f>
        <v/>
      </c>
      <c r="AK8" s="108">
        <f>COUNTIF(Mars[[#This Row],[1]:[31]],"RTT")+(COUNTIF(Mars[[#This Row],[1]:[31]],"dRTT")/2)</f>
        <v>0</v>
      </c>
      <c r="AL8" s="109">
        <f>COUNTIF(Mars[[#This Row],[1]:[31]],"C")+(COUNTIF(Mars[[#This Row],[1]:[31]],"DC")/2)</f>
        <v>1</v>
      </c>
      <c r="AM8" s="22">
        <f>COUNTIF(Mars[[#This Row],[1]:[31]],"M")</f>
        <v>0</v>
      </c>
      <c r="AN8" s="22">
        <f>COUNTIF(Mars[[#This Row],[1]:[31]],"AT")</f>
        <v>0</v>
      </c>
      <c r="AO8" s="84">
        <f>IF(AND(Mars[[#This Row],[Maladie]]=0,Mars[[#This Row],[AT]]=0),((10*(_xlfn.DAYS("31/03/2018","01/03/2018")+1))/365),((_xlfn.DAYS("31/03/2018","01/03/2018")+1-(Mars[[#This Row],[Maladie]]+Mars[[#This Row],[AT]]))*((10*(_xlfn.DAYS("31/03/2018","01/03/2018")+1))/365))/(_xlfn.DAYS("31/03/2018","01/03/2018")+1))</f>
        <v>0.84931506849315064</v>
      </c>
    </row>
    <row r="9" spans="1:41" ht="30" customHeight="1" x14ac:dyDescent="0.2">
      <c r="A9" s="13" t="s">
        <v>65</v>
      </c>
      <c r="B9" s="22" t="s">
        <v>130</v>
      </c>
      <c r="C9" s="22" t="s">
        <v>133</v>
      </c>
      <c r="D9" s="22" t="s">
        <v>134</v>
      </c>
      <c r="E9" s="44">
        <v>0</v>
      </c>
      <c r="F9" s="47" t="str">
        <f>Global!BM9</f>
        <v/>
      </c>
      <c r="G9" s="31" t="str">
        <f>Global!BN9</f>
        <v/>
      </c>
      <c r="H9" s="31" t="str">
        <f>Global!BO9</f>
        <v/>
      </c>
      <c r="I9" s="31" t="str">
        <f>Global!BP9</f>
        <v/>
      </c>
      <c r="J9" s="31" t="str">
        <f>Global!BQ9</f>
        <v/>
      </c>
      <c r="K9" s="31" t="str">
        <f>Global!BR9</f>
        <v/>
      </c>
      <c r="L9" s="31" t="str">
        <f>Global!BS9</f>
        <v/>
      </c>
      <c r="M9" s="31" t="str">
        <f>Global!BT9</f>
        <v/>
      </c>
      <c r="N9" s="31" t="str">
        <f>Global!BU9</f>
        <v/>
      </c>
      <c r="O9" s="31" t="str">
        <f>Global!BV9</f>
        <v/>
      </c>
      <c r="P9" s="31" t="str">
        <f>Global!BW9</f>
        <v/>
      </c>
      <c r="Q9" s="31" t="str">
        <f>Global!BX9</f>
        <v/>
      </c>
      <c r="R9" s="31" t="str">
        <f>Global!BY9</f>
        <v/>
      </c>
      <c r="S9" s="31" t="str">
        <f>Global!BZ9</f>
        <v/>
      </c>
      <c r="T9" s="31" t="str">
        <f>Global!CA9</f>
        <v/>
      </c>
      <c r="U9" s="31" t="str">
        <f>Global!CB9</f>
        <v/>
      </c>
      <c r="V9" s="31" t="str">
        <f>Global!CC9</f>
        <v/>
      </c>
      <c r="W9" s="31" t="str">
        <f>Global!CD9</f>
        <v/>
      </c>
      <c r="X9" s="31" t="str">
        <f>Global!CE9</f>
        <v/>
      </c>
      <c r="Y9" s="31" t="str">
        <f>Global!CF9</f>
        <v/>
      </c>
      <c r="Z9" s="31" t="str">
        <f>Global!CG9</f>
        <v/>
      </c>
      <c r="AA9" s="31" t="str">
        <f>Global!CH9</f>
        <v/>
      </c>
      <c r="AB9" s="31" t="str">
        <f>Global!CI9</f>
        <v/>
      </c>
      <c r="AC9" s="31" t="str">
        <f>Global!CJ9</f>
        <v/>
      </c>
      <c r="AD9" s="31" t="str">
        <f>Global!CK9</f>
        <v/>
      </c>
      <c r="AE9" s="31" t="str">
        <f>Global!CL9</f>
        <v/>
      </c>
      <c r="AF9" s="31" t="str">
        <f>Global!CM9</f>
        <v/>
      </c>
      <c r="AG9" s="31" t="str">
        <f>Global!CN9</f>
        <v/>
      </c>
      <c r="AH9" s="31" t="str">
        <f>Global!CO9</f>
        <v/>
      </c>
      <c r="AI9" s="31" t="str">
        <f>Global!CP9</f>
        <v/>
      </c>
      <c r="AJ9" s="48" t="str">
        <f>Global!CQ9</f>
        <v/>
      </c>
      <c r="AK9" s="108">
        <f>COUNTIF(Mars[[#This Row],[1]:[31]],"RTT")+(COUNTIF(Mars[[#This Row],[1]:[31]],"dRTT")/2)</f>
        <v>0</v>
      </c>
      <c r="AL9" s="109">
        <f>COUNTIF(Mars[[#This Row],[1]:[31]],"C")+(COUNTIF(Mars[[#This Row],[1]:[31]],"DC")/2)</f>
        <v>0</v>
      </c>
      <c r="AM9" s="22">
        <f>COUNTIF(Mars[[#This Row],[1]:[31]],"M")</f>
        <v>0</v>
      </c>
      <c r="AN9" s="22">
        <f>COUNTIF(Mars[[#This Row],[1]:[31]],"AT")</f>
        <v>0</v>
      </c>
      <c r="AO9" s="84">
        <f>IF(AND(Mars[[#This Row],[Maladie]]=0,Mars[[#This Row],[AT]]=0),((10*(_xlfn.DAYS("31/03/2018","01/03/2018")+1))/365),((_xlfn.DAYS("31/03/2018","01/03/2018")+1-(Mars[[#This Row],[Maladie]]+Mars[[#This Row],[AT]]))*((10*(_xlfn.DAYS("31/03/2018","01/03/2018")+1))/365))/(_xlfn.DAYS("31/03/2018","01/03/2018")+1))</f>
        <v>0.84931506849315064</v>
      </c>
    </row>
    <row r="10" spans="1:41" ht="30" customHeight="1" x14ac:dyDescent="0.2">
      <c r="A10" s="14" t="s">
        <v>66</v>
      </c>
      <c r="B10" s="22" t="s">
        <v>135</v>
      </c>
      <c r="C10" s="22" t="s">
        <v>136</v>
      </c>
      <c r="D10" s="22" t="s">
        <v>137</v>
      </c>
      <c r="E10" s="44">
        <v>0</v>
      </c>
      <c r="F10" s="47" t="str">
        <f>Global!BM10</f>
        <v/>
      </c>
      <c r="G10" s="31" t="str">
        <f>Global!BN10</f>
        <v/>
      </c>
      <c r="H10" s="31" t="str">
        <f>Global!BO10</f>
        <v/>
      </c>
      <c r="I10" s="31" t="str">
        <f>Global!BP10</f>
        <v/>
      </c>
      <c r="J10" s="31" t="str">
        <f>Global!BQ10</f>
        <v/>
      </c>
      <c r="K10" s="31" t="str">
        <f>Global!BR10</f>
        <v/>
      </c>
      <c r="L10" s="31" t="str">
        <f>Global!BS10</f>
        <v/>
      </c>
      <c r="M10" s="31" t="str">
        <f>Global!BT10</f>
        <v/>
      </c>
      <c r="N10" s="31" t="str">
        <f>Global!BU10</f>
        <v/>
      </c>
      <c r="O10" s="31" t="str">
        <f>Global!BV10</f>
        <v/>
      </c>
      <c r="P10" s="31" t="str">
        <f>Global!BW10</f>
        <v/>
      </c>
      <c r="Q10" s="31" t="str">
        <f>Global!BX10</f>
        <v/>
      </c>
      <c r="R10" s="31" t="str">
        <f>Global!BY10</f>
        <v/>
      </c>
      <c r="S10" s="31" t="str">
        <f>Global!BZ10</f>
        <v/>
      </c>
      <c r="T10" s="31" t="str">
        <f>Global!CA10</f>
        <v/>
      </c>
      <c r="U10" s="31" t="str">
        <f>Global!CB10</f>
        <v/>
      </c>
      <c r="V10" s="31" t="str">
        <f>Global!CC10</f>
        <v/>
      </c>
      <c r="W10" s="31" t="str">
        <f>Global!CD10</f>
        <v/>
      </c>
      <c r="X10" s="31" t="str">
        <f>Global!CE10</f>
        <v/>
      </c>
      <c r="Y10" s="31" t="str">
        <f>Global!CF10</f>
        <v/>
      </c>
      <c r="Z10" s="31" t="str">
        <f>Global!CG10</f>
        <v/>
      </c>
      <c r="AA10" s="31" t="str">
        <f>Global!CH10</f>
        <v/>
      </c>
      <c r="AB10" s="31" t="str">
        <f>Global!CI10</f>
        <v/>
      </c>
      <c r="AC10" s="31" t="str">
        <f>Global!CJ10</f>
        <v/>
      </c>
      <c r="AD10" s="31" t="str">
        <f>Global!CK10</f>
        <v/>
      </c>
      <c r="AE10" s="31" t="str">
        <f>Global!CL10</f>
        <v/>
      </c>
      <c r="AF10" s="31" t="str">
        <f>Global!CM10</f>
        <v/>
      </c>
      <c r="AG10" s="31" t="str">
        <f>Global!CN10</f>
        <v/>
      </c>
      <c r="AH10" s="31" t="str">
        <f>Global!CO10</f>
        <v/>
      </c>
      <c r="AI10" s="31" t="str">
        <f>Global!CP10</f>
        <v/>
      </c>
      <c r="AJ10" s="48" t="str">
        <f>Global!CQ10</f>
        <v/>
      </c>
      <c r="AK10" s="108">
        <f>COUNTIF(Mars[[#This Row],[1]:[31]],"RTT")+(COUNTIF(Mars[[#This Row],[1]:[31]],"dRTT")/2)</f>
        <v>0</v>
      </c>
      <c r="AL10" s="109">
        <f>COUNTIF(Mars[[#This Row],[1]:[31]],"C")+(COUNTIF(Mars[[#This Row],[1]:[31]],"DC")/2)</f>
        <v>0</v>
      </c>
      <c r="AM10" s="22">
        <f>COUNTIF(Mars[[#This Row],[1]:[31]],"M")</f>
        <v>0</v>
      </c>
      <c r="AN10" s="22">
        <f>COUNTIF(Mars[[#This Row],[1]:[31]],"AT")</f>
        <v>0</v>
      </c>
      <c r="AO10" s="84">
        <f>IF(AND(Mars[[#This Row],[Maladie]]=0,Mars[[#This Row],[AT]]=0),((10*(_xlfn.DAYS("31/03/2018","01/03/2018")+1))/365),((_xlfn.DAYS("31/03/2018","01/03/2018")+1-(Mars[[#This Row],[Maladie]]+Mars[[#This Row],[AT]]))*((10*(_xlfn.DAYS("31/03/2018","01/03/2018")+1))/365))/(_xlfn.DAYS("31/03/2018","01/03/2018")+1))</f>
        <v>0.84931506849315064</v>
      </c>
    </row>
    <row r="11" spans="1:41" ht="30" customHeight="1" x14ac:dyDescent="0.2">
      <c r="A11" s="15" t="s">
        <v>67</v>
      </c>
      <c r="B11" s="22" t="s">
        <v>138</v>
      </c>
      <c r="C11" s="22" t="s">
        <v>139</v>
      </c>
      <c r="D11" s="22" t="s">
        <v>140</v>
      </c>
      <c r="E11" s="44">
        <v>0</v>
      </c>
      <c r="F11" s="47" t="str">
        <f>Global!BM11</f>
        <v/>
      </c>
      <c r="G11" s="31" t="str">
        <f>Global!BN11</f>
        <v/>
      </c>
      <c r="H11" s="31" t="str">
        <f>Global!BO11</f>
        <v/>
      </c>
      <c r="I11" s="31" t="str">
        <f>Global!BP11</f>
        <v/>
      </c>
      <c r="J11" s="31" t="str">
        <f>Global!BQ11</f>
        <v/>
      </c>
      <c r="K11" s="31" t="str">
        <f>Global!BR11</f>
        <v/>
      </c>
      <c r="L11" s="31" t="str">
        <f>Global!BS11</f>
        <v/>
      </c>
      <c r="M11" s="31" t="str">
        <f>Global!BT11</f>
        <v/>
      </c>
      <c r="N11" s="31" t="str">
        <f>Global!BU11</f>
        <v/>
      </c>
      <c r="O11" s="31" t="str">
        <f>Global!BV11</f>
        <v/>
      </c>
      <c r="P11" s="31" t="str">
        <f>Global!BW11</f>
        <v/>
      </c>
      <c r="Q11" s="31" t="str">
        <f>Global!BX11</f>
        <v>RTT</v>
      </c>
      <c r="R11" s="31" t="str">
        <f>Global!BY11</f>
        <v/>
      </c>
      <c r="S11" s="31" t="str">
        <f>Global!BZ11</f>
        <v/>
      </c>
      <c r="T11" s="31" t="str">
        <f>Global!CA11</f>
        <v/>
      </c>
      <c r="U11" s="31" t="str">
        <f>Global!CB11</f>
        <v/>
      </c>
      <c r="V11" s="31" t="str">
        <f>Global!CC11</f>
        <v/>
      </c>
      <c r="W11" s="31" t="str">
        <f>Global!CD11</f>
        <v/>
      </c>
      <c r="X11" s="31" t="str">
        <f>Global!CE11</f>
        <v/>
      </c>
      <c r="Y11" s="31" t="str">
        <f>Global!CF11</f>
        <v/>
      </c>
      <c r="Z11" s="31" t="str">
        <f>Global!CG11</f>
        <v/>
      </c>
      <c r="AA11" s="31" t="str">
        <f>Global!CH11</f>
        <v/>
      </c>
      <c r="AB11" s="31" t="str">
        <f>Global!CI11</f>
        <v/>
      </c>
      <c r="AC11" s="31" t="str">
        <f>Global!CJ11</f>
        <v/>
      </c>
      <c r="AD11" s="31" t="str">
        <f>Global!CK11</f>
        <v/>
      </c>
      <c r="AE11" s="31" t="str">
        <f>Global!CL11</f>
        <v/>
      </c>
      <c r="AF11" s="31" t="str">
        <f>Global!CM11</f>
        <v/>
      </c>
      <c r="AG11" s="31" t="str">
        <f>Global!CN11</f>
        <v/>
      </c>
      <c r="AH11" s="31" t="str">
        <f>Global!CO11</f>
        <v/>
      </c>
      <c r="AI11" s="31" t="str">
        <f>Global!CP11</f>
        <v/>
      </c>
      <c r="AJ11" s="48" t="str">
        <f>Global!CQ11</f>
        <v/>
      </c>
      <c r="AK11" s="108">
        <f>COUNTIF(Mars[[#This Row],[1]:[31]],"RTT")+(COUNTIF(Mars[[#This Row],[1]:[31]],"dRTT")/2)</f>
        <v>1</v>
      </c>
      <c r="AL11" s="109">
        <f>COUNTIF(Mars[[#This Row],[1]:[31]],"C")+(COUNTIF(Mars[[#This Row],[1]:[31]],"DC")/2)</f>
        <v>0</v>
      </c>
      <c r="AM11" s="22">
        <f>COUNTIF(Mars[[#This Row],[1]:[31]],"M")</f>
        <v>0</v>
      </c>
      <c r="AN11" s="22">
        <f>COUNTIF(Mars[[#This Row],[1]:[31]],"AT")</f>
        <v>0</v>
      </c>
      <c r="AO11" s="84">
        <f>IF(AND(Mars[[#This Row],[Maladie]]=0,Mars[[#This Row],[AT]]=0),((10*(_xlfn.DAYS("31/03/2018","01/03/2018")+1))/365),((_xlfn.DAYS("31/03/2018","01/03/2018")+1-(Mars[[#This Row],[Maladie]]+Mars[[#This Row],[AT]]))*((10*(_xlfn.DAYS("31/03/2018","01/03/2018")+1))/365))/(_xlfn.DAYS("31/03/2018","01/03/2018")+1))</f>
        <v>0.84931506849315064</v>
      </c>
    </row>
    <row r="12" spans="1:41" ht="30" customHeight="1" x14ac:dyDescent="0.2">
      <c r="A12" s="15" t="s">
        <v>68</v>
      </c>
      <c r="B12" s="22" t="s">
        <v>141</v>
      </c>
      <c r="C12" s="22" t="s">
        <v>142</v>
      </c>
      <c r="D12" s="22" t="s">
        <v>143</v>
      </c>
      <c r="E12" s="44">
        <v>0</v>
      </c>
      <c r="F12" s="47" t="str">
        <f>Global!BM12</f>
        <v>C</v>
      </c>
      <c r="G12" s="31" t="str">
        <f>Global!BN12</f>
        <v/>
      </c>
      <c r="H12" s="31" t="str">
        <f>Global!BO12</f>
        <v/>
      </c>
      <c r="I12" s="31" t="str">
        <f>Global!BP12</f>
        <v/>
      </c>
      <c r="J12" s="31" t="str">
        <f>Global!BQ12</f>
        <v/>
      </c>
      <c r="K12" s="31" t="str">
        <f>Global!BR12</f>
        <v/>
      </c>
      <c r="L12" s="31" t="str">
        <f>Global!BS12</f>
        <v/>
      </c>
      <c r="M12" s="31" t="str">
        <f>Global!BT12</f>
        <v/>
      </c>
      <c r="N12" s="31" t="str">
        <f>Global!BU12</f>
        <v/>
      </c>
      <c r="O12" s="31" t="str">
        <f>Global!BV12</f>
        <v/>
      </c>
      <c r="P12" s="31" t="str">
        <f>Global!BW12</f>
        <v/>
      </c>
      <c r="Q12" s="31" t="str">
        <f>Global!BX12</f>
        <v/>
      </c>
      <c r="R12" s="31" t="str">
        <f>Global!BY12</f>
        <v/>
      </c>
      <c r="S12" s="31" t="str">
        <f>Global!BZ12</f>
        <v/>
      </c>
      <c r="T12" s="31" t="str">
        <f>Global!CA12</f>
        <v/>
      </c>
      <c r="U12" s="31" t="str">
        <f>Global!CB12</f>
        <v/>
      </c>
      <c r="V12" s="31" t="str">
        <f>Global!CC12</f>
        <v/>
      </c>
      <c r="W12" s="31" t="str">
        <f>Global!CD12</f>
        <v/>
      </c>
      <c r="X12" s="31" t="str">
        <f>Global!CE12</f>
        <v/>
      </c>
      <c r="Y12" s="31" t="str">
        <f>Global!CF12</f>
        <v/>
      </c>
      <c r="Z12" s="31" t="str">
        <f>Global!CG12</f>
        <v/>
      </c>
      <c r="AA12" s="31" t="str">
        <f>Global!CH12</f>
        <v/>
      </c>
      <c r="AB12" s="31" t="str">
        <f>Global!CI12</f>
        <v>C</v>
      </c>
      <c r="AC12" s="31" t="str">
        <f>Global!CJ12</f>
        <v/>
      </c>
      <c r="AD12" s="31" t="str">
        <f>Global!CK12</f>
        <v/>
      </c>
      <c r="AE12" s="31" t="str">
        <f>Global!CL12</f>
        <v>C</v>
      </c>
      <c r="AF12" s="31" t="str">
        <f>Global!CM12</f>
        <v>C</v>
      </c>
      <c r="AG12" s="31" t="str">
        <f>Global!CN12</f>
        <v>C</v>
      </c>
      <c r="AH12" s="31" t="str">
        <f>Global!CO12</f>
        <v>C</v>
      </c>
      <c r="AI12" s="31" t="str">
        <f>Global!CP12</f>
        <v>C</v>
      </c>
      <c r="AJ12" s="48" t="str">
        <f>Global!CQ12</f>
        <v/>
      </c>
      <c r="AK12" s="108">
        <f>COUNTIF(Mars[[#This Row],[1]:[31]],"RTT")+(COUNTIF(Mars[[#This Row],[1]:[31]],"dRTT")/2)</f>
        <v>0</v>
      </c>
      <c r="AL12" s="109">
        <f>COUNTIF(Mars[[#This Row],[1]:[31]],"C")+(COUNTIF(Mars[[#This Row],[1]:[31]],"DC")/2)</f>
        <v>7</v>
      </c>
      <c r="AM12" s="22">
        <f>COUNTIF(Mars[[#This Row],[1]:[31]],"M")</f>
        <v>0</v>
      </c>
      <c r="AN12" s="22">
        <f>COUNTIF(Mars[[#This Row],[1]:[31]],"AT")</f>
        <v>0</v>
      </c>
      <c r="AO12" s="84">
        <f>IF(AND(Mars[[#This Row],[Maladie]]=0,Mars[[#This Row],[AT]]=0),((10*(_xlfn.DAYS("31/03/2018","01/03/2018")+1))/365),((_xlfn.DAYS("31/03/2018","01/03/2018")+1-(Mars[[#This Row],[Maladie]]+Mars[[#This Row],[AT]]))*((10*(_xlfn.DAYS("31/03/2018","01/03/2018")+1))/365))/(_xlfn.DAYS("31/03/2018","01/03/2018")+1))</f>
        <v>0.84931506849315064</v>
      </c>
    </row>
    <row r="13" spans="1:41" ht="30" customHeight="1" x14ac:dyDescent="0.2">
      <c r="A13" s="13" t="s">
        <v>69</v>
      </c>
      <c r="B13" s="22" t="s">
        <v>144</v>
      </c>
      <c r="C13" s="22" t="s">
        <v>145</v>
      </c>
      <c r="D13" s="22" t="s">
        <v>146</v>
      </c>
      <c r="E13" s="44">
        <v>0</v>
      </c>
      <c r="F13" s="47" t="str">
        <f>Global!BM13</f>
        <v/>
      </c>
      <c r="G13" s="31" t="str">
        <f>Global!BN13</f>
        <v/>
      </c>
      <c r="H13" s="31" t="str">
        <f>Global!BO13</f>
        <v/>
      </c>
      <c r="I13" s="31" t="str">
        <f>Global!BP13</f>
        <v/>
      </c>
      <c r="J13" s="31" t="str">
        <f>Global!BQ13</f>
        <v/>
      </c>
      <c r="K13" s="31" t="str">
        <f>Global!BR13</f>
        <v/>
      </c>
      <c r="L13" s="31" t="str">
        <f>Global!BS13</f>
        <v/>
      </c>
      <c r="M13" s="31" t="str">
        <f>Global!BT13</f>
        <v/>
      </c>
      <c r="N13" s="31" t="str">
        <f>Global!BU13</f>
        <v/>
      </c>
      <c r="O13" s="31" t="str">
        <f>Global!BV13</f>
        <v/>
      </c>
      <c r="P13" s="31" t="str">
        <f>Global!BW13</f>
        <v/>
      </c>
      <c r="Q13" s="31" t="str">
        <f>Global!BX13</f>
        <v/>
      </c>
      <c r="R13" s="31" t="str">
        <f>Global!BY13</f>
        <v/>
      </c>
      <c r="S13" s="31" t="str">
        <f>Global!BZ13</f>
        <v/>
      </c>
      <c r="T13" s="31" t="str">
        <f>Global!CA13</f>
        <v/>
      </c>
      <c r="U13" s="31" t="str">
        <f>Global!CB13</f>
        <v/>
      </c>
      <c r="V13" s="31" t="str">
        <f>Global!CC13</f>
        <v/>
      </c>
      <c r="W13" s="31" t="str">
        <f>Global!CD13</f>
        <v/>
      </c>
      <c r="X13" s="31" t="str">
        <f>Global!CE13</f>
        <v/>
      </c>
      <c r="Y13" s="31" t="str">
        <f>Global!CF13</f>
        <v/>
      </c>
      <c r="Z13" s="31" t="str">
        <f>Global!CG13</f>
        <v/>
      </c>
      <c r="AA13" s="31" t="str">
        <f>Global!CH13</f>
        <v/>
      </c>
      <c r="AB13" s="31" t="str">
        <f>Global!CI13</f>
        <v/>
      </c>
      <c r="AC13" s="31" t="str">
        <f>Global!CJ13</f>
        <v/>
      </c>
      <c r="AD13" s="31" t="str">
        <f>Global!CK13</f>
        <v/>
      </c>
      <c r="AE13" s="31" t="str">
        <f>Global!CL13</f>
        <v/>
      </c>
      <c r="AF13" s="31" t="str">
        <f>Global!CM13</f>
        <v/>
      </c>
      <c r="AG13" s="31" t="str">
        <f>Global!CN13</f>
        <v/>
      </c>
      <c r="AH13" s="31" t="str">
        <f>Global!CO13</f>
        <v/>
      </c>
      <c r="AI13" s="31" t="str">
        <f>Global!CP13</f>
        <v/>
      </c>
      <c r="AJ13" s="48" t="str">
        <f>Global!CQ13</f>
        <v/>
      </c>
      <c r="AK13" s="108">
        <f>COUNTIF(Mars[[#This Row],[1]:[31]],"RTT")+(COUNTIF(Mars[[#This Row],[1]:[31]],"dRTT")/2)</f>
        <v>0</v>
      </c>
      <c r="AL13" s="109">
        <f>COUNTIF(Mars[[#This Row],[1]:[31]],"C")+(COUNTIF(Mars[[#This Row],[1]:[31]],"DC")/2)</f>
        <v>0</v>
      </c>
      <c r="AM13" s="22">
        <f>COUNTIF(Mars[[#This Row],[1]:[31]],"M")</f>
        <v>0</v>
      </c>
      <c r="AN13" s="22">
        <f>COUNTIF(Mars[[#This Row],[1]:[31]],"AT")</f>
        <v>0</v>
      </c>
      <c r="AO13" s="84">
        <f>IF(AND(Mars[[#This Row],[Maladie]]=0,Mars[[#This Row],[AT]]=0),((10*(_xlfn.DAYS("31/03/2018","01/03/2018")+1))/365),((_xlfn.DAYS("31/03/2018","01/03/2018")+1-(Mars[[#This Row],[Maladie]]+Mars[[#This Row],[AT]]))*((10*(_xlfn.DAYS("31/03/2018","01/03/2018")+1))/365))/(_xlfn.DAYS("31/03/2018","01/03/2018")+1))</f>
        <v>0.84931506849315064</v>
      </c>
    </row>
    <row r="14" spans="1:41" ht="30" customHeight="1" x14ac:dyDescent="0.2">
      <c r="A14" s="15" t="s">
        <v>70</v>
      </c>
      <c r="B14" s="22" t="s">
        <v>147</v>
      </c>
      <c r="C14" s="22" t="s">
        <v>148</v>
      </c>
      <c r="D14" s="22" t="s">
        <v>149</v>
      </c>
      <c r="E14" s="44">
        <v>0</v>
      </c>
      <c r="F14" s="47" t="str">
        <f>Global!BM14</f>
        <v>M</v>
      </c>
      <c r="G14" s="31" t="str">
        <f>Global!BN14</f>
        <v>M</v>
      </c>
      <c r="H14" s="31" t="str">
        <f>Global!BO14</f>
        <v>M</v>
      </c>
      <c r="I14" s="31" t="str">
        <f>Global!BP14</f>
        <v>M</v>
      </c>
      <c r="J14" s="31" t="str">
        <f>Global!BQ14</f>
        <v>M</v>
      </c>
      <c r="K14" s="31" t="str">
        <f>Global!BR14</f>
        <v>M</v>
      </c>
      <c r="L14" s="31" t="str">
        <f>Global!BS14</f>
        <v>M</v>
      </c>
      <c r="M14" s="31" t="str">
        <f>Global!BT14</f>
        <v>M</v>
      </c>
      <c r="N14" s="31" t="str">
        <f>Global!BU14</f>
        <v>M</v>
      </c>
      <c r="O14" s="31" t="str">
        <f>Global!BV14</f>
        <v>M</v>
      </c>
      <c r="P14" s="31" t="str">
        <f>Global!BW14</f>
        <v>M</v>
      </c>
      <c r="Q14" s="31" t="str">
        <f>Global!BX14</f>
        <v>M</v>
      </c>
      <c r="R14" s="31" t="str">
        <f>Global!BY14</f>
        <v>M</v>
      </c>
      <c r="S14" s="31" t="str">
        <f>Global!BZ14</f>
        <v>M</v>
      </c>
      <c r="T14" s="31" t="str">
        <f>Global!CA14</f>
        <v>M</v>
      </c>
      <c r="U14" s="31" t="str">
        <f>Global!CB14</f>
        <v>M</v>
      </c>
      <c r="V14" s="31" t="str">
        <f>Global!CC14</f>
        <v>M</v>
      </c>
      <c r="W14" s="31" t="str">
        <f>Global!CD14</f>
        <v>M</v>
      </c>
      <c r="X14" s="31" t="str">
        <f>Global!CE14</f>
        <v>M</v>
      </c>
      <c r="Y14" s="31" t="str">
        <f>Global!CF14</f>
        <v>M</v>
      </c>
      <c r="Z14" s="31" t="str">
        <f>Global!CG14</f>
        <v>M</v>
      </c>
      <c r="AA14" s="31" t="str">
        <f>Global!CH14</f>
        <v>M</v>
      </c>
      <c r="AB14" s="31" t="str">
        <f>Global!CI14</f>
        <v>M</v>
      </c>
      <c r="AC14" s="31" t="str">
        <f>Global!CJ14</f>
        <v>M</v>
      </c>
      <c r="AD14" s="31" t="str">
        <f>Global!CK14</f>
        <v>M</v>
      </c>
      <c r="AE14" s="31" t="str">
        <f>Global!CL14</f>
        <v>M</v>
      </c>
      <c r="AF14" s="31" t="str">
        <f>Global!CM14</f>
        <v>M</v>
      </c>
      <c r="AG14" s="31" t="str">
        <f>Global!CN14</f>
        <v>M</v>
      </c>
      <c r="AH14" s="31" t="str">
        <f>Global!CO14</f>
        <v>M</v>
      </c>
      <c r="AI14" s="31" t="str">
        <f>Global!CP14</f>
        <v>M</v>
      </c>
      <c r="AJ14" s="48" t="str">
        <f>Global!CQ14</f>
        <v>M</v>
      </c>
      <c r="AK14" s="108">
        <f>COUNTIF(Mars[[#This Row],[1]:[31]],"RTT")+(COUNTIF(Mars[[#This Row],[1]:[31]],"dRTT")/2)</f>
        <v>0</v>
      </c>
      <c r="AL14" s="109">
        <f>COUNTIF(Mars[[#This Row],[1]:[31]],"C")+(COUNTIF(Mars[[#This Row],[1]:[31]],"DC")/2)</f>
        <v>0</v>
      </c>
      <c r="AM14" s="22">
        <f>COUNTIF(Mars[[#This Row],[1]:[31]],"M")</f>
        <v>31</v>
      </c>
      <c r="AN14" s="22">
        <f>COUNTIF(Mars[[#This Row],[1]:[31]],"AT")</f>
        <v>0</v>
      </c>
      <c r="AO14" s="84">
        <f>IF(AND(Mars[[#This Row],[Maladie]]=0,Mars[[#This Row],[AT]]=0),((10*(_xlfn.DAYS("31/03/2018","01/03/2018")+1))/365),((_xlfn.DAYS("31/03/2018","01/03/2018")+1-(Mars[[#This Row],[Maladie]]+Mars[[#This Row],[AT]]))*((10*(_xlfn.DAYS("31/03/2018","01/03/2018")+1))/365))/(_xlfn.DAYS("31/03/2018","01/03/2018")+1))</f>
        <v>0</v>
      </c>
    </row>
    <row r="15" spans="1:41" ht="30" customHeight="1" x14ac:dyDescent="0.2">
      <c r="A15" s="15" t="s">
        <v>71</v>
      </c>
      <c r="B15" s="22" t="s">
        <v>150</v>
      </c>
      <c r="C15" s="22" t="s">
        <v>151</v>
      </c>
      <c r="D15" s="22" t="s">
        <v>152</v>
      </c>
      <c r="E15" s="44">
        <v>0</v>
      </c>
      <c r="F15" s="47" t="str">
        <f>Global!BM15</f>
        <v/>
      </c>
      <c r="G15" s="31" t="str">
        <f>Global!BN15</f>
        <v/>
      </c>
      <c r="H15" s="31" t="str">
        <f>Global!BO15</f>
        <v/>
      </c>
      <c r="I15" s="31" t="str">
        <f>Global!BP15</f>
        <v/>
      </c>
      <c r="J15" s="31" t="str">
        <f>Global!BQ15</f>
        <v/>
      </c>
      <c r="K15" s="31" t="str">
        <f>Global!BR15</f>
        <v/>
      </c>
      <c r="L15" s="31" t="str">
        <f>Global!BS15</f>
        <v/>
      </c>
      <c r="M15" s="31" t="str">
        <f>Global!BT15</f>
        <v/>
      </c>
      <c r="N15" s="31" t="str">
        <f>Global!BU15</f>
        <v/>
      </c>
      <c r="O15" s="31" t="str">
        <f>Global!BV15</f>
        <v/>
      </c>
      <c r="P15" s="31" t="str">
        <f>Global!BW15</f>
        <v/>
      </c>
      <c r="Q15" s="31" t="str">
        <f>Global!BX15</f>
        <v/>
      </c>
      <c r="R15" s="31" t="str">
        <f>Global!BY15</f>
        <v/>
      </c>
      <c r="S15" s="31" t="str">
        <f>Global!BZ15</f>
        <v/>
      </c>
      <c r="T15" s="31" t="str">
        <f>Global!CA15</f>
        <v/>
      </c>
      <c r="U15" s="31" t="str">
        <f>Global!CB15</f>
        <v/>
      </c>
      <c r="V15" s="31" t="str">
        <f>Global!CC15</f>
        <v/>
      </c>
      <c r="W15" s="31" t="str">
        <f>Global!CD15</f>
        <v/>
      </c>
      <c r="X15" s="31" t="str">
        <f>Global!CE15</f>
        <v/>
      </c>
      <c r="Y15" s="31" t="str">
        <f>Global!CF15</f>
        <v/>
      </c>
      <c r="Z15" s="31" t="str">
        <f>Global!CG15</f>
        <v/>
      </c>
      <c r="AA15" s="31" t="str">
        <f>Global!CH15</f>
        <v/>
      </c>
      <c r="AB15" s="31" t="str">
        <f>Global!CI15</f>
        <v/>
      </c>
      <c r="AC15" s="31" t="str">
        <f>Global!CJ15</f>
        <v/>
      </c>
      <c r="AD15" s="31" t="str">
        <f>Global!CK15</f>
        <v/>
      </c>
      <c r="AE15" s="31" t="str">
        <f>Global!CL15</f>
        <v>C</v>
      </c>
      <c r="AF15" s="31" t="str">
        <f>Global!CM15</f>
        <v>C</v>
      </c>
      <c r="AG15" s="31" t="str">
        <f>Global!CN15</f>
        <v>C</v>
      </c>
      <c r="AH15" s="31" t="str">
        <f>Global!CO15</f>
        <v>C</v>
      </c>
      <c r="AI15" s="31" t="str">
        <f>Global!CP15</f>
        <v>C</v>
      </c>
      <c r="AJ15" s="48" t="str">
        <f>Global!CQ15</f>
        <v/>
      </c>
      <c r="AK15" s="108">
        <f>COUNTIF(Mars[[#This Row],[1]:[31]],"RTT")+(COUNTIF(Mars[[#This Row],[1]:[31]],"dRTT")/2)</f>
        <v>0</v>
      </c>
      <c r="AL15" s="109">
        <f>COUNTIF(Mars[[#This Row],[1]:[31]],"C")+(COUNTIF(Mars[[#This Row],[1]:[31]],"DC")/2)</f>
        <v>5</v>
      </c>
      <c r="AM15" s="22">
        <f>COUNTIF(Mars[[#This Row],[1]:[31]],"M")</f>
        <v>0</v>
      </c>
      <c r="AN15" s="22">
        <f>COUNTIF(Mars[[#This Row],[1]:[31]],"AT")</f>
        <v>0</v>
      </c>
      <c r="AO15" s="84">
        <f>IF(AND(Mars[[#This Row],[Maladie]]=0,Mars[[#This Row],[AT]]=0),((10*(_xlfn.DAYS("31/03/2018","01/03/2018")+1))/365),((_xlfn.DAYS("31/03/2018","01/03/2018")+1-(Mars[[#This Row],[Maladie]]+Mars[[#This Row],[AT]]))*((10*(_xlfn.DAYS("31/03/2018","01/03/2018")+1))/365))/(_xlfn.DAYS("31/03/2018","01/03/2018")+1))</f>
        <v>0.84931506849315064</v>
      </c>
    </row>
    <row r="16" spans="1:41" ht="30" customHeight="1" x14ac:dyDescent="0.2">
      <c r="A16" s="15" t="s">
        <v>72</v>
      </c>
      <c r="B16" s="22" t="s">
        <v>153</v>
      </c>
      <c r="C16" s="22" t="s">
        <v>154</v>
      </c>
      <c r="D16" s="22" t="s">
        <v>155</v>
      </c>
      <c r="E16" s="44">
        <v>0</v>
      </c>
      <c r="F16" s="47" t="str">
        <f>Global!BM16</f>
        <v/>
      </c>
      <c r="G16" s="31" t="str">
        <f>Global!BN16</f>
        <v/>
      </c>
      <c r="H16" s="31" t="str">
        <f>Global!BO16</f>
        <v/>
      </c>
      <c r="I16" s="31" t="str">
        <f>Global!BP16</f>
        <v/>
      </c>
      <c r="J16" s="31" t="str">
        <f>Global!BQ16</f>
        <v/>
      </c>
      <c r="K16" s="31" t="str">
        <f>Global!BR16</f>
        <v/>
      </c>
      <c r="L16" s="31" t="str">
        <f>Global!BS16</f>
        <v/>
      </c>
      <c r="M16" s="31" t="str">
        <f>Global!BT16</f>
        <v/>
      </c>
      <c r="N16" s="31" t="str">
        <f>Global!BU16</f>
        <v/>
      </c>
      <c r="O16" s="31" t="str">
        <f>Global!BV16</f>
        <v/>
      </c>
      <c r="P16" s="31" t="str">
        <f>Global!BW16</f>
        <v/>
      </c>
      <c r="Q16" s="31" t="str">
        <f>Global!BX16</f>
        <v/>
      </c>
      <c r="R16" s="31" t="str">
        <f>Global!BY16</f>
        <v/>
      </c>
      <c r="S16" s="31" t="str">
        <f>Global!BZ16</f>
        <v/>
      </c>
      <c r="T16" s="31" t="str">
        <f>Global!CA16</f>
        <v/>
      </c>
      <c r="U16" s="31" t="str">
        <f>Global!CB16</f>
        <v/>
      </c>
      <c r="V16" s="31" t="str">
        <f>Global!CC16</f>
        <v/>
      </c>
      <c r="W16" s="31" t="str">
        <f>Global!CD16</f>
        <v/>
      </c>
      <c r="X16" s="31" t="str">
        <f>Global!CE16</f>
        <v/>
      </c>
      <c r="Y16" s="31" t="str">
        <f>Global!CF16</f>
        <v/>
      </c>
      <c r="Z16" s="31" t="str">
        <f>Global!CG16</f>
        <v/>
      </c>
      <c r="AA16" s="31" t="str">
        <f>Global!CH16</f>
        <v/>
      </c>
      <c r="AB16" s="31" t="str">
        <f>Global!CI16</f>
        <v/>
      </c>
      <c r="AC16" s="31" t="str">
        <f>Global!CJ16</f>
        <v/>
      </c>
      <c r="AD16" s="31" t="str">
        <f>Global!CK16</f>
        <v/>
      </c>
      <c r="AE16" s="31" t="str">
        <f>Global!CL16</f>
        <v/>
      </c>
      <c r="AF16" s="31" t="str">
        <f>Global!CM16</f>
        <v/>
      </c>
      <c r="AG16" s="31" t="str">
        <f>Global!CN16</f>
        <v/>
      </c>
      <c r="AH16" s="31" t="str">
        <f>Global!CO16</f>
        <v/>
      </c>
      <c r="AI16" s="31" t="str">
        <f>Global!CP16</f>
        <v/>
      </c>
      <c r="AJ16" s="48" t="str">
        <f>Global!CQ16</f>
        <v/>
      </c>
      <c r="AK16" s="108">
        <f>COUNTIF(Mars[[#This Row],[1]:[31]],"RTT")+(COUNTIF(Mars[[#This Row],[1]:[31]],"dRTT")/2)</f>
        <v>0</v>
      </c>
      <c r="AL16" s="109">
        <f>COUNTIF(Mars[[#This Row],[1]:[31]],"C")+(COUNTIF(Mars[[#This Row],[1]:[31]],"DC")/2)</f>
        <v>0</v>
      </c>
      <c r="AM16" s="22">
        <f>COUNTIF(Mars[[#This Row],[1]:[31]],"M")</f>
        <v>0</v>
      </c>
      <c r="AN16" s="22">
        <f>COUNTIF(Mars[[#This Row],[1]:[31]],"AT")</f>
        <v>0</v>
      </c>
      <c r="AO16" s="84">
        <f>IF(AND(Mars[[#This Row],[Maladie]]=0,Mars[[#This Row],[AT]]=0),((10*(_xlfn.DAYS("31/03/2018","01/03/2018")+1))/365),((_xlfn.DAYS("31/03/2018","01/03/2018")+1-(Mars[[#This Row],[Maladie]]+Mars[[#This Row],[AT]]))*((10*(_xlfn.DAYS("31/03/2018","01/03/2018")+1))/365))/(_xlfn.DAYS("31/03/2018","01/03/2018")+1))</f>
        <v>0.84931506849315064</v>
      </c>
    </row>
    <row r="17" spans="1:41" ht="30" customHeight="1" x14ac:dyDescent="0.2">
      <c r="A17" s="15" t="s">
        <v>73</v>
      </c>
      <c r="B17" s="22" t="s">
        <v>156</v>
      </c>
      <c r="C17" s="22" t="s">
        <v>157</v>
      </c>
      <c r="D17" s="22" t="s">
        <v>158</v>
      </c>
      <c r="E17" s="44">
        <v>0</v>
      </c>
      <c r="F17" s="47" t="str">
        <f>Global!BM17</f>
        <v/>
      </c>
      <c r="G17" s="31" t="str">
        <f>Global!BN17</f>
        <v/>
      </c>
      <c r="H17" s="31" t="str">
        <f>Global!BO17</f>
        <v/>
      </c>
      <c r="I17" s="31" t="str">
        <f>Global!BP17</f>
        <v/>
      </c>
      <c r="J17" s="31" t="str">
        <f>Global!BQ17</f>
        <v/>
      </c>
      <c r="K17" s="31" t="str">
        <f>Global!BR17</f>
        <v/>
      </c>
      <c r="L17" s="31" t="str">
        <f>Global!BS17</f>
        <v/>
      </c>
      <c r="M17" s="31" t="str">
        <f>Global!BT17</f>
        <v/>
      </c>
      <c r="N17" s="31" t="str">
        <f>Global!BU17</f>
        <v/>
      </c>
      <c r="O17" s="31" t="str">
        <f>Global!BV17</f>
        <v/>
      </c>
      <c r="P17" s="31" t="str">
        <f>Global!BW17</f>
        <v/>
      </c>
      <c r="Q17" s="31" t="str">
        <f>Global!BX17</f>
        <v/>
      </c>
      <c r="R17" s="31" t="str">
        <f>Global!BY17</f>
        <v/>
      </c>
      <c r="S17" s="31" t="str">
        <f>Global!BZ17</f>
        <v/>
      </c>
      <c r="T17" s="31" t="str">
        <f>Global!CA17</f>
        <v/>
      </c>
      <c r="U17" s="31" t="str">
        <f>Global!CB17</f>
        <v/>
      </c>
      <c r="V17" s="31" t="str">
        <f>Global!CC17</f>
        <v/>
      </c>
      <c r="W17" s="31" t="str">
        <f>Global!CD17</f>
        <v/>
      </c>
      <c r="X17" s="31" t="str">
        <f>Global!CE17</f>
        <v/>
      </c>
      <c r="Y17" s="31" t="str">
        <f>Global!CF17</f>
        <v/>
      </c>
      <c r="Z17" s="31" t="str">
        <f>Global!CG17</f>
        <v/>
      </c>
      <c r="AA17" s="31" t="str">
        <f>Global!CH17</f>
        <v/>
      </c>
      <c r="AB17" s="31" t="str">
        <f>Global!CI17</f>
        <v/>
      </c>
      <c r="AC17" s="31" t="str">
        <f>Global!CJ17</f>
        <v/>
      </c>
      <c r="AD17" s="31" t="str">
        <f>Global!CK17</f>
        <v/>
      </c>
      <c r="AE17" s="31" t="str">
        <f>Global!CL17</f>
        <v/>
      </c>
      <c r="AF17" s="31" t="str">
        <f>Global!CM17</f>
        <v/>
      </c>
      <c r="AG17" s="31" t="str">
        <f>Global!CN17</f>
        <v/>
      </c>
      <c r="AH17" s="31" t="str">
        <f>Global!CO17</f>
        <v/>
      </c>
      <c r="AI17" s="31" t="str">
        <f>Global!CP17</f>
        <v/>
      </c>
      <c r="AJ17" s="48" t="str">
        <f>Global!CQ17</f>
        <v/>
      </c>
      <c r="AK17" s="108">
        <f>COUNTIF(Mars[[#This Row],[1]:[31]],"RTT")+(COUNTIF(Mars[[#This Row],[1]:[31]],"dRTT")/2)</f>
        <v>0</v>
      </c>
      <c r="AL17" s="109">
        <f>COUNTIF(Mars[[#This Row],[1]:[31]],"C")+(COUNTIF(Mars[[#This Row],[1]:[31]],"DC")/2)</f>
        <v>0</v>
      </c>
      <c r="AM17" s="22">
        <f>COUNTIF(Mars[[#This Row],[1]:[31]],"M")</f>
        <v>0</v>
      </c>
      <c r="AN17" s="22">
        <f>COUNTIF(Mars[[#This Row],[1]:[31]],"AT")</f>
        <v>0</v>
      </c>
      <c r="AO17" s="84">
        <f>IF(AND(Mars[[#This Row],[Maladie]]=0,Mars[[#This Row],[AT]]=0),((10*(_xlfn.DAYS("31/03/2018","01/03/2018")+1))/365),((_xlfn.DAYS("31/03/2018","01/03/2018")+1-(Mars[[#This Row],[Maladie]]+Mars[[#This Row],[AT]]))*((10*(_xlfn.DAYS("31/03/2018","01/03/2018")+1))/365))/(_xlfn.DAYS("31/03/2018","01/03/2018")+1))</f>
        <v>0.84931506849315064</v>
      </c>
    </row>
    <row r="18" spans="1:41" ht="30" customHeight="1" x14ac:dyDescent="0.2">
      <c r="A18" s="15" t="s">
        <v>74</v>
      </c>
      <c r="B18" s="22" t="s">
        <v>159</v>
      </c>
      <c r="C18" s="22" t="s">
        <v>160</v>
      </c>
      <c r="D18" s="22" t="s">
        <v>161</v>
      </c>
      <c r="E18" s="44" t="s">
        <v>162</v>
      </c>
      <c r="F18" s="47" t="str">
        <f>Global!BM18</f>
        <v/>
      </c>
      <c r="G18" s="31" t="str">
        <f>Global!BN18</f>
        <v/>
      </c>
      <c r="H18" s="31" t="str">
        <f>Global!BO18</f>
        <v/>
      </c>
      <c r="I18" s="31" t="str">
        <f>Global!BP18</f>
        <v/>
      </c>
      <c r="J18" s="31" t="str">
        <f>Global!BQ18</f>
        <v/>
      </c>
      <c r="K18" s="31" t="str">
        <f>Global!BR18</f>
        <v/>
      </c>
      <c r="L18" s="31" t="str">
        <f>Global!BS18</f>
        <v/>
      </c>
      <c r="M18" s="31" t="str">
        <f>Global!BT18</f>
        <v/>
      </c>
      <c r="N18" s="31" t="str">
        <f>Global!BU18</f>
        <v/>
      </c>
      <c r="O18" s="31" t="str">
        <f>Global!BV18</f>
        <v/>
      </c>
      <c r="P18" s="31" t="str">
        <f>Global!BW18</f>
        <v/>
      </c>
      <c r="Q18" s="31" t="str">
        <f>Global!BX18</f>
        <v/>
      </c>
      <c r="R18" s="31" t="str">
        <f>Global!BY18</f>
        <v/>
      </c>
      <c r="S18" s="31" t="str">
        <f>Global!BZ18</f>
        <v/>
      </c>
      <c r="T18" s="31" t="str">
        <f>Global!CA18</f>
        <v/>
      </c>
      <c r="U18" s="31" t="str">
        <f>Global!CB18</f>
        <v/>
      </c>
      <c r="V18" s="31" t="str">
        <f>Global!CC18</f>
        <v/>
      </c>
      <c r="W18" s="31" t="str">
        <f>Global!CD18</f>
        <v/>
      </c>
      <c r="X18" s="31" t="str">
        <f>Global!CE18</f>
        <v/>
      </c>
      <c r="Y18" s="31" t="str">
        <f>Global!CF18</f>
        <v/>
      </c>
      <c r="Z18" s="31" t="str">
        <f>Global!CG18</f>
        <v/>
      </c>
      <c r="AA18" s="31" t="str">
        <f>Global!CH18</f>
        <v/>
      </c>
      <c r="AB18" s="31" t="str">
        <f>Global!CI18</f>
        <v/>
      </c>
      <c r="AC18" s="31" t="str">
        <f>Global!CJ18</f>
        <v/>
      </c>
      <c r="AD18" s="31" t="str">
        <f>Global!CK18</f>
        <v/>
      </c>
      <c r="AE18" s="31" t="str">
        <f>Global!CL18</f>
        <v/>
      </c>
      <c r="AF18" s="31" t="str">
        <f>Global!CM18</f>
        <v/>
      </c>
      <c r="AG18" s="31" t="str">
        <f>Global!CN18</f>
        <v/>
      </c>
      <c r="AH18" s="31" t="str">
        <f>Global!CO18</f>
        <v>C</v>
      </c>
      <c r="AI18" s="31" t="str">
        <f>Global!CP18</f>
        <v/>
      </c>
      <c r="AJ18" s="48" t="str">
        <f>Global!CQ18</f>
        <v/>
      </c>
      <c r="AK18" s="108">
        <f>COUNTIF(Mars[[#This Row],[1]:[31]],"RTT")+(COUNTIF(Mars[[#This Row],[1]:[31]],"dRTT")/2)</f>
        <v>0</v>
      </c>
      <c r="AL18" s="109">
        <f>COUNTIF(Mars[[#This Row],[1]:[31]],"C")+(COUNTIF(Mars[[#This Row],[1]:[31]],"DC")/2)</f>
        <v>1</v>
      </c>
      <c r="AM18" s="22">
        <f>COUNTIF(Mars[[#This Row],[1]:[31]],"M")</f>
        <v>0</v>
      </c>
      <c r="AN18" s="22">
        <f>COUNTIF(Mars[[#This Row],[1]:[31]],"AT")</f>
        <v>0</v>
      </c>
      <c r="AO18" s="84">
        <f>IF(AND(Mars[[#This Row],[Maladie]]=0,Mars[[#This Row],[AT]]=0),((10*(_xlfn.DAYS("31/03/2018","01/03/2018")+1))/365),((_xlfn.DAYS("31/03/2018","01/03/2018")+1-(Mars[[#This Row],[Maladie]]+Mars[[#This Row],[AT]]))*((10*(_xlfn.DAYS("31/03/2018","01/03/2018")+1))/365))/(_xlfn.DAYS("31/03/2018","01/03/2018")+1))</f>
        <v>0.84931506849315064</v>
      </c>
    </row>
    <row r="19" spans="1:41" ht="30" customHeight="1" x14ac:dyDescent="0.2">
      <c r="A19" s="15" t="s">
        <v>75</v>
      </c>
      <c r="B19" s="22" t="s">
        <v>163</v>
      </c>
      <c r="C19" s="22" t="s">
        <v>164</v>
      </c>
      <c r="D19" s="22" t="s">
        <v>165</v>
      </c>
      <c r="E19" s="44">
        <v>0</v>
      </c>
      <c r="F19" s="47" t="str">
        <f>Global!BM19</f>
        <v/>
      </c>
      <c r="G19" s="31" t="str">
        <f>Global!BN19</f>
        <v/>
      </c>
      <c r="H19" s="31" t="str">
        <f>Global!BO19</f>
        <v/>
      </c>
      <c r="I19" s="31" t="str">
        <f>Global!BP19</f>
        <v/>
      </c>
      <c r="J19" s="31" t="str">
        <f>Global!BQ19</f>
        <v/>
      </c>
      <c r="K19" s="31" t="str">
        <f>Global!BR19</f>
        <v/>
      </c>
      <c r="L19" s="31" t="str">
        <f>Global!BS19</f>
        <v/>
      </c>
      <c r="M19" s="31" t="str">
        <f>Global!BT19</f>
        <v/>
      </c>
      <c r="N19" s="31" t="str">
        <f>Global!BU19</f>
        <v/>
      </c>
      <c r="O19" s="31" t="str">
        <f>Global!BV19</f>
        <v/>
      </c>
      <c r="P19" s="31" t="str">
        <f>Global!BW19</f>
        <v/>
      </c>
      <c r="Q19" s="31" t="str">
        <f>Global!BX19</f>
        <v/>
      </c>
      <c r="R19" s="31" t="str">
        <f>Global!BY19</f>
        <v/>
      </c>
      <c r="S19" s="31" t="str">
        <f>Global!BZ19</f>
        <v/>
      </c>
      <c r="T19" s="31" t="str">
        <f>Global!CA19</f>
        <v/>
      </c>
      <c r="U19" s="31" t="str">
        <f>Global!CB19</f>
        <v/>
      </c>
      <c r="V19" s="31" t="str">
        <f>Global!CC19</f>
        <v/>
      </c>
      <c r="W19" s="31" t="str">
        <f>Global!CD19</f>
        <v/>
      </c>
      <c r="X19" s="31" t="str">
        <f>Global!CE19</f>
        <v/>
      </c>
      <c r="Y19" s="31" t="str">
        <f>Global!CF19</f>
        <v/>
      </c>
      <c r="Z19" s="31" t="str">
        <f>Global!CG19</f>
        <v/>
      </c>
      <c r="AA19" s="31" t="str">
        <f>Global!CH19</f>
        <v/>
      </c>
      <c r="AB19" s="31" t="str">
        <f>Global!CI19</f>
        <v/>
      </c>
      <c r="AC19" s="31" t="str">
        <f>Global!CJ19</f>
        <v/>
      </c>
      <c r="AD19" s="31" t="str">
        <f>Global!CK19</f>
        <v/>
      </c>
      <c r="AE19" s="31" t="str">
        <f>Global!CL19</f>
        <v/>
      </c>
      <c r="AF19" s="31" t="str">
        <f>Global!CM19</f>
        <v/>
      </c>
      <c r="AG19" s="31" t="str">
        <f>Global!CN19</f>
        <v/>
      </c>
      <c r="AH19" s="31" t="str">
        <f>Global!CO19</f>
        <v/>
      </c>
      <c r="AI19" s="31" t="str">
        <f>Global!CP19</f>
        <v/>
      </c>
      <c r="AJ19" s="48" t="str">
        <f>Global!CQ19</f>
        <v/>
      </c>
      <c r="AK19" s="108">
        <f>COUNTIF(Mars[[#This Row],[1]:[31]],"RTT")+(COUNTIF(Mars[[#This Row],[1]:[31]],"dRTT")/2)</f>
        <v>0</v>
      </c>
      <c r="AL19" s="109">
        <f>COUNTIF(Mars[[#This Row],[1]:[31]],"C")+(COUNTIF(Mars[[#This Row],[1]:[31]],"DC")/2)</f>
        <v>0</v>
      </c>
      <c r="AM19" s="22">
        <f>COUNTIF(Mars[[#This Row],[1]:[31]],"M")</f>
        <v>0</v>
      </c>
      <c r="AN19" s="22">
        <f>COUNTIF(Mars[[#This Row],[1]:[31]],"AT")</f>
        <v>0</v>
      </c>
      <c r="AO19" s="84">
        <f>IF(AND(Mars[[#This Row],[Maladie]]=0,Mars[[#This Row],[AT]]=0),((10*(_xlfn.DAYS("31/03/2018","01/03/2018")+1))/365),((_xlfn.DAYS("31/03/2018","01/03/2018")+1-(Mars[[#This Row],[Maladie]]+Mars[[#This Row],[AT]]))*((10*(_xlfn.DAYS("31/03/2018","01/03/2018")+1))/365))/(_xlfn.DAYS("31/03/2018","01/03/2018")+1))</f>
        <v>0.84931506849315064</v>
      </c>
    </row>
    <row r="20" spans="1:41" ht="30" customHeight="1" x14ac:dyDescent="0.2">
      <c r="A20" s="15" t="s">
        <v>76</v>
      </c>
      <c r="B20" s="22" t="s">
        <v>166</v>
      </c>
      <c r="C20" s="22" t="s">
        <v>151</v>
      </c>
      <c r="D20" s="22" t="s">
        <v>167</v>
      </c>
      <c r="E20" s="44">
        <v>0</v>
      </c>
      <c r="F20" s="47" t="str">
        <f>Global!BM20</f>
        <v/>
      </c>
      <c r="G20" s="31" t="str">
        <f>Global!BN20</f>
        <v/>
      </c>
      <c r="H20" s="31" t="str">
        <f>Global!BO20</f>
        <v/>
      </c>
      <c r="I20" s="31" t="str">
        <f>Global!BP20</f>
        <v/>
      </c>
      <c r="J20" s="31" t="str">
        <f>Global!BQ20</f>
        <v>C</v>
      </c>
      <c r="K20" s="31" t="str">
        <f>Global!BR20</f>
        <v>C</v>
      </c>
      <c r="L20" s="31" t="str">
        <f>Global!BS20</f>
        <v>C</v>
      </c>
      <c r="M20" s="31" t="str">
        <f>Global!BT20</f>
        <v>C</v>
      </c>
      <c r="N20" s="31" t="str">
        <f>Global!BU20</f>
        <v>C</v>
      </c>
      <c r="O20" s="31" t="str">
        <f>Global!BV20</f>
        <v/>
      </c>
      <c r="P20" s="31" t="str">
        <f>Global!BW20</f>
        <v/>
      </c>
      <c r="Q20" s="31" t="str">
        <f>Global!BX20</f>
        <v/>
      </c>
      <c r="R20" s="31" t="str">
        <f>Global!BY20</f>
        <v/>
      </c>
      <c r="S20" s="31" t="str">
        <f>Global!BZ20</f>
        <v/>
      </c>
      <c r="T20" s="31" t="str">
        <f>Global!CA20</f>
        <v/>
      </c>
      <c r="U20" s="31" t="str">
        <f>Global!CB20</f>
        <v/>
      </c>
      <c r="V20" s="31" t="str">
        <f>Global!CC20</f>
        <v/>
      </c>
      <c r="W20" s="31" t="str">
        <f>Global!CD20</f>
        <v/>
      </c>
      <c r="X20" s="31" t="str">
        <f>Global!CE20</f>
        <v/>
      </c>
      <c r="Y20" s="31" t="str">
        <f>Global!CF20</f>
        <v/>
      </c>
      <c r="Z20" s="31" t="str">
        <f>Global!CG20</f>
        <v/>
      </c>
      <c r="AA20" s="31" t="str">
        <f>Global!CH20</f>
        <v/>
      </c>
      <c r="AB20" s="31" t="str">
        <f>Global!CI20</f>
        <v/>
      </c>
      <c r="AC20" s="31" t="str">
        <f>Global!CJ20</f>
        <v/>
      </c>
      <c r="AD20" s="31" t="str">
        <f>Global!CK20</f>
        <v/>
      </c>
      <c r="AE20" s="31" t="str">
        <f>Global!CL20</f>
        <v/>
      </c>
      <c r="AF20" s="31" t="str">
        <f>Global!CM20</f>
        <v/>
      </c>
      <c r="AG20" s="31" t="str">
        <f>Global!CN20</f>
        <v/>
      </c>
      <c r="AH20" s="31" t="str">
        <f>Global!CO20</f>
        <v/>
      </c>
      <c r="AI20" s="31" t="str">
        <f>Global!CP20</f>
        <v/>
      </c>
      <c r="AJ20" s="48" t="str">
        <f>Global!CQ20</f>
        <v/>
      </c>
      <c r="AK20" s="108">
        <f>COUNTIF(Mars[[#This Row],[1]:[31]],"RTT")+(COUNTIF(Mars[[#This Row],[1]:[31]],"dRTT")/2)</f>
        <v>0</v>
      </c>
      <c r="AL20" s="109">
        <f>COUNTIF(Mars[[#This Row],[1]:[31]],"C")+(COUNTIF(Mars[[#This Row],[1]:[31]],"DC")/2)</f>
        <v>5</v>
      </c>
      <c r="AM20" s="22">
        <f>COUNTIF(Mars[[#This Row],[1]:[31]],"M")</f>
        <v>0</v>
      </c>
      <c r="AN20" s="22">
        <f>COUNTIF(Mars[[#This Row],[1]:[31]],"AT")</f>
        <v>0</v>
      </c>
      <c r="AO20" s="84">
        <f>IF(AND(Mars[[#This Row],[Maladie]]=0,Mars[[#This Row],[AT]]=0),((10*(_xlfn.DAYS("31/03/2018","01/03/2018")+1))/365),((_xlfn.DAYS("31/03/2018","01/03/2018")+1-(Mars[[#This Row],[Maladie]]+Mars[[#This Row],[AT]]))*((10*(_xlfn.DAYS("31/03/2018","01/03/2018")+1))/365))/(_xlfn.DAYS("31/03/2018","01/03/2018")+1))</f>
        <v>0.84931506849315064</v>
      </c>
    </row>
    <row r="21" spans="1:41" ht="30" customHeight="1" x14ac:dyDescent="0.2">
      <c r="A21" s="15" t="s">
        <v>77</v>
      </c>
      <c r="B21" s="22" t="s">
        <v>168</v>
      </c>
      <c r="C21" s="22" t="s">
        <v>169</v>
      </c>
      <c r="D21" s="22" t="s">
        <v>170</v>
      </c>
      <c r="E21" s="44">
        <v>0</v>
      </c>
      <c r="F21" s="47" t="str">
        <f>Global!BM21</f>
        <v>C</v>
      </c>
      <c r="G21" s="31" t="str">
        <f>Global!BN21</f>
        <v/>
      </c>
      <c r="H21" s="31" t="str">
        <f>Global!BO21</f>
        <v/>
      </c>
      <c r="I21" s="31" t="str">
        <f>Global!BP21</f>
        <v/>
      </c>
      <c r="J21" s="31" t="str">
        <f>Global!BQ21</f>
        <v/>
      </c>
      <c r="K21" s="31" t="str">
        <f>Global!BR21</f>
        <v/>
      </c>
      <c r="L21" s="31" t="str">
        <f>Global!BS21</f>
        <v/>
      </c>
      <c r="M21" s="31" t="str">
        <f>Global!BT21</f>
        <v/>
      </c>
      <c r="N21" s="31" t="str">
        <f>Global!BU21</f>
        <v>C</v>
      </c>
      <c r="O21" s="31" t="str">
        <f>Global!BV21</f>
        <v/>
      </c>
      <c r="P21" s="31" t="str">
        <f>Global!BW21</f>
        <v/>
      </c>
      <c r="Q21" s="31" t="str">
        <f>Global!BX21</f>
        <v/>
      </c>
      <c r="R21" s="31" t="str">
        <f>Global!BY21</f>
        <v/>
      </c>
      <c r="S21" s="31" t="str">
        <f>Global!BZ21</f>
        <v/>
      </c>
      <c r="T21" s="31" t="str">
        <f>Global!CA21</f>
        <v/>
      </c>
      <c r="U21" s="31" t="str">
        <f>Global!CB21</f>
        <v>C</v>
      </c>
      <c r="V21" s="31" t="str">
        <f>Global!CC21</f>
        <v/>
      </c>
      <c r="W21" s="31" t="str">
        <f>Global!CD21</f>
        <v/>
      </c>
      <c r="X21" s="31" t="str">
        <f>Global!CE21</f>
        <v/>
      </c>
      <c r="Y21" s="31" t="str">
        <f>Global!CF21</f>
        <v/>
      </c>
      <c r="Z21" s="31" t="str">
        <f>Global!CG21</f>
        <v/>
      </c>
      <c r="AA21" s="31" t="str">
        <f>Global!CH21</f>
        <v/>
      </c>
      <c r="AB21" s="31" t="str">
        <f>Global!CI21</f>
        <v>DC</v>
      </c>
      <c r="AC21" s="31" t="str">
        <f>Global!CJ21</f>
        <v/>
      </c>
      <c r="AD21" s="31" t="str">
        <f>Global!CK21</f>
        <v/>
      </c>
      <c r="AE21" s="31" t="str">
        <f>Global!CL21</f>
        <v>DC</v>
      </c>
      <c r="AF21" s="31" t="str">
        <f>Global!CM21</f>
        <v>DC</v>
      </c>
      <c r="AG21" s="31" t="str">
        <f>Global!CN21</f>
        <v>M</v>
      </c>
      <c r="AH21" s="31" t="str">
        <f>Global!CO21</f>
        <v>M</v>
      </c>
      <c r="AI21" s="31" t="str">
        <f>Global!CP21</f>
        <v>M</v>
      </c>
      <c r="AJ21" s="48" t="str">
        <f>Global!CQ21</f>
        <v>M</v>
      </c>
      <c r="AK21" s="108">
        <f>COUNTIF(Mars[[#This Row],[1]:[31]],"RTT")+(COUNTIF(Mars[[#This Row],[1]:[31]],"dRTT")/2)</f>
        <v>0</v>
      </c>
      <c r="AL21" s="109">
        <f>COUNTIF(Mars[[#This Row],[1]:[31]],"C")+(COUNTIF(Mars[[#This Row],[1]:[31]],"DC")/2)</f>
        <v>4.5</v>
      </c>
      <c r="AM21" s="22">
        <f>COUNTIF(Mars[[#This Row],[1]:[31]],"M")</f>
        <v>4</v>
      </c>
      <c r="AN21" s="22">
        <f>COUNTIF(Mars[[#This Row],[1]:[31]],"AT")</f>
        <v>0</v>
      </c>
      <c r="AO21" s="84">
        <f>IF(AND(Mars[[#This Row],[Maladie]]=0,Mars[[#This Row],[AT]]=0),((10*(_xlfn.DAYS("31/03/2018","01/03/2018")+1))/365),((_xlfn.DAYS("31/03/2018","01/03/2018")+1-(Mars[[#This Row],[Maladie]]+Mars[[#This Row],[AT]]))*((10*(_xlfn.DAYS("31/03/2018","01/03/2018")+1))/365))/(_xlfn.DAYS("31/03/2018","01/03/2018")+1))</f>
        <v>0.73972602739726023</v>
      </c>
    </row>
    <row r="22" spans="1:41" ht="30" customHeight="1" x14ac:dyDescent="0.2">
      <c r="A22" s="13" t="s">
        <v>78</v>
      </c>
      <c r="B22" s="22" t="s">
        <v>171</v>
      </c>
      <c r="C22" s="22" t="s">
        <v>172</v>
      </c>
      <c r="D22" s="22" t="s">
        <v>173</v>
      </c>
      <c r="E22" s="44">
        <v>0</v>
      </c>
      <c r="F22" s="47" t="str">
        <f>Global!BM22</f>
        <v/>
      </c>
      <c r="G22" s="31" t="str">
        <f>Global!BN22</f>
        <v/>
      </c>
      <c r="H22" s="31" t="str">
        <f>Global!BO22</f>
        <v/>
      </c>
      <c r="I22" s="31" t="str">
        <f>Global!BP22</f>
        <v/>
      </c>
      <c r="J22" s="31" t="str">
        <f>Global!BQ22</f>
        <v/>
      </c>
      <c r="K22" s="31" t="str">
        <f>Global!BR22</f>
        <v/>
      </c>
      <c r="L22" s="31" t="str">
        <f>Global!BS22</f>
        <v/>
      </c>
      <c r="M22" s="31" t="str">
        <f>Global!BT22</f>
        <v/>
      </c>
      <c r="N22" s="31" t="str">
        <f>Global!BU22</f>
        <v/>
      </c>
      <c r="O22" s="31" t="str">
        <f>Global!BV22</f>
        <v/>
      </c>
      <c r="P22" s="31" t="str">
        <f>Global!BW22</f>
        <v/>
      </c>
      <c r="Q22" s="31" t="str">
        <f>Global!BX22</f>
        <v/>
      </c>
      <c r="R22" s="31" t="str">
        <f>Global!BY22</f>
        <v/>
      </c>
      <c r="S22" s="31" t="str">
        <f>Global!BZ22</f>
        <v/>
      </c>
      <c r="T22" s="31" t="str">
        <f>Global!CA22</f>
        <v/>
      </c>
      <c r="U22" s="31" t="str">
        <f>Global!CB22</f>
        <v/>
      </c>
      <c r="V22" s="31" t="str">
        <f>Global!CC22</f>
        <v/>
      </c>
      <c r="W22" s="31" t="str">
        <f>Global!CD22</f>
        <v/>
      </c>
      <c r="X22" s="31" t="str">
        <f>Global!CE22</f>
        <v/>
      </c>
      <c r="Y22" s="31" t="str">
        <f>Global!CF22</f>
        <v/>
      </c>
      <c r="Z22" s="31" t="str">
        <f>Global!CG22</f>
        <v/>
      </c>
      <c r="AA22" s="31" t="str">
        <f>Global!CH22</f>
        <v/>
      </c>
      <c r="AB22" s="31" t="str">
        <f>Global!CI22</f>
        <v/>
      </c>
      <c r="AC22" s="31" t="str">
        <f>Global!CJ22</f>
        <v/>
      </c>
      <c r="AD22" s="31" t="str">
        <f>Global!CK22</f>
        <v/>
      </c>
      <c r="AE22" s="31" t="str">
        <f>Global!CL22</f>
        <v/>
      </c>
      <c r="AF22" s="31" t="str">
        <f>Global!CM22</f>
        <v/>
      </c>
      <c r="AG22" s="31" t="str">
        <f>Global!CN22</f>
        <v/>
      </c>
      <c r="AH22" s="31" t="str">
        <f>Global!CO22</f>
        <v/>
      </c>
      <c r="AI22" s="31" t="str">
        <f>Global!CP22</f>
        <v/>
      </c>
      <c r="AJ22" s="48" t="str">
        <f>Global!CQ22</f>
        <v/>
      </c>
      <c r="AK22" s="108">
        <f>COUNTIF(Mars[[#This Row],[1]:[31]],"RTT")+(COUNTIF(Mars[[#This Row],[1]:[31]],"dRTT")/2)</f>
        <v>0</v>
      </c>
      <c r="AL22" s="109">
        <f>COUNTIF(Mars[[#This Row],[1]:[31]],"C")+(COUNTIF(Mars[[#This Row],[1]:[31]],"DC")/2)</f>
        <v>0</v>
      </c>
      <c r="AM22" s="22">
        <f>COUNTIF(Mars[[#This Row],[1]:[31]],"M")</f>
        <v>0</v>
      </c>
      <c r="AN22" s="22">
        <f>COUNTIF(Mars[[#This Row],[1]:[31]],"AT")</f>
        <v>0</v>
      </c>
      <c r="AO22" s="84">
        <f>IF(AND(Mars[[#This Row],[Maladie]]=0,Mars[[#This Row],[AT]]=0),((10*(_xlfn.DAYS("31/03/2018","01/03/2018")+1))/365),((_xlfn.DAYS("31/03/2018","01/03/2018")+1-(Mars[[#This Row],[Maladie]]+Mars[[#This Row],[AT]]))*((10*(_xlfn.DAYS("31/03/2018","01/03/2018")+1))/365))/(_xlfn.DAYS("31/03/2018","01/03/2018")+1))</f>
        <v>0.84931506849315064</v>
      </c>
    </row>
    <row r="23" spans="1:41" ht="30" customHeight="1" x14ac:dyDescent="0.2">
      <c r="A23" s="13" t="s">
        <v>79</v>
      </c>
      <c r="B23" s="22" t="s">
        <v>174</v>
      </c>
      <c r="C23" s="22" t="s">
        <v>175</v>
      </c>
      <c r="D23" s="22" t="s">
        <v>176</v>
      </c>
      <c r="E23" s="44">
        <v>0</v>
      </c>
      <c r="F23" s="47" t="str">
        <f>Global!BM23</f>
        <v>C</v>
      </c>
      <c r="G23" s="31" t="str">
        <f>Global!BN23</f>
        <v>C</v>
      </c>
      <c r="H23" s="31" t="str">
        <f>Global!BO23</f>
        <v/>
      </c>
      <c r="I23" s="31" t="str">
        <f>Global!BP23</f>
        <v/>
      </c>
      <c r="J23" s="31" t="str">
        <f>Global!BQ23</f>
        <v>C</v>
      </c>
      <c r="K23" s="31" t="str">
        <f>Global!BR23</f>
        <v/>
      </c>
      <c r="L23" s="31" t="str">
        <f>Global!BS23</f>
        <v/>
      </c>
      <c r="M23" s="31" t="str">
        <f>Global!BT23</f>
        <v/>
      </c>
      <c r="N23" s="31" t="str">
        <f>Global!BU23</f>
        <v/>
      </c>
      <c r="O23" s="31" t="str">
        <f>Global!BV23</f>
        <v/>
      </c>
      <c r="P23" s="31" t="str">
        <f>Global!BW23</f>
        <v/>
      </c>
      <c r="Q23" s="31" t="str">
        <f>Global!BX23</f>
        <v/>
      </c>
      <c r="R23" s="31" t="str">
        <f>Global!BY23</f>
        <v/>
      </c>
      <c r="S23" s="31" t="str">
        <f>Global!BZ23</f>
        <v/>
      </c>
      <c r="T23" s="31" t="str">
        <f>Global!CA23</f>
        <v/>
      </c>
      <c r="U23" s="31" t="str">
        <f>Global!CB23</f>
        <v/>
      </c>
      <c r="V23" s="31" t="str">
        <f>Global!CC23</f>
        <v/>
      </c>
      <c r="W23" s="31" t="str">
        <f>Global!CD23</f>
        <v/>
      </c>
      <c r="X23" s="31" t="str">
        <f>Global!CE23</f>
        <v/>
      </c>
      <c r="Y23" s="31" t="str">
        <f>Global!CF23</f>
        <v/>
      </c>
      <c r="Z23" s="31" t="str">
        <f>Global!CG23</f>
        <v>C</v>
      </c>
      <c r="AA23" s="31" t="str">
        <f>Global!CH23</f>
        <v/>
      </c>
      <c r="AB23" s="31" t="str">
        <f>Global!CI23</f>
        <v/>
      </c>
      <c r="AC23" s="31" t="str">
        <f>Global!CJ23</f>
        <v/>
      </c>
      <c r="AD23" s="31" t="str">
        <f>Global!CK23</f>
        <v/>
      </c>
      <c r="AE23" s="31" t="str">
        <f>Global!CL23</f>
        <v/>
      </c>
      <c r="AF23" s="31" t="str">
        <f>Global!CM23</f>
        <v/>
      </c>
      <c r="AG23" s="31" t="str">
        <f>Global!CN23</f>
        <v>M</v>
      </c>
      <c r="AH23" s="31" t="str">
        <f>Global!CO23</f>
        <v>M</v>
      </c>
      <c r="AI23" s="31" t="str">
        <f>Global!CP23</f>
        <v>M</v>
      </c>
      <c r="AJ23" s="48" t="str">
        <f>Global!CQ23</f>
        <v/>
      </c>
      <c r="AK23" s="108">
        <f>COUNTIF(Mars[[#This Row],[1]:[31]],"RTT")+(COUNTIF(Mars[[#This Row],[1]:[31]],"dRTT")/2)</f>
        <v>0</v>
      </c>
      <c r="AL23" s="109">
        <f>COUNTIF(Mars[[#This Row],[1]:[31]],"C")+(COUNTIF(Mars[[#This Row],[1]:[31]],"DC")/2)</f>
        <v>4</v>
      </c>
      <c r="AM23" s="22">
        <f>COUNTIF(Mars[[#This Row],[1]:[31]],"M")</f>
        <v>3</v>
      </c>
      <c r="AN23" s="22">
        <f>COUNTIF(Mars[[#This Row],[1]:[31]],"AT")</f>
        <v>0</v>
      </c>
      <c r="AO23" s="84">
        <f>IF(AND(Mars[[#This Row],[Maladie]]=0,Mars[[#This Row],[AT]]=0),((10*(_xlfn.DAYS("31/03/2018","01/03/2018")+1))/365),((_xlfn.DAYS("31/03/2018","01/03/2018")+1-(Mars[[#This Row],[Maladie]]+Mars[[#This Row],[AT]]))*((10*(_xlfn.DAYS("31/03/2018","01/03/2018")+1))/365))/(_xlfn.DAYS("31/03/2018","01/03/2018")+1))</f>
        <v>0.76712328767123283</v>
      </c>
    </row>
    <row r="24" spans="1:41" ht="30" customHeight="1" x14ac:dyDescent="0.2">
      <c r="A24" s="15" t="s">
        <v>80</v>
      </c>
      <c r="B24" s="22" t="s">
        <v>177</v>
      </c>
      <c r="C24" s="22" t="s">
        <v>178</v>
      </c>
      <c r="D24" s="22" t="s">
        <v>179</v>
      </c>
      <c r="E24" s="44">
        <v>0</v>
      </c>
      <c r="F24" s="47" t="str">
        <f>Global!BM24</f>
        <v/>
      </c>
      <c r="G24" s="31" t="str">
        <f>Global!BN24</f>
        <v/>
      </c>
      <c r="H24" s="31" t="str">
        <f>Global!BO24</f>
        <v/>
      </c>
      <c r="I24" s="31" t="str">
        <f>Global!BP24</f>
        <v/>
      </c>
      <c r="J24" s="31" t="str">
        <f>Global!BQ24</f>
        <v/>
      </c>
      <c r="K24" s="31" t="str">
        <f>Global!BR24</f>
        <v/>
      </c>
      <c r="L24" s="31" t="str">
        <f>Global!BS24</f>
        <v/>
      </c>
      <c r="M24" s="31" t="str">
        <f>Global!BT24</f>
        <v>C</v>
      </c>
      <c r="N24" s="31" t="str">
        <f>Global!BU24</f>
        <v>C</v>
      </c>
      <c r="O24" s="31" t="str">
        <f>Global!BV24</f>
        <v/>
      </c>
      <c r="P24" s="31" t="str">
        <f>Global!BW24</f>
        <v/>
      </c>
      <c r="Q24" s="31" t="str">
        <f>Global!BX24</f>
        <v>C</v>
      </c>
      <c r="R24" s="31" t="str">
        <f>Global!BY24</f>
        <v>C</v>
      </c>
      <c r="S24" s="31" t="str">
        <f>Global!BZ24</f>
        <v>C</v>
      </c>
      <c r="T24" s="31" t="str">
        <f>Global!CA24</f>
        <v>C</v>
      </c>
      <c r="U24" s="31" t="str">
        <f>Global!CB24</f>
        <v>C</v>
      </c>
      <c r="V24" s="31" t="str">
        <f>Global!CC24</f>
        <v/>
      </c>
      <c r="W24" s="31" t="str">
        <f>Global!CD24</f>
        <v/>
      </c>
      <c r="X24" s="31" t="str">
        <f>Global!CE24</f>
        <v/>
      </c>
      <c r="Y24" s="31" t="str">
        <f>Global!CF24</f>
        <v/>
      </c>
      <c r="Z24" s="31" t="str">
        <f>Global!CG24</f>
        <v/>
      </c>
      <c r="AA24" s="31" t="str">
        <f>Global!CH24</f>
        <v/>
      </c>
      <c r="AB24" s="31" t="str">
        <f>Global!CI24</f>
        <v/>
      </c>
      <c r="AC24" s="31" t="str">
        <f>Global!CJ24</f>
        <v/>
      </c>
      <c r="AD24" s="31" t="str">
        <f>Global!CK24</f>
        <v/>
      </c>
      <c r="AE24" s="31" t="str">
        <f>Global!CL24</f>
        <v/>
      </c>
      <c r="AF24" s="31" t="str">
        <f>Global!CM24</f>
        <v/>
      </c>
      <c r="AG24" s="31" t="str">
        <f>Global!CN24</f>
        <v>C</v>
      </c>
      <c r="AH24" s="31" t="str">
        <f>Global!CO24</f>
        <v/>
      </c>
      <c r="AI24" s="31" t="str">
        <f>Global!CP24</f>
        <v/>
      </c>
      <c r="AJ24" s="48" t="str">
        <f>Global!CQ24</f>
        <v/>
      </c>
      <c r="AK24" s="108">
        <f>COUNTIF(Mars[[#This Row],[1]:[31]],"RTT")+(COUNTIF(Mars[[#This Row],[1]:[31]],"dRTT")/2)</f>
        <v>0</v>
      </c>
      <c r="AL24" s="109">
        <f>COUNTIF(Mars[[#This Row],[1]:[31]],"C")+(COUNTIF(Mars[[#This Row],[1]:[31]],"DC")/2)</f>
        <v>8</v>
      </c>
      <c r="AM24" s="22">
        <f>COUNTIF(Mars[[#This Row],[1]:[31]],"M")</f>
        <v>0</v>
      </c>
      <c r="AN24" s="22">
        <f>COUNTIF(Mars[[#This Row],[1]:[31]],"AT")</f>
        <v>0</v>
      </c>
      <c r="AO24" s="84">
        <f>IF(AND(Mars[[#This Row],[Maladie]]=0,Mars[[#This Row],[AT]]=0),((10*(_xlfn.DAYS("31/03/2018","01/03/2018")+1))/365),((_xlfn.DAYS("31/03/2018","01/03/2018")+1-(Mars[[#This Row],[Maladie]]+Mars[[#This Row],[AT]]))*((10*(_xlfn.DAYS("31/03/2018","01/03/2018")+1))/365))/(_xlfn.DAYS("31/03/2018","01/03/2018")+1))</f>
        <v>0.84931506849315064</v>
      </c>
    </row>
    <row r="25" spans="1:41" ht="30" customHeight="1" x14ac:dyDescent="0.2">
      <c r="A25" s="15" t="s">
        <v>81</v>
      </c>
      <c r="B25" s="22" t="s">
        <v>180</v>
      </c>
      <c r="C25" s="22" t="s">
        <v>157</v>
      </c>
      <c r="D25" s="22" t="s">
        <v>181</v>
      </c>
      <c r="E25" s="44">
        <v>0</v>
      </c>
      <c r="F25" s="47" t="str">
        <f>Global!BM25</f>
        <v>M</v>
      </c>
      <c r="G25" s="31" t="str">
        <f>Global!BN25</f>
        <v>M</v>
      </c>
      <c r="H25" s="31" t="str">
        <f>Global!BO25</f>
        <v>M</v>
      </c>
      <c r="I25" s="31" t="str">
        <f>Global!BP25</f>
        <v>M</v>
      </c>
      <c r="J25" s="31" t="str">
        <f>Global!BQ25</f>
        <v>M</v>
      </c>
      <c r="K25" s="31" t="str">
        <f>Global!BR25</f>
        <v>M</v>
      </c>
      <c r="L25" s="31" t="str">
        <f>Global!BS25</f>
        <v>M</v>
      </c>
      <c r="M25" s="31" t="str">
        <f>Global!BT25</f>
        <v>M</v>
      </c>
      <c r="N25" s="31" t="str">
        <f>Global!BU25</f>
        <v>M</v>
      </c>
      <c r="O25" s="31" t="str">
        <f>Global!BV25</f>
        <v>M</v>
      </c>
      <c r="P25" s="31" t="str">
        <f>Global!BW25</f>
        <v>M</v>
      </c>
      <c r="Q25" s="31" t="str">
        <f>Global!BX25</f>
        <v>M</v>
      </c>
      <c r="R25" s="31" t="str">
        <f>Global!BY25</f>
        <v>M</v>
      </c>
      <c r="S25" s="31" t="str">
        <f>Global!BZ25</f>
        <v>M</v>
      </c>
      <c r="T25" s="31" t="str">
        <f>Global!CA25</f>
        <v>M</v>
      </c>
      <c r="U25" s="31" t="str">
        <f>Global!CB25</f>
        <v>M</v>
      </c>
      <c r="V25" s="31" t="str">
        <f>Global!CC25</f>
        <v>M</v>
      </c>
      <c r="W25" s="31" t="str">
        <f>Global!CD25</f>
        <v>M</v>
      </c>
      <c r="X25" s="31" t="str">
        <f>Global!CE25</f>
        <v>M</v>
      </c>
      <c r="Y25" s="31" t="str">
        <f>Global!CF25</f>
        <v>M</v>
      </c>
      <c r="Z25" s="31" t="str">
        <f>Global!CG25</f>
        <v>M</v>
      </c>
      <c r="AA25" s="31" t="str">
        <f>Global!CH25</f>
        <v>M</v>
      </c>
      <c r="AB25" s="31" t="str">
        <f>Global!CI25</f>
        <v>M</v>
      </c>
      <c r="AC25" s="31" t="str">
        <f>Global!CJ25</f>
        <v>M</v>
      </c>
      <c r="AD25" s="31" t="str">
        <f>Global!CK25</f>
        <v>M</v>
      </c>
      <c r="AE25" s="31" t="str">
        <f>Global!CL25</f>
        <v>M</v>
      </c>
      <c r="AF25" s="31" t="str">
        <f>Global!CM25</f>
        <v>M</v>
      </c>
      <c r="AG25" s="31" t="str">
        <f>Global!CN25</f>
        <v>M</v>
      </c>
      <c r="AH25" s="31" t="str">
        <f>Global!CO25</f>
        <v>M</v>
      </c>
      <c r="AI25" s="31" t="str">
        <f>Global!CP25</f>
        <v>M</v>
      </c>
      <c r="AJ25" s="48" t="str">
        <f>Global!CQ25</f>
        <v>M</v>
      </c>
      <c r="AK25" s="108">
        <f>COUNTIF(Mars[[#This Row],[1]:[31]],"RTT")+(COUNTIF(Mars[[#This Row],[1]:[31]],"dRTT")/2)</f>
        <v>0</v>
      </c>
      <c r="AL25" s="109">
        <f>COUNTIF(Mars[[#This Row],[1]:[31]],"C")+(COUNTIF(Mars[[#This Row],[1]:[31]],"DC")/2)</f>
        <v>0</v>
      </c>
      <c r="AM25" s="22">
        <f>COUNTIF(Mars[[#This Row],[1]:[31]],"M")</f>
        <v>31</v>
      </c>
      <c r="AN25" s="22">
        <f>COUNTIF(Mars[[#This Row],[1]:[31]],"AT")</f>
        <v>0</v>
      </c>
      <c r="AO25" s="84">
        <f>IF(AND(Mars[[#This Row],[Maladie]]=0,Mars[[#This Row],[AT]]=0),((10*(_xlfn.DAYS("31/03/2018","01/03/2018")+1))/365),((_xlfn.DAYS("31/03/2018","01/03/2018")+1-(Mars[[#This Row],[Maladie]]+Mars[[#This Row],[AT]]))*((10*(_xlfn.DAYS("31/03/2018","01/03/2018")+1))/365))/(_xlfn.DAYS("31/03/2018","01/03/2018")+1))</f>
        <v>0</v>
      </c>
    </row>
    <row r="26" spans="1:41" ht="30" customHeight="1" x14ac:dyDescent="0.2">
      <c r="A26" s="15" t="s">
        <v>82</v>
      </c>
      <c r="B26" s="22" t="s">
        <v>182</v>
      </c>
      <c r="C26" s="22" t="s">
        <v>183</v>
      </c>
      <c r="D26" s="22" t="s">
        <v>184</v>
      </c>
      <c r="E26" s="44">
        <v>0</v>
      </c>
      <c r="F26" s="47" t="str">
        <f>Global!BM26</f>
        <v/>
      </c>
      <c r="G26" s="31" t="str">
        <f>Global!BN26</f>
        <v/>
      </c>
      <c r="H26" s="31" t="str">
        <f>Global!BO26</f>
        <v/>
      </c>
      <c r="I26" s="31" t="str">
        <f>Global!BP26</f>
        <v/>
      </c>
      <c r="J26" s="31" t="str">
        <f>Global!BQ26</f>
        <v/>
      </c>
      <c r="K26" s="31" t="str">
        <f>Global!BR26</f>
        <v/>
      </c>
      <c r="L26" s="31" t="str">
        <f>Global!BS26</f>
        <v/>
      </c>
      <c r="M26" s="31" t="str">
        <f>Global!BT26</f>
        <v/>
      </c>
      <c r="N26" s="31" t="str">
        <f>Global!BU26</f>
        <v/>
      </c>
      <c r="O26" s="31" t="str">
        <f>Global!BV26</f>
        <v/>
      </c>
      <c r="P26" s="31" t="str">
        <f>Global!BW26</f>
        <v/>
      </c>
      <c r="Q26" s="31" t="str">
        <f>Global!BX26</f>
        <v/>
      </c>
      <c r="R26" s="31" t="str">
        <f>Global!BY26</f>
        <v/>
      </c>
      <c r="S26" s="31" t="str">
        <f>Global!BZ26</f>
        <v/>
      </c>
      <c r="T26" s="31" t="str">
        <f>Global!CA26</f>
        <v/>
      </c>
      <c r="U26" s="31" t="str">
        <f>Global!CB26</f>
        <v/>
      </c>
      <c r="V26" s="31" t="str">
        <f>Global!CC26</f>
        <v/>
      </c>
      <c r="W26" s="31" t="str">
        <f>Global!CD26</f>
        <v/>
      </c>
      <c r="X26" s="31" t="str">
        <f>Global!CE26</f>
        <v/>
      </c>
      <c r="Y26" s="31" t="str">
        <f>Global!CF26</f>
        <v/>
      </c>
      <c r="Z26" s="31" t="str">
        <f>Global!CG26</f>
        <v/>
      </c>
      <c r="AA26" s="31" t="str">
        <f>Global!CH26</f>
        <v>C</v>
      </c>
      <c r="AB26" s="31" t="str">
        <f>Global!CI26</f>
        <v/>
      </c>
      <c r="AC26" s="31" t="str">
        <f>Global!CJ26</f>
        <v/>
      </c>
      <c r="AD26" s="31" t="str">
        <f>Global!CK26</f>
        <v/>
      </c>
      <c r="AE26" s="31" t="str">
        <f>Global!CL26</f>
        <v/>
      </c>
      <c r="AF26" s="31" t="str">
        <f>Global!CM26</f>
        <v/>
      </c>
      <c r="AG26" s="31" t="str">
        <f>Global!CN26</f>
        <v/>
      </c>
      <c r="AH26" s="31" t="str">
        <f>Global!CO26</f>
        <v/>
      </c>
      <c r="AI26" s="31" t="str">
        <f>Global!CP26</f>
        <v/>
      </c>
      <c r="AJ26" s="48" t="str">
        <f>Global!CQ26</f>
        <v/>
      </c>
      <c r="AK26" s="108">
        <f>COUNTIF(Mars[[#This Row],[1]:[31]],"RTT")+(COUNTIF(Mars[[#This Row],[1]:[31]],"dRTT")/2)</f>
        <v>0</v>
      </c>
      <c r="AL26" s="109">
        <f>COUNTIF(Mars[[#This Row],[1]:[31]],"C")+(COUNTIF(Mars[[#This Row],[1]:[31]],"DC")/2)</f>
        <v>1</v>
      </c>
      <c r="AM26" s="22">
        <f>COUNTIF(Mars[[#This Row],[1]:[31]],"M")</f>
        <v>0</v>
      </c>
      <c r="AN26" s="22">
        <f>COUNTIF(Mars[[#This Row],[1]:[31]],"AT")</f>
        <v>0</v>
      </c>
      <c r="AO26" s="84">
        <f>IF(AND(Mars[[#This Row],[Maladie]]=0,Mars[[#This Row],[AT]]=0),((10*(_xlfn.DAYS("31/03/2018","01/03/2018")+1))/365),((_xlfn.DAYS("31/03/2018","01/03/2018")+1-(Mars[[#This Row],[Maladie]]+Mars[[#This Row],[AT]]))*((10*(_xlfn.DAYS("31/03/2018","01/03/2018")+1))/365))/(_xlfn.DAYS("31/03/2018","01/03/2018")+1))</f>
        <v>0.84931506849315064</v>
      </c>
    </row>
    <row r="27" spans="1:41" ht="30" customHeight="1" x14ac:dyDescent="0.2">
      <c r="A27" s="15" t="s">
        <v>83</v>
      </c>
      <c r="B27" s="22" t="s">
        <v>185</v>
      </c>
      <c r="C27" s="22" t="s">
        <v>186</v>
      </c>
      <c r="D27" s="22" t="s">
        <v>187</v>
      </c>
      <c r="E27" s="44">
        <v>0</v>
      </c>
      <c r="F27" s="47" t="str">
        <f>Global!BM27</f>
        <v>C</v>
      </c>
      <c r="G27" s="31" t="str">
        <f>Global!BN27</f>
        <v>C</v>
      </c>
      <c r="H27" s="31" t="str">
        <f>Global!BO27</f>
        <v/>
      </c>
      <c r="I27" s="31" t="str">
        <f>Global!BP27</f>
        <v/>
      </c>
      <c r="J27" s="31" t="str">
        <f>Global!BQ27</f>
        <v/>
      </c>
      <c r="K27" s="31" t="str">
        <f>Global!BR27</f>
        <v/>
      </c>
      <c r="L27" s="31" t="str">
        <f>Global!BS27</f>
        <v/>
      </c>
      <c r="M27" s="31" t="str">
        <f>Global!BT27</f>
        <v/>
      </c>
      <c r="N27" s="31" t="str">
        <f>Global!BU27</f>
        <v/>
      </c>
      <c r="O27" s="31" t="str">
        <f>Global!BV27</f>
        <v/>
      </c>
      <c r="P27" s="31" t="str">
        <f>Global!BW27</f>
        <v/>
      </c>
      <c r="Q27" s="31" t="str">
        <f>Global!BX27</f>
        <v/>
      </c>
      <c r="R27" s="31" t="str">
        <f>Global!BY27</f>
        <v/>
      </c>
      <c r="S27" s="31" t="str">
        <f>Global!BZ27</f>
        <v/>
      </c>
      <c r="T27" s="31" t="str">
        <f>Global!CA27</f>
        <v/>
      </c>
      <c r="U27" s="31" t="str">
        <f>Global!CB27</f>
        <v/>
      </c>
      <c r="V27" s="31" t="str">
        <f>Global!CC27</f>
        <v/>
      </c>
      <c r="W27" s="31" t="str">
        <f>Global!CD27</f>
        <v/>
      </c>
      <c r="X27" s="31" t="str">
        <f>Global!CE27</f>
        <v/>
      </c>
      <c r="Y27" s="31" t="str">
        <f>Global!CF27</f>
        <v/>
      </c>
      <c r="Z27" s="31" t="str">
        <f>Global!CG27</f>
        <v/>
      </c>
      <c r="AA27" s="31" t="str">
        <f>Global!CH27</f>
        <v/>
      </c>
      <c r="AB27" s="31" t="str">
        <f>Global!CI27</f>
        <v/>
      </c>
      <c r="AC27" s="31" t="str">
        <f>Global!CJ27</f>
        <v/>
      </c>
      <c r="AD27" s="31" t="str">
        <f>Global!CK27</f>
        <v/>
      </c>
      <c r="AE27" s="31" t="str">
        <f>Global!CL27</f>
        <v/>
      </c>
      <c r="AF27" s="31" t="str">
        <f>Global!CM27</f>
        <v/>
      </c>
      <c r="AG27" s="31" t="str">
        <f>Global!CN27</f>
        <v/>
      </c>
      <c r="AH27" s="31" t="str">
        <f>Global!CO27</f>
        <v/>
      </c>
      <c r="AI27" s="31" t="str">
        <f>Global!CP27</f>
        <v/>
      </c>
      <c r="AJ27" s="48" t="str">
        <f>Global!CQ27</f>
        <v/>
      </c>
      <c r="AK27" s="108">
        <f>COUNTIF(Mars[[#This Row],[1]:[31]],"RTT")+(COUNTIF(Mars[[#This Row],[1]:[31]],"dRTT")/2)</f>
        <v>0</v>
      </c>
      <c r="AL27" s="109">
        <f>COUNTIF(Mars[[#This Row],[1]:[31]],"C")+(COUNTIF(Mars[[#This Row],[1]:[31]],"DC")/2)</f>
        <v>2</v>
      </c>
      <c r="AM27" s="22">
        <f>COUNTIF(Mars[[#This Row],[1]:[31]],"M")</f>
        <v>0</v>
      </c>
      <c r="AN27" s="22">
        <f>COUNTIF(Mars[[#This Row],[1]:[31]],"AT")</f>
        <v>0</v>
      </c>
      <c r="AO27" s="84">
        <f>IF(AND(Mars[[#This Row],[Maladie]]=0,Mars[[#This Row],[AT]]=0),((10*(_xlfn.DAYS("31/03/2018","01/03/2018")+1))/365),((_xlfn.DAYS("31/03/2018","01/03/2018")+1-(Mars[[#This Row],[Maladie]]+Mars[[#This Row],[AT]]))*((10*(_xlfn.DAYS("31/03/2018","01/03/2018")+1))/365))/(_xlfn.DAYS("31/03/2018","01/03/2018")+1))</f>
        <v>0.84931506849315064</v>
      </c>
    </row>
    <row r="28" spans="1:41" ht="30" customHeight="1" x14ac:dyDescent="0.2">
      <c r="A28" s="15" t="s">
        <v>84</v>
      </c>
      <c r="B28" s="22" t="s">
        <v>188</v>
      </c>
      <c r="C28" s="22" t="s">
        <v>189</v>
      </c>
      <c r="D28" s="22" t="s">
        <v>190</v>
      </c>
      <c r="E28" s="44">
        <v>0</v>
      </c>
      <c r="F28" s="47" t="str">
        <f>Global!BM28</f>
        <v/>
      </c>
      <c r="G28" s="31" t="str">
        <f>Global!BN28</f>
        <v/>
      </c>
      <c r="H28" s="31" t="str">
        <f>Global!BO28</f>
        <v/>
      </c>
      <c r="I28" s="31" t="str">
        <f>Global!BP28</f>
        <v/>
      </c>
      <c r="J28" s="31" t="str">
        <f>Global!BQ28</f>
        <v/>
      </c>
      <c r="K28" s="31" t="str">
        <f>Global!BR28</f>
        <v/>
      </c>
      <c r="L28" s="31" t="str">
        <f>Global!BS28</f>
        <v/>
      </c>
      <c r="M28" s="31" t="str">
        <f>Global!BT28</f>
        <v/>
      </c>
      <c r="N28" s="31" t="str">
        <f>Global!BU28</f>
        <v/>
      </c>
      <c r="O28" s="31" t="str">
        <f>Global!BV28</f>
        <v/>
      </c>
      <c r="P28" s="31" t="str">
        <f>Global!BW28</f>
        <v/>
      </c>
      <c r="Q28" s="31" t="str">
        <f>Global!BX28</f>
        <v/>
      </c>
      <c r="R28" s="31" t="str">
        <f>Global!BY28</f>
        <v/>
      </c>
      <c r="S28" s="31" t="str">
        <f>Global!BZ28</f>
        <v/>
      </c>
      <c r="T28" s="31" t="str">
        <f>Global!CA28</f>
        <v/>
      </c>
      <c r="U28" s="31" t="str">
        <f>Global!CB28</f>
        <v/>
      </c>
      <c r="V28" s="31" t="str">
        <f>Global!CC28</f>
        <v/>
      </c>
      <c r="W28" s="31" t="str">
        <f>Global!CD28</f>
        <v/>
      </c>
      <c r="X28" s="31" t="str">
        <f>Global!CE28</f>
        <v/>
      </c>
      <c r="Y28" s="31" t="str">
        <f>Global!CF28</f>
        <v/>
      </c>
      <c r="Z28" s="31" t="str">
        <f>Global!CG28</f>
        <v/>
      </c>
      <c r="AA28" s="31" t="str">
        <f>Global!CH28</f>
        <v/>
      </c>
      <c r="AB28" s="31" t="str">
        <f>Global!CI28</f>
        <v/>
      </c>
      <c r="AC28" s="31" t="str">
        <f>Global!CJ28</f>
        <v/>
      </c>
      <c r="AD28" s="31" t="str">
        <f>Global!CK28</f>
        <v/>
      </c>
      <c r="AE28" s="31" t="str">
        <f>Global!CL28</f>
        <v/>
      </c>
      <c r="AF28" s="31" t="str">
        <f>Global!CM28</f>
        <v/>
      </c>
      <c r="AG28" s="31" t="str">
        <f>Global!CN28</f>
        <v/>
      </c>
      <c r="AH28" s="31" t="str">
        <f>Global!CO28</f>
        <v/>
      </c>
      <c r="AI28" s="31" t="str">
        <f>Global!CP28</f>
        <v/>
      </c>
      <c r="AJ28" s="48" t="str">
        <f>Global!CQ28</f>
        <v/>
      </c>
      <c r="AK28" s="108">
        <f>COUNTIF(Mars[[#This Row],[1]:[31]],"RTT")+(COUNTIF(Mars[[#This Row],[1]:[31]],"dRTT")/2)</f>
        <v>0</v>
      </c>
      <c r="AL28" s="109">
        <f>COUNTIF(Mars[[#This Row],[1]:[31]],"C")+(COUNTIF(Mars[[#This Row],[1]:[31]],"DC")/2)</f>
        <v>0</v>
      </c>
      <c r="AM28" s="22">
        <f>COUNTIF(Mars[[#This Row],[1]:[31]],"M")</f>
        <v>0</v>
      </c>
      <c r="AN28" s="22">
        <f>COUNTIF(Mars[[#This Row],[1]:[31]],"AT")</f>
        <v>0</v>
      </c>
      <c r="AO28" s="84">
        <f>IF(AND(Mars[[#This Row],[Maladie]]=0,Mars[[#This Row],[AT]]=0),((10*(_xlfn.DAYS("31/03/2018","01/03/2018")+1))/365),((_xlfn.DAYS("31/03/2018","01/03/2018")+1-(Mars[[#This Row],[Maladie]]+Mars[[#This Row],[AT]]))*((10*(_xlfn.DAYS("31/03/2018","01/03/2018")+1))/365))/(_xlfn.DAYS("31/03/2018","01/03/2018")+1))</f>
        <v>0.84931506849315064</v>
      </c>
    </row>
    <row r="29" spans="1:41" ht="30" customHeight="1" x14ac:dyDescent="0.2">
      <c r="A29" s="15" t="s">
        <v>85</v>
      </c>
      <c r="B29" s="22" t="s">
        <v>191</v>
      </c>
      <c r="C29" s="22" t="s">
        <v>192</v>
      </c>
      <c r="D29" s="22" t="s">
        <v>193</v>
      </c>
      <c r="E29" s="44">
        <v>0</v>
      </c>
      <c r="F29" s="47" t="str">
        <f>Global!BM29</f>
        <v>C</v>
      </c>
      <c r="G29" s="31" t="str">
        <f>Global!BN29</f>
        <v/>
      </c>
      <c r="H29" s="31" t="str">
        <f>Global!BO29</f>
        <v/>
      </c>
      <c r="I29" s="31" t="str">
        <f>Global!BP29</f>
        <v/>
      </c>
      <c r="J29" s="31" t="str">
        <f>Global!BQ29</f>
        <v/>
      </c>
      <c r="K29" s="31" t="str">
        <f>Global!BR29</f>
        <v/>
      </c>
      <c r="L29" s="31" t="str">
        <f>Global!BS29</f>
        <v>C</v>
      </c>
      <c r="M29" s="31" t="str">
        <f>Global!BT29</f>
        <v/>
      </c>
      <c r="N29" s="31" t="str">
        <f>Global!BU29</f>
        <v/>
      </c>
      <c r="O29" s="31" t="str">
        <f>Global!BV29</f>
        <v/>
      </c>
      <c r="P29" s="31" t="str">
        <f>Global!BW29</f>
        <v/>
      </c>
      <c r="Q29" s="31" t="str">
        <f>Global!BX29</f>
        <v/>
      </c>
      <c r="R29" s="31" t="str">
        <f>Global!BY29</f>
        <v/>
      </c>
      <c r="S29" s="31" t="str">
        <f>Global!BZ29</f>
        <v/>
      </c>
      <c r="T29" s="31" t="str">
        <f>Global!CA29</f>
        <v/>
      </c>
      <c r="U29" s="31" t="str">
        <f>Global!CB29</f>
        <v/>
      </c>
      <c r="V29" s="31" t="str">
        <f>Global!CC29</f>
        <v/>
      </c>
      <c r="W29" s="31" t="str">
        <f>Global!CD29</f>
        <v/>
      </c>
      <c r="X29" s="31" t="str">
        <f>Global!CE29</f>
        <v/>
      </c>
      <c r="Y29" s="31" t="str">
        <f>Global!CF29</f>
        <v/>
      </c>
      <c r="Z29" s="31" t="str">
        <f>Global!CG29</f>
        <v>C</v>
      </c>
      <c r="AA29" s="31" t="str">
        <f>Global!CH29</f>
        <v/>
      </c>
      <c r="AB29" s="31" t="str">
        <f>Global!CI29</f>
        <v/>
      </c>
      <c r="AC29" s="31" t="str">
        <f>Global!CJ29</f>
        <v/>
      </c>
      <c r="AD29" s="31" t="str">
        <f>Global!CK29</f>
        <v/>
      </c>
      <c r="AE29" s="31" t="str">
        <f>Global!CL29</f>
        <v/>
      </c>
      <c r="AF29" s="31" t="str">
        <f>Global!CM29</f>
        <v/>
      </c>
      <c r="AG29" s="31" t="str">
        <f>Global!CN29</f>
        <v/>
      </c>
      <c r="AH29" s="31" t="str">
        <f>Global!CO29</f>
        <v/>
      </c>
      <c r="AI29" s="31" t="str">
        <f>Global!CP29</f>
        <v/>
      </c>
      <c r="AJ29" s="48" t="str">
        <f>Global!CQ29</f>
        <v/>
      </c>
      <c r="AK29" s="108">
        <f>COUNTIF(Mars[[#This Row],[1]:[31]],"RTT")+(COUNTIF(Mars[[#This Row],[1]:[31]],"dRTT")/2)</f>
        <v>0</v>
      </c>
      <c r="AL29" s="109">
        <f>COUNTIF(Mars[[#This Row],[1]:[31]],"C")+(COUNTIF(Mars[[#This Row],[1]:[31]],"DC")/2)</f>
        <v>3</v>
      </c>
      <c r="AM29" s="22">
        <f>COUNTIF(Mars[[#This Row],[1]:[31]],"M")</f>
        <v>0</v>
      </c>
      <c r="AN29" s="22">
        <f>COUNTIF(Mars[[#This Row],[1]:[31]],"AT")</f>
        <v>0</v>
      </c>
      <c r="AO29" s="84">
        <f>IF(AND(Mars[[#This Row],[Maladie]]=0,Mars[[#This Row],[AT]]=0),((10*(_xlfn.DAYS("31/03/2018","01/03/2018")+1))/365),((_xlfn.DAYS("31/03/2018","01/03/2018")+1-(Mars[[#This Row],[Maladie]]+Mars[[#This Row],[AT]]))*((10*(_xlfn.DAYS("31/03/2018","01/03/2018")+1))/365))/(_xlfn.DAYS("31/03/2018","01/03/2018")+1))</f>
        <v>0.84931506849315064</v>
      </c>
    </row>
    <row r="30" spans="1:41" ht="30" customHeight="1" x14ac:dyDescent="0.2">
      <c r="A30" s="15" t="s">
        <v>86</v>
      </c>
      <c r="B30" s="22" t="s">
        <v>194</v>
      </c>
      <c r="C30" s="22" t="s">
        <v>192</v>
      </c>
      <c r="D30" s="22" t="s">
        <v>195</v>
      </c>
      <c r="E30" s="44" t="s">
        <v>162</v>
      </c>
      <c r="F30" s="47" t="str">
        <f>Global!BM30</f>
        <v/>
      </c>
      <c r="G30" s="31" t="str">
        <f>Global!BN30</f>
        <v/>
      </c>
      <c r="H30" s="31" t="str">
        <f>Global!BO30</f>
        <v/>
      </c>
      <c r="I30" s="31" t="str">
        <f>Global!BP30</f>
        <v/>
      </c>
      <c r="J30" s="31" t="str">
        <f>Global!BQ30</f>
        <v/>
      </c>
      <c r="K30" s="31" t="str">
        <f>Global!BR30</f>
        <v/>
      </c>
      <c r="L30" s="31" t="str">
        <f>Global!BS30</f>
        <v/>
      </c>
      <c r="M30" s="31" t="str">
        <f>Global!BT30</f>
        <v/>
      </c>
      <c r="N30" s="31" t="str">
        <f>Global!BU30</f>
        <v/>
      </c>
      <c r="O30" s="31" t="str">
        <f>Global!BV30</f>
        <v/>
      </c>
      <c r="P30" s="31" t="str">
        <f>Global!BW30</f>
        <v/>
      </c>
      <c r="Q30" s="31" t="str">
        <f>Global!BX30</f>
        <v/>
      </c>
      <c r="R30" s="31" t="str">
        <f>Global!BY30</f>
        <v/>
      </c>
      <c r="S30" s="31" t="str">
        <f>Global!BZ30</f>
        <v/>
      </c>
      <c r="T30" s="31" t="str">
        <f>Global!CA30</f>
        <v/>
      </c>
      <c r="U30" s="31" t="str">
        <f>Global!CB30</f>
        <v/>
      </c>
      <c r="V30" s="31" t="str">
        <f>Global!CC30</f>
        <v/>
      </c>
      <c r="W30" s="31" t="str">
        <f>Global!CD30</f>
        <v/>
      </c>
      <c r="X30" s="31" t="str">
        <f>Global!CE30</f>
        <v/>
      </c>
      <c r="Y30" s="31" t="str">
        <f>Global!CF30</f>
        <v/>
      </c>
      <c r="Z30" s="31" t="str">
        <f>Global!CG30</f>
        <v/>
      </c>
      <c r="AA30" s="31" t="str">
        <f>Global!CH30</f>
        <v/>
      </c>
      <c r="AB30" s="31" t="str">
        <f>Global!CI30</f>
        <v/>
      </c>
      <c r="AC30" s="31" t="str">
        <f>Global!CJ30</f>
        <v/>
      </c>
      <c r="AD30" s="31" t="str">
        <f>Global!CK30</f>
        <v/>
      </c>
      <c r="AE30" s="31" t="str">
        <f>Global!CL30</f>
        <v/>
      </c>
      <c r="AF30" s="31" t="str">
        <f>Global!CM30</f>
        <v/>
      </c>
      <c r="AG30" s="31" t="str">
        <f>Global!CN30</f>
        <v/>
      </c>
      <c r="AH30" s="31" t="str">
        <f>Global!CO30</f>
        <v/>
      </c>
      <c r="AI30" s="31" t="str">
        <f>Global!CP30</f>
        <v/>
      </c>
      <c r="AJ30" s="48" t="str">
        <f>Global!CQ30</f>
        <v/>
      </c>
      <c r="AK30" s="108">
        <f>COUNTIF(Mars[[#This Row],[1]:[31]],"RTT")+(COUNTIF(Mars[[#This Row],[1]:[31]],"dRTT")/2)</f>
        <v>0</v>
      </c>
      <c r="AL30" s="109">
        <f>COUNTIF(Mars[[#This Row],[1]:[31]],"C")+(COUNTIF(Mars[[#This Row],[1]:[31]],"DC")/2)</f>
        <v>0</v>
      </c>
      <c r="AM30" s="22">
        <f>COUNTIF(Mars[[#This Row],[1]:[31]],"M")</f>
        <v>0</v>
      </c>
      <c r="AN30" s="22">
        <f>COUNTIF(Mars[[#This Row],[1]:[31]],"AT")</f>
        <v>0</v>
      </c>
      <c r="AO30" s="84">
        <f>IF(AND(Mars[[#This Row],[Maladie]]=0,Mars[[#This Row],[AT]]=0),((10*(_xlfn.DAYS("31/03/2018","01/03/2018")+1))/365),((_xlfn.DAYS("31/03/2018","01/03/2018")+1-(Mars[[#This Row],[Maladie]]+Mars[[#This Row],[AT]]))*((10*(_xlfn.DAYS("31/03/2018","01/03/2018")+1))/365))/(_xlfn.DAYS("31/03/2018","01/03/2018")+1))</f>
        <v>0.84931506849315064</v>
      </c>
    </row>
    <row r="31" spans="1:41" ht="30" customHeight="1" x14ac:dyDescent="0.2">
      <c r="A31" s="15" t="s">
        <v>87</v>
      </c>
      <c r="B31" s="22" t="s">
        <v>196</v>
      </c>
      <c r="C31" s="22" t="s">
        <v>197</v>
      </c>
      <c r="D31" s="22" t="s">
        <v>198</v>
      </c>
      <c r="E31" s="44" t="s">
        <v>162</v>
      </c>
      <c r="F31" s="47" t="str">
        <f>Global!BM31</f>
        <v>C</v>
      </c>
      <c r="G31" s="31" t="str">
        <f>Global!BN31</f>
        <v/>
      </c>
      <c r="H31" s="31" t="str">
        <f>Global!BO31</f>
        <v/>
      </c>
      <c r="I31" s="31" t="str">
        <f>Global!BP31</f>
        <v/>
      </c>
      <c r="J31" s="31" t="str">
        <f>Global!BQ31</f>
        <v/>
      </c>
      <c r="K31" s="31" t="str">
        <f>Global!BR31</f>
        <v>C</v>
      </c>
      <c r="L31" s="31" t="str">
        <f>Global!BS31</f>
        <v/>
      </c>
      <c r="M31" s="31" t="str">
        <f>Global!BT31</f>
        <v>C</v>
      </c>
      <c r="N31" s="31" t="str">
        <f>Global!BU31</f>
        <v>C</v>
      </c>
      <c r="O31" s="31" t="str">
        <f>Global!BV31</f>
        <v/>
      </c>
      <c r="P31" s="31" t="str">
        <f>Global!BW31</f>
        <v/>
      </c>
      <c r="Q31" s="31" t="str">
        <f>Global!BX31</f>
        <v/>
      </c>
      <c r="R31" s="31" t="str">
        <f>Global!BY31</f>
        <v>M</v>
      </c>
      <c r="S31" s="31" t="str">
        <f>Global!BZ31</f>
        <v>M</v>
      </c>
      <c r="T31" s="31" t="str">
        <f>Global!CA31</f>
        <v>M</v>
      </c>
      <c r="U31" s="31" t="str">
        <f>Global!CB31</f>
        <v>M</v>
      </c>
      <c r="V31" s="31" t="str">
        <f>Global!CC31</f>
        <v>M</v>
      </c>
      <c r="W31" s="31" t="str">
        <f>Global!CD31</f>
        <v>M</v>
      </c>
      <c r="X31" s="31" t="str">
        <f>Global!CE31</f>
        <v>M</v>
      </c>
      <c r="Y31" s="31" t="str">
        <f>Global!CF31</f>
        <v>M</v>
      </c>
      <c r="Z31" s="31" t="str">
        <f>Global!CG31</f>
        <v>M</v>
      </c>
      <c r="AA31" s="31" t="str">
        <f>Global!CH31</f>
        <v/>
      </c>
      <c r="AB31" s="31" t="str">
        <f>Global!CI31</f>
        <v/>
      </c>
      <c r="AC31" s="31" t="str">
        <f>Global!CJ31</f>
        <v/>
      </c>
      <c r="AD31" s="31" t="str">
        <f>Global!CK31</f>
        <v/>
      </c>
      <c r="AE31" s="31" t="str">
        <f>Global!CL31</f>
        <v>C</v>
      </c>
      <c r="AF31" s="31" t="str">
        <f>Global!CM31</f>
        <v>C</v>
      </c>
      <c r="AG31" s="31" t="str">
        <f>Global!CN31</f>
        <v>C</v>
      </c>
      <c r="AH31" s="31" t="str">
        <f>Global!CO31</f>
        <v>C</v>
      </c>
      <c r="AI31" s="31" t="str">
        <f>Global!CP31</f>
        <v>C</v>
      </c>
      <c r="AJ31" s="48" t="str">
        <f>Global!CQ31</f>
        <v/>
      </c>
      <c r="AK31" s="108">
        <f>COUNTIF(Mars[[#This Row],[1]:[31]],"RTT")+(COUNTIF(Mars[[#This Row],[1]:[31]],"dRTT")/2)</f>
        <v>0</v>
      </c>
      <c r="AL31" s="109">
        <f>COUNTIF(Mars[[#This Row],[1]:[31]],"C")+(COUNTIF(Mars[[#This Row],[1]:[31]],"DC")/2)</f>
        <v>9</v>
      </c>
      <c r="AM31" s="22">
        <f>COUNTIF(Mars[[#This Row],[1]:[31]],"M")</f>
        <v>9</v>
      </c>
      <c r="AN31" s="22">
        <f>COUNTIF(Mars[[#This Row],[1]:[31]],"AT")</f>
        <v>0</v>
      </c>
      <c r="AO31" s="84">
        <f>IF(AND(Mars[[#This Row],[Maladie]]=0,Mars[[#This Row],[AT]]=0),((10*(_xlfn.DAYS("31/03/2018","01/03/2018")+1))/365),((_xlfn.DAYS("31/03/2018","01/03/2018")+1-(Mars[[#This Row],[Maladie]]+Mars[[#This Row],[AT]]))*((10*(_xlfn.DAYS("31/03/2018","01/03/2018")+1))/365))/(_xlfn.DAYS("31/03/2018","01/03/2018")+1))</f>
        <v>0.60273972602739723</v>
      </c>
    </row>
    <row r="32" spans="1:41" ht="30" customHeight="1" x14ac:dyDescent="0.2">
      <c r="A32" s="15" t="s">
        <v>88</v>
      </c>
      <c r="B32" s="22" t="s">
        <v>199</v>
      </c>
      <c r="C32" s="22" t="s">
        <v>200</v>
      </c>
      <c r="D32" s="22" t="s">
        <v>201</v>
      </c>
      <c r="E32" s="44">
        <v>0</v>
      </c>
      <c r="F32" s="47" t="str">
        <f>Global!BM32</f>
        <v/>
      </c>
      <c r="G32" s="31" t="str">
        <f>Global!BN32</f>
        <v/>
      </c>
      <c r="H32" s="31" t="str">
        <f>Global!BO32</f>
        <v/>
      </c>
      <c r="I32" s="31" t="str">
        <f>Global!BP32</f>
        <v/>
      </c>
      <c r="J32" s="31" t="str">
        <f>Global!BQ32</f>
        <v/>
      </c>
      <c r="K32" s="31" t="str">
        <f>Global!BR32</f>
        <v/>
      </c>
      <c r="L32" s="31" t="str">
        <f>Global!BS32</f>
        <v/>
      </c>
      <c r="M32" s="31" t="str">
        <f>Global!BT32</f>
        <v/>
      </c>
      <c r="N32" s="31" t="str">
        <f>Global!BU32</f>
        <v/>
      </c>
      <c r="O32" s="31" t="str">
        <f>Global!BV32</f>
        <v/>
      </c>
      <c r="P32" s="31" t="str">
        <f>Global!BW32</f>
        <v/>
      </c>
      <c r="Q32" s="31" t="str">
        <f>Global!BX32</f>
        <v/>
      </c>
      <c r="R32" s="31" t="str">
        <f>Global!BY32</f>
        <v/>
      </c>
      <c r="S32" s="31" t="str">
        <f>Global!BZ32</f>
        <v/>
      </c>
      <c r="T32" s="31" t="str">
        <f>Global!CA32</f>
        <v/>
      </c>
      <c r="U32" s="31" t="str">
        <f>Global!CB32</f>
        <v/>
      </c>
      <c r="V32" s="31" t="str">
        <f>Global!CC32</f>
        <v/>
      </c>
      <c r="W32" s="31" t="str">
        <f>Global!CD32</f>
        <v/>
      </c>
      <c r="X32" s="31" t="str">
        <f>Global!CE32</f>
        <v/>
      </c>
      <c r="Y32" s="31" t="str">
        <f>Global!CF32</f>
        <v/>
      </c>
      <c r="Z32" s="31" t="str">
        <f>Global!CG32</f>
        <v/>
      </c>
      <c r="AA32" s="31" t="str">
        <f>Global!CH32</f>
        <v/>
      </c>
      <c r="AB32" s="31" t="str">
        <f>Global!CI32</f>
        <v/>
      </c>
      <c r="AC32" s="31" t="str">
        <f>Global!CJ32</f>
        <v/>
      </c>
      <c r="AD32" s="31" t="str">
        <f>Global!CK32</f>
        <v/>
      </c>
      <c r="AE32" s="31" t="str">
        <f>Global!CL32</f>
        <v/>
      </c>
      <c r="AF32" s="31" t="str">
        <f>Global!CM32</f>
        <v/>
      </c>
      <c r="AG32" s="31" t="str">
        <f>Global!CN32</f>
        <v/>
      </c>
      <c r="AH32" s="31" t="str">
        <f>Global!CO32</f>
        <v/>
      </c>
      <c r="AI32" s="31" t="str">
        <f>Global!CP32</f>
        <v/>
      </c>
      <c r="AJ32" s="48" t="str">
        <f>Global!CQ32</f>
        <v/>
      </c>
      <c r="AK32" s="108">
        <f>COUNTIF(Mars[[#This Row],[1]:[31]],"RTT")+(COUNTIF(Mars[[#This Row],[1]:[31]],"dRTT")/2)</f>
        <v>0</v>
      </c>
      <c r="AL32" s="109">
        <f>COUNTIF(Mars[[#This Row],[1]:[31]],"C")+(COUNTIF(Mars[[#This Row],[1]:[31]],"DC")/2)</f>
        <v>0</v>
      </c>
      <c r="AM32" s="22">
        <f>COUNTIF(Mars[[#This Row],[1]:[31]],"M")</f>
        <v>0</v>
      </c>
      <c r="AN32" s="22">
        <f>COUNTIF(Mars[[#This Row],[1]:[31]],"AT")</f>
        <v>0</v>
      </c>
      <c r="AO32" s="84">
        <f>IF(AND(Mars[[#This Row],[Maladie]]=0,Mars[[#This Row],[AT]]=0),((10*(_xlfn.DAYS("31/03/2018","01/03/2018")+1))/365),((_xlfn.DAYS("31/03/2018","01/03/2018")+1-(Mars[[#This Row],[Maladie]]+Mars[[#This Row],[AT]]))*((10*(_xlfn.DAYS("31/03/2018","01/03/2018")+1))/365))/(_xlfn.DAYS("31/03/2018","01/03/2018")+1))</f>
        <v>0.84931506849315064</v>
      </c>
    </row>
    <row r="33" spans="1:41" ht="30" customHeight="1" x14ac:dyDescent="0.2">
      <c r="A33" s="13" t="s">
        <v>89</v>
      </c>
      <c r="B33" s="22" t="s">
        <v>202</v>
      </c>
      <c r="C33" s="22" t="s">
        <v>172</v>
      </c>
      <c r="D33" s="22" t="s">
        <v>203</v>
      </c>
      <c r="E33" s="44">
        <v>0</v>
      </c>
      <c r="F33" s="47" t="str">
        <f>Global!BM33</f>
        <v>C</v>
      </c>
      <c r="G33" s="31" t="str">
        <f>Global!BN33</f>
        <v/>
      </c>
      <c r="H33" s="31" t="str">
        <f>Global!BO33</f>
        <v/>
      </c>
      <c r="I33" s="31" t="str">
        <f>Global!BP33</f>
        <v/>
      </c>
      <c r="J33" s="31" t="str">
        <f>Global!BQ33</f>
        <v/>
      </c>
      <c r="K33" s="31" t="str">
        <f>Global!BR33</f>
        <v/>
      </c>
      <c r="L33" s="31" t="str">
        <f>Global!BS33</f>
        <v/>
      </c>
      <c r="M33" s="31" t="str">
        <f>Global!BT33</f>
        <v/>
      </c>
      <c r="N33" s="31" t="str">
        <f>Global!BU33</f>
        <v/>
      </c>
      <c r="O33" s="31" t="str">
        <f>Global!BV33</f>
        <v/>
      </c>
      <c r="P33" s="31" t="str">
        <f>Global!BW33</f>
        <v/>
      </c>
      <c r="Q33" s="31" t="str">
        <f>Global!BX33</f>
        <v/>
      </c>
      <c r="R33" s="31" t="str">
        <f>Global!BY33</f>
        <v>C</v>
      </c>
      <c r="S33" s="31" t="str">
        <f>Global!BZ33</f>
        <v>C</v>
      </c>
      <c r="T33" s="31" t="str">
        <f>Global!CA33</f>
        <v>C</v>
      </c>
      <c r="U33" s="31" t="str">
        <f>Global!CB33</f>
        <v/>
      </c>
      <c r="V33" s="31" t="str">
        <f>Global!CC33</f>
        <v/>
      </c>
      <c r="W33" s="31" t="str">
        <f>Global!CD33</f>
        <v/>
      </c>
      <c r="X33" s="31" t="str">
        <f>Global!CE33</f>
        <v/>
      </c>
      <c r="Y33" s="31" t="str">
        <f>Global!CF33</f>
        <v/>
      </c>
      <c r="Z33" s="31" t="str">
        <f>Global!CG33</f>
        <v/>
      </c>
      <c r="AA33" s="31" t="str">
        <f>Global!CH33</f>
        <v/>
      </c>
      <c r="AB33" s="31" t="str">
        <f>Global!CI33</f>
        <v/>
      </c>
      <c r="AC33" s="31" t="str">
        <f>Global!CJ33</f>
        <v/>
      </c>
      <c r="AD33" s="31" t="str">
        <f>Global!CK33</f>
        <v/>
      </c>
      <c r="AE33" s="31" t="str">
        <f>Global!CL33</f>
        <v/>
      </c>
      <c r="AF33" s="31" t="str">
        <f>Global!CM33</f>
        <v/>
      </c>
      <c r="AG33" s="31" t="str">
        <f>Global!CN33</f>
        <v/>
      </c>
      <c r="AH33" s="31" t="str">
        <f>Global!CO33</f>
        <v/>
      </c>
      <c r="AI33" s="31" t="str">
        <f>Global!CP33</f>
        <v/>
      </c>
      <c r="AJ33" s="48" t="str">
        <f>Global!CQ33</f>
        <v/>
      </c>
      <c r="AK33" s="108">
        <f>COUNTIF(Mars[[#This Row],[1]:[31]],"RTT")+(COUNTIF(Mars[[#This Row],[1]:[31]],"dRTT")/2)</f>
        <v>0</v>
      </c>
      <c r="AL33" s="109">
        <f>COUNTIF(Mars[[#This Row],[1]:[31]],"C")+(COUNTIF(Mars[[#This Row],[1]:[31]],"DC")/2)</f>
        <v>4</v>
      </c>
      <c r="AM33" s="22">
        <f>COUNTIF(Mars[[#This Row],[1]:[31]],"M")</f>
        <v>0</v>
      </c>
      <c r="AN33" s="22">
        <f>COUNTIF(Mars[[#This Row],[1]:[31]],"AT")</f>
        <v>0</v>
      </c>
      <c r="AO33" s="84">
        <f>IF(AND(Mars[[#This Row],[Maladie]]=0,Mars[[#This Row],[AT]]=0),((10*(_xlfn.DAYS("31/03/2018","01/03/2018")+1))/365),((_xlfn.DAYS("31/03/2018","01/03/2018")+1-(Mars[[#This Row],[Maladie]]+Mars[[#This Row],[AT]]))*((10*(_xlfn.DAYS("31/03/2018","01/03/2018")+1))/365))/(_xlfn.DAYS("31/03/2018","01/03/2018")+1))</f>
        <v>0.84931506849315064</v>
      </c>
    </row>
    <row r="34" spans="1:41" ht="30" customHeight="1" x14ac:dyDescent="0.2">
      <c r="A34" s="13" t="s">
        <v>90</v>
      </c>
      <c r="B34" s="22" t="s">
        <v>204</v>
      </c>
      <c r="C34" s="22" t="s">
        <v>205</v>
      </c>
      <c r="D34" s="22" t="s">
        <v>206</v>
      </c>
      <c r="E34" s="44" t="s">
        <v>162</v>
      </c>
      <c r="F34" s="47" t="str">
        <f>Global!BM34</f>
        <v/>
      </c>
      <c r="G34" s="31" t="str">
        <f>Global!BN34</f>
        <v/>
      </c>
      <c r="H34" s="31" t="str">
        <f>Global!BO34</f>
        <v/>
      </c>
      <c r="I34" s="31" t="str">
        <f>Global!BP34</f>
        <v/>
      </c>
      <c r="J34" s="31" t="str">
        <f>Global!BQ34</f>
        <v/>
      </c>
      <c r="K34" s="31" t="str">
        <f>Global!BR34</f>
        <v/>
      </c>
      <c r="L34" s="31" t="str">
        <f>Global!BS34</f>
        <v/>
      </c>
      <c r="M34" s="31" t="str">
        <f>Global!BT34</f>
        <v/>
      </c>
      <c r="N34" s="31" t="str">
        <f>Global!BU34</f>
        <v/>
      </c>
      <c r="O34" s="31" t="str">
        <f>Global!BV34</f>
        <v/>
      </c>
      <c r="P34" s="31" t="str">
        <f>Global!BW34</f>
        <v/>
      </c>
      <c r="Q34" s="31" t="str">
        <f>Global!BX34</f>
        <v/>
      </c>
      <c r="R34" s="31" t="str">
        <f>Global!BY34</f>
        <v/>
      </c>
      <c r="S34" s="31" t="str">
        <f>Global!BZ34</f>
        <v/>
      </c>
      <c r="T34" s="31" t="str">
        <f>Global!CA34</f>
        <v/>
      </c>
      <c r="U34" s="31" t="str">
        <f>Global!CB34</f>
        <v/>
      </c>
      <c r="V34" s="31" t="str">
        <f>Global!CC34</f>
        <v/>
      </c>
      <c r="W34" s="31" t="str">
        <f>Global!CD34</f>
        <v/>
      </c>
      <c r="X34" s="31" t="str">
        <f>Global!CE34</f>
        <v/>
      </c>
      <c r="Y34" s="31" t="str">
        <f>Global!CF34</f>
        <v/>
      </c>
      <c r="Z34" s="31" t="str">
        <f>Global!CG34</f>
        <v/>
      </c>
      <c r="AA34" s="31" t="str">
        <f>Global!CH34</f>
        <v/>
      </c>
      <c r="AB34" s="31" t="str">
        <f>Global!CI34</f>
        <v/>
      </c>
      <c r="AC34" s="31" t="str">
        <f>Global!CJ34</f>
        <v/>
      </c>
      <c r="AD34" s="31" t="str">
        <f>Global!CK34</f>
        <v/>
      </c>
      <c r="AE34" s="31" t="str">
        <f>Global!CL34</f>
        <v/>
      </c>
      <c r="AF34" s="31" t="str">
        <f>Global!CM34</f>
        <v/>
      </c>
      <c r="AG34" s="31" t="str">
        <f>Global!CN34</f>
        <v/>
      </c>
      <c r="AH34" s="31" t="str">
        <f>Global!CO34</f>
        <v/>
      </c>
      <c r="AI34" s="31" t="str">
        <f>Global!CP34</f>
        <v/>
      </c>
      <c r="AJ34" s="48" t="str">
        <f>Global!CQ34</f>
        <v/>
      </c>
      <c r="AK34" s="108">
        <f>COUNTIF(Mars[[#This Row],[1]:[31]],"RTT")+(COUNTIF(Mars[[#This Row],[1]:[31]],"dRTT")/2)</f>
        <v>0</v>
      </c>
      <c r="AL34" s="109">
        <f>COUNTIF(Mars[[#This Row],[1]:[31]],"C")+(COUNTIF(Mars[[#This Row],[1]:[31]],"DC")/2)</f>
        <v>0</v>
      </c>
      <c r="AM34" s="22">
        <f>COUNTIF(Mars[[#This Row],[1]:[31]],"M")</f>
        <v>0</v>
      </c>
      <c r="AN34" s="22">
        <f>COUNTIF(Mars[[#This Row],[1]:[31]],"AT")</f>
        <v>0</v>
      </c>
      <c r="AO34" s="84">
        <f>IF(AND(Mars[[#This Row],[Maladie]]=0,Mars[[#This Row],[AT]]=0),((10*(_xlfn.DAYS("31/03/2018","01/03/2018")+1))/365),((_xlfn.DAYS("31/03/2018","01/03/2018")+1-(Mars[[#This Row],[Maladie]]+Mars[[#This Row],[AT]]))*((10*(_xlfn.DAYS("31/03/2018","01/03/2018")+1))/365))/(_xlfn.DAYS("31/03/2018","01/03/2018")+1))</f>
        <v>0.84931506849315064</v>
      </c>
    </row>
    <row r="35" spans="1:41" ht="30" customHeight="1" x14ac:dyDescent="0.2">
      <c r="A35" s="13" t="s">
        <v>91</v>
      </c>
      <c r="B35" s="22" t="s">
        <v>207</v>
      </c>
      <c r="C35" s="22" t="s">
        <v>208</v>
      </c>
      <c r="D35" s="22" t="s">
        <v>209</v>
      </c>
      <c r="E35" s="44" t="s">
        <v>162</v>
      </c>
      <c r="F35" s="47" t="str">
        <f>Global!BM35</f>
        <v/>
      </c>
      <c r="G35" s="31" t="str">
        <f>Global!BN35</f>
        <v/>
      </c>
      <c r="H35" s="31" t="str">
        <f>Global!BO35</f>
        <v/>
      </c>
      <c r="I35" s="31" t="str">
        <f>Global!BP35</f>
        <v/>
      </c>
      <c r="J35" s="31" t="str">
        <f>Global!BQ35</f>
        <v/>
      </c>
      <c r="K35" s="31" t="str">
        <f>Global!BR35</f>
        <v/>
      </c>
      <c r="L35" s="31" t="str">
        <f>Global!BS35</f>
        <v/>
      </c>
      <c r="M35" s="31" t="str">
        <f>Global!BT35</f>
        <v/>
      </c>
      <c r="N35" s="31" t="str">
        <f>Global!BU35</f>
        <v/>
      </c>
      <c r="O35" s="31" t="str">
        <f>Global!BV35</f>
        <v/>
      </c>
      <c r="P35" s="31" t="str">
        <f>Global!BW35</f>
        <v/>
      </c>
      <c r="Q35" s="31" t="str">
        <f>Global!BX35</f>
        <v/>
      </c>
      <c r="R35" s="31" t="str">
        <f>Global!BY35</f>
        <v/>
      </c>
      <c r="S35" s="31" t="str">
        <f>Global!BZ35</f>
        <v/>
      </c>
      <c r="T35" s="31" t="str">
        <f>Global!CA35</f>
        <v/>
      </c>
      <c r="U35" s="31" t="str">
        <f>Global!CB35</f>
        <v/>
      </c>
      <c r="V35" s="31" t="str">
        <f>Global!CC35</f>
        <v/>
      </c>
      <c r="W35" s="31" t="str">
        <f>Global!CD35</f>
        <v/>
      </c>
      <c r="X35" s="31" t="str">
        <f>Global!CE35</f>
        <v/>
      </c>
      <c r="Y35" s="31" t="str">
        <f>Global!CF35</f>
        <v/>
      </c>
      <c r="Z35" s="31" t="str">
        <f>Global!CG35</f>
        <v/>
      </c>
      <c r="AA35" s="31" t="str">
        <f>Global!CH35</f>
        <v/>
      </c>
      <c r="AB35" s="31" t="str">
        <f>Global!CI35</f>
        <v/>
      </c>
      <c r="AC35" s="31" t="str">
        <f>Global!CJ35</f>
        <v/>
      </c>
      <c r="AD35" s="31" t="str">
        <f>Global!CK35</f>
        <v/>
      </c>
      <c r="AE35" s="31" t="str">
        <f>Global!CL35</f>
        <v/>
      </c>
      <c r="AF35" s="31" t="str">
        <f>Global!CM35</f>
        <v/>
      </c>
      <c r="AG35" s="31" t="str">
        <f>Global!CN35</f>
        <v/>
      </c>
      <c r="AH35" s="31" t="str">
        <f>Global!CO35</f>
        <v/>
      </c>
      <c r="AI35" s="31" t="str">
        <f>Global!CP35</f>
        <v/>
      </c>
      <c r="AJ35" s="48" t="str">
        <f>Global!CQ35</f>
        <v/>
      </c>
      <c r="AK35" s="108">
        <f>COUNTIF(Mars[[#This Row],[1]:[31]],"RTT")+(COUNTIF(Mars[[#This Row],[1]:[31]],"dRTT")/2)</f>
        <v>0</v>
      </c>
      <c r="AL35" s="109">
        <f>COUNTIF(Mars[[#This Row],[1]:[31]],"C")+(COUNTIF(Mars[[#This Row],[1]:[31]],"DC")/2)</f>
        <v>0</v>
      </c>
      <c r="AM35" s="22">
        <f>COUNTIF(Mars[[#This Row],[1]:[31]],"M")</f>
        <v>0</v>
      </c>
      <c r="AN35" s="22">
        <f>COUNTIF(Mars[[#This Row],[1]:[31]],"AT")</f>
        <v>0</v>
      </c>
      <c r="AO35" s="84">
        <f>IF(AND(Mars[[#This Row],[Maladie]]=0,Mars[[#This Row],[AT]]=0),((10*(_xlfn.DAYS("31/03/2018","01/03/2018")+1))/365),((_xlfn.DAYS("31/03/2018","01/03/2018")+1-(Mars[[#This Row],[Maladie]]+Mars[[#This Row],[AT]]))*((10*(_xlfn.DAYS("31/03/2018","01/03/2018")+1))/365))/(_xlfn.DAYS("31/03/2018","01/03/2018")+1))</f>
        <v>0.84931506849315064</v>
      </c>
    </row>
    <row r="36" spans="1:41" ht="30" customHeight="1" x14ac:dyDescent="0.2">
      <c r="A36" s="13" t="s">
        <v>92</v>
      </c>
      <c r="B36" s="22" t="s">
        <v>210</v>
      </c>
      <c r="C36" s="22" t="s">
        <v>211</v>
      </c>
      <c r="D36" s="22" t="s">
        <v>212</v>
      </c>
      <c r="E36" s="44">
        <v>0</v>
      </c>
      <c r="F36" s="47" t="str">
        <f>Global!BM36</f>
        <v/>
      </c>
      <c r="G36" s="31" t="str">
        <f>Global!BN36</f>
        <v/>
      </c>
      <c r="H36" s="31" t="str">
        <f>Global!BO36</f>
        <v/>
      </c>
      <c r="I36" s="31" t="str">
        <f>Global!BP36</f>
        <v/>
      </c>
      <c r="J36" s="31" t="str">
        <f>Global!BQ36</f>
        <v/>
      </c>
      <c r="K36" s="31" t="str">
        <f>Global!BR36</f>
        <v/>
      </c>
      <c r="L36" s="31" t="str">
        <f>Global!BS36</f>
        <v/>
      </c>
      <c r="M36" s="31" t="str">
        <f>Global!BT36</f>
        <v/>
      </c>
      <c r="N36" s="31" t="str">
        <f>Global!BU36</f>
        <v/>
      </c>
      <c r="O36" s="31" t="str">
        <f>Global!BV36</f>
        <v/>
      </c>
      <c r="P36" s="31" t="str">
        <f>Global!BW36</f>
        <v/>
      </c>
      <c r="Q36" s="31" t="str">
        <f>Global!BX36</f>
        <v/>
      </c>
      <c r="R36" s="31" t="str">
        <f>Global!BY36</f>
        <v/>
      </c>
      <c r="S36" s="31" t="str">
        <f>Global!BZ36</f>
        <v/>
      </c>
      <c r="T36" s="31" t="str">
        <f>Global!CA36</f>
        <v/>
      </c>
      <c r="U36" s="31" t="str">
        <f>Global!CB36</f>
        <v/>
      </c>
      <c r="V36" s="31" t="str">
        <f>Global!CC36</f>
        <v/>
      </c>
      <c r="W36" s="31" t="str">
        <f>Global!CD36</f>
        <v/>
      </c>
      <c r="X36" s="31" t="str">
        <f>Global!CE36</f>
        <v/>
      </c>
      <c r="Y36" s="31" t="str">
        <f>Global!CF36</f>
        <v/>
      </c>
      <c r="Z36" s="31" t="str">
        <f>Global!CG36</f>
        <v/>
      </c>
      <c r="AA36" s="31" t="str">
        <f>Global!CH36</f>
        <v/>
      </c>
      <c r="AB36" s="31" t="str">
        <f>Global!CI36</f>
        <v/>
      </c>
      <c r="AC36" s="31" t="str">
        <f>Global!CJ36</f>
        <v/>
      </c>
      <c r="AD36" s="31" t="str">
        <f>Global!CK36</f>
        <v/>
      </c>
      <c r="AE36" s="31" t="str">
        <f>Global!CL36</f>
        <v>C</v>
      </c>
      <c r="AF36" s="31" t="str">
        <f>Global!CM36</f>
        <v>C</v>
      </c>
      <c r="AG36" s="31" t="str">
        <f>Global!CN36</f>
        <v>C</v>
      </c>
      <c r="AH36" s="31" t="str">
        <f>Global!CO36</f>
        <v/>
      </c>
      <c r="AI36" s="31" t="str">
        <f>Global!CP36</f>
        <v/>
      </c>
      <c r="AJ36" s="48" t="str">
        <f>Global!CQ36</f>
        <v/>
      </c>
      <c r="AK36" s="108">
        <f>COUNTIF(Mars[[#This Row],[1]:[31]],"RTT")+(COUNTIF(Mars[[#This Row],[1]:[31]],"dRTT")/2)</f>
        <v>0</v>
      </c>
      <c r="AL36" s="109">
        <f>COUNTIF(Mars[[#This Row],[1]:[31]],"C")+(COUNTIF(Mars[[#This Row],[1]:[31]],"DC")/2)</f>
        <v>3</v>
      </c>
      <c r="AM36" s="22">
        <f>COUNTIF(Mars[[#This Row],[1]:[31]],"M")</f>
        <v>0</v>
      </c>
      <c r="AN36" s="22">
        <f>COUNTIF(Mars[[#This Row],[1]:[31]],"AT")</f>
        <v>0</v>
      </c>
      <c r="AO36" s="84">
        <f>IF(AND(Mars[[#This Row],[Maladie]]=0,Mars[[#This Row],[AT]]=0),((10*(_xlfn.DAYS("31/03/2018","01/03/2018")+1))/365),((_xlfn.DAYS("31/03/2018","01/03/2018")+1-(Mars[[#This Row],[Maladie]]+Mars[[#This Row],[AT]]))*((10*(_xlfn.DAYS("31/03/2018","01/03/2018")+1))/365))/(_xlfn.DAYS("31/03/2018","01/03/2018")+1))</f>
        <v>0.84931506849315064</v>
      </c>
    </row>
    <row r="37" spans="1:41" ht="30" customHeight="1" x14ac:dyDescent="0.2">
      <c r="A37" s="13" t="s">
        <v>93</v>
      </c>
      <c r="B37" s="22" t="s">
        <v>213</v>
      </c>
      <c r="C37" s="22" t="s">
        <v>148</v>
      </c>
      <c r="D37" s="22" t="s">
        <v>214</v>
      </c>
      <c r="E37" s="44">
        <v>0</v>
      </c>
      <c r="F37" s="47" t="str">
        <f>Global!BM37</f>
        <v/>
      </c>
      <c r="G37" s="31" t="str">
        <f>Global!BN37</f>
        <v/>
      </c>
      <c r="H37" s="31" t="str">
        <f>Global!BO37</f>
        <v/>
      </c>
      <c r="I37" s="31" t="str">
        <f>Global!BP37</f>
        <v/>
      </c>
      <c r="J37" s="31" t="str">
        <f>Global!BQ37</f>
        <v/>
      </c>
      <c r="K37" s="31" t="str">
        <f>Global!BR37</f>
        <v/>
      </c>
      <c r="L37" s="31" t="str">
        <f>Global!BS37</f>
        <v/>
      </c>
      <c r="M37" s="31" t="str">
        <f>Global!BT37</f>
        <v/>
      </c>
      <c r="N37" s="31" t="str">
        <f>Global!BU37</f>
        <v/>
      </c>
      <c r="O37" s="31" t="str">
        <f>Global!BV37</f>
        <v/>
      </c>
      <c r="P37" s="31" t="str">
        <f>Global!BW37</f>
        <v/>
      </c>
      <c r="Q37" s="31" t="str">
        <f>Global!BX37</f>
        <v/>
      </c>
      <c r="R37" s="31" t="str">
        <f>Global!BY37</f>
        <v/>
      </c>
      <c r="S37" s="31" t="str">
        <f>Global!BZ37</f>
        <v>C</v>
      </c>
      <c r="T37" s="31" t="str">
        <f>Global!CA37</f>
        <v/>
      </c>
      <c r="U37" s="31" t="str">
        <f>Global!CB37</f>
        <v/>
      </c>
      <c r="V37" s="31" t="str">
        <f>Global!CC37</f>
        <v/>
      </c>
      <c r="W37" s="31" t="str">
        <f>Global!CD37</f>
        <v/>
      </c>
      <c r="X37" s="31" t="str">
        <f>Global!CE37</f>
        <v/>
      </c>
      <c r="Y37" s="31" t="str">
        <f>Global!CF37</f>
        <v/>
      </c>
      <c r="Z37" s="31" t="str">
        <f>Global!CG37</f>
        <v/>
      </c>
      <c r="AA37" s="31" t="str">
        <f>Global!CH37</f>
        <v/>
      </c>
      <c r="AB37" s="31" t="str">
        <f>Global!CI37</f>
        <v/>
      </c>
      <c r="AC37" s="31" t="str">
        <f>Global!CJ37</f>
        <v/>
      </c>
      <c r="AD37" s="31" t="str">
        <f>Global!CK37</f>
        <v/>
      </c>
      <c r="AE37" s="31" t="str">
        <f>Global!CL37</f>
        <v/>
      </c>
      <c r="AF37" s="31" t="str">
        <f>Global!CM37</f>
        <v/>
      </c>
      <c r="AG37" s="31" t="str">
        <f>Global!CN37</f>
        <v/>
      </c>
      <c r="AH37" s="31" t="str">
        <f>Global!CO37</f>
        <v/>
      </c>
      <c r="AI37" s="31" t="str">
        <f>Global!CP37</f>
        <v/>
      </c>
      <c r="AJ37" s="48" t="str">
        <f>Global!CQ37</f>
        <v/>
      </c>
      <c r="AK37" s="108">
        <f>COUNTIF(Mars[[#This Row],[1]:[31]],"RTT")+(COUNTIF(Mars[[#This Row],[1]:[31]],"dRTT")/2)</f>
        <v>0</v>
      </c>
      <c r="AL37" s="109">
        <f>COUNTIF(Mars[[#This Row],[1]:[31]],"C")+(COUNTIF(Mars[[#This Row],[1]:[31]],"DC")/2)</f>
        <v>1</v>
      </c>
      <c r="AM37" s="22">
        <f>COUNTIF(Mars[[#This Row],[1]:[31]],"M")</f>
        <v>0</v>
      </c>
      <c r="AN37" s="22">
        <f>COUNTIF(Mars[[#This Row],[1]:[31]],"AT")</f>
        <v>0</v>
      </c>
      <c r="AO37" s="84">
        <f>IF(AND(Mars[[#This Row],[Maladie]]=0,Mars[[#This Row],[AT]]=0),((10*(_xlfn.DAYS("31/03/2018","01/03/2018")+1))/365),((_xlfn.DAYS("31/03/2018","01/03/2018")+1-(Mars[[#This Row],[Maladie]]+Mars[[#This Row],[AT]]))*((10*(_xlfn.DAYS("31/03/2018","01/03/2018")+1))/365))/(_xlfn.DAYS("31/03/2018","01/03/2018")+1))</f>
        <v>0.84931506849315064</v>
      </c>
    </row>
    <row r="38" spans="1:41" ht="30" customHeight="1" x14ac:dyDescent="0.2">
      <c r="A38" s="13" t="s">
        <v>94</v>
      </c>
      <c r="B38" s="22" t="s">
        <v>215</v>
      </c>
      <c r="C38" s="22" t="s">
        <v>216</v>
      </c>
      <c r="D38" s="22" t="s">
        <v>217</v>
      </c>
      <c r="E38" s="44">
        <v>0</v>
      </c>
      <c r="F38" s="47" t="str">
        <f>Global!BM38</f>
        <v/>
      </c>
      <c r="G38" s="31" t="str">
        <f>Global!BN38</f>
        <v/>
      </c>
      <c r="H38" s="31" t="str">
        <f>Global!BO38</f>
        <v/>
      </c>
      <c r="I38" s="31" t="str">
        <f>Global!BP38</f>
        <v/>
      </c>
      <c r="J38" s="31" t="str">
        <f>Global!BQ38</f>
        <v/>
      </c>
      <c r="K38" s="31" t="str">
        <f>Global!BR38</f>
        <v/>
      </c>
      <c r="L38" s="31" t="str">
        <f>Global!BS38</f>
        <v/>
      </c>
      <c r="M38" s="31" t="str">
        <f>Global!BT38</f>
        <v/>
      </c>
      <c r="N38" s="31" t="str">
        <f>Global!BU38</f>
        <v/>
      </c>
      <c r="O38" s="31" t="str">
        <f>Global!BV38</f>
        <v/>
      </c>
      <c r="P38" s="31" t="str">
        <f>Global!BW38</f>
        <v/>
      </c>
      <c r="Q38" s="31" t="str">
        <f>Global!BX38</f>
        <v/>
      </c>
      <c r="R38" s="31" t="str">
        <f>Global!BY38</f>
        <v/>
      </c>
      <c r="S38" s="31" t="str">
        <f>Global!BZ38</f>
        <v/>
      </c>
      <c r="T38" s="31" t="str">
        <f>Global!CA38</f>
        <v/>
      </c>
      <c r="U38" s="31" t="str">
        <f>Global!CB38</f>
        <v/>
      </c>
      <c r="V38" s="31" t="str">
        <f>Global!CC38</f>
        <v/>
      </c>
      <c r="W38" s="31" t="str">
        <f>Global!CD38</f>
        <v/>
      </c>
      <c r="X38" s="31" t="str">
        <f>Global!CE38</f>
        <v/>
      </c>
      <c r="Y38" s="31" t="str">
        <f>Global!CF38</f>
        <v/>
      </c>
      <c r="Z38" s="31" t="str">
        <f>Global!CG38</f>
        <v/>
      </c>
      <c r="AA38" s="31" t="str">
        <f>Global!CH38</f>
        <v/>
      </c>
      <c r="AB38" s="31" t="str">
        <f>Global!CI38</f>
        <v/>
      </c>
      <c r="AC38" s="31" t="str">
        <f>Global!CJ38</f>
        <v/>
      </c>
      <c r="AD38" s="31" t="str">
        <f>Global!CK38</f>
        <v/>
      </c>
      <c r="AE38" s="31" t="str">
        <f>Global!CL38</f>
        <v/>
      </c>
      <c r="AF38" s="31" t="str">
        <f>Global!CM38</f>
        <v/>
      </c>
      <c r="AG38" s="31" t="str">
        <f>Global!CN38</f>
        <v/>
      </c>
      <c r="AH38" s="31" t="str">
        <f>Global!CO38</f>
        <v/>
      </c>
      <c r="AI38" s="31" t="str">
        <f>Global!CP38</f>
        <v/>
      </c>
      <c r="AJ38" s="48" t="str">
        <f>Global!CQ38</f>
        <v/>
      </c>
      <c r="AK38" s="108">
        <f>COUNTIF(Mars[[#This Row],[1]:[31]],"RTT")+(COUNTIF(Mars[[#This Row],[1]:[31]],"dRTT")/2)</f>
        <v>0</v>
      </c>
      <c r="AL38" s="109">
        <f>COUNTIF(Mars[[#This Row],[1]:[31]],"C")+(COUNTIF(Mars[[#This Row],[1]:[31]],"DC")/2)</f>
        <v>0</v>
      </c>
      <c r="AM38" s="22">
        <f>COUNTIF(Mars[[#This Row],[1]:[31]],"M")</f>
        <v>0</v>
      </c>
      <c r="AN38" s="22">
        <f>COUNTIF(Mars[[#This Row],[1]:[31]],"AT")</f>
        <v>0</v>
      </c>
      <c r="AO38" s="84">
        <f>IF(AND(Mars[[#This Row],[Maladie]]=0,Mars[[#This Row],[AT]]=0),((10*(_xlfn.DAYS("31/03/2018","01/03/2018")+1))/365),((_xlfn.DAYS("31/03/2018","01/03/2018")+1-(Mars[[#This Row],[Maladie]]+Mars[[#This Row],[AT]]))*((10*(_xlfn.DAYS("31/03/2018","01/03/2018")+1))/365))/(_xlfn.DAYS("31/03/2018","01/03/2018")+1))</f>
        <v>0.84931506849315064</v>
      </c>
    </row>
    <row r="39" spans="1:41" ht="30" customHeight="1" x14ac:dyDescent="0.2">
      <c r="A39" s="16" t="s">
        <v>95</v>
      </c>
      <c r="B39" s="22" t="s">
        <v>218</v>
      </c>
      <c r="C39" s="22" t="s">
        <v>219</v>
      </c>
      <c r="D39" s="22" t="s">
        <v>220</v>
      </c>
      <c r="E39" s="44">
        <v>0</v>
      </c>
      <c r="F39" s="47" t="str">
        <f>Global!BM39</f>
        <v/>
      </c>
      <c r="G39" s="31" t="str">
        <f>Global!BN39</f>
        <v/>
      </c>
      <c r="H39" s="31" t="str">
        <f>Global!BO39</f>
        <v/>
      </c>
      <c r="I39" s="31" t="str">
        <f>Global!BP39</f>
        <v/>
      </c>
      <c r="J39" s="31" t="str">
        <f>Global!BQ39</f>
        <v/>
      </c>
      <c r="K39" s="31" t="str">
        <f>Global!BR39</f>
        <v/>
      </c>
      <c r="L39" s="31" t="str">
        <f>Global!BS39</f>
        <v/>
      </c>
      <c r="M39" s="31" t="str">
        <f>Global!BT39</f>
        <v/>
      </c>
      <c r="N39" s="31" t="str">
        <f>Global!BU39</f>
        <v>C</v>
      </c>
      <c r="O39" s="31" t="str">
        <f>Global!BV39</f>
        <v/>
      </c>
      <c r="P39" s="31" t="str">
        <f>Global!BW39</f>
        <v/>
      </c>
      <c r="Q39" s="31" t="str">
        <f>Global!BX39</f>
        <v/>
      </c>
      <c r="R39" s="31" t="str">
        <f>Global!BY39</f>
        <v/>
      </c>
      <c r="S39" s="31" t="str">
        <f>Global!BZ39</f>
        <v/>
      </c>
      <c r="T39" s="31" t="str">
        <f>Global!CA39</f>
        <v/>
      </c>
      <c r="U39" s="31" t="str">
        <f>Global!CB39</f>
        <v/>
      </c>
      <c r="V39" s="31" t="str">
        <f>Global!CC39</f>
        <v/>
      </c>
      <c r="W39" s="31" t="str">
        <f>Global!CD39</f>
        <v/>
      </c>
      <c r="X39" s="31" t="str">
        <f>Global!CE39</f>
        <v/>
      </c>
      <c r="Y39" s="31" t="str">
        <f>Global!CF39</f>
        <v/>
      </c>
      <c r="Z39" s="31" t="str">
        <f>Global!CG39</f>
        <v/>
      </c>
      <c r="AA39" s="31" t="str">
        <f>Global!CH39</f>
        <v/>
      </c>
      <c r="AB39" s="31" t="str">
        <f>Global!CI39</f>
        <v/>
      </c>
      <c r="AC39" s="31" t="str">
        <f>Global!CJ39</f>
        <v/>
      </c>
      <c r="AD39" s="31" t="str">
        <f>Global!CK39</f>
        <v/>
      </c>
      <c r="AE39" s="31" t="str">
        <f>Global!CL39</f>
        <v/>
      </c>
      <c r="AF39" s="31" t="str">
        <f>Global!CM39</f>
        <v/>
      </c>
      <c r="AG39" s="31" t="str">
        <f>Global!CN39</f>
        <v/>
      </c>
      <c r="AH39" s="31" t="str">
        <f>Global!CO39</f>
        <v/>
      </c>
      <c r="AI39" s="31" t="str">
        <f>Global!CP39</f>
        <v/>
      </c>
      <c r="AJ39" s="48" t="str">
        <f>Global!CQ39</f>
        <v/>
      </c>
      <c r="AK39" s="108">
        <f>COUNTIF(Mars[[#This Row],[1]:[31]],"RTT")+(COUNTIF(Mars[[#This Row],[1]:[31]],"dRTT")/2)</f>
        <v>0</v>
      </c>
      <c r="AL39" s="109">
        <f>COUNTIF(Mars[[#This Row],[1]:[31]],"C")+(COUNTIF(Mars[[#This Row],[1]:[31]],"DC")/2)</f>
        <v>1</v>
      </c>
      <c r="AM39" s="22">
        <f>COUNTIF(Mars[[#This Row],[1]:[31]],"M")</f>
        <v>0</v>
      </c>
      <c r="AN39" s="22">
        <f>COUNTIF(Mars[[#This Row],[1]:[31]],"AT")</f>
        <v>0</v>
      </c>
      <c r="AO39" s="84">
        <f>IF(AND(Mars[[#This Row],[Maladie]]=0,Mars[[#This Row],[AT]]=0),((10*(_xlfn.DAYS("31/03/2018","01/03/2018")+1))/365),((_xlfn.DAYS("31/03/2018","01/03/2018")+1-(Mars[[#This Row],[Maladie]]+Mars[[#This Row],[AT]]))*((10*(_xlfn.DAYS("31/03/2018","01/03/2018")+1))/365))/(_xlfn.DAYS("31/03/2018","01/03/2018")+1))</f>
        <v>0.84931506849315064</v>
      </c>
    </row>
    <row r="40" spans="1:41" ht="30" customHeight="1" x14ac:dyDescent="0.2">
      <c r="A40" s="15" t="s">
        <v>96</v>
      </c>
      <c r="B40" s="22" t="s">
        <v>221</v>
      </c>
      <c r="C40" s="22" t="s">
        <v>222</v>
      </c>
      <c r="D40" s="22" t="s">
        <v>223</v>
      </c>
      <c r="E40" s="44">
        <v>0</v>
      </c>
      <c r="F40" s="47" t="str">
        <f>Global!BM40</f>
        <v/>
      </c>
      <c r="G40" s="31" t="str">
        <f>Global!BN40</f>
        <v/>
      </c>
      <c r="H40" s="31" t="str">
        <f>Global!BO40</f>
        <v/>
      </c>
      <c r="I40" s="31" t="str">
        <f>Global!BP40</f>
        <v/>
      </c>
      <c r="J40" s="31" t="str">
        <f>Global!BQ40</f>
        <v/>
      </c>
      <c r="K40" s="31" t="str">
        <f>Global!BR40</f>
        <v/>
      </c>
      <c r="L40" s="31" t="str">
        <f>Global!BS40</f>
        <v/>
      </c>
      <c r="M40" s="31" t="str">
        <f>Global!BT40</f>
        <v/>
      </c>
      <c r="N40" s="31" t="str">
        <f>Global!BU40</f>
        <v/>
      </c>
      <c r="O40" s="31" t="str">
        <f>Global!BV40</f>
        <v/>
      </c>
      <c r="P40" s="31" t="str">
        <f>Global!BW40</f>
        <v/>
      </c>
      <c r="Q40" s="31" t="str">
        <f>Global!BX40</f>
        <v/>
      </c>
      <c r="R40" s="31" t="str">
        <f>Global!BY40</f>
        <v/>
      </c>
      <c r="S40" s="31" t="str">
        <f>Global!BZ40</f>
        <v/>
      </c>
      <c r="T40" s="31" t="str">
        <f>Global!CA40</f>
        <v/>
      </c>
      <c r="U40" s="31" t="str">
        <f>Global!CB40</f>
        <v/>
      </c>
      <c r="V40" s="31" t="str">
        <f>Global!CC40</f>
        <v/>
      </c>
      <c r="W40" s="31" t="str">
        <f>Global!CD40</f>
        <v/>
      </c>
      <c r="X40" s="31" t="str">
        <f>Global!CE40</f>
        <v/>
      </c>
      <c r="Y40" s="31" t="str">
        <f>Global!CF40</f>
        <v/>
      </c>
      <c r="Z40" s="31" t="str">
        <f>Global!CG40</f>
        <v/>
      </c>
      <c r="AA40" s="31" t="str">
        <f>Global!CH40</f>
        <v/>
      </c>
      <c r="AB40" s="31" t="str">
        <f>Global!CI40</f>
        <v/>
      </c>
      <c r="AC40" s="31" t="str">
        <f>Global!CJ40</f>
        <v/>
      </c>
      <c r="AD40" s="31" t="str">
        <f>Global!CK40</f>
        <v/>
      </c>
      <c r="AE40" s="31" t="str">
        <f>Global!CL40</f>
        <v/>
      </c>
      <c r="AF40" s="31" t="str">
        <f>Global!CM40</f>
        <v/>
      </c>
      <c r="AG40" s="31" t="str">
        <f>Global!CN40</f>
        <v/>
      </c>
      <c r="AH40" s="31" t="str">
        <f>Global!CO40</f>
        <v/>
      </c>
      <c r="AI40" s="31" t="str">
        <f>Global!CP40</f>
        <v/>
      </c>
      <c r="AJ40" s="48" t="str">
        <f>Global!CQ40</f>
        <v/>
      </c>
      <c r="AK40" s="108">
        <f>COUNTIF(Mars[[#This Row],[1]:[31]],"RTT")+(COUNTIF(Mars[[#This Row],[1]:[31]],"dRTT")/2)</f>
        <v>0</v>
      </c>
      <c r="AL40" s="109">
        <f>COUNTIF(Mars[[#This Row],[1]:[31]],"C")+(COUNTIF(Mars[[#This Row],[1]:[31]],"DC")/2)</f>
        <v>0</v>
      </c>
      <c r="AM40" s="22">
        <f>COUNTIF(Mars[[#This Row],[1]:[31]],"M")</f>
        <v>0</v>
      </c>
      <c r="AN40" s="22">
        <f>COUNTIF(Mars[[#This Row],[1]:[31]],"AT")</f>
        <v>0</v>
      </c>
      <c r="AO40" s="84">
        <f>IF(AND(Mars[[#This Row],[Maladie]]=0,Mars[[#This Row],[AT]]=0),((10*(_xlfn.DAYS("31/03/2018","01/03/2018")+1))/365),((_xlfn.DAYS("31/03/2018","01/03/2018")+1-(Mars[[#This Row],[Maladie]]+Mars[[#This Row],[AT]]))*((10*(_xlfn.DAYS("31/03/2018","01/03/2018")+1))/365))/(_xlfn.DAYS("31/03/2018","01/03/2018")+1))</f>
        <v>0.84931506849315064</v>
      </c>
    </row>
    <row r="41" spans="1:41" ht="30" customHeight="1" x14ac:dyDescent="0.2">
      <c r="A41" s="15" t="s">
        <v>97</v>
      </c>
      <c r="B41" s="22" t="s">
        <v>224</v>
      </c>
      <c r="C41" s="22" t="s">
        <v>225</v>
      </c>
      <c r="D41" s="22" t="s">
        <v>226</v>
      </c>
      <c r="E41" s="44">
        <v>0</v>
      </c>
      <c r="F41" s="47" t="str">
        <f>Global!BM41</f>
        <v/>
      </c>
      <c r="G41" s="31" t="str">
        <f>Global!BN41</f>
        <v/>
      </c>
      <c r="H41" s="31" t="str">
        <f>Global!BO41</f>
        <v/>
      </c>
      <c r="I41" s="31" t="str">
        <f>Global!BP41</f>
        <v/>
      </c>
      <c r="J41" s="31" t="str">
        <f>Global!BQ41</f>
        <v/>
      </c>
      <c r="K41" s="31" t="str">
        <f>Global!BR41</f>
        <v/>
      </c>
      <c r="L41" s="31" t="str">
        <f>Global!BS41</f>
        <v/>
      </c>
      <c r="M41" s="31" t="str">
        <f>Global!BT41</f>
        <v/>
      </c>
      <c r="N41" s="31" t="str">
        <f>Global!BU41</f>
        <v/>
      </c>
      <c r="O41" s="31" t="str">
        <f>Global!BV41</f>
        <v/>
      </c>
      <c r="P41" s="31" t="str">
        <f>Global!BW41</f>
        <v/>
      </c>
      <c r="Q41" s="31" t="str">
        <f>Global!BX41</f>
        <v/>
      </c>
      <c r="R41" s="31" t="str">
        <f>Global!BY41</f>
        <v/>
      </c>
      <c r="S41" s="31" t="str">
        <f>Global!BZ41</f>
        <v/>
      </c>
      <c r="T41" s="31" t="str">
        <f>Global!CA41</f>
        <v/>
      </c>
      <c r="U41" s="31" t="str">
        <f>Global!CB41</f>
        <v/>
      </c>
      <c r="V41" s="31" t="str">
        <f>Global!CC41</f>
        <v/>
      </c>
      <c r="W41" s="31" t="str">
        <f>Global!CD41</f>
        <v/>
      </c>
      <c r="X41" s="31" t="str">
        <f>Global!CE41</f>
        <v/>
      </c>
      <c r="Y41" s="31" t="str">
        <f>Global!CF41</f>
        <v/>
      </c>
      <c r="Z41" s="31" t="str">
        <f>Global!CG41</f>
        <v/>
      </c>
      <c r="AA41" s="31" t="str">
        <f>Global!CH41</f>
        <v/>
      </c>
      <c r="AB41" s="31" t="str">
        <f>Global!CI41</f>
        <v/>
      </c>
      <c r="AC41" s="31" t="str">
        <f>Global!CJ41</f>
        <v/>
      </c>
      <c r="AD41" s="31" t="str">
        <f>Global!CK41</f>
        <v/>
      </c>
      <c r="AE41" s="31" t="str">
        <f>Global!CL41</f>
        <v/>
      </c>
      <c r="AF41" s="31" t="str">
        <f>Global!CM41</f>
        <v/>
      </c>
      <c r="AG41" s="31" t="str">
        <f>Global!CN41</f>
        <v/>
      </c>
      <c r="AH41" s="31" t="str">
        <f>Global!CO41</f>
        <v/>
      </c>
      <c r="AI41" s="31" t="str">
        <f>Global!CP41</f>
        <v/>
      </c>
      <c r="AJ41" s="48" t="str">
        <f>Global!CQ41</f>
        <v/>
      </c>
      <c r="AK41" s="108">
        <f>COUNTIF(Mars[[#This Row],[1]:[31]],"RTT")+(COUNTIF(Mars[[#This Row],[1]:[31]],"dRTT")/2)</f>
        <v>0</v>
      </c>
      <c r="AL41" s="109">
        <f>COUNTIF(Mars[[#This Row],[1]:[31]],"C")+(COUNTIF(Mars[[#This Row],[1]:[31]],"DC")/2)</f>
        <v>0</v>
      </c>
      <c r="AM41" s="22">
        <f>COUNTIF(Mars[[#This Row],[1]:[31]],"M")</f>
        <v>0</v>
      </c>
      <c r="AN41" s="22">
        <f>COUNTIF(Mars[[#This Row],[1]:[31]],"AT")</f>
        <v>0</v>
      </c>
      <c r="AO41" s="84">
        <f>IF(AND(Mars[[#This Row],[Maladie]]=0,Mars[[#This Row],[AT]]=0),((10*(_xlfn.DAYS("31/03/2018","01/03/2018")+1))/365),((_xlfn.DAYS("31/03/2018","01/03/2018")+1-(Mars[[#This Row],[Maladie]]+Mars[[#This Row],[AT]]))*((10*(_xlfn.DAYS("31/03/2018","01/03/2018")+1))/365))/(_xlfn.DAYS("31/03/2018","01/03/2018")+1))</f>
        <v>0.84931506849315064</v>
      </c>
    </row>
    <row r="42" spans="1:41" ht="30" customHeight="1" x14ac:dyDescent="0.2">
      <c r="A42" s="13" t="s">
        <v>98</v>
      </c>
      <c r="B42" s="22" t="s">
        <v>227</v>
      </c>
      <c r="C42" s="22" t="s">
        <v>228</v>
      </c>
      <c r="D42" s="22" t="s">
        <v>229</v>
      </c>
      <c r="E42" s="44">
        <v>0</v>
      </c>
      <c r="F42" s="47" t="str">
        <f>Global!BM42</f>
        <v/>
      </c>
      <c r="G42" s="31" t="str">
        <f>Global!BN42</f>
        <v/>
      </c>
      <c r="H42" s="31" t="str">
        <f>Global!BO42</f>
        <v/>
      </c>
      <c r="I42" s="31" t="str">
        <f>Global!BP42</f>
        <v/>
      </c>
      <c r="J42" s="31" t="str">
        <f>Global!BQ42</f>
        <v/>
      </c>
      <c r="K42" s="31" t="str">
        <f>Global!BR42</f>
        <v/>
      </c>
      <c r="L42" s="31" t="str">
        <f>Global!BS42</f>
        <v/>
      </c>
      <c r="M42" s="31" t="str">
        <f>Global!BT42</f>
        <v/>
      </c>
      <c r="N42" s="31" t="str">
        <f>Global!BU42</f>
        <v/>
      </c>
      <c r="O42" s="31" t="str">
        <f>Global!BV42</f>
        <v/>
      </c>
      <c r="P42" s="31" t="str">
        <f>Global!BW42</f>
        <v/>
      </c>
      <c r="Q42" s="31" t="str">
        <f>Global!BX42</f>
        <v/>
      </c>
      <c r="R42" s="31" t="str">
        <f>Global!BY42</f>
        <v/>
      </c>
      <c r="S42" s="31" t="str">
        <f>Global!BZ42</f>
        <v/>
      </c>
      <c r="T42" s="31" t="str">
        <f>Global!CA42</f>
        <v/>
      </c>
      <c r="U42" s="31" t="str">
        <f>Global!CB42</f>
        <v/>
      </c>
      <c r="V42" s="31" t="str">
        <f>Global!CC42</f>
        <v/>
      </c>
      <c r="W42" s="31" t="str">
        <f>Global!CD42</f>
        <v/>
      </c>
      <c r="X42" s="31" t="str">
        <f>Global!CE42</f>
        <v/>
      </c>
      <c r="Y42" s="31" t="str">
        <f>Global!CF42</f>
        <v/>
      </c>
      <c r="Z42" s="31" t="str">
        <f>Global!CG42</f>
        <v/>
      </c>
      <c r="AA42" s="31" t="str">
        <f>Global!CH42</f>
        <v/>
      </c>
      <c r="AB42" s="31" t="str">
        <f>Global!CI42</f>
        <v/>
      </c>
      <c r="AC42" s="31" t="str">
        <f>Global!CJ42</f>
        <v/>
      </c>
      <c r="AD42" s="31" t="str">
        <f>Global!CK42</f>
        <v/>
      </c>
      <c r="AE42" s="31" t="str">
        <f>Global!CL42</f>
        <v/>
      </c>
      <c r="AF42" s="31" t="str">
        <f>Global!CM42</f>
        <v/>
      </c>
      <c r="AG42" s="31" t="str">
        <f>Global!CN42</f>
        <v/>
      </c>
      <c r="AH42" s="31" t="str">
        <f>Global!CO42</f>
        <v/>
      </c>
      <c r="AI42" s="31" t="str">
        <f>Global!CP42</f>
        <v/>
      </c>
      <c r="AJ42" s="48" t="str">
        <f>Global!CQ42</f>
        <v/>
      </c>
      <c r="AK42" s="108">
        <f>COUNTIF(Mars[[#This Row],[1]:[31]],"RTT")+(COUNTIF(Mars[[#This Row],[1]:[31]],"dRTT")/2)</f>
        <v>0</v>
      </c>
      <c r="AL42" s="109">
        <f>COUNTIF(Mars[[#This Row],[1]:[31]],"C")+(COUNTIF(Mars[[#This Row],[1]:[31]],"DC")/2)</f>
        <v>0</v>
      </c>
      <c r="AM42" s="22">
        <f>COUNTIF(Mars[[#This Row],[1]:[31]],"M")</f>
        <v>0</v>
      </c>
      <c r="AN42" s="22">
        <f>COUNTIF(Mars[[#This Row],[1]:[31]],"AT")</f>
        <v>0</v>
      </c>
      <c r="AO42" s="84">
        <f>IF(AND(Mars[[#This Row],[Maladie]]=0,Mars[[#This Row],[AT]]=0),((10*(_xlfn.DAYS("31/03/2018","01/03/2018")+1))/365),((_xlfn.DAYS("31/03/2018","01/03/2018")+1-(Mars[[#This Row],[Maladie]]+Mars[[#This Row],[AT]]))*((10*(_xlfn.DAYS("31/03/2018","01/03/2018")+1))/365))/(_xlfn.DAYS("31/03/2018","01/03/2018")+1))</f>
        <v>0.84931506849315064</v>
      </c>
    </row>
    <row r="43" spans="1:41" ht="30" customHeight="1" x14ac:dyDescent="0.2">
      <c r="A43" s="15" t="s">
        <v>99</v>
      </c>
      <c r="B43" s="22" t="s">
        <v>230</v>
      </c>
      <c r="C43" s="22" t="s">
        <v>231</v>
      </c>
      <c r="D43" s="22" t="s">
        <v>232</v>
      </c>
      <c r="E43" s="44">
        <v>0</v>
      </c>
      <c r="F43" s="47" t="str">
        <f>Global!BM43</f>
        <v/>
      </c>
      <c r="G43" s="31" t="str">
        <f>Global!BN43</f>
        <v/>
      </c>
      <c r="H43" s="31" t="str">
        <f>Global!BO43</f>
        <v/>
      </c>
      <c r="I43" s="31" t="str">
        <f>Global!BP43</f>
        <v/>
      </c>
      <c r="J43" s="31" t="str">
        <f>Global!BQ43</f>
        <v/>
      </c>
      <c r="K43" s="31" t="str">
        <f>Global!BR43</f>
        <v>M</v>
      </c>
      <c r="L43" s="31" t="str">
        <f>Global!BS43</f>
        <v>M</v>
      </c>
      <c r="M43" s="31" t="str">
        <f>Global!BT43</f>
        <v>M</v>
      </c>
      <c r="N43" s="31" t="str">
        <f>Global!BU43</f>
        <v>M</v>
      </c>
      <c r="O43" s="31" t="str">
        <f>Global!BV43</f>
        <v>M</v>
      </c>
      <c r="P43" s="31" t="str">
        <f>Global!BW43</f>
        <v>M</v>
      </c>
      <c r="Q43" s="31" t="str">
        <f>Global!BX43</f>
        <v>M</v>
      </c>
      <c r="R43" s="31" t="str">
        <f>Global!BY43</f>
        <v>M</v>
      </c>
      <c r="S43" s="31" t="str">
        <f>Global!BZ43</f>
        <v>M</v>
      </c>
      <c r="T43" s="31" t="str">
        <f>Global!CA43</f>
        <v>M</v>
      </c>
      <c r="U43" s="31" t="str">
        <f>Global!CB43</f>
        <v/>
      </c>
      <c r="V43" s="31" t="str">
        <f>Global!CC43</f>
        <v/>
      </c>
      <c r="W43" s="31" t="str">
        <f>Global!CD43</f>
        <v/>
      </c>
      <c r="X43" s="31" t="str">
        <f>Global!CE43</f>
        <v/>
      </c>
      <c r="Y43" s="31" t="str">
        <f>Global!CF43</f>
        <v/>
      </c>
      <c r="Z43" s="31" t="str">
        <f>Global!CG43</f>
        <v/>
      </c>
      <c r="AA43" s="31" t="str">
        <f>Global!CH43</f>
        <v/>
      </c>
      <c r="AB43" s="31" t="str">
        <f>Global!CI43</f>
        <v/>
      </c>
      <c r="AC43" s="31" t="str">
        <f>Global!CJ43</f>
        <v/>
      </c>
      <c r="AD43" s="31" t="str">
        <f>Global!CK43</f>
        <v/>
      </c>
      <c r="AE43" s="31" t="str">
        <f>Global!CL43</f>
        <v/>
      </c>
      <c r="AF43" s="31" t="str">
        <f>Global!CM43</f>
        <v/>
      </c>
      <c r="AG43" s="31" t="str">
        <f>Global!CN43</f>
        <v/>
      </c>
      <c r="AH43" s="31" t="str">
        <f>Global!CO43</f>
        <v/>
      </c>
      <c r="AI43" s="31" t="str">
        <f>Global!CP43</f>
        <v/>
      </c>
      <c r="AJ43" s="48" t="str">
        <f>Global!CQ43</f>
        <v/>
      </c>
      <c r="AK43" s="108">
        <f>COUNTIF(Mars[[#This Row],[1]:[31]],"RTT")+(COUNTIF(Mars[[#This Row],[1]:[31]],"dRTT")/2)</f>
        <v>0</v>
      </c>
      <c r="AL43" s="109">
        <f>COUNTIF(Mars[[#This Row],[1]:[31]],"C")+(COUNTIF(Mars[[#This Row],[1]:[31]],"DC")/2)</f>
        <v>0</v>
      </c>
      <c r="AM43" s="22">
        <f>COUNTIF(Mars[[#This Row],[1]:[31]],"M")</f>
        <v>10</v>
      </c>
      <c r="AN43" s="22">
        <f>COUNTIF(Mars[[#This Row],[1]:[31]],"AT")</f>
        <v>0</v>
      </c>
      <c r="AO43" s="84">
        <f>IF(AND(Mars[[#This Row],[Maladie]]=0,Mars[[#This Row],[AT]]=0),((10*(_xlfn.DAYS("31/03/2018","01/03/2018")+1))/365),((_xlfn.DAYS("31/03/2018","01/03/2018")+1-(Mars[[#This Row],[Maladie]]+Mars[[#This Row],[AT]]))*((10*(_xlfn.DAYS("31/03/2018","01/03/2018")+1))/365))/(_xlfn.DAYS("31/03/2018","01/03/2018")+1))</f>
        <v>0.57534246575342463</v>
      </c>
    </row>
    <row r="44" spans="1:41" ht="30" customHeight="1" x14ac:dyDescent="0.2">
      <c r="A44" s="15" t="s">
        <v>100</v>
      </c>
      <c r="B44" s="22" t="s">
        <v>233</v>
      </c>
      <c r="C44" s="22" t="s">
        <v>234</v>
      </c>
      <c r="D44" s="22" t="s">
        <v>235</v>
      </c>
      <c r="E44" s="44">
        <v>0</v>
      </c>
      <c r="F44" s="47" t="str">
        <f>Global!BM44</f>
        <v>M</v>
      </c>
      <c r="G44" s="31" t="str">
        <f>Global!BN44</f>
        <v>M</v>
      </c>
      <c r="H44" s="31" t="str">
        <f>Global!BO44</f>
        <v>M</v>
      </c>
      <c r="I44" s="31" t="str">
        <f>Global!BP44</f>
        <v>M</v>
      </c>
      <c r="J44" s="31" t="str">
        <f>Global!BQ44</f>
        <v>M</v>
      </c>
      <c r="K44" s="31" t="str">
        <f>Global!BR44</f>
        <v>M</v>
      </c>
      <c r="L44" s="31" t="str">
        <f>Global!BS44</f>
        <v>M</v>
      </c>
      <c r="M44" s="31" t="str">
        <f>Global!BT44</f>
        <v>M</v>
      </c>
      <c r="N44" s="31" t="str">
        <f>Global!BU44</f>
        <v>M</v>
      </c>
      <c r="O44" s="31" t="str">
        <f>Global!BV44</f>
        <v>M</v>
      </c>
      <c r="P44" s="31" t="str">
        <f>Global!BW44</f>
        <v>M</v>
      </c>
      <c r="Q44" s="31" t="str">
        <f>Global!BX44</f>
        <v>M</v>
      </c>
      <c r="R44" s="31" t="str">
        <f>Global!BY44</f>
        <v>M</v>
      </c>
      <c r="S44" s="31" t="str">
        <f>Global!BZ44</f>
        <v>M</v>
      </c>
      <c r="T44" s="31" t="str">
        <f>Global!CA44</f>
        <v>M</v>
      </c>
      <c r="U44" s="31" t="str">
        <f>Global!CB44</f>
        <v>M</v>
      </c>
      <c r="V44" s="31" t="str">
        <f>Global!CC44</f>
        <v>M</v>
      </c>
      <c r="W44" s="31" t="str">
        <f>Global!CD44</f>
        <v>M</v>
      </c>
      <c r="X44" s="31" t="str">
        <f>Global!CE44</f>
        <v>M</v>
      </c>
      <c r="Y44" s="31" t="str">
        <f>Global!CF44</f>
        <v>M</v>
      </c>
      <c r="Z44" s="31" t="str">
        <f>Global!CG44</f>
        <v>M</v>
      </c>
      <c r="AA44" s="31" t="str">
        <f>Global!CH44</f>
        <v>M</v>
      </c>
      <c r="AB44" s="31" t="str">
        <f>Global!CI44</f>
        <v>M</v>
      </c>
      <c r="AC44" s="31" t="str">
        <f>Global!CJ44</f>
        <v>M</v>
      </c>
      <c r="AD44" s="31" t="str">
        <f>Global!CK44</f>
        <v>M</v>
      </c>
      <c r="AE44" s="31" t="str">
        <f>Global!CL44</f>
        <v>M</v>
      </c>
      <c r="AF44" s="31" t="str">
        <f>Global!CM44</f>
        <v>M</v>
      </c>
      <c r="AG44" s="31" t="str">
        <f>Global!CN44</f>
        <v>M</v>
      </c>
      <c r="AH44" s="31" t="str">
        <f>Global!CO44</f>
        <v>M</v>
      </c>
      <c r="AI44" s="31" t="str">
        <f>Global!CP44</f>
        <v>M</v>
      </c>
      <c r="AJ44" s="48" t="str">
        <f>Global!CQ44</f>
        <v>M</v>
      </c>
      <c r="AK44" s="108">
        <f>COUNTIF(Mars[[#This Row],[1]:[31]],"RTT")+(COUNTIF(Mars[[#This Row],[1]:[31]],"dRTT")/2)</f>
        <v>0</v>
      </c>
      <c r="AL44" s="109">
        <f>COUNTIF(Mars[[#This Row],[1]:[31]],"C")+(COUNTIF(Mars[[#This Row],[1]:[31]],"DC")/2)</f>
        <v>0</v>
      </c>
      <c r="AM44" s="22">
        <f>COUNTIF(Mars[[#This Row],[1]:[31]],"M")</f>
        <v>31</v>
      </c>
      <c r="AN44" s="22">
        <f>COUNTIF(Mars[[#This Row],[1]:[31]],"AT")</f>
        <v>0</v>
      </c>
      <c r="AO44" s="84">
        <f>IF(AND(Mars[[#This Row],[Maladie]]=0,Mars[[#This Row],[AT]]=0),((10*(_xlfn.DAYS("31/03/2018","01/03/2018")+1))/365),((_xlfn.DAYS("31/03/2018","01/03/2018")+1-(Mars[[#This Row],[Maladie]]+Mars[[#This Row],[AT]]))*((10*(_xlfn.DAYS("31/03/2018","01/03/2018")+1))/365))/(_xlfn.DAYS("31/03/2018","01/03/2018")+1))</f>
        <v>0</v>
      </c>
    </row>
    <row r="45" spans="1:41" ht="30" customHeight="1" x14ac:dyDescent="0.2">
      <c r="A45" s="15" t="s">
        <v>101</v>
      </c>
      <c r="B45" s="22" t="s">
        <v>236</v>
      </c>
      <c r="C45" s="22" t="s">
        <v>237</v>
      </c>
      <c r="D45" s="22" t="s">
        <v>238</v>
      </c>
      <c r="E45" s="44">
        <v>0</v>
      </c>
      <c r="F45" s="47" t="str">
        <f>Global!BM45</f>
        <v/>
      </c>
      <c r="G45" s="31" t="str">
        <f>Global!BN45</f>
        <v/>
      </c>
      <c r="H45" s="31" t="str">
        <f>Global!BO45</f>
        <v/>
      </c>
      <c r="I45" s="31" t="str">
        <f>Global!BP45</f>
        <v/>
      </c>
      <c r="J45" s="31" t="str">
        <f>Global!BQ45</f>
        <v/>
      </c>
      <c r="K45" s="31" t="str">
        <f>Global!BR45</f>
        <v/>
      </c>
      <c r="L45" s="31" t="str">
        <f>Global!BS45</f>
        <v/>
      </c>
      <c r="M45" s="31" t="str">
        <f>Global!BT45</f>
        <v/>
      </c>
      <c r="N45" s="31" t="str">
        <f>Global!BU45</f>
        <v/>
      </c>
      <c r="O45" s="31" t="str">
        <f>Global!BV45</f>
        <v/>
      </c>
      <c r="P45" s="31" t="str">
        <f>Global!BW45</f>
        <v/>
      </c>
      <c r="Q45" s="31" t="str">
        <f>Global!BX45</f>
        <v/>
      </c>
      <c r="R45" s="31" t="str">
        <f>Global!BY45</f>
        <v/>
      </c>
      <c r="S45" s="31" t="str">
        <f>Global!BZ45</f>
        <v/>
      </c>
      <c r="T45" s="31" t="str">
        <f>Global!CA45</f>
        <v/>
      </c>
      <c r="U45" s="31" t="str">
        <f>Global!CB45</f>
        <v/>
      </c>
      <c r="V45" s="31" t="str">
        <f>Global!CC45</f>
        <v/>
      </c>
      <c r="W45" s="31" t="str">
        <f>Global!CD45</f>
        <v/>
      </c>
      <c r="X45" s="31" t="str">
        <f>Global!CE45</f>
        <v/>
      </c>
      <c r="Y45" s="31" t="str">
        <f>Global!CF45</f>
        <v/>
      </c>
      <c r="Z45" s="31" t="str">
        <f>Global!CG45</f>
        <v/>
      </c>
      <c r="AA45" s="31" t="str">
        <f>Global!CH45</f>
        <v/>
      </c>
      <c r="AB45" s="31" t="str">
        <f>Global!CI45</f>
        <v/>
      </c>
      <c r="AC45" s="31" t="str">
        <f>Global!CJ45</f>
        <v/>
      </c>
      <c r="AD45" s="31" t="str">
        <f>Global!CK45</f>
        <v/>
      </c>
      <c r="AE45" s="31" t="str">
        <f>Global!CL45</f>
        <v/>
      </c>
      <c r="AF45" s="31" t="str">
        <f>Global!CM45</f>
        <v/>
      </c>
      <c r="AG45" s="31" t="str">
        <f>Global!CN45</f>
        <v>C</v>
      </c>
      <c r="AH45" s="31" t="str">
        <f>Global!CO45</f>
        <v/>
      </c>
      <c r="AI45" s="31" t="str">
        <f>Global!CP45</f>
        <v/>
      </c>
      <c r="AJ45" s="48" t="str">
        <f>Global!CQ45</f>
        <v/>
      </c>
      <c r="AK45" s="108">
        <f>COUNTIF(Mars[[#This Row],[1]:[31]],"RTT")+(COUNTIF(Mars[[#This Row],[1]:[31]],"dRTT")/2)</f>
        <v>0</v>
      </c>
      <c r="AL45" s="109">
        <f>COUNTIF(Mars[[#This Row],[1]:[31]],"C")+(COUNTIF(Mars[[#This Row],[1]:[31]],"DC")/2)</f>
        <v>1</v>
      </c>
      <c r="AM45" s="22">
        <f>COUNTIF(Mars[[#This Row],[1]:[31]],"M")</f>
        <v>0</v>
      </c>
      <c r="AN45" s="22">
        <f>COUNTIF(Mars[[#This Row],[1]:[31]],"AT")</f>
        <v>0</v>
      </c>
      <c r="AO45" s="84">
        <f>IF(AND(Mars[[#This Row],[Maladie]]=0,Mars[[#This Row],[AT]]=0),((10*(_xlfn.DAYS("31/03/2018","01/03/2018")+1))/365),((_xlfn.DAYS("31/03/2018","01/03/2018")+1-(Mars[[#This Row],[Maladie]]+Mars[[#This Row],[AT]]))*((10*(_xlfn.DAYS("31/03/2018","01/03/2018")+1))/365))/(_xlfn.DAYS("31/03/2018","01/03/2018")+1))</f>
        <v>0.84931506849315064</v>
      </c>
    </row>
    <row r="46" spans="1:41" ht="30" customHeight="1" x14ac:dyDescent="0.2">
      <c r="A46" s="17" t="s">
        <v>102</v>
      </c>
      <c r="B46" s="17" t="s">
        <v>239</v>
      </c>
      <c r="C46" s="17" t="s">
        <v>240</v>
      </c>
      <c r="D46" s="17" t="s">
        <v>241</v>
      </c>
      <c r="E46" s="23">
        <v>0</v>
      </c>
      <c r="F46" s="47" t="str">
        <f>Global!BM46</f>
        <v>C</v>
      </c>
      <c r="G46" s="31" t="str">
        <f>Global!BN46</f>
        <v>RTT</v>
      </c>
      <c r="H46" s="31" t="str">
        <f>Global!BO46</f>
        <v/>
      </c>
      <c r="I46" s="31" t="str">
        <f>Global!BP46</f>
        <v/>
      </c>
      <c r="J46" s="31" t="str">
        <f>Global!BQ46</f>
        <v/>
      </c>
      <c r="K46" s="31" t="str">
        <f>Global!BR46</f>
        <v/>
      </c>
      <c r="L46" s="31" t="str">
        <f>Global!BS46</f>
        <v/>
      </c>
      <c r="M46" s="31" t="str">
        <f>Global!BT46</f>
        <v>M</v>
      </c>
      <c r="N46" s="31" t="str">
        <f>Global!BU46</f>
        <v>M</v>
      </c>
      <c r="O46" s="31" t="str">
        <f>Global!BV46</f>
        <v>M</v>
      </c>
      <c r="P46" s="31" t="str">
        <f>Global!BW46</f>
        <v>M</v>
      </c>
      <c r="Q46" s="31" t="str">
        <f>Global!BX46</f>
        <v>M</v>
      </c>
      <c r="R46" s="31" t="str">
        <f>Global!BY46</f>
        <v>M</v>
      </c>
      <c r="S46" s="31" t="str">
        <f>Global!BZ46</f>
        <v>M</v>
      </c>
      <c r="T46" s="31" t="str">
        <f>Global!CA46</f>
        <v>M</v>
      </c>
      <c r="U46" s="31" t="str">
        <f>Global!CB46</f>
        <v>M</v>
      </c>
      <c r="V46" s="31" t="str">
        <f>Global!CC46</f>
        <v>M</v>
      </c>
      <c r="W46" s="31" t="str">
        <f>Global!CD46</f>
        <v>M</v>
      </c>
      <c r="X46" s="31" t="str">
        <f>Global!CE46</f>
        <v>M</v>
      </c>
      <c r="Y46" s="31" t="str">
        <f>Global!CF46</f>
        <v>M</v>
      </c>
      <c r="Z46" s="31" t="str">
        <f>Global!CG46</f>
        <v>M</v>
      </c>
      <c r="AA46" s="31" t="str">
        <f>Global!CH46</f>
        <v>M</v>
      </c>
      <c r="AB46" s="31" t="str">
        <f>Global!CI46</f>
        <v>M</v>
      </c>
      <c r="AC46" s="31" t="str">
        <f>Global!CJ46</f>
        <v>M</v>
      </c>
      <c r="AD46" s="31" t="str">
        <f>Global!CK46</f>
        <v>M</v>
      </c>
      <c r="AE46" s="31" t="str">
        <f>Global!CL46</f>
        <v/>
      </c>
      <c r="AF46" s="31" t="str">
        <f>Global!CM46</f>
        <v/>
      </c>
      <c r="AG46" s="31" t="str">
        <f>Global!CN46</f>
        <v/>
      </c>
      <c r="AH46" s="31" t="str">
        <f>Global!CO46</f>
        <v/>
      </c>
      <c r="AI46" s="31" t="str">
        <f>Global!CP46</f>
        <v/>
      </c>
      <c r="AJ46" s="48" t="str">
        <f>Global!CQ46</f>
        <v/>
      </c>
      <c r="AK46" s="108">
        <f>COUNTIF(Mars[[#This Row],[1]:[31]],"RTT")+(COUNTIF(Mars[[#This Row],[1]:[31]],"dRTT")/2)</f>
        <v>1</v>
      </c>
      <c r="AL46" s="109">
        <f>COUNTIF(Mars[[#This Row],[1]:[31]],"C")+(COUNTIF(Mars[[#This Row],[1]:[31]],"DC")/2)</f>
        <v>1</v>
      </c>
      <c r="AM46" s="22">
        <f>COUNTIF(Mars[[#This Row],[1]:[31]],"M")</f>
        <v>18</v>
      </c>
      <c r="AN46" s="22">
        <f>COUNTIF(Mars[[#This Row],[1]:[31]],"AT")</f>
        <v>0</v>
      </c>
      <c r="AO46" s="84">
        <f>IF(AND(Mars[[#This Row],[Maladie]]=0,Mars[[#This Row],[AT]]=0),((10*(_xlfn.DAYS("31/03/2018","01/03/2018")+1))/365),((_xlfn.DAYS("31/03/2018","01/03/2018")+1-(Mars[[#This Row],[Maladie]]+Mars[[#This Row],[AT]]))*((10*(_xlfn.DAYS("31/03/2018","01/03/2018")+1))/365))/(_xlfn.DAYS("31/03/2018","01/03/2018")+1))</f>
        <v>0.35616438356164382</v>
      </c>
    </row>
    <row r="47" spans="1:41" ht="30" customHeight="1" x14ac:dyDescent="0.2">
      <c r="A47" s="17" t="s">
        <v>103</v>
      </c>
      <c r="B47" s="17" t="s">
        <v>242</v>
      </c>
      <c r="C47" s="17" t="s">
        <v>243</v>
      </c>
      <c r="D47" s="17" t="s">
        <v>244</v>
      </c>
      <c r="E47" s="23">
        <v>0</v>
      </c>
      <c r="F47" s="47" t="str">
        <f>Global!BM47</f>
        <v/>
      </c>
      <c r="G47" s="31" t="str">
        <f>Global!BN47</f>
        <v/>
      </c>
      <c r="H47" s="31" t="str">
        <f>Global!BO47</f>
        <v/>
      </c>
      <c r="I47" s="31" t="str">
        <f>Global!BP47</f>
        <v/>
      </c>
      <c r="J47" s="31" t="str">
        <f>Global!BQ47</f>
        <v/>
      </c>
      <c r="K47" s="31" t="str">
        <f>Global!BR47</f>
        <v>C</v>
      </c>
      <c r="L47" s="31" t="str">
        <f>Global!BS47</f>
        <v>C</v>
      </c>
      <c r="M47" s="31" t="str">
        <f>Global!BT47</f>
        <v>C</v>
      </c>
      <c r="N47" s="31" t="str">
        <f>Global!BU47</f>
        <v/>
      </c>
      <c r="O47" s="31" t="str">
        <f>Global!BV47</f>
        <v/>
      </c>
      <c r="P47" s="31" t="str">
        <f>Global!BW47</f>
        <v/>
      </c>
      <c r="Q47" s="31" t="str">
        <f>Global!BX47</f>
        <v/>
      </c>
      <c r="R47" s="31" t="str">
        <f>Global!BY47</f>
        <v>C</v>
      </c>
      <c r="S47" s="31" t="str">
        <f>Global!BZ47</f>
        <v>C</v>
      </c>
      <c r="T47" s="31" t="str">
        <f>Global!CA47</f>
        <v>C</v>
      </c>
      <c r="U47" s="31" t="str">
        <f>Global!CB47</f>
        <v/>
      </c>
      <c r="V47" s="31" t="str">
        <f>Global!CC47</f>
        <v/>
      </c>
      <c r="W47" s="31" t="str">
        <f>Global!CD47</f>
        <v/>
      </c>
      <c r="X47" s="31" t="str">
        <f>Global!CE47</f>
        <v/>
      </c>
      <c r="Y47" s="31" t="str">
        <f>Global!CF47</f>
        <v/>
      </c>
      <c r="Z47" s="31" t="str">
        <f>Global!CG47</f>
        <v/>
      </c>
      <c r="AA47" s="31" t="str">
        <f>Global!CH47</f>
        <v/>
      </c>
      <c r="AB47" s="31" t="str">
        <f>Global!CI47</f>
        <v/>
      </c>
      <c r="AC47" s="31" t="str">
        <f>Global!CJ47</f>
        <v/>
      </c>
      <c r="AD47" s="31" t="str">
        <f>Global!CK47</f>
        <v/>
      </c>
      <c r="AE47" s="31" t="str">
        <f>Global!CL47</f>
        <v/>
      </c>
      <c r="AF47" s="31" t="str">
        <f>Global!CM47</f>
        <v/>
      </c>
      <c r="AG47" s="31" t="str">
        <f>Global!CN47</f>
        <v/>
      </c>
      <c r="AH47" s="31" t="str">
        <f>Global!CO47</f>
        <v/>
      </c>
      <c r="AI47" s="31" t="str">
        <f>Global!CP47</f>
        <v/>
      </c>
      <c r="AJ47" s="48" t="str">
        <f>Global!CQ47</f>
        <v/>
      </c>
      <c r="AK47" s="108">
        <f>COUNTIF(Mars[[#This Row],[1]:[31]],"RTT")+(COUNTIF(Mars[[#This Row],[1]:[31]],"dRTT")/2)</f>
        <v>0</v>
      </c>
      <c r="AL47" s="109">
        <f>COUNTIF(Mars[[#This Row],[1]:[31]],"C")+(COUNTIF(Mars[[#This Row],[1]:[31]],"DC")/2)</f>
        <v>6</v>
      </c>
      <c r="AM47" s="22">
        <f>COUNTIF(Mars[[#This Row],[1]:[31]],"M")</f>
        <v>0</v>
      </c>
      <c r="AN47" s="22">
        <f>COUNTIF(Mars[[#This Row],[1]:[31]],"AT")</f>
        <v>0</v>
      </c>
      <c r="AO47" s="84">
        <f>IF(AND(Mars[[#This Row],[Maladie]]=0,Mars[[#This Row],[AT]]=0),((10*(_xlfn.DAYS("31/03/2018","01/03/2018")+1))/365),((_xlfn.DAYS("31/03/2018","01/03/2018")+1-(Mars[[#This Row],[Maladie]]+Mars[[#This Row],[AT]]))*((10*(_xlfn.DAYS("31/03/2018","01/03/2018")+1))/365))/(_xlfn.DAYS("31/03/2018","01/03/2018")+1))</f>
        <v>0.84931506849315064</v>
      </c>
    </row>
    <row r="48" spans="1:41" ht="30" customHeight="1" x14ac:dyDescent="0.2">
      <c r="A48" s="17" t="s">
        <v>104</v>
      </c>
      <c r="B48" s="17" t="s">
        <v>245</v>
      </c>
      <c r="C48" s="17" t="s">
        <v>246</v>
      </c>
      <c r="D48" s="17" t="s">
        <v>247</v>
      </c>
      <c r="E48" s="23">
        <v>0</v>
      </c>
      <c r="F48" s="47" t="str">
        <f>Global!BM48</f>
        <v/>
      </c>
      <c r="G48" s="31" t="str">
        <f>Global!BN48</f>
        <v/>
      </c>
      <c r="H48" s="31" t="str">
        <f>Global!BO48</f>
        <v/>
      </c>
      <c r="I48" s="31" t="str">
        <f>Global!BP48</f>
        <v/>
      </c>
      <c r="J48" s="31" t="str">
        <f>Global!BQ48</f>
        <v/>
      </c>
      <c r="K48" s="31" t="str">
        <f>Global!BR48</f>
        <v/>
      </c>
      <c r="L48" s="31" t="str">
        <f>Global!BS48</f>
        <v/>
      </c>
      <c r="M48" s="31" t="str">
        <f>Global!BT48</f>
        <v/>
      </c>
      <c r="N48" s="31" t="str">
        <f>Global!BU48</f>
        <v/>
      </c>
      <c r="O48" s="31" t="str">
        <f>Global!BV48</f>
        <v/>
      </c>
      <c r="P48" s="31" t="str">
        <f>Global!BW48</f>
        <v/>
      </c>
      <c r="Q48" s="31" t="str">
        <f>Global!BX48</f>
        <v/>
      </c>
      <c r="R48" s="31" t="str">
        <f>Global!BY48</f>
        <v/>
      </c>
      <c r="S48" s="31" t="str">
        <f>Global!BZ48</f>
        <v/>
      </c>
      <c r="T48" s="31" t="str">
        <f>Global!CA48</f>
        <v/>
      </c>
      <c r="U48" s="31" t="str">
        <f>Global!CB48</f>
        <v/>
      </c>
      <c r="V48" s="31" t="str">
        <f>Global!CC48</f>
        <v/>
      </c>
      <c r="W48" s="31" t="str">
        <f>Global!CD48</f>
        <v/>
      </c>
      <c r="X48" s="31" t="str">
        <f>Global!CE48</f>
        <v>RTT</v>
      </c>
      <c r="Y48" s="31" t="str">
        <f>Global!CF48</f>
        <v>RTT</v>
      </c>
      <c r="Z48" s="31" t="str">
        <f>Global!CG48</f>
        <v>RTT</v>
      </c>
      <c r="AA48" s="31" t="str">
        <f>Global!CH48</f>
        <v>RTT</v>
      </c>
      <c r="AB48" s="31" t="str">
        <f>Global!CI48</f>
        <v>C</v>
      </c>
      <c r="AC48" s="31" t="str">
        <f>Global!CJ48</f>
        <v/>
      </c>
      <c r="AD48" s="31" t="str">
        <f>Global!CK48</f>
        <v/>
      </c>
      <c r="AE48" s="31" t="str">
        <f>Global!CL48</f>
        <v/>
      </c>
      <c r="AF48" s="31" t="str">
        <f>Global!CM48</f>
        <v/>
      </c>
      <c r="AG48" s="31" t="str">
        <f>Global!CN48</f>
        <v/>
      </c>
      <c r="AH48" s="31" t="str">
        <f>Global!CO48</f>
        <v/>
      </c>
      <c r="AI48" s="31" t="str">
        <f>Global!CP48</f>
        <v/>
      </c>
      <c r="AJ48" s="48" t="str">
        <f>Global!CQ48</f>
        <v/>
      </c>
      <c r="AK48" s="108">
        <f>COUNTIF(Mars[[#This Row],[1]:[31]],"RTT")+(COUNTIF(Mars[[#This Row],[1]:[31]],"dRTT")/2)</f>
        <v>4</v>
      </c>
      <c r="AL48" s="109">
        <f>COUNTIF(Mars[[#This Row],[1]:[31]],"C")+(COUNTIF(Mars[[#This Row],[1]:[31]],"DC")/2)</f>
        <v>1</v>
      </c>
      <c r="AM48" s="22">
        <f>COUNTIF(Mars[[#This Row],[1]:[31]],"M")</f>
        <v>0</v>
      </c>
      <c r="AN48" s="22">
        <f>COUNTIF(Mars[[#This Row],[1]:[31]],"AT")</f>
        <v>0</v>
      </c>
      <c r="AO48" s="84">
        <f>IF(AND(Mars[[#This Row],[Maladie]]=0,Mars[[#This Row],[AT]]=0),((10*(_xlfn.DAYS("31/03/2018","01/03/2018")+1))/365),((_xlfn.DAYS("31/03/2018","01/03/2018")+1-(Mars[[#This Row],[Maladie]]+Mars[[#This Row],[AT]]))*((10*(_xlfn.DAYS("31/03/2018","01/03/2018")+1))/365))/(_xlfn.DAYS("31/03/2018","01/03/2018")+1))</f>
        <v>0.84931506849315064</v>
      </c>
    </row>
    <row r="49" spans="1:41" ht="30" customHeight="1" x14ac:dyDescent="0.2">
      <c r="A49" s="17" t="s">
        <v>105</v>
      </c>
      <c r="B49" s="17" t="s">
        <v>248</v>
      </c>
      <c r="C49" s="17" t="s">
        <v>249</v>
      </c>
      <c r="D49" s="17" t="s">
        <v>250</v>
      </c>
      <c r="E49" s="23">
        <v>0</v>
      </c>
      <c r="F49" s="47" t="str">
        <f>Global!BM49</f>
        <v/>
      </c>
      <c r="G49" s="31" t="str">
        <f>Global!BN49</f>
        <v/>
      </c>
      <c r="H49" s="31" t="str">
        <f>Global!BO49</f>
        <v/>
      </c>
      <c r="I49" s="31" t="str">
        <f>Global!BP49</f>
        <v/>
      </c>
      <c r="J49" s="31" t="str">
        <f>Global!BQ49</f>
        <v/>
      </c>
      <c r="K49" s="31" t="str">
        <f>Global!BR49</f>
        <v/>
      </c>
      <c r="L49" s="31" t="str">
        <f>Global!BS49</f>
        <v/>
      </c>
      <c r="M49" s="31" t="str">
        <f>Global!BT49</f>
        <v/>
      </c>
      <c r="N49" s="31" t="str">
        <f>Global!BU49</f>
        <v/>
      </c>
      <c r="O49" s="31" t="str">
        <f>Global!BV49</f>
        <v/>
      </c>
      <c r="P49" s="31" t="str">
        <f>Global!BW49</f>
        <v/>
      </c>
      <c r="Q49" s="31" t="str">
        <f>Global!BX49</f>
        <v/>
      </c>
      <c r="R49" s="31" t="str">
        <f>Global!BY49</f>
        <v/>
      </c>
      <c r="S49" s="31" t="str">
        <f>Global!BZ49</f>
        <v/>
      </c>
      <c r="T49" s="31" t="str">
        <f>Global!CA49</f>
        <v/>
      </c>
      <c r="U49" s="31" t="str">
        <f>Global!CB49</f>
        <v/>
      </c>
      <c r="V49" s="31" t="str">
        <f>Global!CC49</f>
        <v/>
      </c>
      <c r="W49" s="31" t="str">
        <f>Global!CD49</f>
        <v/>
      </c>
      <c r="X49" s="31" t="str">
        <f>Global!CE49</f>
        <v/>
      </c>
      <c r="Y49" s="31" t="str">
        <f>Global!CF49</f>
        <v/>
      </c>
      <c r="Z49" s="31" t="str">
        <f>Global!CG49</f>
        <v/>
      </c>
      <c r="AA49" s="31" t="str">
        <f>Global!CH49</f>
        <v>C</v>
      </c>
      <c r="AB49" s="31" t="str">
        <f>Global!CI49</f>
        <v>C</v>
      </c>
      <c r="AC49" s="31" t="str">
        <f>Global!CJ49</f>
        <v/>
      </c>
      <c r="AD49" s="31" t="str">
        <f>Global!CK49</f>
        <v/>
      </c>
      <c r="AE49" s="31" t="str">
        <f>Global!CL49</f>
        <v/>
      </c>
      <c r="AF49" s="31" t="str">
        <f>Global!CM49</f>
        <v/>
      </c>
      <c r="AG49" s="31" t="str">
        <f>Global!CN49</f>
        <v/>
      </c>
      <c r="AH49" s="31" t="str">
        <f>Global!CO49</f>
        <v/>
      </c>
      <c r="AI49" s="31" t="str">
        <f>Global!CP49</f>
        <v/>
      </c>
      <c r="AJ49" s="48" t="str">
        <f>Global!CQ49</f>
        <v/>
      </c>
      <c r="AK49" s="108">
        <f>COUNTIF(Mars[[#This Row],[1]:[31]],"RTT")+(COUNTIF(Mars[[#This Row],[1]:[31]],"dRTT")/2)</f>
        <v>0</v>
      </c>
      <c r="AL49" s="109">
        <f>COUNTIF(Mars[[#This Row],[1]:[31]],"C")+(COUNTIF(Mars[[#This Row],[1]:[31]],"DC")/2)</f>
        <v>2</v>
      </c>
      <c r="AM49" s="22">
        <f>COUNTIF(Mars[[#This Row],[1]:[31]],"M")</f>
        <v>0</v>
      </c>
      <c r="AN49" s="22">
        <f>COUNTIF(Mars[[#This Row],[1]:[31]],"AT")</f>
        <v>0</v>
      </c>
      <c r="AO49" s="84">
        <f>IF(AND(Mars[[#This Row],[Maladie]]=0,Mars[[#This Row],[AT]]=0),((10*(_xlfn.DAYS("31/03/2018","01/03/2018")+1))/365),((_xlfn.DAYS("31/03/2018","01/03/2018")+1-(Mars[[#This Row],[Maladie]]+Mars[[#This Row],[AT]]))*((10*(_xlfn.DAYS("31/03/2018","01/03/2018")+1))/365))/(_xlfn.DAYS("31/03/2018","01/03/2018")+1))</f>
        <v>0.84931506849315064</v>
      </c>
    </row>
    <row r="50" spans="1:41" ht="30" customHeight="1" x14ac:dyDescent="0.2">
      <c r="A50" s="17" t="s">
        <v>106</v>
      </c>
      <c r="B50" s="17" t="s">
        <v>251</v>
      </c>
      <c r="C50" s="17" t="s">
        <v>252</v>
      </c>
      <c r="D50" s="17" t="s">
        <v>253</v>
      </c>
      <c r="E50" s="23">
        <v>0</v>
      </c>
      <c r="F50" s="47" t="str">
        <f>Global!BM50</f>
        <v/>
      </c>
      <c r="G50" s="31" t="str">
        <f>Global!BN50</f>
        <v/>
      </c>
      <c r="H50" s="31" t="str">
        <f>Global!BO50</f>
        <v/>
      </c>
      <c r="I50" s="31" t="str">
        <f>Global!BP50</f>
        <v/>
      </c>
      <c r="J50" s="31" t="str">
        <f>Global!BQ50</f>
        <v/>
      </c>
      <c r="K50" s="31" t="str">
        <f>Global!BR50</f>
        <v/>
      </c>
      <c r="L50" s="31" t="str">
        <f>Global!BS50</f>
        <v/>
      </c>
      <c r="M50" s="31" t="str">
        <f>Global!BT50</f>
        <v/>
      </c>
      <c r="N50" s="31" t="str">
        <f>Global!BU50</f>
        <v/>
      </c>
      <c r="O50" s="31" t="str">
        <f>Global!BV50</f>
        <v/>
      </c>
      <c r="P50" s="31" t="str">
        <f>Global!BW50</f>
        <v/>
      </c>
      <c r="Q50" s="31" t="str">
        <f>Global!BX50</f>
        <v/>
      </c>
      <c r="R50" s="31" t="str">
        <f>Global!BY50</f>
        <v/>
      </c>
      <c r="S50" s="31" t="str">
        <f>Global!BZ50</f>
        <v/>
      </c>
      <c r="T50" s="31" t="str">
        <f>Global!CA50</f>
        <v/>
      </c>
      <c r="U50" s="31" t="str">
        <f>Global!CB50</f>
        <v/>
      </c>
      <c r="V50" s="31" t="str">
        <f>Global!CC50</f>
        <v/>
      </c>
      <c r="W50" s="31" t="str">
        <f>Global!CD50</f>
        <v/>
      </c>
      <c r="X50" s="31" t="str">
        <f>Global!CE50</f>
        <v/>
      </c>
      <c r="Y50" s="31" t="str">
        <f>Global!CF50</f>
        <v/>
      </c>
      <c r="Z50" s="31" t="str">
        <f>Global!CG50</f>
        <v/>
      </c>
      <c r="AA50" s="31" t="str">
        <f>Global!CH50</f>
        <v/>
      </c>
      <c r="AB50" s="31" t="str">
        <f>Global!CI50</f>
        <v/>
      </c>
      <c r="AC50" s="31" t="str">
        <f>Global!CJ50</f>
        <v/>
      </c>
      <c r="AD50" s="31" t="str">
        <f>Global!CK50</f>
        <v/>
      </c>
      <c r="AE50" s="31" t="str">
        <f>Global!CL50</f>
        <v/>
      </c>
      <c r="AF50" s="31" t="str">
        <f>Global!CM50</f>
        <v/>
      </c>
      <c r="AG50" s="31" t="str">
        <f>Global!CN50</f>
        <v/>
      </c>
      <c r="AH50" s="31" t="str">
        <f>Global!CO50</f>
        <v>C</v>
      </c>
      <c r="AI50" s="31" t="str">
        <f>Global!CP50</f>
        <v/>
      </c>
      <c r="AJ50" s="48" t="str">
        <f>Global!CQ50</f>
        <v/>
      </c>
      <c r="AK50" s="108">
        <f>COUNTIF(Mars[[#This Row],[1]:[31]],"RTT")+(COUNTIF(Mars[[#This Row],[1]:[31]],"dRTT")/2)</f>
        <v>0</v>
      </c>
      <c r="AL50" s="109">
        <f>COUNTIF(Mars[[#This Row],[1]:[31]],"C")+(COUNTIF(Mars[[#This Row],[1]:[31]],"DC")/2)</f>
        <v>1</v>
      </c>
      <c r="AM50" s="22">
        <f>COUNTIF(Mars[[#This Row],[1]:[31]],"M")</f>
        <v>0</v>
      </c>
      <c r="AN50" s="22">
        <f>COUNTIF(Mars[[#This Row],[1]:[31]],"AT")</f>
        <v>0</v>
      </c>
      <c r="AO50" s="84">
        <f>IF(AND(Mars[[#This Row],[Maladie]]=0,Mars[[#This Row],[AT]]=0),((10*(_xlfn.DAYS("31/03/2018","01/03/2018")+1))/365),((_xlfn.DAYS("31/03/2018","01/03/2018")+1-(Mars[[#This Row],[Maladie]]+Mars[[#This Row],[AT]]))*((10*(_xlfn.DAYS("31/03/2018","01/03/2018")+1))/365))/(_xlfn.DAYS("31/03/2018","01/03/2018")+1))</f>
        <v>0.84931506849315064</v>
      </c>
    </row>
    <row r="51" spans="1:41" ht="30" customHeight="1" x14ac:dyDescent="0.2">
      <c r="A51" s="17" t="s">
        <v>107</v>
      </c>
      <c r="B51" s="17" t="s">
        <v>254</v>
      </c>
      <c r="C51" s="17" t="s">
        <v>255</v>
      </c>
      <c r="D51" s="17" t="s">
        <v>256</v>
      </c>
      <c r="E51" s="23">
        <v>0</v>
      </c>
      <c r="F51" s="47" t="str">
        <f>Global!BM51</f>
        <v>C</v>
      </c>
      <c r="G51" s="31" t="str">
        <f>Global!BN51</f>
        <v/>
      </c>
      <c r="H51" s="31" t="str">
        <f>Global!BO51</f>
        <v/>
      </c>
      <c r="I51" s="31" t="str">
        <f>Global!BP51</f>
        <v/>
      </c>
      <c r="J51" s="31" t="str">
        <f>Global!BQ51</f>
        <v>C</v>
      </c>
      <c r="K51" s="31" t="str">
        <f>Global!BR51</f>
        <v>C</v>
      </c>
      <c r="L51" s="31" t="str">
        <f>Global!BS51</f>
        <v>C</v>
      </c>
      <c r="M51" s="31" t="str">
        <f>Global!BT51</f>
        <v>C</v>
      </c>
      <c r="N51" s="31" t="str">
        <f>Global!BU51</f>
        <v>C</v>
      </c>
      <c r="O51" s="31" t="str">
        <f>Global!BV51</f>
        <v/>
      </c>
      <c r="P51" s="31" t="str">
        <f>Global!BW51</f>
        <v/>
      </c>
      <c r="Q51" s="31" t="str">
        <f>Global!BX51</f>
        <v/>
      </c>
      <c r="R51" s="31" t="str">
        <f>Global!BY51</f>
        <v/>
      </c>
      <c r="S51" s="31" t="str">
        <f>Global!BZ51</f>
        <v/>
      </c>
      <c r="T51" s="31" t="str">
        <f>Global!CA51</f>
        <v/>
      </c>
      <c r="U51" s="31" t="str">
        <f>Global!CB51</f>
        <v/>
      </c>
      <c r="V51" s="31" t="str">
        <f>Global!CC51</f>
        <v/>
      </c>
      <c r="W51" s="31" t="str">
        <f>Global!CD51</f>
        <v/>
      </c>
      <c r="X51" s="31" t="str">
        <f>Global!CE51</f>
        <v/>
      </c>
      <c r="Y51" s="31" t="str">
        <f>Global!CF51</f>
        <v/>
      </c>
      <c r="Z51" s="31" t="str">
        <f>Global!CG51</f>
        <v/>
      </c>
      <c r="AA51" s="31" t="str">
        <f>Global!CH51</f>
        <v/>
      </c>
      <c r="AB51" s="31" t="str">
        <f>Global!CI51</f>
        <v/>
      </c>
      <c r="AC51" s="31" t="str">
        <f>Global!CJ51</f>
        <v/>
      </c>
      <c r="AD51" s="31" t="str">
        <f>Global!CK51</f>
        <v/>
      </c>
      <c r="AE51" s="31" t="str">
        <f>Global!CL51</f>
        <v/>
      </c>
      <c r="AF51" s="31" t="str">
        <f>Global!CM51</f>
        <v/>
      </c>
      <c r="AG51" s="31" t="str">
        <f>Global!CN51</f>
        <v/>
      </c>
      <c r="AH51" s="31" t="str">
        <f>Global!CO51</f>
        <v/>
      </c>
      <c r="AI51" s="31" t="str">
        <f>Global!CP51</f>
        <v/>
      </c>
      <c r="AJ51" s="48" t="str">
        <f>Global!CQ51</f>
        <v/>
      </c>
      <c r="AK51" s="108">
        <f>COUNTIF(Mars[[#This Row],[1]:[31]],"RTT")+(COUNTIF(Mars[[#This Row],[1]:[31]],"dRTT")/2)</f>
        <v>0</v>
      </c>
      <c r="AL51" s="109">
        <f>COUNTIF(Mars[[#This Row],[1]:[31]],"C")+(COUNTIF(Mars[[#This Row],[1]:[31]],"DC")/2)</f>
        <v>6</v>
      </c>
      <c r="AM51" s="22">
        <f>COUNTIF(Mars[[#This Row],[1]:[31]],"M")</f>
        <v>0</v>
      </c>
      <c r="AN51" s="22">
        <f>COUNTIF(Mars[[#This Row],[1]:[31]],"AT")</f>
        <v>0</v>
      </c>
      <c r="AO51" s="84">
        <f>IF(AND(Mars[[#This Row],[Maladie]]=0,Mars[[#This Row],[AT]]=0),((10*(_xlfn.DAYS("31/03/2018","01/03/2018")+1))/365),((_xlfn.DAYS("31/03/2018","01/03/2018")+1-(Mars[[#This Row],[Maladie]]+Mars[[#This Row],[AT]]))*((10*(_xlfn.DAYS("31/03/2018","01/03/2018")+1))/365))/(_xlfn.DAYS("31/03/2018","01/03/2018")+1))</f>
        <v>0.84931506849315064</v>
      </c>
    </row>
    <row r="52" spans="1:41" ht="30" customHeight="1" x14ac:dyDescent="0.2">
      <c r="A52" s="17" t="s">
        <v>108</v>
      </c>
      <c r="B52" s="17" t="s">
        <v>257</v>
      </c>
      <c r="C52" s="17" t="s">
        <v>258</v>
      </c>
      <c r="D52" s="17" t="s">
        <v>259</v>
      </c>
      <c r="E52" s="23">
        <v>0</v>
      </c>
      <c r="F52" s="47" t="str">
        <f>Global!BM52</f>
        <v/>
      </c>
      <c r="G52" s="31" t="str">
        <f>Global!BN52</f>
        <v/>
      </c>
      <c r="H52" s="31" t="str">
        <f>Global!BO52</f>
        <v/>
      </c>
      <c r="I52" s="31" t="str">
        <f>Global!BP52</f>
        <v/>
      </c>
      <c r="J52" s="31" t="str">
        <f>Global!BQ52</f>
        <v/>
      </c>
      <c r="K52" s="31" t="str">
        <f>Global!BR52</f>
        <v/>
      </c>
      <c r="L52" s="31" t="str">
        <f>Global!BS52</f>
        <v/>
      </c>
      <c r="M52" s="31" t="str">
        <f>Global!BT52</f>
        <v/>
      </c>
      <c r="N52" s="31" t="str">
        <f>Global!BU52</f>
        <v/>
      </c>
      <c r="O52" s="31" t="str">
        <f>Global!BV52</f>
        <v/>
      </c>
      <c r="P52" s="31" t="str">
        <f>Global!BW52</f>
        <v/>
      </c>
      <c r="Q52" s="31" t="str">
        <f>Global!BX52</f>
        <v/>
      </c>
      <c r="R52" s="31" t="str">
        <f>Global!BY52</f>
        <v/>
      </c>
      <c r="S52" s="31" t="str">
        <f>Global!BZ52</f>
        <v/>
      </c>
      <c r="T52" s="31" t="str">
        <f>Global!CA52</f>
        <v/>
      </c>
      <c r="U52" s="31" t="str">
        <f>Global!CB52</f>
        <v/>
      </c>
      <c r="V52" s="31" t="str">
        <f>Global!CC52</f>
        <v/>
      </c>
      <c r="W52" s="31" t="str">
        <f>Global!CD52</f>
        <v/>
      </c>
      <c r="X52" s="31" t="str">
        <f>Global!CE52</f>
        <v/>
      </c>
      <c r="Y52" s="31" t="str">
        <f>Global!CF52</f>
        <v/>
      </c>
      <c r="Z52" s="31" t="str">
        <f>Global!CG52</f>
        <v/>
      </c>
      <c r="AA52" s="31" t="str">
        <f>Global!CH52</f>
        <v/>
      </c>
      <c r="AB52" s="31" t="str">
        <f>Global!CI52</f>
        <v/>
      </c>
      <c r="AC52" s="31" t="str">
        <f>Global!CJ52</f>
        <v/>
      </c>
      <c r="AD52" s="31" t="str">
        <f>Global!CK52</f>
        <v/>
      </c>
      <c r="AE52" s="31" t="str">
        <f>Global!CL52</f>
        <v/>
      </c>
      <c r="AF52" s="31" t="str">
        <f>Global!CM52</f>
        <v/>
      </c>
      <c r="AG52" s="31" t="str">
        <f>Global!CN52</f>
        <v/>
      </c>
      <c r="AH52" s="31" t="str">
        <f>Global!CO52</f>
        <v/>
      </c>
      <c r="AI52" s="31" t="str">
        <f>Global!CP52</f>
        <v/>
      </c>
      <c r="AJ52" s="48" t="str">
        <f>Global!CQ52</f>
        <v/>
      </c>
      <c r="AK52" s="108">
        <f>COUNTIF(Mars[[#This Row],[1]:[31]],"RTT")+(COUNTIF(Mars[[#This Row],[1]:[31]],"dRTT")/2)</f>
        <v>0</v>
      </c>
      <c r="AL52" s="109">
        <f>COUNTIF(Mars[[#This Row],[1]:[31]],"C")+(COUNTIF(Mars[[#This Row],[1]:[31]],"DC")/2)</f>
        <v>0</v>
      </c>
      <c r="AM52" s="22">
        <f>COUNTIF(Mars[[#This Row],[1]:[31]],"M")</f>
        <v>0</v>
      </c>
      <c r="AN52" s="22">
        <f>COUNTIF(Mars[[#This Row],[1]:[31]],"AT")</f>
        <v>0</v>
      </c>
      <c r="AO52" s="84">
        <f>IF(AND(Mars[[#This Row],[Maladie]]=0,Mars[[#This Row],[AT]]=0),((10*(_xlfn.DAYS("31/03/2018","01/03/2018")+1))/365),((_xlfn.DAYS("31/03/2018","01/03/2018")+1-(Mars[[#This Row],[Maladie]]+Mars[[#This Row],[AT]]))*((10*(_xlfn.DAYS("31/03/2018","01/03/2018")+1))/365))/(_xlfn.DAYS("31/03/2018","01/03/2018")+1))</f>
        <v>0.84931506849315064</v>
      </c>
    </row>
    <row r="53" spans="1:41" ht="30" customHeight="1" x14ac:dyDescent="0.2">
      <c r="A53" s="17" t="s">
        <v>109</v>
      </c>
      <c r="B53" s="17" t="s">
        <v>260</v>
      </c>
      <c r="C53" s="17" t="s">
        <v>261</v>
      </c>
      <c r="D53" s="17" t="s">
        <v>262</v>
      </c>
      <c r="E53" s="23">
        <v>0</v>
      </c>
      <c r="F53" s="47" t="str">
        <f>Global!BM53</f>
        <v/>
      </c>
      <c r="G53" s="31" t="str">
        <f>Global!BN53</f>
        <v/>
      </c>
      <c r="H53" s="31" t="str">
        <f>Global!BO53</f>
        <v/>
      </c>
      <c r="I53" s="31" t="str">
        <f>Global!BP53</f>
        <v/>
      </c>
      <c r="J53" s="31" t="str">
        <f>Global!BQ53</f>
        <v/>
      </c>
      <c r="K53" s="31" t="str">
        <f>Global!BR53</f>
        <v/>
      </c>
      <c r="L53" s="31" t="str">
        <f>Global!BS53</f>
        <v/>
      </c>
      <c r="M53" s="31" t="str">
        <f>Global!BT53</f>
        <v/>
      </c>
      <c r="N53" s="31" t="str">
        <f>Global!BU53</f>
        <v/>
      </c>
      <c r="O53" s="31" t="str">
        <f>Global!BV53</f>
        <v/>
      </c>
      <c r="P53" s="31" t="str">
        <f>Global!BW53</f>
        <v/>
      </c>
      <c r="Q53" s="31" t="str">
        <f>Global!BX53</f>
        <v/>
      </c>
      <c r="R53" s="31" t="str">
        <f>Global!BY53</f>
        <v/>
      </c>
      <c r="S53" s="31" t="str">
        <f>Global!BZ53</f>
        <v/>
      </c>
      <c r="T53" s="31" t="str">
        <f>Global!CA53</f>
        <v/>
      </c>
      <c r="U53" s="31" t="str">
        <f>Global!CB53</f>
        <v/>
      </c>
      <c r="V53" s="31" t="str">
        <f>Global!CC53</f>
        <v/>
      </c>
      <c r="W53" s="31" t="str">
        <f>Global!CD53</f>
        <v/>
      </c>
      <c r="X53" s="31" t="str">
        <f>Global!CE53</f>
        <v/>
      </c>
      <c r="Y53" s="31" t="str">
        <f>Global!CF53</f>
        <v/>
      </c>
      <c r="Z53" s="31" t="str">
        <f>Global!CG53</f>
        <v/>
      </c>
      <c r="AA53" s="31" t="str">
        <f>Global!CH53</f>
        <v/>
      </c>
      <c r="AB53" s="31" t="str">
        <f>Global!CI53</f>
        <v/>
      </c>
      <c r="AC53" s="31" t="str">
        <f>Global!CJ53</f>
        <v/>
      </c>
      <c r="AD53" s="31" t="str">
        <f>Global!CK53</f>
        <v/>
      </c>
      <c r="AE53" s="31" t="str">
        <f>Global!CL53</f>
        <v>C</v>
      </c>
      <c r="AF53" s="31" t="str">
        <f>Global!CM53</f>
        <v>C</v>
      </c>
      <c r="AG53" s="31" t="str">
        <f>Global!CN53</f>
        <v>C</v>
      </c>
      <c r="AH53" s="31" t="str">
        <f>Global!CO53</f>
        <v>C</v>
      </c>
      <c r="AI53" s="31" t="str">
        <f>Global!CP53</f>
        <v>C</v>
      </c>
      <c r="AJ53" s="48" t="str">
        <f>Global!CQ53</f>
        <v/>
      </c>
      <c r="AK53" s="108">
        <f>COUNTIF(Mars[[#This Row],[1]:[31]],"RTT")+(COUNTIF(Mars[[#This Row],[1]:[31]],"dRTT")/2)</f>
        <v>0</v>
      </c>
      <c r="AL53" s="109">
        <f>COUNTIF(Mars[[#This Row],[1]:[31]],"C")+(COUNTIF(Mars[[#This Row],[1]:[31]],"DC")/2)</f>
        <v>5</v>
      </c>
      <c r="AM53" s="22">
        <f>COUNTIF(Mars[[#This Row],[1]:[31]],"M")</f>
        <v>0</v>
      </c>
      <c r="AN53" s="22">
        <f>COUNTIF(Mars[[#This Row],[1]:[31]],"AT")</f>
        <v>0</v>
      </c>
      <c r="AO53" s="84">
        <f>IF(AND(Mars[[#This Row],[Maladie]]=0,Mars[[#This Row],[AT]]=0),((10*(_xlfn.DAYS("31/03/2018","01/03/2018")+1))/365),((_xlfn.DAYS("31/03/2018","01/03/2018")+1-(Mars[[#This Row],[Maladie]]+Mars[[#This Row],[AT]]))*((10*(_xlfn.DAYS("31/03/2018","01/03/2018")+1))/365))/(_xlfn.DAYS("31/03/2018","01/03/2018")+1))</f>
        <v>0.84931506849315064</v>
      </c>
    </row>
    <row r="54" spans="1:41" ht="30" customHeight="1" x14ac:dyDescent="0.2">
      <c r="A54" s="18" t="s">
        <v>110</v>
      </c>
      <c r="B54" s="18" t="s">
        <v>263</v>
      </c>
      <c r="C54" s="18" t="s">
        <v>264</v>
      </c>
      <c r="D54" s="18" t="s">
        <v>265</v>
      </c>
      <c r="E54" s="24">
        <v>0</v>
      </c>
      <c r="F54" s="47" t="str">
        <f>Global!BM54</f>
        <v>C</v>
      </c>
      <c r="G54" s="31" t="str">
        <f>Global!BN54</f>
        <v>C</v>
      </c>
      <c r="H54" s="31" t="str">
        <f>Global!BO54</f>
        <v/>
      </c>
      <c r="I54" s="31" t="str">
        <f>Global!BP54</f>
        <v/>
      </c>
      <c r="J54" s="31" t="str">
        <f>Global!BQ54</f>
        <v/>
      </c>
      <c r="K54" s="31" t="str">
        <f>Global!BR54</f>
        <v/>
      </c>
      <c r="L54" s="31" t="str">
        <f>Global!BS54</f>
        <v/>
      </c>
      <c r="M54" s="31" t="str">
        <f>Global!BT54</f>
        <v/>
      </c>
      <c r="N54" s="31" t="str">
        <f>Global!BU54</f>
        <v/>
      </c>
      <c r="O54" s="31" t="str">
        <f>Global!BV54</f>
        <v/>
      </c>
      <c r="P54" s="31" t="str">
        <f>Global!BW54</f>
        <v/>
      </c>
      <c r="Q54" s="31" t="str">
        <f>Global!BX54</f>
        <v/>
      </c>
      <c r="R54" s="31" t="str">
        <f>Global!BY54</f>
        <v/>
      </c>
      <c r="S54" s="31" t="str">
        <f>Global!BZ54</f>
        <v/>
      </c>
      <c r="T54" s="31" t="str">
        <f>Global!CA54</f>
        <v/>
      </c>
      <c r="U54" s="31" t="str">
        <f>Global!CB54</f>
        <v/>
      </c>
      <c r="V54" s="31" t="str">
        <f>Global!CC54</f>
        <v/>
      </c>
      <c r="W54" s="31" t="str">
        <f>Global!CD54</f>
        <v/>
      </c>
      <c r="X54" s="31" t="str">
        <f>Global!CE54</f>
        <v>C</v>
      </c>
      <c r="Y54" s="31" t="str">
        <f>Global!CF54</f>
        <v>C</v>
      </c>
      <c r="Z54" s="31" t="str">
        <f>Global!CG54</f>
        <v>C</v>
      </c>
      <c r="AA54" s="31" t="str">
        <f>Global!CH54</f>
        <v>C</v>
      </c>
      <c r="AB54" s="31" t="str">
        <f>Global!CI54</f>
        <v>C</v>
      </c>
      <c r="AC54" s="31" t="str">
        <f>Global!CJ54</f>
        <v/>
      </c>
      <c r="AD54" s="31" t="str">
        <f>Global!CK54</f>
        <v/>
      </c>
      <c r="AE54" s="31" t="str">
        <f>Global!CL54</f>
        <v/>
      </c>
      <c r="AF54" s="31" t="str">
        <f>Global!CM54</f>
        <v/>
      </c>
      <c r="AG54" s="31" t="str">
        <f>Global!CN54</f>
        <v/>
      </c>
      <c r="AH54" s="31" t="str">
        <f>Global!CO54</f>
        <v/>
      </c>
      <c r="AI54" s="31" t="str">
        <f>Global!CP54</f>
        <v/>
      </c>
      <c r="AJ54" s="48" t="str">
        <f>Global!CQ54</f>
        <v/>
      </c>
      <c r="AK54" s="108">
        <f>COUNTIF(Mars[[#This Row],[1]:[31]],"RTT")+(COUNTIF(Mars[[#This Row],[1]:[31]],"dRTT")/2)</f>
        <v>0</v>
      </c>
      <c r="AL54" s="109">
        <f>COUNTIF(Mars[[#This Row],[1]:[31]],"C")+(COUNTIF(Mars[[#This Row],[1]:[31]],"DC")/2)</f>
        <v>7</v>
      </c>
      <c r="AM54" s="22">
        <f>COUNTIF(Mars[[#This Row],[1]:[31]],"M")</f>
        <v>0</v>
      </c>
      <c r="AN54" s="22">
        <f>COUNTIF(Mars[[#This Row],[1]:[31]],"AT")</f>
        <v>0</v>
      </c>
      <c r="AO54" s="84">
        <f>IF(AND(Mars[[#This Row],[Maladie]]=0,Mars[[#This Row],[AT]]=0),((10*(_xlfn.DAYS("31/03/2018","01/03/2018")+1))/365),((_xlfn.DAYS("31/03/2018","01/03/2018")+1-(Mars[[#This Row],[Maladie]]+Mars[[#This Row],[AT]]))*((10*(_xlfn.DAYS("31/03/2018","01/03/2018")+1))/365))/(_xlfn.DAYS("31/03/2018","01/03/2018")+1))</f>
        <v>0.84931506849315064</v>
      </c>
    </row>
    <row r="55" spans="1:41" ht="30" customHeight="1" x14ac:dyDescent="0.2">
      <c r="A55" s="17" t="s">
        <v>111</v>
      </c>
      <c r="B55" s="17" t="s">
        <v>266</v>
      </c>
      <c r="C55" s="17" t="s">
        <v>267</v>
      </c>
      <c r="D55" s="17" t="s">
        <v>268</v>
      </c>
      <c r="E55" s="23">
        <v>0</v>
      </c>
      <c r="F55" s="47" t="str">
        <f>Global!BM55</f>
        <v>M</v>
      </c>
      <c r="G55" s="31" t="str">
        <f>Global!BN55</f>
        <v>M</v>
      </c>
      <c r="H55" s="31" t="str">
        <f>Global!BO55</f>
        <v>M</v>
      </c>
      <c r="I55" s="31" t="str">
        <f>Global!BP55</f>
        <v>M</v>
      </c>
      <c r="J55" s="31" t="str">
        <f>Global!BQ55</f>
        <v>M</v>
      </c>
      <c r="K55" s="31" t="str">
        <f>Global!BR55</f>
        <v>M</v>
      </c>
      <c r="L55" s="31" t="str">
        <f>Global!BS55</f>
        <v>M</v>
      </c>
      <c r="M55" s="31" t="str">
        <f>Global!BT55</f>
        <v>M</v>
      </c>
      <c r="N55" s="31" t="str">
        <f>Global!BU55</f>
        <v>M</v>
      </c>
      <c r="O55" s="31" t="str">
        <f>Global!BV55</f>
        <v>M</v>
      </c>
      <c r="P55" s="31" t="str">
        <f>Global!BW55</f>
        <v>M</v>
      </c>
      <c r="Q55" s="31" t="str">
        <f>Global!BX55</f>
        <v>M</v>
      </c>
      <c r="R55" s="31" t="str">
        <f>Global!BY55</f>
        <v>M</v>
      </c>
      <c r="S55" s="31" t="str">
        <f>Global!BZ55</f>
        <v>M</v>
      </c>
      <c r="T55" s="31" t="str">
        <f>Global!CA55</f>
        <v>M</v>
      </c>
      <c r="U55" s="31" t="str">
        <f>Global!CB55</f>
        <v>M</v>
      </c>
      <c r="V55" s="31" t="str">
        <f>Global!CC55</f>
        <v>M</v>
      </c>
      <c r="W55" s="31" t="str">
        <f>Global!CD55</f>
        <v>M</v>
      </c>
      <c r="X55" s="31" t="str">
        <f>Global!CE55</f>
        <v>M</v>
      </c>
      <c r="Y55" s="31" t="str">
        <f>Global!CF55</f>
        <v>M</v>
      </c>
      <c r="Z55" s="31" t="str">
        <f>Global!CG55</f>
        <v>M</v>
      </c>
      <c r="AA55" s="31" t="str">
        <f>Global!CH55</f>
        <v>M</v>
      </c>
      <c r="AB55" s="31" t="str">
        <f>Global!CI55</f>
        <v>M</v>
      </c>
      <c r="AC55" s="31" t="str">
        <f>Global!CJ55</f>
        <v>M</v>
      </c>
      <c r="AD55" s="31" t="str">
        <f>Global!CK55</f>
        <v>M</v>
      </c>
      <c r="AE55" s="31" t="str">
        <f>Global!CL55</f>
        <v>M</v>
      </c>
      <c r="AF55" s="31" t="str">
        <f>Global!CM55</f>
        <v>M</v>
      </c>
      <c r="AG55" s="31" t="str">
        <f>Global!CN55</f>
        <v>M</v>
      </c>
      <c r="AH55" s="31" t="str">
        <f>Global!CO55</f>
        <v>M</v>
      </c>
      <c r="AI55" s="31" t="str">
        <f>Global!CP55</f>
        <v>M</v>
      </c>
      <c r="AJ55" s="48" t="str">
        <f>Global!CQ55</f>
        <v>M</v>
      </c>
      <c r="AK55" s="108">
        <f>COUNTIF(Mars[[#This Row],[1]:[31]],"RTT")+(COUNTIF(Mars[[#This Row],[1]:[31]],"dRTT")/2)</f>
        <v>0</v>
      </c>
      <c r="AL55" s="109">
        <f>COUNTIF(Mars[[#This Row],[1]:[31]],"C")+(COUNTIF(Mars[[#This Row],[1]:[31]],"DC")/2)</f>
        <v>0</v>
      </c>
      <c r="AM55" s="22">
        <f>COUNTIF(Mars[[#This Row],[1]:[31]],"M")</f>
        <v>31</v>
      </c>
      <c r="AN55" s="22">
        <f>COUNTIF(Mars[[#This Row],[1]:[31]],"AT")</f>
        <v>0</v>
      </c>
      <c r="AO55" s="84">
        <f>IF(AND(Mars[[#This Row],[Maladie]]=0,Mars[[#This Row],[AT]]=0),((10*(_xlfn.DAYS("31/03/2018","01/03/2018")+1))/365),((_xlfn.DAYS("31/03/2018","01/03/2018")+1-(Mars[[#This Row],[Maladie]]+Mars[[#This Row],[AT]]))*((10*(_xlfn.DAYS("31/03/2018","01/03/2018")+1))/365))/(_xlfn.DAYS("31/03/2018","01/03/2018")+1))</f>
        <v>0</v>
      </c>
    </row>
    <row r="56" spans="1:41" ht="30" customHeight="1" thickBot="1" x14ac:dyDescent="0.25">
      <c r="A56" s="17" t="s">
        <v>112</v>
      </c>
      <c r="B56" s="17" t="s">
        <v>269</v>
      </c>
      <c r="C56" s="17" t="s">
        <v>270</v>
      </c>
      <c r="D56" s="17" t="s">
        <v>271</v>
      </c>
      <c r="E56" s="23">
        <v>0</v>
      </c>
      <c r="F56" s="49" t="str">
        <f>Global!BM56</f>
        <v/>
      </c>
      <c r="G56" s="50" t="str">
        <f>Global!BN56</f>
        <v/>
      </c>
      <c r="H56" s="50" t="str">
        <f>Global!BO56</f>
        <v/>
      </c>
      <c r="I56" s="50" t="str">
        <f>Global!BP56</f>
        <v/>
      </c>
      <c r="J56" s="50" t="str">
        <f>Global!BQ56</f>
        <v/>
      </c>
      <c r="K56" s="50" t="str">
        <f>Global!BR56</f>
        <v/>
      </c>
      <c r="L56" s="50" t="str">
        <f>Global!BS56</f>
        <v/>
      </c>
      <c r="M56" s="50" t="str">
        <f>Global!BT56</f>
        <v/>
      </c>
      <c r="N56" s="50" t="str">
        <f>Global!BU56</f>
        <v/>
      </c>
      <c r="O56" s="50" t="str">
        <f>Global!BV56</f>
        <v/>
      </c>
      <c r="P56" s="50" t="str">
        <f>Global!BW56</f>
        <v/>
      </c>
      <c r="Q56" s="50" t="str">
        <f>Global!BX56</f>
        <v/>
      </c>
      <c r="R56" s="50" t="str">
        <f>Global!BY56</f>
        <v/>
      </c>
      <c r="S56" s="50" t="str">
        <f>Global!BZ56</f>
        <v/>
      </c>
      <c r="T56" s="50" t="str">
        <f>Global!CA56</f>
        <v/>
      </c>
      <c r="U56" s="50" t="str">
        <f>Global!CB56</f>
        <v>C</v>
      </c>
      <c r="V56" s="50" t="str">
        <f>Global!CC56</f>
        <v/>
      </c>
      <c r="W56" s="50" t="str">
        <f>Global!CD56</f>
        <v/>
      </c>
      <c r="X56" s="50" t="str">
        <f>Global!CE56</f>
        <v/>
      </c>
      <c r="Y56" s="50" t="str">
        <f>Global!CF56</f>
        <v/>
      </c>
      <c r="Z56" s="50" t="str">
        <f>Global!CG56</f>
        <v/>
      </c>
      <c r="AA56" s="50" t="str">
        <f>Global!CH56</f>
        <v/>
      </c>
      <c r="AB56" s="50" t="str">
        <f>Global!CI56</f>
        <v/>
      </c>
      <c r="AC56" s="50" t="str">
        <f>Global!CJ56</f>
        <v/>
      </c>
      <c r="AD56" s="50" t="str">
        <f>Global!CK56</f>
        <v/>
      </c>
      <c r="AE56" s="50" t="str">
        <f>Global!CL56</f>
        <v/>
      </c>
      <c r="AF56" s="50" t="str">
        <f>Global!CM56</f>
        <v/>
      </c>
      <c r="AG56" s="50" t="str">
        <f>Global!CN56</f>
        <v/>
      </c>
      <c r="AH56" s="50" t="str">
        <f>Global!CO56</f>
        <v/>
      </c>
      <c r="AI56" s="50" t="str">
        <f>Global!CP56</f>
        <v/>
      </c>
      <c r="AJ56" s="51" t="str">
        <f>Global!CQ56</f>
        <v/>
      </c>
      <c r="AK56" s="108">
        <f>COUNTIF(Mars[[#This Row],[1]:[31]],"RTT")+(COUNTIF(Mars[[#This Row],[1]:[31]],"dRTT")/2)</f>
        <v>0</v>
      </c>
      <c r="AL56" s="109">
        <f>COUNTIF(Mars[[#This Row],[1]:[31]],"C")+(COUNTIF(Mars[[#This Row],[1]:[31]],"DC")/2)</f>
        <v>1</v>
      </c>
      <c r="AM56" s="22">
        <f>COUNTIF(Mars[[#This Row],[1]:[31]],"M")</f>
        <v>0</v>
      </c>
      <c r="AN56" s="22">
        <f>COUNTIF(Mars[[#This Row],[1]:[31]],"AT")</f>
        <v>0</v>
      </c>
      <c r="AO56" s="84">
        <f>IF(AND(Mars[[#This Row],[Maladie]]=0,Mars[[#This Row],[AT]]=0),((10*(_xlfn.DAYS("31/03/2018","01/03/2018")+1))/365),((_xlfn.DAYS("31/03/2018","01/03/2018")+1-(Mars[[#This Row],[Maladie]]+Mars[[#This Row],[AT]]))*((10*(_xlfn.DAYS("31/03/2018","01/03/2018")+1))/365))/(_xlfn.DAYS("31/03/2018","01/03/2018")+1))</f>
        <v>0.84931506849315064</v>
      </c>
    </row>
    <row r="57" spans="1:41" x14ac:dyDescent="0.2">
      <c r="A57" s="1"/>
    </row>
  </sheetData>
  <mergeCells count="6">
    <mergeCell ref="F5:AI5"/>
    <mergeCell ref="G3:H3"/>
    <mergeCell ref="J3:K3"/>
    <mergeCell ref="U3:V3"/>
    <mergeCell ref="AC3:AD3"/>
    <mergeCell ref="AH3:AI3"/>
  </mergeCells>
  <conditionalFormatting sqref="F8:AJ56">
    <cfRule type="expression" dxfId="159" priority="4">
      <formula>F8=CléPersonnalisée4</formula>
    </cfRule>
    <cfRule type="expression" dxfId="158" priority="5">
      <formula>F8=CléPersonnalisée5</formula>
    </cfRule>
    <cfRule type="expression" dxfId="157" priority="6">
      <formula>F8=CléPersonnalisée3</formula>
    </cfRule>
    <cfRule type="expression" dxfId="156" priority="7">
      <formula>F8=CléPersonnalisée2</formula>
    </cfRule>
    <cfRule type="expression" dxfId="155" priority="8">
      <formula>F8=CléPersonnalisée1</formula>
    </cfRule>
    <cfRule type="expression" dxfId="154" priority="9">
      <formula>F8=CléMaladie</formula>
    </cfRule>
    <cfRule type="expression" dxfId="153" priority="10">
      <formula>F8=CléPersonnel</formula>
    </cfRule>
    <cfRule type="expression" dxfId="152" priority="11" stopIfTrue="1">
      <formula>F8=CléCongé</formula>
    </cfRule>
    <cfRule type="expression" dxfId="151" priority="12" stopIfTrue="1">
      <formula>F8=CléDemiCongés</formula>
    </cfRule>
    <cfRule type="expression" dxfId="150" priority="13">
      <formula>F8=""</formula>
    </cfRule>
  </conditionalFormatting>
  <conditionalFormatting sqref="F6:AJ56">
    <cfRule type="expression" dxfId="149" priority="2" stopIfTrue="1">
      <formula>WEEKDAY(F$1)=7</formula>
    </cfRule>
    <cfRule type="expression" dxfId="148"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ignoredErrors>
    <ignoredError sqref="F8:AJ56" calculatedColumn="1"/>
  </ignoredErrors>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2CE05594-D42F-954E-938A-E4A9C20927BC}">
            <xm:f>F$1=VLOOKUP(F$1,JFériés!$D$1:$D$11,1,FALSE)</xm:f>
            <x14:dxf>
              <font>
                <color theme="1"/>
              </font>
              <fill>
                <patternFill>
                  <bgColor theme="5" tint="0.59996337778862885"/>
                </patternFill>
              </fill>
            </x14:dxf>
          </x14:cfRule>
          <xm:sqref>F6:AJ56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6" enableFormatConditionsCalculation="0">
    <tabColor rgb="FFC3C79C"/>
    <pageSetUpPr fitToPage="1"/>
  </sheetPr>
  <dimension ref="A1:AO57"/>
  <sheetViews>
    <sheetView showGridLines="0" topLeftCell="A42"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DATE(AnnéeCalendrier,4,1)</f>
        <v>43191</v>
      </c>
      <c r="G1" s="62">
        <f>DATE(AnnéeCalendrier,4,2)</f>
        <v>43192</v>
      </c>
      <c r="H1" s="62">
        <f>DATE(AnnéeCalendrier,4,3)</f>
        <v>43193</v>
      </c>
      <c r="I1" s="62">
        <f>DATE(AnnéeCalendrier,4,4)</f>
        <v>43194</v>
      </c>
      <c r="J1" s="62">
        <f>DATE(AnnéeCalendrier,4,5)</f>
        <v>43195</v>
      </c>
      <c r="K1" s="62">
        <f>DATE(AnnéeCalendrier,4,6)</f>
        <v>43196</v>
      </c>
      <c r="L1" s="62">
        <f>DATE(AnnéeCalendrier,4,7)</f>
        <v>43197</v>
      </c>
      <c r="M1" s="62">
        <f>DATE(AnnéeCalendrier,4,8)</f>
        <v>43198</v>
      </c>
      <c r="N1" s="62">
        <f>DATE(AnnéeCalendrier,4,9)</f>
        <v>43199</v>
      </c>
      <c r="O1" s="62">
        <f>DATE(AnnéeCalendrier,4,10)</f>
        <v>43200</v>
      </c>
      <c r="P1" s="62">
        <f>DATE(AnnéeCalendrier,4,11)</f>
        <v>43201</v>
      </c>
      <c r="Q1" s="62">
        <f>DATE(AnnéeCalendrier,4,12)</f>
        <v>43202</v>
      </c>
      <c r="R1" s="62">
        <f>DATE(AnnéeCalendrier,4,13)</f>
        <v>43203</v>
      </c>
      <c r="S1" s="62">
        <f>DATE(AnnéeCalendrier,4,14)</f>
        <v>43204</v>
      </c>
      <c r="T1" s="62">
        <f>DATE(AnnéeCalendrier,4,15)</f>
        <v>43205</v>
      </c>
      <c r="U1" s="62">
        <f>DATE(AnnéeCalendrier,4,16)</f>
        <v>43206</v>
      </c>
      <c r="V1" s="62">
        <f>DATE(AnnéeCalendrier,4,17)</f>
        <v>43207</v>
      </c>
      <c r="W1" s="62">
        <f>DATE(AnnéeCalendrier,4,18)</f>
        <v>43208</v>
      </c>
      <c r="X1" s="62">
        <f>DATE(AnnéeCalendrier,4,19)</f>
        <v>43209</v>
      </c>
      <c r="Y1" s="62">
        <f>DATE(AnnéeCalendrier,4,20)</f>
        <v>43210</v>
      </c>
      <c r="Z1" s="62">
        <f>DATE(AnnéeCalendrier,4,21)</f>
        <v>43211</v>
      </c>
      <c r="AA1" s="62">
        <f>DATE(AnnéeCalendrier,4,22)</f>
        <v>43212</v>
      </c>
      <c r="AB1" s="62">
        <f>DATE(AnnéeCalendrier,4,23)</f>
        <v>43213</v>
      </c>
      <c r="AC1" s="62">
        <f>DATE(AnnéeCalendrier,4,24)</f>
        <v>43214</v>
      </c>
      <c r="AD1" s="62">
        <f>DATE(AnnéeCalendrier,4,25)</f>
        <v>43215</v>
      </c>
      <c r="AE1" s="62">
        <f>DATE(AnnéeCalendrier,4,26)</f>
        <v>43216</v>
      </c>
      <c r="AF1" s="62">
        <f>DATE(AnnéeCalendrier,4,27)</f>
        <v>43217</v>
      </c>
      <c r="AG1" s="62">
        <f>DATE(AnnéeCalendrier,4,28)</f>
        <v>43218</v>
      </c>
      <c r="AH1" s="62">
        <f>DATE(AnnéeCalendrier,4,29)</f>
        <v>43219</v>
      </c>
      <c r="AI1" s="62">
        <f>DATE(AnnéeCalendrier,4,30)</f>
        <v>43220</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48</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88" t="str">
        <f>TEXT(WEEKDAY(DATE(AnnéeCalendrier,4,1),1),"jjj")</f>
        <v>dim</v>
      </c>
      <c r="G6" s="89" t="str">
        <f>TEXT(WEEKDAY(DATE(AnnéeCalendrier,4,2),1),"jjj")</f>
        <v>lun</v>
      </c>
      <c r="H6" s="89" t="str">
        <f>TEXT(WEEKDAY(DATE(AnnéeCalendrier,4,3),1),"jjj")</f>
        <v>mar</v>
      </c>
      <c r="I6" s="89" t="str">
        <f>TEXT(WEEKDAY(DATE(AnnéeCalendrier,4,4),1),"jjj")</f>
        <v>mer</v>
      </c>
      <c r="J6" s="89" t="str">
        <f>TEXT(WEEKDAY(DATE(AnnéeCalendrier,4,5),1),"jjj")</f>
        <v>jeu</v>
      </c>
      <c r="K6" s="89" t="str">
        <f>TEXT(WEEKDAY(DATE(AnnéeCalendrier,4,6),1),"jjj")</f>
        <v>ven</v>
      </c>
      <c r="L6" s="89" t="str">
        <f>TEXT(WEEKDAY(DATE(AnnéeCalendrier,4,7),1),"jjj")</f>
        <v>sam</v>
      </c>
      <c r="M6" s="89" t="str">
        <f>TEXT(WEEKDAY(DATE(AnnéeCalendrier,4,8),1),"jjj")</f>
        <v>dim</v>
      </c>
      <c r="N6" s="89" t="str">
        <f>TEXT(WEEKDAY(DATE(AnnéeCalendrier,4,9),1),"jjj")</f>
        <v>lun</v>
      </c>
      <c r="O6" s="89" t="str">
        <f>TEXT(WEEKDAY(DATE(AnnéeCalendrier,4,10),1),"jjj")</f>
        <v>mar</v>
      </c>
      <c r="P6" s="89" t="str">
        <f>TEXT(WEEKDAY(DATE(AnnéeCalendrier,4,11),1),"jjj")</f>
        <v>mer</v>
      </c>
      <c r="Q6" s="89" t="str">
        <f>TEXT(WEEKDAY(DATE(AnnéeCalendrier,4,12),1),"jjj")</f>
        <v>jeu</v>
      </c>
      <c r="R6" s="89" t="str">
        <f>TEXT(WEEKDAY(DATE(AnnéeCalendrier,4,13),1),"jjj")</f>
        <v>ven</v>
      </c>
      <c r="S6" s="89" t="str">
        <f>TEXT(WEEKDAY(DATE(AnnéeCalendrier,4,14),1),"jjj")</f>
        <v>sam</v>
      </c>
      <c r="T6" s="89" t="str">
        <f>TEXT(WEEKDAY(DATE(AnnéeCalendrier,4,15),1),"jjj")</f>
        <v>dim</v>
      </c>
      <c r="U6" s="89" t="str">
        <f>TEXT(WEEKDAY(DATE(AnnéeCalendrier,4,16),1),"jjj")</f>
        <v>lun</v>
      </c>
      <c r="V6" s="89" t="str">
        <f>TEXT(WEEKDAY(DATE(AnnéeCalendrier,4,17),1),"jjj")</f>
        <v>mar</v>
      </c>
      <c r="W6" s="89" t="str">
        <f>TEXT(WEEKDAY(DATE(AnnéeCalendrier,4,18),1),"jjj")</f>
        <v>mer</v>
      </c>
      <c r="X6" s="89" t="str">
        <f>TEXT(WEEKDAY(DATE(AnnéeCalendrier,4,19),1),"jjj")</f>
        <v>jeu</v>
      </c>
      <c r="Y6" s="89" t="str">
        <f>TEXT(WEEKDAY(DATE(AnnéeCalendrier,4,20),1),"jjj")</f>
        <v>ven</v>
      </c>
      <c r="Z6" s="89" t="str">
        <f>TEXT(WEEKDAY(DATE(AnnéeCalendrier,4,21),1),"jjj")</f>
        <v>sam</v>
      </c>
      <c r="AA6" s="89" t="str">
        <f>TEXT(WEEKDAY(DATE(AnnéeCalendrier,4,22),1),"jjj")</f>
        <v>dim</v>
      </c>
      <c r="AB6" s="89" t="str">
        <f>TEXT(WEEKDAY(DATE(AnnéeCalendrier,4,23),1),"jjj")</f>
        <v>lun</v>
      </c>
      <c r="AC6" s="89" t="str">
        <f>TEXT(WEEKDAY(DATE(AnnéeCalendrier,4,24),1),"jjj")</f>
        <v>mar</v>
      </c>
      <c r="AD6" s="89" t="str">
        <f>TEXT(WEEKDAY(DATE(AnnéeCalendrier,4,25),1),"jjj")</f>
        <v>mer</v>
      </c>
      <c r="AE6" s="89" t="str">
        <f>TEXT(WEEKDAY(DATE(AnnéeCalendrier,4,26),1),"jjj")</f>
        <v>jeu</v>
      </c>
      <c r="AF6" s="89" t="str">
        <f>TEXT(WEEKDAY(DATE(AnnéeCalendrier,4,27),1),"jjj")</f>
        <v>ven</v>
      </c>
      <c r="AG6" s="89" t="str">
        <f>TEXT(WEEKDAY(DATE(AnnéeCalendrier,4,28),1),"jjj")</f>
        <v>sam</v>
      </c>
      <c r="AH6" s="89" t="str">
        <f>TEXT(WEEKDAY(DATE(AnnéeCalendrier,4,29),1),"jjj")</f>
        <v>dim</v>
      </c>
      <c r="AI6" s="89" t="str">
        <f>TEXT(WEEKDAY(DATE(AnnéeCalendrier,4,30),1),"jjj")</f>
        <v>lun</v>
      </c>
      <c r="AJ6" s="90"/>
      <c r="AK6" s="10"/>
    </row>
    <row r="7" spans="1:41" ht="15" customHeight="1" thickBot="1" x14ac:dyDescent="0.25">
      <c r="A7" s="36" t="s">
        <v>63</v>
      </c>
      <c r="B7" s="36" t="s">
        <v>128</v>
      </c>
      <c r="C7" s="36" t="s">
        <v>129</v>
      </c>
      <c r="D7" s="36" t="s">
        <v>13</v>
      </c>
      <c r="E7" s="43" t="s">
        <v>113</v>
      </c>
      <c r="F7" s="91" t="s">
        <v>14</v>
      </c>
      <c r="G7" s="92" t="s">
        <v>15</v>
      </c>
      <c r="H7" s="92" t="s">
        <v>16</v>
      </c>
      <c r="I7" s="92" t="s">
        <v>17</v>
      </c>
      <c r="J7" s="92" t="s">
        <v>18</v>
      </c>
      <c r="K7" s="92" t="s">
        <v>19</v>
      </c>
      <c r="L7" s="92" t="s">
        <v>20</v>
      </c>
      <c r="M7" s="92" t="s">
        <v>21</v>
      </c>
      <c r="N7" s="92" t="s">
        <v>22</v>
      </c>
      <c r="O7" s="92" t="s">
        <v>23</v>
      </c>
      <c r="P7" s="92" t="s">
        <v>24</v>
      </c>
      <c r="Q7" s="92" t="s">
        <v>25</v>
      </c>
      <c r="R7" s="92" t="s">
        <v>26</v>
      </c>
      <c r="S7" s="92" t="s">
        <v>27</v>
      </c>
      <c r="T7" s="92" t="s">
        <v>28</v>
      </c>
      <c r="U7" s="92" t="s">
        <v>29</v>
      </c>
      <c r="V7" s="92" t="s">
        <v>30</v>
      </c>
      <c r="W7" s="92" t="s">
        <v>31</v>
      </c>
      <c r="X7" s="92" t="s">
        <v>32</v>
      </c>
      <c r="Y7" s="92" t="s">
        <v>33</v>
      </c>
      <c r="Z7" s="92" t="s">
        <v>34</v>
      </c>
      <c r="AA7" s="92" t="s">
        <v>35</v>
      </c>
      <c r="AB7" s="92" t="s">
        <v>36</v>
      </c>
      <c r="AC7" s="92" t="s">
        <v>37</v>
      </c>
      <c r="AD7" s="92" t="s">
        <v>38</v>
      </c>
      <c r="AE7" s="92" t="s">
        <v>39</v>
      </c>
      <c r="AF7" s="92" t="s">
        <v>40</v>
      </c>
      <c r="AG7" s="92" t="s">
        <v>41</v>
      </c>
      <c r="AH7" s="92" t="s">
        <v>42</v>
      </c>
      <c r="AI7" s="92" t="s">
        <v>43</v>
      </c>
      <c r="AJ7" s="94"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Global!CR8</f>
        <v/>
      </c>
      <c r="G8" s="79" t="str">
        <f>Global!CS8</f>
        <v/>
      </c>
      <c r="H8" s="79" t="str">
        <f>Global!CT8</f>
        <v/>
      </c>
      <c r="I8" s="79" t="str">
        <f>Global!CU8</f>
        <v/>
      </c>
      <c r="J8" s="79" t="str">
        <f>Global!CV8</f>
        <v/>
      </c>
      <c r="K8" s="79" t="str">
        <f>Global!CW8</f>
        <v/>
      </c>
      <c r="L8" s="79" t="str">
        <f>Global!CX8</f>
        <v/>
      </c>
      <c r="M8" s="79" t="str">
        <f>Global!CY8</f>
        <v/>
      </c>
      <c r="N8" s="79" t="str">
        <f>Global!CZ8</f>
        <v/>
      </c>
      <c r="O8" s="79" t="str">
        <f>Global!DA8</f>
        <v/>
      </c>
      <c r="P8" s="79" t="str">
        <f>Global!DB8</f>
        <v/>
      </c>
      <c r="Q8" s="79" t="str">
        <f>Global!DC8</f>
        <v/>
      </c>
      <c r="R8" s="79" t="str">
        <f>Global!DD8</f>
        <v/>
      </c>
      <c r="S8" s="79" t="str">
        <f>Global!DE8</f>
        <v/>
      </c>
      <c r="T8" s="79" t="str">
        <f>Global!DF8</f>
        <v/>
      </c>
      <c r="U8" s="79" t="str">
        <f>Global!DG8</f>
        <v/>
      </c>
      <c r="V8" s="79" t="str">
        <f>Global!DH8</f>
        <v/>
      </c>
      <c r="W8" s="79" t="str">
        <f>Global!DI8</f>
        <v/>
      </c>
      <c r="X8" s="79" t="str">
        <f>Global!DJ8</f>
        <v/>
      </c>
      <c r="Y8" s="79" t="str">
        <f>Global!DK8</f>
        <v>C</v>
      </c>
      <c r="Z8" s="79" t="str">
        <f>Global!DL8</f>
        <v/>
      </c>
      <c r="AA8" s="79" t="str">
        <f>Global!DM8</f>
        <v/>
      </c>
      <c r="AB8" s="79" t="str">
        <f>Global!DN8</f>
        <v>C</v>
      </c>
      <c r="AC8" s="79" t="str">
        <f>Global!DO8</f>
        <v>C</v>
      </c>
      <c r="AD8" s="79" t="str">
        <f>Global!DP8</f>
        <v/>
      </c>
      <c r="AE8" s="79" t="str">
        <f>Global!DQ8</f>
        <v/>
      </c>
      <c r="AF8" s="79" t="str">
        <f>Global!DR8</f>
        <v/>
      </c>
      <c r="AG8" s="79" t="str">
        <f>Global!DS8</f>
        <v/>
      </c>
      <c r="AH8" s="79" t="str">
        <f>Global!DT8</f>
        <v/>
      </c>
      <c r="AI8" s="79" t="str">
        <f>Global!DU8</f>
        <v/>
      </c>
      <c r="AJ8" s="112"/>
      <c r="AK8" s="108">
        <f>COUNTIF(Avril[[#This Row],[1]:[30]],"RTT")+(COUNTIF(Avril[[#This Row],[1]:[30]],"dRTT")/2)</f>
        <v>0</v>
      </c>
      <c r="AL8" s="109">
        <f>COUNTIF(Avril[[#This Row],[1]:[30]],"C")+(COUNTIF(Avril[[#This Row],[1]:[30]],"DC")/2)</f>
        <v>3</v>
      </c>
      <c r="AM8" s="22">
        <f>COUNTIF(Avril[[#This Row],[1]:[30]],"M")</f>
        <v>0</v>
      </c>
      <c r="AN8" s="22">
        <f>COUNTIF(Avril[[#This Row],[1]:[30]],"AT")</f>
        <v>0</v>
      </c>
      <c r="AO8" s="84">
        <f>IF(AND(AM8=0,AN8=0),((10*(_xlfn.DAYS("30/04/2018","01/04/2018")+1))/365),((_xlfn.DAYS("30/04/2018","01/04/2018")+1-(AM8+AN8))*((10*(_xlfn.DAYS("30/04/2018","01/04/2018")+1))/365))/(_xlfn.DAYS("30/04/2018","01/04/2018")+1))</f>
        <v>0.82191780821917804</v>
      </c>
    </row>
    <row r="9" spans="1:41" ht="30" customHeight="1" x14ac:dyDescent="0.2">
      <c r="A9" s="13" t="s">
        <v>65</v>
      </c>
      <c r="B9" s="22" t="s">
        <v>130</v>
      </c>
      <c r="C9" s="22" t="s">
        <v>133</v>
      </c>
      <c r="D9" s="22" t="s">
        <v>134</v>
      </c>
      <c r="E9" s="44">
        <v>0</v>
      </c>
      <c r="F9" s="47" t="str">
        <f>Global!CR9</f>
        <v/>
      </c>
      <c r="G9" s="31" t="str">
        <f>Global!CS9</f>
        <v/>
      </c>
      <c r="H9" s="31" t="str">
        <f>Global!CT9</f>
        <v/>
      </c>
      <c r="I9" s="31" t="str">
        <f>Global!CU9</f>
        <v/>
      </c>
      <c r="J9" s="31" t="str">
        <f>Global!CV9</f>
        <v/>
      </c>
      <c r="K9" s="31" t="str">
        <f>Global!CW9</f>
        <v/>
      </c>
      <c r="L9" s="31" t="str">
        <f>Global!CX9</f>
        <v/>
      </c>
      <c r="M9" s="31" t="str">
        <f>Global!CY9</f>
        <v/>
      </c>
      <c r="N9" s="31" t="str">
        <f>Global!CZ9</f>
        <v/>
      </c>
      <c r="O9" s="31" t="str">
        <f>Global!DA9</f>
        <v/>
      </c>
      <c r="P9" s="31" t="str">
        <f>Global!DB9</f>
        <v/>
      </c>
      <c r="Q9" s="31" t="str">
        <f>Global!DC9</f>
        <v/>
      </c>
      <c r="R9" s="31" t="str">
        <f>Global!DD9</f>
        <v/>
      </c>
      <c r="S9" s="31" t="str">
        <f>Global!DE9</f>
        <v/>
      </c>
      <c r="T9" s="31" t="str">
        <f>Global!DF9</f>
        <v/>
      </c>
      <c r="U9" s="31" t="str">
        <f>Global!DG9</f>
        <v/>
      </c>
      <c r="V9" s="31" t="str">
        <f>Global!DH9</f>
        <v/>
      </c>
      <c r="W9" s="31" t="str">
        <f>Global!DI9</f>
        <v/>
      </c>
      <c r="X9" s="31" t="str">
        <f>Global!DJ9</f>
        <v/>
      </c>
      <c r="Y9" s="31" t="str">
        <f>Global!DK9</f>
        <v/>
      </c>
      <c r="Z9" s="31" t="str">
        <f>Global!DL9</f>
        <v/>
      </c>
      <c r="AA9" s="31" t="str">
        <f>Global!DM9</f>
        <v/>
      </c>
      <c r="AB9" s="31" t="str">
        <f>Global!DN9</f>
        <v/>
      </c>
      <c r="AC9" s="31" t="str">
        <f>Global!DO9</f>
        <v/>
      </c>
      <c r="AD9" s="31" t="str">
        <f>Global!DP9</f>
        <v/>
      </c>
      <c r="AE9" s="31" t="str">
        <f>Global!DQ9</f>
        <v/>
      </c>
      <c r="AF9" s="31" t="str">
        <f>Global!DR9</f>
        <v/>
      </c>
      <c r="AG9" s="31" t="str">
        <f>Global!DS9</f>
        <v/>
      </c>
      <c r="AH9" s="31" t="str">
        <f>Global!DT9</f>
        <v/>
      </c>
      <c r="AI9" s="31" t="str">
        <f>Global!DU9</f>
        <v/>
      </c>
      <c r="AJ9" s="113"/>
      <c r="AK9" s="108">
        <f>COUNTIF(Avril[[#This Row],[1]:[30]],"RTT")+(COUNTIF(Avril[[#This Row],[1]:[30]],"dRTT")/2)</f>
        <v>0</v>
      </c>
      <c r="AL9" s="109">
        <f>COUNTIF(Avril[[#This Row],[1]:[30]],"C")+(COUNTIF(Avril[[#This Row],[1]:[30]],"DC")/2)</f>
        <v>0</v>
      </c>
      <c r="AM9" s="22">
        <f>COUNTIF(Avril[[#This Row],[1]:[30]],"M")</f>
        <v>0</v>
      </c>
      <c r="AN9" s="22">
        <f>COUNTIF(Avril[[#This Row],[1]:[30]],"AT")</f>
        <v>0</v>
      </c>
      <c r="AO9" s="84">
        <f t="shared" ref="AO9:AO56" si="0">IF(AND(AM9=0,AN9=0),((10*(_xlfn.DAYS("30/04/2018","01/04/2018")+1))/365),((_xlfn.DAYS("30/04/2018","01/04/2018")+1-(AM9+AN9))*((10*(_xlfn.DAYS("30/04/2018","01/04/2018")+1))/365))/(_xlfn.DAYS("30/04/2018","01/04/2018")+1))</f>
        <v>0.82191780821917804</v>
      </c>
    </row>
    <row r="10" spans="1:41" ht="30" customHeight="1" x14ac:dyDescent="0.2">
      <c r="A10" s="14" t="s">
        <v>66</v>
      </c>
      <c r="B10" s="22" t="s">
        <v>135</v>
      </c>
      <c r="C10" s="22" t="s">
        <v>136</v>
      </c>
      <c r="D10" s="22" t="s">
        <v>137</v>
      </c>
      <c r="E10" s="44">
        <v>0</v>
      </c>
      <c r="F10" s="47" t="str">
        <f>Global!CR10</f>
        <v/>
      </c>
      <c r="G10" s="31" t="str">
        <f>Global!CS10</f>
        <v/>
      </c>
      <c r="H10" s="31" t="str">
        <f>Global!CT10</f>
        <v>RTT</v>
      </c>
      <c r="I10" s="31" t="str">
        <f>Global!CU10</f>
        <v>C</v>
      </c>
      <c r="J10" s="31" t="str">
        <f>Global!CV10</f>
        <v>C</v>
      </c>
      <c r="K10" s="31" t="str">
        <f>Global!CW10</f>
        <v>C</v>
      </c>
      <c r="L10" s="31" t="str">
        <f>Global!CX10</f>
        <v/>
      </c>
      <c r="M10" s="31" t="str">
        <f>Global!CY10</f>
        <v/>
      </c>
      <c r="N10" s="31" t="str">
        <f>Global!CZ10</f>
        <v>C</v>
      </c>
      <c r="O10" s="31" t="str">
        <f>Global!DA10</f>
        <v>C</v>
      </c>
      <c r="P10" s="31" t="str">
        <f>Global!DB10</f>
        <v>C</v>
      </c>
      <c r="Q10" s="31" t="str">
        <f>Global!DC10</f>
        <v>C</v>
      </c>
      <c r="R10" s="31" t="str">
        <f>Global!DD10</f>
        <v>C</v>
      </c>
      <c r="S10" s="31" t="str">
        <f>Global!DE10</f>
        <v/>
      </c>
      <c r="T10" s="31" t="str">
        <f>Global!DF10</f>
        <v/>
      </c>
      <c r="U10" s="31" t="str">
        <f>Global!DG10</f>
        <v/>
      </c>
      <c r="V10" s="31" t="str">
        <f>Global!DH10</f>
        <v/>
      </c>
      <c r="W10" s="31" t="str">
        <f>Global!DI10</f>
        <v/>
      </c>
      <c r="X10" s="31" t="str">
        <f>Global!DJ10</f>
        <v/>
      </c>
      <c r="Y10" s="31" t="str">
        <f>Global!DK10</f>
        <v/>
      </c>
      <c r="Z10" s="31" t="str">
        <f>Global!DL10</f>
        <v/>
      </c>
      <c r="AA10" s="31" t="str">
        <f>Global!DM10</f>
        <v/>
      </c>
      <c r="AB10" s="31" t="str">
        <f>Global!DN10</f>
        <v/>
      </c>
      <c r="AC10" s="31" t="str">
        <f>Global!DO10</f>
        <v/>
      </c>
      <c r="AD10" s="31" t="str">
        <f>Global!DP10</f>
        <v/>
      </c>
      <c r="AE10" s="31" t="str">
        <f>Global!DQ10</f>
        <v/>
      </c>
      <c r="AF10" s="31" t="str">
        <f>Global!DR10</f>
        <v/>
      </c>
      <c r="AG10" s="31" t="str">
        <f>Global!DS10</f>
        <v/>
      </c>
      <c r="AH10" s="31" t="str">
        <f>Global!DT10</f>
        <v/>
      </c>
      <c r="AI10" s="31" t="str">
        <f>Global!DU10</f>
        <v/>
      </c>
      <c r="AJ10" s="113"/>
      <c r="AK10" s="108">
        <f>COUNTIF(Avril[[#This Row],[1]:[30]],"RTT")+(COUNTIF(Avril[[#This Row],[1]:[30]],"dRTT")/2)</f>
        <v>1</v>
      </c>
      <c r="AL10" s="109">
        <f>COUNTIF(Avril[[#This Row],[1]:[30]],"C")+(COUNTIF(Avril[[#This Row],[1]:[30]],"DC")/2)</f>
        <v>8</v>
      </c>
      <c r="AM10" s="22">
        <f>COUNTIF(Avril[[#This Row],[1]:[30]],"M")</f>
        <v>0</v>
      </c>
      <c r="AN10" s="22">
        <f>COUNTIF(Avril[[#This Row],[1]:[30]],"AT")</f>
        <v>0</v>
      </c>
      <c r="AO10" s="84">
        <f t="shared" si="0"/>
        <v>0.82191780821917804</v>
      </c>
    </row>
    <row r="11" spans="1:41" ht="30" customHeight="1" x14ac:dyDescent="0.2">
      <c r="A11" s="15" t="s">
        <v>67</v>
      </c>
      <c r="B11" s="22" t="s">
        <v>138</v>
      </c>
      <c r="C11" s="22" t="s">
        <v>139</v>
      </c>
      <c r="D11" s="22" t="s">
        <v>140</v>
      </c>
      <c r="E11" s="44">
        <v>0</v>
      </c>
      <c r="F11" s="47" t="str">
        <f>Global!CR11</f>
        <v/>
      </c>
      <c r="G11" s="31" t="str">
        <f>Global!CS11</f>
        <v/>
      </c>
      <c r="H11" s="31" t="str">
        <f>Global!CT11</f>
        <v/>
      </c>
      <c r="I11" s="31" t="str">
        <f>Global!CU11</f>
        <v/>
      </c>
      <c r="J11" s="31" t="str">
        <f>Global!CV11</f>
        <v/>
      </c>
      <c r="K11" s="31" t="str">
        <f>Global!CW11</f>
        <v/>
      </c>
      <c r="L11" s="31" t="str">
        <f>Global!CX11</f>
        <v/>
      </c>
      <c r="M11" s="31" t="str">
        <f>Global!CY11</f>
        <v/>
      </c>
      <c r="N11" s="31" t="str">
        <f>Global!CZ11</f>
        <v>C</v>
      </c>
      <c r="O11" s="31" t="str">
        <f>Global!DA11</f>
        <v>C</v>
      </c>
      <c r="P11" s="31" t="str">
        <f>Global!DB11</f>
        <v>C</v>
      </c>
      <c r="Q11" s="31" t="str">
        <f>Global!DC11</f>
        <v>C</v>
      </c>
      <c r="R11" s="31" t="str">
        <f>Global!DD11</f>
        <v/>
      </c>
      <c r="S11" s="31" t="str">
        <f>Global!DE11</f>
        <v/>
      </c>
      <c r="T11" s="31" t="str">
        <f>Global!DF11</f>
        <v/>
      </c>
      <c r="U11" s="31" t="str">
        <f>Global!DG11</f>
        <v/>
      </c>
      <c r="V11" s="31" t="str">
        <f>Global!DH11</f>
        <v/>
      </c>
      <c r="W11" s="31" t="str">
        <f>Global!DI11</f>
        <v/>
      </c>
      <c r="X11" s="31" t="str">
        <f>Global!DJ11</f>
        <v/>
      </c>
      <c r="Y11" s="31" t="str">
        <f>Global!DK11</f>
        <v/>
      </c>
      <c r="Z11" s="31" t="str">
        <f>Global!DL11</f>
        <v/>
      </c>
      <c r="AA11" s="31" t="str">
        <f>Global!DM11</f>
        <v/>
      </c>
      <c r="AB11" s="31" t="str">
        <f>Global!DN11</f>
        <v/>
      </c>
      <c r="AC11" s="31" t="str">
        <f>Global!DO11</f>
        <v/>
      </c>
      <c r="AD11" s="31" t="str">
        <f>Global!DP11</f>
        <v/>
      </c>
      <c r="AE11" s="31" t="str">
        <f>Global!DQ11</f>
        <v/>
      </c>
      <c r="AF11" s="31" t="str">
        <f>Global!DR11</f>
        <v/>
      </c>
      <c r="AG11" s="31" t="str">
        <f>Global!DS11</f>
        <v/>
      </c>
      <c r="AH11" s="31" t="str">
        <f>Global!DT11</f>
        <v/>
      </c>
      <c r="AI11" s="31" t="str">
        <f>Global!DU11</f>
        <v/>
      </c>
      <c r="AJ11" s="113"/>
      <c r="AK11" s="108">
        <f>COUNTIF(Avril[[#This Row],[1]:[30]],"RTT")+(COUNTIF(Avril[[#This Row],[1]:[30]],"dRTT")/2)</f>
        <v>0</v>
      </c>
      <c r="AL11" s="109">
        <f>COUNTIF(Avril[[#This Row],[1]:[30]],"C")+(COUNTIF(Avril[[#This Row],[1]:[30]],"DC")/2)</f>
        <v>4</v>
      </c>
      <c r="AM11" s="22">
        <f>COUNTIF(Avril[[#This Row],[1]:[30]],"M")</f>
        <v>0</v>
      </c>
      <c r="AN11" s="22">
        <f>COUNTIF(Avril[[#This Row],[1]:[30]],"AT")</f>
        <v>0</v>
      </c>
      <c r="AO11" s="84">
        <f t="shared" si="0"/>
        <v>0.82191780821917804</v>
      </c>
    </row>
    <row r="12" spans="1:41" ht="30" customHeight="1" x14ac:dyDescent="0.2">
      <c r="A12" s="15" t="s">
        <v>68</v>
      </c>
      <c r="B12" s="22" t="s">
        <v>141</v>
      </c>
      <c r="C12" s="22" t="s">
        <v>142</v>
      </c>
      <c r="D12" s="22" t="s">
        <v>143</v>
      </c>
      <c r="E12" s="44">
        <v>0</v>
      </c>
      <c r="F12" s="47" t="str">
        <f>Global!CR12</f>
        <v/>
      </c>
      <c r="G12" s="31" t="str">
        <f>Global!CS12</f>
        <v/>
      </c>
      <c r="H12" s="31" t="str">
        <f>Global!CT12</f>
        <v>RTT</v>
      </c>
      <c r="I12" s="31" t="str">
        <f>Global!CU12</f>
        <v>RTT</v>
      </c>
      <c r="J12" s="31" t="str">
        <f>Global!CV12</f>
        <v>RTT</v>
      </c>
      <c r="K12" s="31" t="str">
        <f>Global!CW12</f>
        <v>RTT</v>
      </c>
      <c r="L12" s="31" t="str">
        <f>Global!CX12</f>
        <v/>
      </c>
      <c r="M12" s="31" t="str">
        <f>Global!CY12</f>
        <v/>
      </c>
      <c r="N12" s="31" t="str">
        <f>Global!CZ12</f>
        <v/>
      </c>
      <c r="O12" s="31" t="str">
        <f>Global!DA12</f>
        <v/>
      </c>
      <c r="P12" s="31" t="str">
        <f>Global!DB12</f>
        <v/>
      </c>
      <c r="Q12" s="31" t="str">
        <f>Global!DC12</f>
        <v/>
      </c>
      <c r="R12" s="31" t="str">
        <f>Global!DD12</f>
        <v/>
      </c>
      <c r="S12" s="31" t="str">
        <f>Global!DE12</f>
        <v/>
      </c>
      <c r="T12" s="31" t="str">
        <f>Global!DF12</f>
        <v/>
      </c>
      <c r="U12" s="31" t="str">
        <f>Global!DG12</f>
        <v/>
      </c>
      <c r="V12" s="31" t="str">
        <f>Global!DH12</f>
        <v/>
      </c>
      <c r="W12" s="31" t="str">
        <f>Global!DI12</f>
        <v/>
      </c>
      <c r="X12" s="31" t="str">
        <f>Global!DJ12</f>
        <v/>
      </c>
      <c r="Y12" s="31" t="str">
        <f>Global!DK12</f>
        <v/>
      </c>
      <c r="Z12" s="31" t="str">
        <f>Global!DL12</f>
        <v/>
      </c>
      <c r="AA12" s="31" t="str">
        <f>Global!DM12</f>
        <v/>
      </c>
      <c r="AB12" s="31" t="str">
        <f>Global!DN12</f>
        <v/>
      </c>
      <c r="AC12" s="31" t="str">
        <f>Global!DO12</f>
        <v/>
      </c>
      <c r="AD12" s="31" t="str">
        <f>Global!DP12</f>
        <v/>
      </c>
      <c r="AE12" s="31" t="str">
        <f>Global!DQ12</f>
        <v/>
      </c>
      <c r="AF12" s="31" t="str">
        <f>Global!DR12</f>
        <v>C</v>
      </c>
      <c r="AG12" s="31" t="str">
        <f>Global!DS12</f>
        <v/>
      </c>
      <c r="AH12" s="31" t="str">
        <f>Global!DT12</f>
        <v/>
      </c>
      <c r="AI12" s="31" t="str">
        <f>Global!DU12</f>
        <v>C</v>
      </c>
      <c r="AJ12" s="113"/>
      <c r="AK12" s="108">
        <f>COUNTIF(Avril[[#This Row],[1]:[30]],"RTT")+(COUNTIF(Avril[[#This Row],[1]:[30]],"dRTT")/2)</f>
        <v>4</v>
      </c>
      <c r="AL12" s="109">
        <f>COUNTIF(Avril[[#This Row],[1]:[30]],"C")+(COUNTIF(Avril[[#This Row],[1]:[30]],"DC")/2)</f>
        <v>2</v>
      </c>
      <c r="AM12" s="22">
        <f>COUNTIF(Avril[[#This Row],[1]:[30]],"M")</f>
        <v>0</v>
      </c>
      <c r="AN12" s="22">
        <f>COUNTIF(Avril[[#This Row],[1]:[30]],"AT")</f>
        <v>0</v>
      </c>
      <c r="AO12" s="84">
        <f t="shared" si="0"/>
        <v>0.82191780821917804</v>
      </c>
    </row>
    <row r="13" spans="1:41" ht="30" customHeight="1" x14ac:dyDescent="0.2">
      <c r="A13" s="13" t="s">
        <v>69</v>
      </c>
      <c r="B13" s="22" t="s">
        <v>144</v>
      </c>
      <c r="C13" s="22" t="s">
        <v>145</v>
      </c>
      <c r="D13" s="22" t="s">
        <v>146</v>
      </c>
      <c r="E13" s="44">
        <v>0</v>
      </c>
      <c r="F13" s="47" t="str">
        <f>Global!CR13</f>
        <v/>
      </c>
      <c r="G13" s="31" t="str">
        <f>Global!CS13</f>
        <v/>
      </c>
      <c r="H13" s="31" t="str">
        <f>Global!CT13</f>
        <v/>
      </c>
      <c r="I13" s="31" t="str">
        <f>Global!CU13</f>
        <v/>
      </c>
      <c r="J13" s="31" t="str">
        <f>Global!CV13</f>
        <v/>
      </c>
      <c r="K13" s="31" t="str">
        <f>Global!CW13</f>
        <v/>
      </c>
      <c r="L13" s="31" t="str">
        <f>Global!CX13</f>
        <v/>
      </c>
      <c r="M13" s="31" t="str">
        <f>Global!CY13</f>
        <v/>
      </c>
      <c r="N13" s="31" t="str">
        <f>Global!CZ13</f>
        <v/>
      </c>
      <c r="O13" s="31" t="str">
        <f>Global!DA13</f>
        <v>C</v>
      </c>
      <c r="P13" s="31" t="str">
        <f>Global!DB13</f>
        <v/>
      </c>
      <c r="Q13" s="31" t="str">
        <f>Global!DC13</f>
        <v/>
      </c>
      <c r="R13" s="31" t="str">
        <f>Global!DD13</f>
        <v/>
      </c>
      <c r="S13" s="31" t="str">
        <f>Global!DE13</f>
        <v/>
      </c>
      <c r="T13" s="31" t="str">
        <f>Global!DF13</f>
        <v/>
      </c>
      <c r="U13" s="31" t="str">
        <f>Global!DG13</f>
        <v/>
      </c>
      <c r="V13" s="31" t="str">
        <f>Global!DH13</f>
        <v/>
      </c>
      <c r="W13" s="31" t="str">
        <f>Global!DI13</f>
        <v/>
      </c>
      <c r="X13" s="31" t="str">
        <f>Global!DJ13</f>
        <v/>
      </c>
      <c r="Y13" s="31" t="str">
        <f>Global!DK13</f>
        <v/>
      </c>
      <c r="Z13" s="31" t="str">
        <f>Global!DL13</f>
        <v/>
      </c>
      <c r="AA13" s="31" t="str">
        <f>Global!DM13</f>
        <v/>
      </c>
      <c r="AB13" s="31" t="str">
        <f>Global!DN13</f>
        <v>C</v>
      </c>
      <c r="AC13" s="31" t="str">
        <f>Global!DO13</f>
        <v>C</v>
      </c>
      <c r="AD13" s="31" t="str">
        <f>Global!DP13</f>
        <v>C</v>
      </c>
      <c r="AE13" s="31" t="str">
        <f>Global!DQ13</f>
        <v>C</v>
      </c>
      <c r="AF13" s="31" t="str">
        <f>Global!DR13</f>
        <v>C</v>
      </c>
      <c r="AG13" s="31" t="str">
        <f>Global!DS13</f>
        <v/>
      </c>
      <c r="AH13" s="31" t="str">
        <f>Global!DT13</f>
        <v/>
      </c>
      <c r="AI13" s="31" t="str">
        <f>Global!DU13</f>
        <v>C</v>
      </c>
      <c r="AJ13" s="113"/>
      <c r="AK13" s="108">
        <f>COUNTIF(Avril[[#This Row],[1]:[30]],"RTT")+(COUNTIF(Avril[[#This Row],[1]:[30]],"dRTT")/2)</f>
        <v>0</v>
      </c>
      <c r="AL13" s="109">
        <f>COUNTIF(Avril[[#This Row],[1]:[30]],"C")+(COUNTIF(Avril[[#This Row],[1]:[30]],"DC")/2)</f>
        <v>7</v>
      </c>
      <c r="AM13" s="22">
        <f>COUNTIF(Avril[[#This Row],[1]:[30]],"M")</f>
        <v>0</v>
      </c>
      <c r="AN13" s="22">
        <f>COUNTIF(Avril[[#This Row],[1]:[30]],"AT")</f>
        <v>0</v>
      </c>
      <c r="AO13" s="84">
        <f t="shared" si="0"/>
        <v>0.82191780821917804</v>
      </c>
    </row>
    <row r="14" spans="1:41" ht="30" customHeight="1" x14ac:dyDescent="0.2">
      <c r="A14" s="15" t="s">
        <v>70</v>
      </c>
      <c r="B14" s="22" t="s">
        <v>147</v>
      </c>
      <c r="C14" s="22" t="s">
        <v>148</v>
      </c>
      <c r="D14" s="22" t="s">
        <v>149</v>
      </c>
      <c r="E14" s="44">
        <v>0</v>
      </c>
      <c r="F14" s="47" t="str">
        <f>Global!CR14</f>
        <v>M</v>
      </c>
      <c r="G14" s="31" t="str">
        <f>Global!CS14</f>
        <v>M</v>
      </c>
      <c r="H14" s="31" t="str">
        <f>Global!CT14</f>
        <v>M</v>
      </c>
      <c r="I14" s="31" t="str">
        <f>Global!CU14</f>
        <v>M</v>
      </c>
      <c r="J14" s="31" t="str">
        <f>Global!CV14</f>
        <v>M</v>
      </c>
      <c r="K14" s="31" t="str">
        <f>Global!CW14</f>
        <v>M</v>
      </c>
      <c r="L14" s="31" t="str">
        <f>Global!CX14</f>
        <v>M</v>
      </c>
      <c r="M14" s="31" t="str">
        <f>Global!CY14</f>
        <v>M</v>
      </c>
      <c r="N14" s="31" t="str">
        <f>Global!CZ14</f>
        <v>M</v>
      </c>
      <c r="O14" s="31" t="str">
        <f>Global!DA14</f>
        <v>M</v>
      </c>
      <c r="P14" s="31" t="str">
        <f>Global!DB14</f>
        <v>M</v>
      </c>
      <c r="Q14" s="31" t="str">
        <f>Global!DC14</f>
        <v>M</v>
      </c>
      <c r="R14" s="31" t="str">
        <f>Global!DD14</f>
        <v>M</v>
      </c>
      <c r="S14" s="31" t="str">
        <f>Global!DE14</f>
        <v>M</v>
      </c>
      <c r="T14" s="31" t="str">
        <f>Global!DF14</f>
        <v>M</v>
      </c>
      <c r="U14" s="31" t="str">
        <f>Global!DG14</f>
        <v>M</v>
      </c>
      <c r="V14" s="31" t="str">
        <f>Global!DH14</f>
        <v>M</v>
      </c>
      <c r="W14" s="31" t="str">
        <f>Global!DI14</f>
        <v>M</v>
      </c>
      <c r="X14" s="31" t="str">
        <f>Global!DJ14</f>
        <v>M</v>
      </c>
      <c r="Y14" s="31" t="str">
        <f>Global!DK14</f>
        <v>M</v>
      </c>
      <c r="Z14" s="31" t="str">
        <f>Global!DL14</f>
        <v>M</v>
      </c>
      <c r="AA14" s="31" t="str">
        <f>Global!DM14</f>
        <v>M</v>
      </c>
      <c r="AB14" s="31" t="str">
        <f>Global!DN14</f>
        <v>M</v>
      </c>
      <c r="AC14" s="31" t="str">
        <f>Global!DO14</f>
        <v>M</v>
      </c>
      <c r="AD14" s="31" t="str">
        <f>Global!DP14</f>
        <v>M</v>
      </c>
      <c r="AE14" s="31" t="str">
        <f>Global!DQ14</f>
        <v>M</v>
      </c>
      <c r="AF14" s="31" t="str">
        <f>Global!DR14</f>
        <v>M</v>
      </c>
      <c r="AG14" s="31" t="str">
        <f>Global!DS14</f>
        <v>M</v>
      </c>
      <c r="AH14" s="31" t="str">
        <f>Global!DT14</f>
        <v>M</v>
      </c>
      <c r="AI14" s="31" t="str">
        <f>Global!DU14</f>
        <v>M</v>
      </c>
      <c r="AJ14" s="113"/>
      <c r="AK14" s="108">
        <f>COUNTIF(Avril[[#This Row],[1]:[30]],"RTT")+(COUNTIF(Avril[[#This Row],[1]:[30]],"dRTT")/2)</f>
        <v>0</v>
      </c>
      <c r="AL14" s="109">
        <f>COUNTIF(Avril[[#This Row],[1]:[30]],"C")+(COUNTIF(Avril[[#This Row],[1]:[30]],"DC")/2)</f>
        <v>0</v>
      </c>
      <c r="AM14" s="22">
        <f>COUNTIF(Avril[[#This Row],[1]:[30]],"M")</f>
        <v>30</v>
      </c>
      <c r="AN14" s="22">
        <f>COUNTIF(Avril[[#This Row],[1]:[30]],"AT")</f>
        <v>0</v>
      </c>
      <c r="AO14" s="84">
        <f t="shared" si="0"/>
        <v>0</v>
      </c>
    </row>
    <row r="15" spans="1:41" ht="30" customHeight="1" x14ac:dyDescent="0.2">
      <c r="A15" s="15" t="s">
        <v>71</v>
      </c>
      <c r="B15" s="22" t="s">
        <v>150</v>
      </c>
      <c r="C15" s="22" t="s">
        <v>151</v>
      </c>
      <c r="D15" s="22" t="s">
        <v>152</v>
      </c>
      <c r="E15" s="44">
        <v>0</v>
      </c>
      <c r="F15" s="47" t="str">
        <f>Global!CR15</f>
        <v/>
      </c>
      <c r="G15" s="31" t="str">
        <f>Global!CS15</f>
        <v/>
      </c>
      <c r="H15" s="31" t="str">
        <f>Global!CT15</f>
        <v/>
      </c>
      <c r="I15" s="31" t="str">
        <f>Global!CU15</f>
        <v/>
      </c>
      <c r="J15" s="31" t="str">
        <f>Global!CV15</f>
        <v/>
      </c>
      <c r="K15" s="31" t="str">
        <f>Global!CW15</f>
        <v/>
      </c>
      <c r="L15" s="31" t="str">
        <f>Global!CX15</f>
        <v/>
      </c>
      <c r="M15" s="31" t="str">
        <f>Global!CY15</f>
        <v/>
      </c>
      <c r="N15" s="31" t="str">
        <f>Global!CZ15</f>
        <v/>
      </c>
      <c r="O15" s="31" t="str">
        <f>Global!DA15</f>
        <v/>
      </c>
      <c r="P15" s="31" t="str">
        <f>Global!DB15</f>
        <v/>
      </c>
      <c r="Q15" s="31" t="str">
        <f>Global!DC15</f>
        <v/>
      </c>
      <c r="R15" s="31" t="str">
        <f>Global!DD15</f>
        <v/>
      </c>
      <c r="S15" s="31" t="str">
        <f>Global!DE15</f>
        <v>C</v>
      </c>
      <c r="T15" s="31" t="str">
        <f>Global!DF15</f>
        <v/>
      </c>
      <c r="U15" s="31" t="str">
        <f>Global!DG15</f>
        <v/>
      </c>
      <c r="V15" s="31" t="str">
        <f>Global!DH15</f>
        <v/>
      </c>
      <c r="W15" s="31" t="str">
        <f>Global!DI15</f>
        <v/>
      </c>
      <c r="X15" s="31" t="str">
        <f>Global!DJ15</f>
        <v/>
      </c>
      <c r="Y15" s="31" t="str">
        <f>Global!DK15</f>
        <v/>
      </c>
      <c r="Z15" s="31" t="str">
        <f>Global!DL15</f>
        <v/>
      </c>
      <c r="AA15" s="31" t="str">
        <f>Global!DM15</f>
        <v/>
      </c>
      <c r="AB15" s="31" t="str">
        <f>Global!DN15</f>
        <v/>
      </c>
      <c r="AC15" s="31" t="str">
        <f>Global!DO15</f>
        <v/>
      </c>
      <c r="AD15" s="31" t="str">
        <f>Global!DP15</f>
        <v/>
      </c>
      <c r="AE15" s="31" t="str">
        <f>Global!DQ15</f>
        <v/>
      </c>
      <c r="AF15" s="31" t="str">
        <f>Global!DR15</f>
        <v/>
      </c>
      <c r="AG15" s="31" t="str">
        <f>Global!DS15</f>
        <v/>
      </c>
      <c r="AH15" s="31" t="str">
        <f>Global!DT15</f>
        <v/>
      </c>
      <c r="AI15" s="31" t="str">
        <f>Global!DU15</f>
        <v/>
      </c>
      <c r="AJ15" s="113"/>
      <c r="AK15" s="108">
        <f>COUNTIF(Avril[[#This Row],[1]:[30]],"RTT")+(COUNTIF(Avril[[#This Row],[1]:[30]],"dRTT")/2)</f>
        <v>0</v>
      </c>
      <c r="AL15" s="109">
        <f>COUNTIF(Avril[[#This Row],[1]:[30]],"C")+(COUNTIF(Avril[[#This Row],[1]:[30]],"DC")/2)</f>
        <v>1</v>
      </c>
      <c r="AM15" s="22">
        <f>COUNTIF(Avril[[#This Row],[1]:[30]],"M")</f>
        <v>0</v>
      </c>
      <c r="AN15" s="22">
        <f>COUNTIF(Avril[[#This Row],[1]:[30]],"AT")</f>
        <v>0</v>
      </c>
      <c r="AO15" s="84">
        <f t="shared" si="0"/>
        <v>0.82191780821917804</v>
      </c>
    </row>
    <row r="16" spans="1:41" ht="30" customHeight="1" x14ac:dyDescent="0.2">
      <c r="A16" s="15" t="s">
        <v>72</v>
      </c>
      <c r="B16" s="22" t="s">
        <v>153</v>
      </c>
      <c r="C16" s="22" t="s">
        <v>154</v>
      </c>
      <c r="D16" s="22" t="s">
        <v>155</v>
      </c>
      <c r="E16" s="44">
        <v>0</v>
      </c>
      <c r="F16" s="47" t="str">
        <f>Global!CR16</f>
        <v/>
      </c>
      <c r="G16" s="31" t="str">
        <f>Global!CS16</f>
        <v/>
      </c>
      <c r="H16" s="31" t="str">
        <f>Global!CT16</f>
        <v/>
      </c>
      <c r="I16" s="31" t="str">
        <f>Global!CU16</f>
        <v/>
      </c>
      <c r="J16" s="31" t="str">
        <f>Global!CV16</f>
        <v>C</v>
      </c>
      <c r="K16" s="31" t="str">
        <f>Global!CW16</f>
        <v/>
      </c>
      <c r="L16" s="31" t="str">
        <f>Global!CX16</f>
        <v/>
      </c>
      <c r="M16" s="31" t="str">
        <f>Global!CY16</f>
        <v/>
      </c>
      <c r="N16" s="31" t="str">
        <f>Global!CZ16</f>
        <v/>
      </c>
      <c r="O16" s="31" t="str">
        <f>Global!DA16</f>
        <v/>
      </c>
      <c r="P16" s="31" t="str">
        <f>Global!DB16</f>
        <v>dRTT</v>
      </c>
      <c r="Q16" s="31" t="str">
        <f>Global!DC16</f>
        <v/>
      </c>
      <c r="R16" s="31" t="str">
        <f>Global!DD16</f>
        <v/>
      </c>
      <c r="S16" s="31" t="str">
        <f>Global!DE16</f>
        <v/>
      </c>
      <c r="T16" s="31" t="str">
        <f>Global!DF16</f>
        <v/>
      </c>
      <c r="U16" s="31" t="str">
        <f>Global!DG16</f>
        <v/>
      </c>
      <c r="V16" s="31" t="str">
        <f>Global!DH16</f>
        <v/>
      </c>
      <c r="W16" s="31" t="str">
        <f>Global!DI16</f>
        <v/>
      </c>
      <c r="X16" s="31" t="str">
        <f>Global!DJ16</f>
        <v/>
      </c>
      <c r="Y16" s="31" t="str">
        <f>Global!DK16</f>
        <v/>
      </c>
      <c r="Z16" s="31" t="str">
        <f>Global!DL16</f>
        <v/>
      </c>
      <c r="AA16" s="31" t="str">
        <f>Global!DM16</f>
        <v/>
      </c>
      <c r="AB16" s="31" t="str">
        <f>Global!DN16</f>
        <v/>
      </c>
      <c r="AC16" s="31" t="str">
        <f>Global!DO16</f>
        <v/>
      </c>
      <c r="AD16" s="31" t="str">
        <f>Global!DP16</f>
        <v/>
      </c>
      <c r="AE16" s="31" t="str">
        <f>Global!DQ16</f>
        <v/>
      </c>
      <c r="AF16" s="31" t="str">
        <f>Global!DR16</f>
        <v/>
      </c>
      <c r="AG16" s="31" t="str">
        <f>Global!DS16</f>
        <v/>
      </c>
      <c r="AH16" s="31" t="str">
        <f>Global!DT16</f>
        <v/>
      </c>
      <c r="AI16" s="31" t="str">
        <f>Global!DU16</f>
        <v/>
      </c>
      <c r="AJ16" s="113"/>
      <c r="AK16" s="108">
        <f>COUNTIF(Avril[[#This Row],[1]:[30]],"RTT")+(COUNTIF(Avril[[#This Row],[1]:[30]],"dRTT")/2)</f>
        <v>0.5</v>
      </c>
      <c r="AL16" s="109">
        <f>COUNTIF(Avril[[#This Row],[1]:[30]],"C")+(COUNTIF(Avril[[#This Row],[1]:[30]],"DC")/2)</f>
        <v>1</v>
      </c>
      <c r="AM16" s="22">
        <f>COUNTIF(Avril[[#This Row],[1]:[30]],"M")</f>
        <v>0</v>
      </c>
      <c r="AN16" s="22">
        <f>COUNTIF(Avril[[#This Row],[1]:[30]],"AT")</f>
        <v>0</v>
      </c>
      <c r="AO16" s="84">
        <f t="shared" si="0"/>
        <v>0.82191780821917804</v>
      </c>
    </row>
    <row r="17" spans="1:41" ht="30" customHeight="1" x14ac:dyDescent="0.2">
      <c r="A17" s="15" t="s">
        <v>73</v>
      </c>
      <c r="B17" s="22" t="s">
        <v>156</v>
      </c>
      <c r="C17" s="22" t="s">
        <v>157</v>
      </c>
      <c r="D17" s="22" t="s">
        <v>158</v>
      </c>
      <c r="E17" s="44">
        <v>0</v>
      </c>
      <c r="F17" s="47" t="str">
        <f>Global!CR17</f>
        <v/>
      </c>
      <c r="G17" s="31" t="str">
        <f>Global!CS17</f>
        <v/>
      </c>
      <c r="H17" s="31" t="str">
        <f>Global!CT17</f>
        <v/>
      </c>
      <c r="I17" s="31" t="str">
        <f>Global!CU17</f>
        <v/>
      </c>
      <c r="J17" s="31" t="str">
        <f>Global!CV17</f>
        <v>AT</v>
      </c>
      <c r="K17" s="31" t="str">
        <f>Global!CW17</f>
        <v>AT</v>
      </c>
      <c r="L17" s="31" t="str">
        <f>Global!CX17</f>
        <v>AT</v>
      </c>
      <c r="M17" s="31" t="str">
        <f>Global!CY17</f>
        <v>AT</v>
      </c>
      <c r="N17" s="31" t="str">
        <f>Global!CZ17</f>
        <v>AT</v>
      </c>
      <c r="O17" s="31" t="str">
        <f>Global!DA17</f>
        <v>AT</v>
      </c>
      <c r="P17" s="31" t="str">
        <f>Global!DB17</f>
        <v>AT</v>
      </c>
      <c r="Q17" s="31" t="str">
        <f>Global!DC17</f>
        <v>AT</v>
      </c>
      <c r="R17" s="31" t="str">
        <f>Global!DD17</f>
        <v>AT</v>
      </c>
      <c r="S17" s="31" t="str">
        <f>Global!DE17</f>
        <v>AT</v>
      </c>
      <c r="T17" s="31" t="str">
        <f>Global!DF17</f>
        <v>AT</v>
      </c>
      <c r="U17" s="31" t="str">
        <f>Global!DG17</f>
        <v>AT</v>
      </c>
      <c r="V17" s="31" t="str">
        <f>Global!DH17</f>
        <v>AT</v>
      </c>
      <c r="W17" s="31" t="str">
        <f>Global!DI17</f>
        <v>AT</v>
      </c>
      <c r="X17" s="31" t="str">
        <f>Global!DJ17</f>
        <v>AT</v>
      </c>
      <c r="Y17" s="31" t="str">
        <f>Global!DK17</f>
        <v>AT</v>
      </c>
      <c r="Z17" s="31" t="str">
        <f>Global!DL17</f>
        <v>AT</v>
      </c>
      <c r="AA17" s="31" t="str">
        <f>Global!DM17</f>
        <v>AT</v>
      </c>
      <c r="AB17" s="31" t="str">
        <f>Global!DN17</f>
        <v>AT</v>
      </c>
      <c r="AC17" s="31" t="str">
        <f>Global!DO17</f>
        <v/>
      </c>
      <c r="AD17" s="31" t="str">
        <f>Global!DP17</f>
        <v/>
      </c>
      <c r="AE17" s="31" t="str">
        <f>Global!DQ17</f>
        <v/>
      </c>
      <c r="AF17" s="31" t="str">
        <f>Global!DR17</f>
        <v/>
      </c>
      <c r="AG17" s="31" t="str">
        <f>Global!DS17</f>
        <v/>
      </c>
      <c r="AH17" s="31" t="str">
        <f>Global!DT17</f>
        <v/>
      </c>
      <c r="AI17" s="31" t="str">
        <f>Global!DU17</f>
        <v/>
      </c>
      <c r="AJ17" s="113"/>
      <c r="AK17" s="108">
        <f>COUNTIF(Avril[[#This Row],[1]:[30]],"RTT")+(COUNTIF(Avril[[#This Row],[1]:[30]],"dRTT")/2)</f>
        <v>0</v>
      </c>
      <c r="AL17" s="109">
        <f>COUNTIF(Avril[[#This Row],[1]:[30]],"C")+(COUNTIF(Avril[[#This Row],[1]:[30]],"DC")/2)</f>
        <v>0</v>
      </c>
      <c r="AM17" s="22">
        <f>COUNTIF(Avril[[#This Row],[1]:[30]],"M")</f>
        <v>0</v>
      </c>
      <c r="AN17" s="22">
        <f>COUNTIF(Avril[[#This Row],[1]:[30]],"AT")</f>
        <v>19</v>
      </c>
      <c r="AO17" s="84">
        <f t="shared" si="0"/>
        <v>0.30136986301369861</v>
      </c>
    </row>
    <row r="18" spans="1:41" ht="30" customHeight="1" x14ac:dyDescent="0.2">
      <c r="A18" s="15" t="s">
        <v>74</v>
      </c>
      <c r="B18" s="22" t="s">
        <v>159</v>
      </c>
      <c r="C18" s="22" t="s">
        <v>160</v>
      </c>
      <c r="D18" s="22" t="s">
        <v>161</v>
      </c>
      <c r="E18" s="44" t="s">
        <v>162</v>
      </c>
      <c r="F18" s="47" t="str">
        <f>Global!CR18</f>
        <v/>
      </c>
      <c r="G18" s="31" t="str">
        <f>Global!CS18</f>
        <v/>
      </c>
      <c r="H18" s="31" t="str">
        <f>Global!CT18</f>
        <v/>
      </c>
      <c r="I18" s="31" t="str">
        <f>Global!CU18</f>
        <v/>
      </c>
      <c r="J18" s="31" t="str">
        <f>Global!CV18</f>
        <v/>
      </c>
      <c r="K18" s="31" t="str">
        <f>Global!CW18</f>
        <v/>
      </c>
      <c r="L18" s="31" t="str">
        <f>Global!CX18</f>
        <v/>
      </c>
      <c r="M18" s="31" t="str">
        <f>Global!CY18</f>
        <v/>
      </c>
      <c r="N18" s="31" t="str">
        <f>Global!CZ18</f>
        <v/>
      </c>
      <c r="O18" s="31" t="str">
        <f>Global!DA18</f>
        <v/>
      </c>
      <c r="P18" s="31" t="str">
        <f>Global!DB18</f>
        <v/>
      </c>
      <c r="Q18" s="31" t="str">
        <f>Global!DC18</f>
        <v>C</v>
      </c>
      <c r="R18" s="31" t="str">
        <f>Global!DD18</f>
        <v>C</v>
      </c>
      <c r="S18" s="31" t="str">
        <f>Global!DE18</f>
        <v/>
      </c>
      <c r="T18" s="31" t="str">
        <f>Global!DF18</f>
        <v/>
      </c>
      <c r="U18" s="31" t="str">
        <f>Global!DG18</f>
        <v>M</v>
      </c>
      <c r="V18" s="31" t="str">
        <f>Global!DH18</f>
        <v>M</v>
      </c>
      <c r="W18" s="31" t="str">
        <f>Global!DI18</f>
        <v/>
      </c>
      <c r="X18" s="31" t="str">
        <f>Global!DJ18</f>
        <v/>
      </c>
      <c r="Y18" s="31" t="str">
        <f>Global!DK18</f>
        <v/>
      </c>
      <c r="Z18" s="31" t="str">
        <f>Global!DL18</f>
        <v/>
      </c>
      <c r="AA18" s="31" t="str">
        <f>Global!DM18</f>
        <v/>
      </c>
      <c r="AB18" s="31" t="str">
        <f>Global!DN18</f>
        <v/>
      </c>
      <c r="AC18" s="31" t="str">
        <f>Global!DO18</f>
        <v/>
      </c>
      <c r="AD18" s="31" t="str">
        <f>Global!DP18</f>
        <v/>
      </c>
      <c r="AE18" s="31" t="str">
        <f>Global!DQ18</f>
        <v/>
      </c>
      <c r="AF18" s="31" t="str">
        <f>Global!DR18</f>
        <v/>
      </c>
      <c r="AG18" s="31" t="str">
        <f>Global!DS18</f>
        <v/>
      </c>
      <c r="AH18" s="31" t="str">
        <f>Global!DT18</f>
        <v/>
      </c>
      <c r="AI18" s="31" t="str">
        <f>Global!DU18</f>
        <v/>
      </c>
      <c r="AJ18" s="113"/>
      <c r="AK18" s="108">
        <f>COUNTIF(Avril[[#This Row],[1]:[30]],"RTT")+(COUNTIF(Avril[[#This Row],[1]:[30]],"dRTT")/2)</f>
        <v>0</v>
      </c>
      <c r="AL18" s="109">
        <f>COUNTIF(Avril[[#This Row],[1]:[30]],"C")+(COUNTIF(Avril[[#This Row],[1]:[30]],"DC")/2)</f>
        <v>2</v>
      </c>
      <c r="AM18" s="22">
        <f>COUNTIF(Avril[[#This Row],[1]:[30]],"M")</f>
        <v>2</v>
      </c>
      <c r="AN18" s="22">
        <f>COUNTIF(Avril[[#This Row],[1]:[30]],"AT")</f>
        <v>0</v>
      </c>
      <c r="AO18" s="84">
        <f t="shared" si="0"/>
        <v>0.76712328767123283</v>
      </c>
    </row>
    <row r="19" spans="1:41" ht="30" customHeight="1" x14ac:dyDescent="0.2">
      <c r="A19" s="15" t="s">
        <v>75</v>
      </c>
      <c r="B19" s="22" t="s">
        <v>163</v>
      </c>
      <c r="C19" s="22" t="s">
        <v>164</v>
      </c>
      <c r="D19" s="22" t="s">
        <v>165</v>
      </c>
      <c r="E19" s="44">
        <v>0</v>
      </c>
      <c r="F19" s="47" t="str">
        <f>Global!CR19</f>
        <v/>
      </c>
      <c r="G19" s="31" t="str">
        <f>Global!CS19</f>
        <v/>
      </c>
      <c r="H19" s="31" t="str">
        <f>Global!CT19</f>
        <v/>
      </c>
      <c r="I19" s="31" t="str">
        <f>Global!CU19</f>
        <v/>
      </c>
      <c r="J19" s="31" t="str">
        <f>Global!CV19</f>
        <v/>
      </c>
      <c r="K19" s="31" t="str">
        <f>Global!CW19</f>
        <v/>
      </c>
      <c r="L19" s="31" t="str">
        <f>Global!CX19</f>
        <v/>
      </c>
      <c r="M19" s="31" t="str">
        <f>Global!CY19</f>
        <v/>
      </c>
      <c r="N19" s="31" t="str">
        <f>Global!CZ19</f>
        <v/>
      </c>
      <c r="O19" s="31" t="str">
        <f>Global!DA19</f>
        <v/>
      </c>
      <c r="P19" s="31" t="str">
        <f>Global!DB19</f>
        <v/>
      </c>
      <c r="Q19" s="31" t="str">
        <f>Global!DC19</f>
        <v/>
      </c>
      <c r="R19" s="31" t="str">
        <f>Global!DD19</f>
        <v/>
      </c>
      <c r="S19" s="31" t="str">
        <f>Global!DE19</f>
        <v/>
      </c>
      <c r="T19" s="31" t="str">
        <f>Global!DF19</f>
        <v/>
      </c>
      <c r="U19" s="31" t="str">
        <f>Global!DG19</f>
        <v>RTT</v>
      </c>
      <c r="V19" s="31" t="str">
        <f>Global!DH19</f>
        <v/>
      </c>
      <c r="W19" s="31" t="str">
        <f>Global!DI19</f>
        <v/>
      </c>
      <c r="X19" s="31" t="str">
        <f>Global!DJ19</f>
        <v/>
      </c>
      <c r="Y19" s="31" t="str">
        <f>Global!DK19</f>
        <v/>
      </c>
      <c r="Z19" s="31" t="str">
        <f>Global!DL19</f>
        <v/>
      </c>
      <c r="AA19" s="31" t="str">
        <f>Global!DM19</f>
        <v/>
      </c>
      <c r="AB19" s="31" t="str">
        <f>Global!DN19</f>
        <v/>
      </c>
      <c r="AC19" s="31" t="str">
        <f>Global!DO19</f>
        <v/>
      </c>
      <c r="AD19" s="31" t="str">
        <f>Global!DP19</f>
        <v/>
      </c>
      <c r="AE19" s="31" t="str">
        <f>Global!DQ19</f>
        <v/>
      </c>
      <c r="AF19" s="31" t="str">
        <f>Global!DR19</f>
        <v/>
      </c>
      <c r="AG19" s="31" t="str">
        <f>Global!DS19</f>
        <v/>
      </c>
      <c r="AH19" s="31" t="str">
        <f>Global!DT19</f>
        <v/>
      </c>
      <c r="AI19" s="31" t="str">
        <f>Global!DU19</f>
        <v/>
      </c>
      <c r="AJ19" s="113"/>
      <c r="AK19" s="108">
        <f>COUNTIF(Avril[[#This Row],[1]:[30]],"RTT")+(COUNTIF(Avril[[#This Row],[1]:[30]],"dRTT")/2)</f>
        <v>1</v>
      </c>
      <c r="AL19" s="109">
        <f>COUNTIF(Avril[[#This Row],[1]:[30]],"C")+(COUNTIF(Avril[[#This Row],[1]:[30]],"DC")/2)</f>
        <v>0</v>
      </c>
      <c r="AM19" s="22">
        <f>COUNTIF(Avril[[#This Row],[1]:[30]],"M")</f>
        <v>0</v>
      </c>
      <c r="AN19" s="22">
        <f>COUNTIF(Avril[[#This Row],[1]:[30]],"AT")</f>
        <v>0</v>
      </c>
      <c r="AO19" s="84">
        <f t="shared" si="0"/>
        <v>0.82191780821917804</v>
      </c>
    </row>
    <row r="20" spans="1:41" ht="30" customHeight="1" x14ac:dyDescent="0.2">
      <c r="A20" s="15" t="s">
        <v>76</v>
      </c>
      <c r="B20" s="22" t="s">
        <v>166</v>
      </c>
      <c r="C20" s="22" t="s">
        <v>151</v>
      </c>
      <c r="D20" s="22" t="s">
        <v>167</v>
      </c>
      <c r="E20" s="44">
        <v>0</v>
      </c>
      <c r="F20" s="47" t="str">
        <f>Global!CR20</f>
        <v/>
      </c>
      <c r="G20" s="31" t="str">
        <f>Global!CS20</f>
        <v/>
      </c>
      <c r="H20" s="31" t="str">
        <f>Global!CT20</f>
        <v/>
      </c>
      <c r="I20" s="31" t="str">
        <f>Global!CU20</f>
        <v/>
      </c>
      <c r="J20" s="31" t="str">
        <f>Global!CV20</f>
        <v/>
      </c>
      <c r="K20" s="31" t="str">
        <f>Global!CW20</f>
        <v/>
      </c>
      <c r="L20" s="31" t="str">
        <f>Global!CX20</f>
        <v/>
      </c>
      <c r="M20" s="31" t="str">
        <f>Global!CY20</f>
        <v/>
      </c>
      <c r="N20" s="31" t="str">
        <f>Global!CZ20</f>
        <v/>
      </c>
      <c r="O20" s="31" t="str">
        <f>Global!DA20</f>
        <v/>
      </c>
      <c r="P20" s="31" t="str">
        <f>Global!DB20</f>
        <v/>
      </c>
      <c r="Q20" s="31" t="str">
        <f>Global!DC20</f>
        <v/>
      </c>
      <c r="R20" s="31" t="str">
        <f>Global!DD20</f>
        <v/>
      </c>
      <c r="S20" s="31" t="str">
        <f>Global!DE20</f>
        <v/>
      </c>
      <c r="T20" s="31" t="str">
        <f>Global!DF20</f>
        <v/>
      </c>
      <c r="U20" s="31" t="str">
        <f>Global!DG20</f>
        <v/>
      </c>
      <c r="V20" s="31" t="str">
        <f>Global!DH20</f>
        <v/>
      </c>
      <c r="W20" s="31" t="str">
        <f>Global!DI20</f>
        <v/>
      </c>
      <c r="X20" s="31" t="str">
        <f>Global!DJ20</f>
        <v/>
      </c>
      <c r="Y20" s="31" t="str">
        <f>Global!DK20</f>
        <v/>
      </c>
      <c r="Z20" s="31" t="str">
        <f>Global!DL20</f>
        <v/>
      </c>
      <c r="AA20" s="31" t="str">
        <f>Global!DM20</f>
        <v/>
      </c>
      <c r="AB20" s="31" t="str">
        <f>Global!DN20</f>
        <v/>
      </c>
      <c r="AC20" s="31" t="str">
        <f>Global!DO20</f>
        <v/>
      </c>
      <c r="AD20" s="31" t="str">
        <f>Global!DP20</f>
        <v/>
      </c>
      <c r="AE20" s="31" t="str">
        <f>Global!DQ20</f>
        <v/>
      </c>
      <c r="AF20" s="31" t="str">
        <f>Global!DR20</f>
        <v/>
      </c>
      <c r="AG20" s="31" t="str">
        <f>Global!DS20</f>
        <v/>
      </c>
      <c r="AH20" s="31" t="str">
        <f>Global!DT20</f>
        <v/>
      </c>
      <c r="AI20" s="31" t="str">
        <f>Global!DU20</f>
        <v/>
      </c>
      <c r="AJ20" s="113"/>
      <c r="AK20" s="108">
        <f>COUNTIF(Avril[[#This Row],[1]:[30]],"RTT")+(COUNTIF(Avril[[#This Row],[1]:[30]],"dRTT")/2)</f>
        <v>0</v>
      </c>
      <c r="AL20" s="109">
        <f>COUNTIF(Avril[[#This Row],[1]:[30]],"C")+(COUNTIF(Avril[[#This Row],[1]:[30]],"DC")/2)</f>
        <v>0</v>
      </c>
      <c r="AM20" s="22">
        <f>COUNTIF(Avril[[#This Row],[1]:[30]],"M")</f>
        <v>0</v>
      </c>
      <c r="AN20" s="22">
        <f>COUNTIF(Avril[[#This Row],[1]:[30]],"AT")</f>
        <v>0</v>
      </c>
      <c r="AO20" s="84">
        <f t="shared" si="0"/>
        <v>0.82191780821917804</v>
      </c>
    </row>
    <row r="21" spans="1:41" ht="30" customHeight="1" x14ac:dyDescent="0.2">
      <c r="A21" s="15" t="s">
        <v>77</v>
      </c>
      <c r="B21" s="22" t="s">
        <v>168</v>
      </c>
      <c r="C21" s="22" t="s">
        <v>169</v>
      </c>
      <c r="D21" s="22" t="s">
        <v>170</v>
      </c>
      <c r="E21" s="44">
        <v>0</v>
      </c>
      <c r="F21" s="47" t="str">
        <f>Global!CR21</f>
        <v>M</v>
      </c>
      <c r="G21" s="31" t="str">
        <f>Global!CS21</f>
        <v>M</v>
      </c>
      <c r="H21" s="31" t="str">
        <f>Global!CT21</f>
        <v>M</v>
      </c>
      <c r="I21" s="31" t="str">
        <f>Global!CU21</f>
        <v>M</v>
      </c>
      <c r="J21" s="31" t="str">
        <f>Global!CV21</f>
        <v/>
      </c>
      <c r="K21" s="31" t="str">
        <f>Global!CW21</f>
        <v/>
      </c>
      <c r="L21" s="31" t="str">
        <f>Global!CX21</f>
        <v/>
      </c>
      <c r="M21" s="31" t="str">
        <f>Global!CY21</f>
        <v/>
      </c>
      <c r="N21" s="31" t="str">
        <f>Global!CZ21</f>
        <v/>
      </c>
      <c r="O21" s="31" t="str">
        <f>Global!DA21</f>
        <v/>
      </c>
      <c r="P21" s="31" t="str">
        <f>Global!DB21</f>
        <v/>
      </c>
      <c r="Q21" s="31" t="str">
        <f>Global!DC21</f>
        <v/>
      </c>
      <c r="R21" s="31" t="str">
        <f>Global!DD21</f>
        <v/>
      </c>
      <c r="S21" s="31" t="str">
        <f>Global!DE21</f>
        <v/>
      </c>
      <c r="T21" s="31" t="str">
        <f>Global!DF21</f>
        <v/>
      </c>
      <c r="U21" s="31" t="str">
        <f>Global!DG21</f>
        <v/>
      </c>
      <c r="V21" s="31" t="str">
        <f>Global!DH21</f>
        <v/>
      </c>
      <c r="W21" s="31" t="str">
        <f>Global!DI21</f>
        <v/>
      </c>
      <c r="X21" s="31" t="str">
        <f>Global!DJ21</f>
        <v/>
      </c>
      <c r="Y21" s="31" t="str">
        <f>Global!DK21</f>
        <v/>
      </c>
      <c r="Z21" s="31" t="str">
        <f>Global!DL21</f>
        <v/>
      </c>
      <c r="AA21" s="31" t="str">
        <f>Global!DM21</f>
        <v/>
      </c>
      <c r="AB21" s="31" t="str">
        <f>Global!DN21</f>
        <v/>
      </c>
      <c r="AC21" s="31" t="str">
        <f>Global!DO21</f>
        <v/>
      </c>
      <c r="AD21" s="31" t="str">
        <f>Global!DP21</f>
        <v/>
      </c>
      <c r="AE21" s="31" t="str">
        <f>Global!DQ21</f>
        <v/>
      </c>
      <c r="AF21" s="31" t="str">
        <f>Global!DR21</f>
        <v/>
      </c>
      <c r="AG21" s="31" t="str">
        <f>Global!DS21</f>
        <v/>
      </c>
      <c r="AH21" s="31" t="str">
        <f>Global!DT21</f>
        <v/>
      </c>
      <c r="AI21" s="31" t="str">
        <f>Global!DU21</f>
        <v/>
      </c>
      <c r="AJ21" s="113"/>
      <c r="AK21" s="108">
        <f>COUNTIF(Avril[[#This Row],[1]:[30]],"RTT")+(COUNTIF(Avril[[#This Row],[1]:[30]],"dRTT")/2)</f>
        <v>0</v>
      </c>
      <c r="AL21" s="109">
        <f>COUNTIF(Avril[[#This Row],[1]:[30]],"C")+(COUNTIF(Avril[[#This Row],[1]:[30]],"DC")/2)</f>
        <v>0</v>
      </c>
      <c r="AM21" s="22">
        <f>COUNTIF(Avril[[#This Row],[1]:[30]],"M")</f>
        <v>4</v>
      </c>
      <c r="AN21" s="22">
        <f>COUNTIF(Avril[[#This Row],[1]:[30]],"AT")</f>
        <v>0</v>
      </c>
      <c r="AO21" s="84">
        <f t="shared" si="0"/>
        <v>0.71232876712328763</v>
      </c>
    </row>
    <row r="22" spans="1:41" ht="30" customHeight="1" x14ac:dyDescent="0.2">
      <c r="A22" s="13" t="s">
        <v>78</v>
      </c>
      <c r="B22" s="22" t="s">
        <v>171</v>
      </c>
      <c r="C22" s="22" t="s">
        <v>172</v>
      </c>
      <c r="D22" s="22" t="s">
        <v>173</v>
      </c>
      <c r="E22" s="44">
        <v>0</v>
      </c>
      <c r="F22" s="47" t="str">
        <f>Global!CR22</f>
        <v/>
      </c>
      <c r="G22" s="31" t="str">
        <f>Global!CS22</f>
        <v/>
      </c>
      <c r="H22" s="31" t="str">
        <f>Global!CT22</f>
        <v/>
      </c>
      <c r="I22" s="31" t="str">
        <f>Global!CU22</f>
        <v/>
      </c>
      <c r="J22" s="31" t="str">
        <f>Global!CV22</f>
        <v/>
      </c>
      <c r="K22" s="31" t="str">
        <f>Global!CW22</f>
        <v/>
      </c>
      <c r="L22" s="31" t="str">
        <f>Global!CX22</f>
        <v/>
      </c>
      <c r="M22" s="31" t="str">
        <f>Global!CY22</f>
        <v/>
      </c>
      <c r="N22" s="31" t="str">
        <f>Global!CZ22</f>
        <v/>
      </c>
      <c r="O22" s="31" t="str">
        <f>Global!DA22</f>
        <v/>
      </c>
      <c r="P22" s="31" t="str">
        <f>Global!DB22</f>
        <v/>
      </c>
      <c r="Q22" s="31" t="str">
        <f>Global!DC22</f>
        <v/>
      </c>
      <c r="R22" s="31" t="str">
        <f>Global!DD22</f>
        <v/>
      </c>
      <c r="S22" s="31" t="str">
        <f>Global!DE22</f>
        <v/>
      </c>
      <c r="T22" s="31" t="str">
        <f>Global!DF22</f>
        <v/>
      </c>
      <c r="U22" s="31" t="str">
        <f>Global!DG22</f>
        <v>M</v>
      </c>
      <c r="V22" s="31" t="str">
        <f>Global!DH22</f>
        <v>M</v>
      </c>
      <c r="W22" s="31" t="str">
        <f>Global!DI22</f>
        <v>M</v>
      </c>
      <c r="X22" s="31" t="str">
        <f>Global!DJ22</f>
        <v>M</v>
      </c>
      <c r="Y22" s="31" t="str">
        <f>Global!DK22</f>
        <v>M</v>
      </c>
      <c r="Z22" s="31" t="str">
        <f>Global!DL22</f>
        <v>M</v>
      </c>
      <c r="AA22" s="31" t="str">
        <f>Global!DM22</f>
        <v>M</v>
      </c>
      <c r="AB22" s="31" t="str">
        <f>Global!DN22</f>
        <v/>
      </c>
      <c r="AC22" s="31" t="str">
        <f>Global!DO22</f>
        <v/>
      </c>
      <c r="AD22" s="31" t="str">
        <f>Global!DP22</f>
        <v/>
      </c>
      <c r="AE22" s="31" t="str">
        <f>Global!DQ22</f>
        <v/>
      </c>
      <c r="AF22" s="31" t="str">
        <f>Global!DR22</f>
        <v/>
      </c>
      <c r="AG22" s="31" t="str">
        <f>Global!DS22</f>
        <v/>
      </c>
      <c r="AH22" s="31" t="str">
        <f>Global!DT22</f>
        <v/>
      </c>
      <c r="AI22" s="31" t="str">
        <f>Global!DU22</f>
        <v/>
      </c>
      <c r="AJ22" s="113"/>
      <c r="AK22" s="108">
        <f>COUNTIF(Avril[[#This Row],[1]:[30]],"RTT")+(COUNTIF(Avril[[#This Row],[1]:[30]],"dRTT")/2)</f>
        <v>0</v>
      </c>
      <c r="AL22" s="109">
        <f>COUNTIF(Avril[[#This Row],[1]:[30]],"C")+(COUNTIF(Avril[[#This Row],[1]:[30]],"DC")/2)</f>
        <v>0</v>
      </c>
      <c r="AM22" s="22">
        <f>COUNTIF(Avril[[#This Row],[1]:[30]],"M")</f>
        <v>7</v>
      </c>
      <c r="AN22" s="22">
        <f>COUNTIF(Avril[[#This Row],[1]:[30]],"AT")</f>
        <v>0</v>
      </c>
      <c r="AO22" s="84">
        <f t="shared" si="0"/>
        <v>0.63013698630136983</v>
      </c>
    </row>
    <row r="23" spans="1:41" ht="30" customHeight="1" x14ac:dyDescent="0.2">
      <c r="A23" s="13" t="s">
        <v>79</v>
      </c>
      <c r="B23" s="22" t="s">
        <v>174</v>
      </c>
      <c r="C23" s="22" t="s">
        <v>175</v>
      </c>
      <c r="D23" s="22" t="s">
        <v>176</v>
      </c>
      <c r="E23" s="44">
        <v>0</v>
      </c>
      <c r="F23" s="47" t="str">
        <f>Global!CR23</f>
        <v/>
      </c>
      <c r="G23" s="31" t="str">
        <f>Global!CS23</f>
        <v/>
      </c>
      <c r="H23" s="31" t="str">
        <f>Global!CT23</f>
        <v/>
      </c>
      <c r="I23" s="31" t="str">
        <f>Global!CU23</f>
        <v/>
      </c>
      <c r="J23" s="31" t="str">
        <f>Global!CV23</f>
        <v/>
      </c>
      <c r="K23" s="31" t="str">
        <f>Global!CW23</f>
        <v/>
      </c>
      <c r="L23" s="31" t="str">
        <f>Global!CX23</f>
        <v/>
      </c>
      <c r="M23" s="31" t="str">
        <f>Global!CY23</f>
        <v/>
      </c>
      <c r="N23" s="31" t="str">
        <f>Global!CZ23</f>
        <v/>
      </c>
      <c r="O23" s="31" t="str">
        <f>Global!DA23</f>
        <v/>
      </c>
      <c r="P23" s="31" t="str">
        <f>Global!DB23</f>
        <v/>
      </c>
      <c r="Q23" s="31" t="str">
        <f>Global!DC23</f>
        <v/>
      </c>
      <c r="R23" s="31" t="str">
        <f>Global!DD23</f>
        <v/>
      </c>
      <c r="S23" s="31" t="str">
        <f>Global!DE23</f>
        <v/>
      </c>
      <c r="T23" s="31" t="str">
        <f>Global!DF23</f>
        <v/>
      </c>
      <c r="U23" s="31" t="str">
        <f>Global!DG23</f>
        <v/>
      </c>
      <c r="V23" s="31" t="str">
        <f>Global!DH23</f>
        <v/>
      </c>
      <c r="W23" s="31" t="str">
        <f>Global!DI23</f>
        <v>C</v>
      </c>
      <c r="X23" s="31" t="str">
        <f>Global!DJ23</f>
        <v/>
      </c>
      <c r="Y23" s="31" t="str">
        <f>Global!DK23</f>
        <v/>
      </c>
      <c r="Z23" s="31" t="str">
        <f>Global!DL23</f>
        <v/>
      </c>
      <c r="AA23" s="31" t="str">
        <f>Global!DM23</f>
        <v/>
      </c>
      <c r="AB23" s="31" t="str">
        <f>Global!DN23</f>
        <v/>
      </c>
      <c r="AC23" s="31" t="str">
        <f>Global!DO23</f>
        <v/>
      </c>
      <c r="AD23" s="31" t="str">
        <f>Global!DP23</f>
        <v/>
      </c>
      <c r="AE23" s="31" t="str">
        <f>Global!DQ23</f>
        <v/>
      </c>
      <c r="AF23" s="31" t="str">
        <f>Global!DR23</f>
        <v/>
      </c>
      <c r="AG23" s="31" t="str">
        <f>Global!DS23</f>
        <v/>
      </c>
      <c r="AH23" s="31" t="str">
        <f>Global!DT23</f>
        <v/>
      </c>
      <c r="AI23" s="31" t="str">
        <f>Global!DU23</f>
        <v/>
      </c>
      <c r="AJ23" s="113"/>
      <c r="AK23" s="108">
        <f>COUNTIF(Avril[[#This Row],[1]:[30]],"RTT")+(COUNTIF(Avril[[#This Row],[1]:[30]],"dRTT")/2)</f>
        <v>0</v>
      </c>
      <c r="AL23" s="109">
        <f>COUNTIF(Avril[[#This Row],[1]:[30]],"C")+(COUNTIF(Avril[[#This Row],[1]:[30]],"DC")/2)</f>
        <v>1</v>
      </c>
      <c r="AM23" s="22">
        <f>COUNTIF(Avril[[#This Row],[1]:[30]],"M")</f>
        <v>0</v>
      </c>
      <c r="AN23" s="22">
        <f>COUNTIF(Avril[[#This Row],[1]:[30]],"AT")</f>
        <v>0</v>
      </c>
      <c r="AO23" s="84">
        <f t="shared" si="0"/>
        <v>0.82191780821917804</v>
      </c>
    </row>
    <row r="24" spans="1:41" ht="30" customHeight="1" x14ac:dyDescent="0.2">
      <c r="A24" s="15" t="s">
        <v>80</v>
      </c>
      <c r="B24" s="22" t="s">
        <v>177</v>
      </c>
      <c r="C24" s="22" t="s">
        <v>178</v>
      </c>
      <c r="D24" s="22" t="s">
        <v>179</v>
      </c>
      <c r="E24" s="44">
        <v>0</v>
      </c>
      <c r="F24" s="47" t="str">
        <f>Global!CR24</f>
        <v/>
      </c>
      <c r="G24" s="31" t="str">
        <f>Global!CS24</f>
        <v/>
      </c>
      <c r="H24" s="31" t="str">
        <f>Global!CT24</f>
        <v>C</v>
      </c>
      <c r="I24" s="31" t="str">
        <f>Global!CU24</f>
        <v/>
      </c>
      <c r="J24" s="31" t="str">
        <f>Global!CV24</f>
        <v/>
      </c>
      <c r="K24" s="31" t="str">
        <f>Global!CW24</f>
        <v/>
      </c>
      <c r="L24" s="31" t="str">
        <f>Global!CX24</f>
        <v/>
      </c>
      <c r="M24" s="31" t="str">
        <f>Global!CY24</f>
        <v/>
      </c>
      <c r="N24" s="31" t="str">
        <f>Global!CZ24</f>
        <v>C</v>
      </c>
      <c r="O24" s="31" t="str">
        <f>Global!DA24</f>
        <v>C</v>
      </c>
      <c r="P24" s="31" t="str">
        <f>Global!DB24</f>
        <v>C</v>
      </c>
      <c r="Q24" s="31" t="str">
        <f>Global!DC24</f>
        <v>C</v>
      </c>
      <c r="R24" s="31" t="str">
        <f>Global!DD24</f>
        <v>C</v>
      </c>
      <c r="S24" s="31" t="str">
        <f>Global!DE24</f>
        <v/>
      </c>
      <c r="T24" s="31" t="str">
        <f>Global!DF24</f>
        <v/>
      </c>
      <c r="U24" s="31" t="str">
        <f>Global!DG24</f>
        <v/>
      </c>
      <c r="V24" s="31" t="str">
        <f>Global!DH24</f>
        <v/>
      </c>
      <c r="W24" s="31" t="str">
        <f>Global!DI24</f>
        <v/>
      </c>
      <c r="X24" s="31" t="str">
        <f>Global!DJ24</f>
        <v/>
      </c>
      <c r="Y24" s="31" t="str">
        <f>Global!DK24</f>
        <v/>
      </c>
      <c r="Z24" s="31" t="str">
        <f>Global!DL24</f>
        <v/>
      </c>
      <c r="AA24" s="31" t="str">
        <f>Global!DM24</f>
        <v/>
      </c>
      <c r="AB24" s="31" t="str">
        <f>Global!DN24</f>
        <v/>
      </c>
      <c r="AC24" s="31" t="str">
        <f>Global!DO24</f>
        <v/>
      </c>
      <c r="AD24" s="31" t="str">
        <f>Global!DP24</f>
        <v/>
      </c>
      <c r="AE24" s="31" t="str">
        <f>Global!DQ24</f>
        <v/>
      </c>
      <c r="AF24" s="31" t="str">
        <f>Global!DR24</f>
        <v/>
      </c>
      <c r="AG24" s="31" t="str">
        <f>Global!DS24</f>
        <v/>
      </c>
      <c r="AH24" s="31" t="str">
        <f>Global!DT24</f>
        <v/>
      </c>
      <c r="AI24" s="31" t="str">
        <f>Global!DU24</f>
        <v/>
      </c>
      <c r="AJ24" s="113"/>
      <c r="AK24" s="108">
        <f>COUNTIF(Avril[[#This Row],[1]:[30]],"RTT")+(COUNTIF(Avril[[#This Row],[1]:[30]],"dRTT")/2)</f>
        <v>0</v>
      </c>
      <c r="AL24" s="109">
        <f>COUNTIF(Avril[[#This Row],[1]:[30]],"C")+(COUNTIF(Avril[[#This Row],[1]:[30]],"DC")/2)</f>
        <v>6</v>
      </c>
      <c r="AM24" s="22">
        <f>COUNTIF(Avril[[#This Row],[1]:[30]],"M")</f>
        <v>0</v>
      </c>
      <c r="AN24" s="22">
        <f>COUNTIF(Avril[[#This Row],[1]:[30]],"AT")</f>
        <v>0</v>
      </c>
      <c r="AO24" s="84">
        <f t="shared" si="0"/>
        <v>0.82191780821917804</v>
      </c>
    </row>
    <row r="25" spans="1:41" ht="30" customHeight="1" x14ac:dyDescent="0.2">
      <c r="A25" s="15" t="s">
        <v>81</v>
      </c>
      <c r="B25" s="22" t="s">
        <v>180</v>
      </c>
      <c r="C25" s="22" t="s">
        <v>157</v>
      </c>
      <c r="D25" s="22" t="s">
        <v>181</v>
      </c>
      <c r="E25" s="44">
        <v>0</v>
      </c>
      <c r="F25" s="47" t="str">
        <f>Global!CR25</f>
        <v>M</v>
      </c>
      <c r="G25" s="31" t="str">
        <f>Global!CS25</f>
        <v>M</v>
      </c>
      <c r="H25" s="31" t="str">
        <f>Global!CT25</f>
        <v>M</v>
      </c>
      <c r="I25" s="31" t="str">
        <f>Global!CU25</f>
        <v>M</v>
      </c>
      <c r="J25" s="31" t="str">
        <f>Global!CV25</f>
        <v>M</v>
      </c>
      <c r="K25" s="31" t="str">
        <f>Global!CW25</f>
        <v>M</v>
      </c>
      <c r="L25" s="31" t="str">
        <f>Global!CX25</f>
        <v>M</v>
      </c>
      <c r="M25" s="31" t="str">
        <f>Global!CY25</f>
        <v>M</v>
      </c>
      <c r="N25" s="31" t="str">
        <f>Global!CZ25</f>
        <v>M</v>
      </c>
      <c r="O25" s="31" t="str">
        <f>Global!DA25</f>
        <v>M</v>
      </c>
      <c r="P25" s="31" t="str">
        <f>Global!DB25</f>
        <v>M</v>
      </c>
      <c r="Q25" s="31" t="str">
        <f>Global!DC25</f>
        <v>M</v>
      </c>
      <c r="R25" s="31" t="str">
        <f>Global!DD25</f>
        <v>M</v>
      </c>
      <c r="S25" s="31" t="str">
        <f>Global!DE25</f>
        <v>M</v>
      </c>
      <c r="T25" s="31" t="str">
        <f>Global!DF25</f>
        <v>M</v>
      </c>
      <c r="U25" s="31" t="str">
        <f>Global!DG25</f>
        <v>M</v>
      </c>
      <c r="V25" s="31" t="str">
        <f>Global!DH25</f>
        <v>M</v>
      </c>
      <c r="W25" s="31" t="str">
        <f>Global!DI25</f>
        <v>M</v>
      </c>
      <c r="X25" s="31" t="str">
        <f>Global!DJ25</f>
        <v>M</v>
      </c>
      <c r="Y25" s="31" t="str">
        <f>Global!DK25</f>
        <v>M</v>
      </c>
      <c r="Z25" s="31" t="str">
        <f>Global!DL25</f>
        <v>M</v>
      </c>
      <c r="AA25" s="31" t="str">
        <f>Global!DM25</f>
        <v>M</v>
      </c>
      <c r="AB25" s="31" t="str">
        <f>Global!DN25</f>
        <v>M</v>
      </c>
      <c r="AC25" s="31" t="str">
        <f>Global!DO25</f>
        <v>M</v>
      </c>
      <c r="AD25" s="31" t="str">
        <f>Global!DP25</f>
        <v>M</v>
      </c>
      <c r="AE25" s="31" t="str">
        <f>Global!DQ25</f>
        <v>M</v>
      </c>
      <c r="AF25" s="31" t="str">
        <f>Global!DR25</f>
        <v>M</v>
      </c>
      <c r="AG25" s="31" t="str">
        <f>Global!DS25</f>
        <v>M</v>
      </c>
      <c r="AH25" s="31" t="str">
        <f>Global!DT25</f>
        <v>M</v>
      </c>
      <c r="AI25" s="31" t="str">
        <f>Global!DU25</f>
        <v>M</v>
      </c>
      <c r="AJ25" s="113"/>
      <c r="AK25" s="108">
        <f>COUNTIF(Avril[[#This Row],[1]:[30]],"RTT")+(COUNTIF(Avril[[#This Row],[1]:[30]],"dRTT")/2)</f>
        <v>0</v>
      </c>
      <c r="AL25" s="109">
        <f>COUNTIF(Avril[[#This Row],[1]:[30]],"C")+(COUNTIF(Avril[[#This Row],[1]:[30]],"DC")/2)</f>
        <v>0</v>
      </c>
      <c r="AM25" s="22">
        <f>COUNTIF(Avril[[#This Row],[1]:[30]],"M")</f>
        <v>30</v>
      </c>
      <c r="AN25" s="22">
        <f>COUNTIF(Avril[[#This Row],[1]:[30]],"AT")</f>
        <v>0</v>
      </c>
      <c r="AO25" s="84">
        <f t="shared" si="0"/>
        <v>0</v>
      </c>
    </row>
    <row r="26" spans="1:41" ht="30" customHeight="1" x14ac:dyDescent="0.2">
      <c r="A26" s="15" t="s">
        <v>82</v>
      </c>
      <c r="B26" s="22" t="s">
        <v>182</v>
      </c>
      <c r="C26" s="22" t="s">
        <v>183</v>
      </c>
      <c r="D26" s="22" t="s">
        <v>184</v>
      </c>
      <c r="E26" s="44">
        <v>0</v>
      </c>
      <c r="F26" s="47" t="str">
        <f>Global!CR26</f>
        <v/>
      </c>
      <c r="G26" s="31" t="str">
        <f>Global!CS26</f>
        <v/>
      </c>
      <c r="H26" s="31" t="str">
        <f>Global!CT26</f>
        <v/>
      </c>
      <c r="I26" s="31" t="str">
        <f>Global!CU26</f>
        <v/>
      </c>
      <c r="J26" s="31" t="str">
        <f>Global!CV26</f>
        <v/>
      </c>
      <c r="K26" s="31" t="str">
        <f>Global!CW26</f>
        <v/>
      </c>
      <c r="L26" s="31" t="str">
        <f>Global!CX26</f>
        <v/>
      </c>
      <c r="M26" s="31" t="str">
        <f>Global!CY26</f>
        <v/>
      </c>
      <c r="N26" s="31" t="str">
        <f>Global!CZ26</f>
        <v/>
      </c>
      <c r="O26" s="31" t="str">
        <f>Global!DA26</f>
        <v/>
      </c>
      <c r="P26" s="31" t="str">
        <f>Global!DB26</f>
        <v/>
      </c>
      <c r="Q26" s="31" t="str">
        <f>Global!DC26</f>
        <v/>
      </c>
      <c r="R26" s="31" t="str">
        <f>Global!DD26</f>
        <v/>
      </c>
      <c r="S26" s="31" t="str">
        <f>Global!DE26</f>
        <v/>
      </c>
      <c r="T26" s="31" t="str">
        <f>Global!DF26</f>
        <v/>
      </c>
      <c r="U26" s="31" t="str">
        <f>Global!DG26</f>
        <v/>
      </c>
      <c r="V26" s="31" t="str">
        <f>Global!DH26</f>
        <v>C</v>
      </c>
      <c r="W26" s="31" t="str">
        <f>Global!DI26</f>
        <v/>
      </c>
      <c r="X26" s="31" t="str">
        <f>Global!DJ26</f>
        <v/>
      </c>
      <c r="Y26" s="31" t="str">
        <f>Global!DK26</f>
        <v/>
      </c>
      <c r="Z26" s="31" t="str">
        <f>Global!DL26</f>
        <v/>
      </c>
      <c r="AA26" s="31" t="str">
        <f>Global!DM26</f>
        <v/>
      </c>
      <c r="AB26" s="31" t="str">
        <f>Global!DN26</f>
        <v/>
      </c>
      <c r="AC26" s="31" t="str">
        <f>Global!DO26</f>
        <v/>
      </c>
      <c r="AD26" s="31" t="str">
        <f>Global!DP26</f>
        <v/>
      </c>
      <c r="AE26" s="31" t="str">
        <f>Global!DQ26</f>
        <v/>
      </c>
      <c r="AF26" s="31" t="str">
        <f>Global!DR26</f>
        <v/>
      </c>
      <c r="AG26" s="31" t="str">
        <f>Global!DS26</f>
        <v/>
      </c>
      <c r="AH26" s="31" t="str">
        <f>Global!DT26</f>
        <v/>
      </c>
      <c r="AI26" s="31" t="str">
        <f>Global!DU26</f>
        <v>C</v>
      </c>
      <c r="AJ26" s="113"/>
      <c r="AK26" s="108">
        <f>COUNTIF(Avril[[#This Row],[1]:[30]],"RTT")+(COUNTIF(Avril[[#This Row],[1]:[30]],"dRTT")/2)</f>
        <v>0</v>
      </c>
      <c r="AL26" s="109">
        <f>COUNTIF(Avril[[#This Row],[1]:[30]],"C")+(COUNTIF(Avril[[#This Row],[1]:[30]],"DC")/2)</f>
        <v>2</v>
      </c>
      <c r="AM26" s="22">
        <f>COUNTIF(Avril[[#This Row],[1]:[30]],"M")</f>
        <v>0</v>
      </c>
      <c r="AN26" s="22">
        <f>COUNTIF(Avril[[#This Row],[1]:[30]],"AT")</f>
        <v>0</v>
      </c>
      <c r="AO26" s="84">
        <f t="shared" si="0"/>
        <v>0.82191780821917804</v>
      </c>
    </row>
    <row r="27" spans="1:41" ht="30" customHeight="1" x14ac:dyDescent="0.2">
      <c r="A27" s="15" t="s">
        <v>83</v>
      </c>
      <c r="B27" s="22" t="s">
        <v>185</v>
      </c>
      <c r="C27" s="22" t="s">
        <v>186</v>
      </c>
      <c r="D27" s="22" t="s">
        <v>187</v>
      </c>
      <c r="E27" s="44">
        <v>0</v>
      </c>
      <c r="F27" s="47" t="str">
        <f>Global!CR27</f>
        <v/>
      </c>
      <c r="G27" s="31" t="str">
        <f>Global!CS27</f>
        <v/>
      </c>
      <c r="H27" s="31" t="str">
        <f>Global!CT27</f>
        <v/>
      </c>
      <c r="I27" s="31" t="str">
        <f>Global!CU27</f>
        <v/>
      </c>
      <c r="J27" s="31" t="str">
        <f>Global!CV27</f>
        <v/>
      </c>
      <c r="K27" s="31" t="str">
        <f>Global!CW27</f>
        <v/>
      </c>
      <c r="L27" s="31" t="str">
        <f>Global!CX27</f>
        <v/>
      </c>
      <c r="M27" s="31" t="str">
        <f>Global!CY27</f>
        <v/>
      </c>
      <c r="N27" s="31" t="str">
        <f>Global!CZ27</f>
        <v/>
      </c>
      <c r="O27" s="31" t="str">
        <f>Global!DA27</f>
        <v/>
      </c>
      <c r="P27" s="31" t="str">
        <f>Global!DB27</f>
        <v/>
      </c>
      <c r="Q27" s="31" t="str">
        <f>Global!DC27</f>
        <v/>
      </c>
      <c r="R27" s="31" t="str">
        <f>Global!DD27</f>
        <v/>
      </c>
      <c r="S27" s="31" t="str">
        <f>Global!DE27</f>
        <v/>
      </c>
      <c r="T27" s="31" t="str">
        <f>Global!DF27</f>
        <v/>
      </c>
      <c r="U27" s="31" t="str">
        <f>Global!DG27</f>
        <v/>
      </c>
      <c r="V27" s="31" t="str">
        <f>Global!DH27</f>
        <v/>
      </c>
      <c r="W27" s="31" t="str">
        <f>Global!DI27</f>
        <v/>
      </c>
      <c r="X27" s="31" t="str">
        <f>Global!DJ27</f>
        <v/>
      </c>
      <c r="Y27" s="31" t="str">
        <f>Global!DK27</f>
        <v>C</v>
      </c>
      <c r="Z27" s="31" t="str">
        <f>Global!DL27</f>
        <v/>
      </c>
      <c r="AA27" s="31" t="str">
        <f>Global!DM27</f>
        <v/>
      </c>
      <c r="AB27" s="31" t="str">
        <f>Global!DN27</f>
        <v>C</v>
      </c>
      <c r="AC27" s="31" t="str">
        <f>Global!DO27</f>
        <v>C</v>
      </c>
      <c r="AD27" s="31" t="str">
        <f>Global!DP27</f>
        <v>C</v>
      </c>
      <c r="AE27" s="31" t="str">
        <f>Global!DQ27</f>
        <v>C</v>
      </c>
      <c r="AF27" s="31" t="str">
        <f>Global!DR27</f>
        <v>C</v>
      </c>
      <c r="AG27" s="31" t="str">
        <f>Global!DS27</f>
        <v/>
      </c>
      <c r="AH27" s="31" t="str">
        <f>Global!DT27</f>
        <v/>
      </c>
      <c r="AI27" s="31" t="str">
        <f>Global!DU27</f>
        <v>C</v>
      </c>
      <c r="AJ27" s="113"/>
      <c r="AK27" s="108">
        <f>COUNTIF(Avril[[#This Row],[1]:[30]],"RTT")+(COUNTIF(Avril[[#This Row],[1]:[30]],"dRTT")/2)</f>
        <v>0</v>
      </c>
      <c r="AL27" s="109">
        <f>COUNTIF(Avril[[#This Row],[1]:[30]],"C")+(COUNTIF(Avril[[#This Row],[1]:[30]],"DC")/2)</f>
        <v>7</v>
      </c>
      <c r="AM27" s="22">
        <f>COUNTIF(Avril[[#This Row],[1]:[30]],"M")</f>
        <v>0</v>
      </c>
      <c r="AN27" s="22">
        <f>COUNTIF(Avril[[#This Row],[1]:[30]],"AT")</f>
        <v>0</v>
      </c>
      <c r="AO27" s="84">
        <f t="shared" si="0"/>
        <v>0.82191780821917804</v>
      </c>
    </row>
    <row r="28" spans="1:41" ht="30" customHeight="1" x14ac:dyDescent="0.2">
      <c r="A28" s="15" t="s">
        <v>84</v>
      </c>
      <c r="B28" s="22" t="s">
        <v>188</v>
      </c>
      <c r="C28" s="22" t="s">
        <v>189</v>
      </c>
      <c r="D28" s="22" t="s">
        <v>190</v>
      </c>
      <c r="E28" s="44">
        <v>0</v>
      </c>
      <c r="F28" s="47" t="str">
        <f>Global!CR28</f>
        <v/>
      </c>
      <c r="G28" s="31" t="str">
        <f>Global!CS28</f>
        <v/>
      </c>
      <c r="H28" s="31" t="str">
        <f>Global!CT28</f>
        <v/>
      </c>
      <c r="I28" s="31" t="str">
        <f>Global!CU28</f>
        <v/>
      </c>
      <c r="J28" s="31" t="str">
        <f>Global!CV28</f>
        <v/>
      </c>
      <c r="K28" s="31" t="str">
        <f>Global!CW28</f>
        <v/>
      </c>
      <c r="L28" s="31" t="str">
        <f>Global!CX28</f>
        <v/>
      </c>
      <c r="M28" s="31" t="str">
        <f>Global!CY28</f>
        <v/>
      </c>
      <c r="N28" s="31" t="str">
        <f>Global!CZ28</f>
        <v/>
      </c>
      <c r="O28" s="31" t="str">
        <f>Global!DA28</f>
        <v/>
      </c>
      <c r="P28" s="31" t="str">
        <f>Global!DB28</f>
        <v/>
      </c>
      <c r="Q28" s="31" t="str">
        <f>Global!DC28</f>
        <v/>
      </c>
      <c r="R28" s="31" t="str">
        <f>Global!DD28</f>
        <v/>
      </c>
      <c r="S28" s="31" t="str">
        <f>Global!DE28</f>
        <v/>
      </c>
      <c r="T28" s="31" t="str">
        <f>Global!DF28</f>
        <v/>
      </c>
      <c r="U28" s="31" t="str">
        <f>Global!DG28</f>
        <v/>
      </c>
      <c r="V28" s="31" t="str">
        <f>Global!DH28</f>
        <v/>
      </c>
      <c r="W28" s="31" t="str">
        <f>Global!DI28</f>
        <v/>
      </c>
      <c r="X28" s="31" t="str">
        <f>Global!DJ28</f>
        <v/>
      </c>
      <c r="Y28" s="31" t="str">
        <f>Global!DK28</f>
        <v/>
      </c>
      <c r="Z28" s="31" t="str">
        <f>Global!DL28</f>
        <v/>
      </c>
      <c r="AA28" s="31" t="str">
        <f>Global!DM28</f>
        <v/>
      </c>
      <c r="AB28" s="31" t="str">
        <f>Global!DN28</f>
        <v/>
      </c>
      <c r="AC28" s="31" t="str">
        <f>Global!DO28</f>
        <v/>
      </c>
      <c r="AD28" s="31" t="str">
        <f>Global!DP28</f>
        <v/>
      </c>
      <c r="AE28" s="31" t="str">
        <f>Global!DQ28</f>
        <v/>
      </c>
      <c r="AF28" s="31" t="str">
        <f>Global!DR28</f>
        <v/>
      </c>
      <c r="AG28" s="31" t="str">
        <f>Global!DS28</f>
        <v/>
      </c>
      <c r="AH28" s="31" t="str">
        <f>Global!DT28</f>
        <v/>
      </c>
      <c r="AI28" s="31" t="str">
        <f>Global!DU28</f>
        <v/>
      </c>
      <c r="AJ28" s="113"/>
      <c r="AK28" s="108">
        <f>COUNTIF(Avril[[#This Row],[1]:[30]],"RTT")+(COUNTIF(Avril[[#This Row],[1]:[30]],"dRTT")/2)</f>
        <v>0</v>
      </c>
      <c r="AL28" s="109">
        <f>COUNTIF(Avril[[#This Row],[1]:[30]],"C")+(COUNTIF(Avril[[#This Row],[1]:[30]],"DC")/2)</f>
        <v>0</v>
      </c>
      <c r="AM28" s="22">
        <f>COUNTIF(Avril[[#This Row],[1]:[30]],"M")</f>
        <v>0</v>
      </c>
      <c r="AN28" s="22">
        <f>COUNTIF(Avril[[#This Row],[1]:[30]],"AT")</f>
        <v>0</v>
      </c>
      <c r="AO28" s="84">
        <f t="shared" si="0"/>
        <v>0.82191780821917804</v>
      </c>
    </row>
    <row r="29" spans="1:41" ht="30" customHeight="1" x14ac:dyDescent="0.2">
      <c r="A29" s="15" t="s">
        <v>85</v>
      </c>
      <c r="B29" s="22" t="s">
        <v>191</v>
      </c>
      <c r="C29" s="22" t="s">
        <v>192</v>
      </c>
      <c r="D29" s="22" t="s">
        <v>193</v>
      </c>
      <c r="E29" s="44">
        <v>0</v>
      </c>
      <c r="F29" s="47" t="str">
        <f>Global!CR29</f>
        <v/>
      </c>
      <c r="G29" s="31" t="str">
        <f>Global!CS29</f>
        <v/>
      </c>
      <c r="H29" s="31" t="str">
        <f>Global!CT29</f>
        <v>C</v>
      </c>
      <c r="I29" s="31" t="str">
        <f>Global!CU29</f>
        <v>C</v>
      </c>
      <c r="J29" s="31" t="str">
        <f>Global!CV29</f>
        <v>C</v>
      </c>
      <c r="K29" s="31" t="str">
        <f>Global!CW29</f>
        <v>C</v>
      </c>
      <c r="L29" s="31" t="str">
        <f>Global!CX29</f>
        <v/>
      </c>
      <c r="M29" s="31" t="str">
        <f>Global!CY29</f>
        <v/>
      </c>
      <c r="N29" s="31" t="str">
        <f>Global!CZ29</f>
        <v>C</v>
      </c>
      <c r="O29" s="31" t="str">
        <f>Global!DA29</f>
        <v>C</v>
      </c>
      <c r="P29" s="31" t="str">
        <f>Global!DB29</f>
        <v>C</v>
      </c>
      <c r="Q29" s="31" t="str">
        <f>Global!DC29</f>
        <v>C</v>
      </c>
      <c r="R29" s="31" t="str">
        <f>Global!DD29</f>
        <v>C</v>
      </c>
      <c r="S29" s="31" t="str">
        <f>Global!DE29</f>
        <v/>
      </c>
      <c r="T29" s="31" t="str">
        <f>Global!DF29</f>
        <v/>
      </c>
      <c r="U29" s="31" t="str">
        <f>Global!DG29</f>
        <v/>
      </c>
      <c r="V29" s="31" t="str">
        <f>Global!DH29</f>
        <v/>
      </c>
      <c r="W29" s="31" t="str">
        <f>Global!DI29</f>
        <v/>
      </c>
      <c r="X29" s="31" t="str">
        <f>Global!DJ29</f>
        <v/>
      </c>
      <c r="Y29" s="31" t="str">
        <f>Global!DK29</f>
        <v/>
      </c>
      <c r="Z29" s="31" t="str">
        <f>Global!DL29</f>
        <v/>
      </c>
      <c r="AA29" s="31" t="str">
        <f>Global!DM29</f>
        <v/>
      </c>
      <c r="AB29" s="31" t="str">
        <f>Global!DN29</f>
        <v/>
      </c>
      <c r="AC29" s="31" t="str">
        <f>Global!DO29</f>
        <v/>
      </c>
      <c r="AD29" s="31" t="str">
        <f>Global!DP29</f>
        <v/>
      </c>
      <c r="AE29" s="31" t="str">
        <f>Global!DQ29</f>
        <v/>
      </c>
      <c r="AF29" s="31" t="str">
        <f>Global!DR29</f>
        <v>M</v>
      </c>
      <c r="AG29" s="31" t="str">
        <f>Global!DS29</f>
        <v>M</v>
      </c>
      <c r="AH29" s="31" t="str">
        <f>Global!DT29</f>
        <v>M</v>
      </c>
      <c r="AI29" s="31" t="str">
        <f>Global!DU29</f>
        <v>M</v>
      </c>
      <c r="AJ29" s="113"/>
      <c r="AK29" s="108">
        <f>COUNTIF(Avril[[#This Row],[1]:[30]],"RTT")+(COUNTIF(Avril[[#This Row],[1]:[30]],"dRTT")/2)</f>
        <v>0</v>
      </c>
      <c r="AL29" s="109">
        <f>COUNTIF(Avril[[#This Row],[1]:[30]],"C")+(COUNTIF(Avril[[#This Row],[1]:[30]],"DC")/2)</f>
        <v>9</v>
      </c>
      <c r="AM29" s="22">
        <f>COUNTIF(Avril[[#This Row],[1]:[30]],"M")</f>
        <v>4</v>
      </c>
      <c r="AN29" s="22">
        <f>COUNTIF(Avril[[#This Row],[1]:[30]],"AT")</f>
        <v>0</v>
      </c>
      <c r="AO29" s="84">
        <f t="shared" si="0"/>
        <v>0.71232876712328763</v>
      </c>
    </row>
    <row r="30" spans="1:41" ht="30" customHeight="1" x14ac:dyDescent="0.2">
      <c r="A30" s="15" t="s">
        <v>86</v>
      </c>
      <c r="B30" s="22" t="s">
        <v>194</v>
      </c>
      <c r="C30" s="22" t="s">
        <v>192</v>
      </c>
      <c r="D30" s="22" t="s">
        <v>195</v>
      </c>
      <c r="E30" s="44" t="s">
        <v>162</v>
      </c>
      <c r="F30" s="47" t="str">
        <f>Global!CR30</f>
        <v/>
      </c>
      <c r="G30" s="31" t="str">
        <f>Global!CS30</f>
        <v/>
      </c>
      <c r="H30" s="31" t="str">
        <f>Global!CT30</f>
        <v/>
      </c>
      <c r="I30" s="31" t="str">
        <f>Global!CU30</f>
        <v/>
      </c>
      <c r="J30" s="31" t="str">
        <f>Global!CV30</f>
        <v/>
      </c>
      <c r="K30" s="31" t="str">
        <f>Global!CW30</f>
        <v/>
      </c>
      <c r="L30" s="31" t="str">
        <f>Global!CX30</f>
        <v/>
      </c>
      <c r="M30" s="31" t="str">
        <f>Global!CY30</f>
        <v/>
      </c>
      <c r="N30" s="31" t="str">
        <f>Global!CZ30</f>
        <v/>
      </c>
      <c r="O30" s="31" t="str">
        <f>Global!DA30</f>
        <v/>
      </c>
      <c r="P30" s="31" t="str">
        <f>Global!DB30</f>
        <v/>
      </c>
      <c r="Q30" s="31" t="str">
        <f>Global!DC30</f>
        <v/>
      </c>
      <c r="R30" s="31" t="str">
        <f>Global!DD30</f>
        <v/>
      </c>
      <c r="S30" s="31" t="str">
        <f>Global!DE30</f>
        <v/>
      </c>
      <c r="T30" s="31" t="str">
        <f>Global!DF30</f>
        <v/>
      </c>
      <c r="U30" s="31" t="str">
        <f>Global!DG30</f>
        <v/>
      </c>
      <c r="V30" s="31" t="str">
        <f>Global!DH30</f>
        <v/>
      </c>
      <c r="W30" s="31" t="str">
        <f>Global!DI30</f>
        <v/>
      </c>
      <c r="X30" s="31" t="str">
        <f>Global!DJ30</f>
        <v/>
      </c>
      <c r="Y30" s="31" t="str">
        <f>Global!DK30</f>
        <v/>
      </c>
      <c r="Z30" s="31" t="str">
        <f>Global!DL30</f>
        <v/>
      </c>
      <c r="AA30" s="31" t="str">
        <f>Global!DM30</f>
        <v/>
      </c>
      <c r="AB30" s="31" t="str">
        <f>Global!DN30</f>
        <v/>
      </c>
      <c r="AC30" s="31" t="str">
        <f>Global!DO30</f>
        <v/>
      </c>
      <c r="AD30" s="31" t="str">
        <f>Global!DP30</f>
        <v/>
      </c>
      <c r="AE30" s="31" t="str">
        <f>Global!DQ30</f>
        <v/>
      </c>
      <c r="AF30" s="31" t="str">
        <f>Global!DR30</f>
        <v/>
      </c>
      <c r="AG30" s="31" t="str">
        <f>Global!DS30</f>
        <v/>
      </c>
      <c r="AH30" s="31" t="str">
        <f>Global!DT30</f>
        <v/>
      </c>
      <c r="AI30" s="31" t="str">
        <f>Global!DU30</f>
        <v/>
      </c>
      <c r="AJ30" s="113"/>
      <c r="AK30" s="108">
        <f>COUNTIF(Avril[[#This Row],[1]:[30]],"RTT")+(COUNTIF(Avril[[#This Row],[1]:[30]],"dRTT")/2)</f>
        <v>0</v>
      </c>
      <c r="AL30" s="109">
        <f>COUNTIF(Avril[[#This Row],[1]:[30]],"C")+(COUNTIF(Avril[[#This Row],[1]:[30]],"DC")/2)</f>
        <v>0</v>
      </c>
      <c r="AM30" s="22">
        <f>COUNTIF(Avril[[#This Row],[1]:[30]],"M")</f>
        <v>0</v>
      </c>
      <c r="AN30" s="22">
        <f>COUNTIF(Avril[[#This Row],[1]:[30]],"AT")</f>
        <v>0</v>
      </c>
      <c r="AO30" s="84">
        <f t="shared" si="0"/>
        <v>0.82191780821917804</v>
      </c>
    </row>
    <row r="31" spans="1:41" ht="30" customHeight="1" x14ac:dyDescent="0.2">
      <c r="A31" s="15" t="s">
        <v>87</v>
      </c>
      <c r="B31" s="22" t="s">
        <v>196</v>
      </c>
      <c r="C31" s="22" t="s">
        <v>197</v>
      </c>
      <c r="D31" s="22" t="s">
        <v>198</v>
      </c>
      <c r="E31" s="44" t="s">
        <v>162</v>
      </c>
      <c r="F31" s="47" t="str">
        <f>Global!CR31</f>
        <v/>
      </c>
      <c r="G31" s="31" t="str">
        <f>Global!CS31</f>
        <v>C</v>
      </c>
      <c r="H31" s="31" t="str">
        <f>Global!CT31</f>
        <v>C</v>
      </c>
      <c r="I31" s="31" t="str">
        <f>Global!CU31</f>
        <v>C</v>
      </c>
      <c r="J31" s="31" t="str">
        <f>Global!CV31</f>
        <v>C</v>
      </c>
      <c r="K31" s="31" t="str">
        <f>Global!CW31</f>
        <v>C</v>
      </c>
      <c r="L31" s="31" t="str">
        <f>Global!CX31</f>
        <v/>
      </c>
      <c r="M31" s="31" t="str">
        <f>Global!CY31</f>
        <v/>
      </c>
      <c r="N31" s="31" t="str">
        <f>Global!CZ31</f>
        <v>C</v>
      </c>
      <c r="O31" s="31" t="str">
        <f>Global!DA31</f>
        <v>C</v>
      </c>
      <c r="P31" s="31" t="str">
        <f>Global!DB31</f>
        <v>C</v>
      </c>
      <c r="Q31" s="31" t="str">
        <f>Global!DC31</f>
        <v>C</v>
      </c>
      <c r="R31" s="31" t="str">
        <f>Global!DD31</f>
        <v>C</v>
      </c>
      <c r="S31" s="31" t="str">
        <f>Global!DE31</f>
        <v/>
      </c>
      <c r="T31" s="31" t="str">
        <f>Global!DF31</f>
        <v/>
      </c>
      <c r="U31" s="31" t="str">
        <f>Global!DG31</f>
        <v>C</v>
      </c>
      <c r="V31" s="31" t="str">
        <f>Global!DH31</f>
        <v>C</v>
      </c>
      <c r="W31" s="31" t="str">
        <f>Global!DI31</f>
        <v>C</v>
      </c>
      <c r="X31" s="31" t="str">
        <f>Global!DJ31</f>
        <v>C</v>
      </c>
      <c r="Y31" s="31" t="str">
        <f>Global!DK31</f>
        <v>C</v>
      </c>
      <c r="Z31" s="31" t="str">
        <f>Global!DL31</f>
        <v/>
      </c>
      <c r="AA31" s="31" t="str">
        <f>Global!DM31</f>
        <v/>
      </c>
      <c r="AB31" s="31" t="str">
        <f>Global!DN31</f>
        <v/>
      </c>
      <c r="AC31" s="31" t="str">
        <f>Global!DO31</f>
        <v/>
      </c>
      <c r="AD31" s="31" t="str">
        <f>Global!DP31</f>
        <v/>
      </c>
      <c r="AE31" s="31" t="str">
        <f>Global!DQ31</f>
        <v/>
      </c>
      <c r="AF31" s="31" t="str">
        <f>Global!DR31</f>
        <v/>
      </c>
      <c r="AG31" s="31" t="str">
        <f>Global!DS31</f>
        <v/>
      </c>
      <c r="AH31" s="31" t="str">
        <f>Global!DT31</f>
        <v/>
      </c>
      <c r="AI31" s="31" t="str">
        <f>Global!DU31</f>
        <v/>
      </c>
      <c r="AJ31" s="113"/>
      <c r="AK31" s="108">
        <f>COUNTIF(Avril[[#This Row],[1]:[30]],"RTT")+(COUNTIF(Avril[[#This Row],[1]:[30]],"dRTT")/2)</f>
        <v>0</v>
      </c>
      <c r="AL31" s="109">
        <f>COUNTIF(Avril[[#This Row],[1]:[30]],"C")+(COUNTIF(Avril[[#This Row],[1]:[30]],"DC")/2)</f>
        <v>15</v>
      </c>
      <c r="AM31" s="22">
        <f>COUNTIF(Avril[[#This Row],[1]:[30]],"M")</f>
        <v>0</v>
      </c>
      <c r="AN31" s="22">
        <f>COUNTIF(Avril[[#This Row],[1]:[30]],"AT")</f>
        <v>0</v>
      </c>
      <c r="AO31" s="84">
        <f t="shared" si="0"/>
        <v>0.82191780821917804</v>
      </c>
    </row>
    <row r="32" spans="1:41" ht="30" customHeight="1" x14ac:dyDescent="0.2">
      <c r="A32" s="15" t="s">
        <v>88</v>
      </c>
      <c r="B32" s="22" t="s">
        <v>199</v>
      </c>
      <c r="C32" s="22" t="s">
        <v>200</v>
      </c>
      <c r="D32" s="22" t="s">
        <v>201</v>
      </c>
      <c r="E32" s="44">
        <v>0</v>
      </c>
      <c r="F32" s="47" t="str">
        <f>Global!CR32</f>
        <v/>
      </c>
      <c r="G32" s="31" t="str">
        <f>Global!CS32</f>
        <v/>
      </c>
      <c r="H32" s="31" t="str">
        <f>Global!CT32</f>
        <v/>
      </c>
      <c r="I32" s="31" t="str">
        <f>Global!CU32</f>
        <v/>
      </c>
      <c r="J32" s="31" t="str">
        <f>Global!CV32</f>
        <v/>
      </c>
      <c r="K32" s="31" t="str">
        <f>Global!CW32</f>
        <v/>
      </c>
      <c r="L32" s="31" t="str">
        <f>Global!CX32</f>
        <v/>
      </c>
      <c r="M32" s="31" t="str">
        <f>Global!CY32</f>
        <v/>
      </c>
      <c r="N32" s="31" t="str">
        <f>Global!CZ32</f>
        <v/>
      </c>
      <c r="O32" s="31" t="str">
        <f>Global!DA32</f>
        <v>C</v>
      </c>
      <c r="P32" s="31" t="str">
        <f>Global!DB32</f>
        <v>C</v>
      </c>
      <c r="Q32" s="31" t="str">
        <f>Global!DC32</f>
        <v>C</v>
      </c>
      <c r="R32" s="31" t="str">
        <f>Global!DD32</f>
        <v>C</v>
      </c>
      <c r="S32" s="31" t="str">
        <f>Global!DE32</f>
        <v/>
      </c>
      <c r="T32" s="31" t="str">
        <f>Global!DF32</f>
        <v/>
      </c>
      <c r="U32" s="31" t="str">
        <f>Global!DG32</f>
        <v/>
      </c>
      <c r="V32" s="31" t="str">
        <f>Global!DH32</f>
        <v/>
      </c>
      <c r="W32" s="31" t="str">
        <f>Global!DI32</f>
        <v/>
      </c>
      <c r="X32" s="31" t="str">
        <f>Global!DJ32</f>
        <v/>
      </c>
      <c r="Y32" s="31" t="str">
        <f>Global!DK32</f>
        <v/>
      </c>
      <c r="Z32" s="31" t="str">
        <f>Global!DL32</f>
        <v/>
      </c>
      <c r="AA32" s="31" t="str">
        <f>Global!DM32</f>
        <v/>
      </c>
      <c r="AB32" s="31" t="str">
        <f>Global!DN32</f>
        <v/>
      </c>
      <c r="AC32" s="31" t="str">
        <f>Global!DO32</f>
        <v/>
      </c>
      <c r="AD32" s="31" t="str">
        <f>Global!DP32</f>
        <v/>
      </c>
      <c r="AE32" s="31" t="str">
        <f>Global!DQ32</f>
        <v/>
      </c>
      <c r="AF32" s="31" t="str">
        <f>Global!DR32</f>
        <v/>
      </c>
      <c r="AG32" s="31" t="str">
        <f>Global!DS32</f>
        <v/>
      </c>
      <c r="AH32" s="31" t="str">
        <f>Global!DT32</f>
        <v/>
      </c>
      <c r="AI32" s="31" t="str">
        <f>Global!DU32</f>
        <v/>
      </c>
      <c r="AJ32" s="113"/>
      <c r="AK32" s="108">
        <f>COUNTIF(Avril[[#This Row],[1]:[30]],"RTT")+(COUNTIF(Avril[[#This Row],[1]:[30]],"dRTT")/2)</f>
        <v>0</v>
      </c>
      <c r="AL32" s="109">
        <f>COUNTIF(Avril[[#This Row],[1]:[30]],"C")+(COUNTIF(Avril[[#This Row],[1]:[30]],"DC")/2)</f>
        <v>4</v>
      </c>
      <c r="AM32" s="22">
        <f>COUNTIF(Avril[[#This Row],[1]:[30]],"M")</f>
        <v>0</v>
      </c>
      <c r="AN32" s="22">
        <f>COUNTIF(Avril[[#This Row],[1]:[30]],"AT")</f>
        <v>0</v>
      </c>
      <c r="AO32" s="84">
        <f t="shared" si="0"/>
        <v>0.82191780821917804</v>
      </c>
    </row>
    <row r="33" spans="1:41" ht="30" customHeight="1" x14ac:dyDescent="0.2">
      <c r="A33" s="13" t="s">
        <v>89</v>
      </c>
      <c r="B33" s="22" t="s">
        <v>202</v>
      </c>
      <c r="C33" s="22" t="s">
        <v>172</v>
      </c>
      <c r="D33" s="22" t="s">
        <v>203</v>
      </c>
      <c r="E33" s="44">
        <v>0</v>
      </c>
      <c r="F33" s="47" t="str">
        <f>Global!CR33</f>
        <v/>
      </c>
      <c r="G33" s="31" t="str">
        <f>Global!CS33</f>
        <v/>
      </c>
      <c r="H33" s="31" t="str">
        <f>Global!CT33</f>
        <v>M</v>
      </c>
      <c r="I33" s="31" t="str">
        <f>Global!CU33</f>
        <v>M</v>
      </c>
      <c r="J33" s="31" t="str">
        <f>Global!CV33</f>
        <v>M</v>
      </c>
      <c r="K33" s="31" t="str">
        <f>Global!CW33</f>
        <v>M</v>
      </c>
      <c r="L33" s="31" t="str">
        <f>Global!CX33</f>
        <v>M</v>
      </c>
      <c r="M33" s="31" t="str">
        <f>Global!CY33</f>
        <v>M</v>
      </c>
      <c r="N33" s="31" t="str">
        <f>Global!CZ33</f>
        <v>M</v>
      </c>
      <c r="O33" s="31" t="str">
        <f>Global!DA33</f>
        <v/>
      </c>
      <c r="P33" s="31" t="str">
        <f>Global!DB33</f>
        <v/>
      </c>
      <c r="Q33" s="31" t="str">
        <f>Global!DC33</f>
        <v/>
      </c>
      <c r="R33" s="31" t="str">
        <f>Global!DD33</f>
        <v/>
      </c>
      <c r="S33" s="31" t="str">
        <f>Global!DE33</f>
        <v/>
      </c>
      <c r="T33" s="31" t="str">
        <f>Global!DF33</f>
        <v/>
      </c>
      <c r="U33" s="31" t="str">
        <f>Global!DG33</f>
        <v/>
      </c>
      <c r="V33" s="31" t="str">
        <f>Global!DH33</f>
        <v/>
      </c>
      <c r="W33" s="31" t="str">
        <f>Global!DI33</f>
        <v/>
      </c>
      <c r="X33" s="31" t="str">
        <f>Global!DJ33</f>
        <v/>
      </c>
      <c r="Y33" s="31" t="str">
        <f>Global!DK33</f>
        <v/>
      </c>
      <c r="Z33" s="31" t="str">
        <f>Global!DL33</f>
        <v/>
      </c>
      <c r="AA33" s="31" t="str">
        <f>Global!DM33</f>
        <v/>
      </c>
      <c r="AB33" s="31" t="str">
        <f>Global!DN33</f>
        <v/>
      </c>
      <c r="AC33" s="31" t="str">
        <f>Global!DO33</f>
        <v/>
      </c>
      <c r="AD33" s="31" t="str">
        <f>Global!DP33</f>
        <v>C</v>
      </c>
      <c r="AE33" s="31" t="str">
        <f>Global!DQ33</f>
        <v>C</v>
      </c>
      <c r="AF33" s="31" t="str">
        <f>Global!DR33</f>
        <v>C</v>
      </c>
      <c r="AG33" s="31" t="str">
        <f>Global!DS33</f>
        <v/>
      </c>
      <c r="AH33" s="31" t="str">
        <f>Global!DT33</f>
        <v/>
      </c>
      <c r="AI33" s="31" t="str">
        <f>Global!DU33</f>
        <v/>
      </c>
      <c r="AJ33" s="113"/>
      <c r="AK33" s="108">
        <f>COUNTIF(Avril[[#This Row],[1]:[30]],"RTT")+(COUNTIF(Avril[[#This Row],[1]:[30]],"dRTT")/2)</f>
        <v>0</v>
      </c>
      <c r="AL33" s="109">
        <f>COUNTIF(Avril[[#This Row],[1]:[30]],"C")+(COUNTIF(Avril[[#This Row],[1]:[30]],"DC")/2)</f>
        <v>3</v>
      </c>
      <c r="AM33" s="22">
        <f>COUNTIF(Avril[[#This Row],[1]:[30]],"M")</f>
        <v>7</v>
      </c>
      <c r="AN33" s="22">
        <f>COUNTIF(Avril[[#This Row],[1]:[30]],"AT")</f>
        <v>0</v>
      </c>
      <c r="AO33" s="84">
        <f t="shared" si="0"/>
        <v>0.63013698630136983</v>
      </c>
    </row>
    <row r="34" spans="1:41" ht="30" customHeight="1" x14ac:dyDescent="0.2">
      <c r="A34" s="13" t="s">
        <v>90</v>
      </c>
      <c r="B34" s="22" t="s">
        <v>204</v>
      </c>
      <c r="C34" s="22" t="s">
        <v>205</v>
      </c>
      <c r="D34" s="22" t="s">
        <v>206</v>
      </c>
      <c r="E34" s="44" t="s">
        <v>162</v>
      </c>
      <c r="F34" s="47" t="str">
        <f>Global!CR34</f>
        <v/>
      </c>
      <c r="G34" s="31" t="str">
        <f>Global!CS34</f>
        <v/>
      </c>
      <c r="H34" s="31" t="str">
        <f>Global!CT34</f>
        <v/>
      </c>
      <c r="I34" s="31" t="str">
        <f>Global!CU34</f>
        <v/>
      </c>
      <c r="J34" s="31" t="str">
        <f>Global!CV34</f>
        <v/>
      </c>
      <c r="K34" s="31" t="str">
        <f>Global!CW34</f>
        <v/>
      </c>
      <c r="L34" s="31" t="str">
        <f>Global!CX34</f>
        <v/>
      </c>
      <c r="M34" s="31" t="str">
        <f>Global!CY34</f>
        <v/>
      </c>
      <c r="N34" s="31" t="str">
        <f>Global!CZ34</f>
        <v/>
      </c>
      <c r="O34" s="31" t="str">
        <f>Global!DA34</f>
        <v/>
      </c>
      <c r="P34" s="31" t="str">
        <f>Global!DB34</f>
        <v/>
      </c>
      <c r="Q34" s="31" t="str">
        <f>Global!DC34</f>
        <v/>
      </c>
      <c r="R34" s="31" t="str">
        <f>Global!DD34</f>
        <v/>
      </c>
      <c r="S34" s="31" t="str">
        <f>Global!DE34</f>
        <v/>
      </c>
      <c r="T34" s="31" t="str">
        <f>Global!DF34</f>
        <v/>
      </c>
      <c r="U34" s="31" t="str">
        <f>Global!DG34</f>
        <v/>
      </c>
      <c r="V34" s="31" t="str">
        <f>Global!DH34</f>
        <v/>
      </c>
      <c r="W34" s="31" t="str">
        <f>Global!DI34</f>
        <v/>
      </c>
      <c r="X34" s="31" t="str">
        <f>Global!DJ34</f>
        <v/>
      </c>
      <c r="Y34" s="31" t="str">
        <f>Global!DK34</f>
        <v/>
      </c>
      <c r="Z34" s="31" t="str">
        <f>Global!DL34</f>
        <v/>
      </c>
      <c r="AA34" s="31" t="str">
        <f>Global!DM34</f>
        <v/>
      </c>
      <c r="AB34" s="31" t="str">
        <f>Global!DN34</f>
        <v/>
      </c>
      <c r="AC34" s="31" t="str">
        <f>Global!DO34</f>
        <v/>
      </c>
      <c r="AD34" s="31" t="str">
        <f>Global!DP34</f>
        <v/>
      </c>
      <c r="AE34" s="31" t="str">
        <f>Global!DQ34</f>
        <v/>
      </c>
      <c r="AF34" s="31" t="str">
        <f>Global!DR34</f>
        <v/>
      </c>
      <c r="AG34" s="31" t="str">
        <f>Global!DS34</f>
        <v/>
      </c>
      <c r="AH34" s="31" t="str">
        <f>Global!DT34</f>
        <v/>
      </c>
      <c r="AI34" s="31" t="str">
        <f>Global!DU34</f>
        <v/>
      </c>
      <c r="AJ34" s="113"/>
      <c r="AK34" s="108">
        <f>COUNTIF(Avril[[#This Row],[1]:[30]],"RTT")+(COUNTIF(Avril[[#This Row],[1]:[30]],"dRTT")/2)</f>
        <v>0</v>
      </c>
      <c r="AL34" s="109">
        <f>COUNTIF(Avril[[#This Row],[1]:[30]],"C")+(COUNTIF(Avril[[#This Row],[1]:[30]],"DC")/2)</f>
        <v>0</v>
      </c>
      <c r="AM34" s="22">
        <f>COUNTIF(Avril[[#This Row],[1]:[30]],"M")</f>
        <v>0</v>
      </c>
      <c r="AN34" s="22">
        <f>COUNTIF(Avril[[#This Row],[1]:[30]],"AT")</f>
        <v>0</v>
      </c>
      <c r="AO34" s="84">
        <f t="shared" si="0"/>
        <v>0.82191780821917804</v>
      </c>
    </row>
    <row r="35" spans="1:41" ht="30" customHeight="1" x14ac:dyDescent="0.2">
      <c r="A35" s="13" t="s">
        <v>91</v>
      </c>
      <c r="B35" s="22" t="s">
        <v>207</v>
      </c>
      <c r="C35" s="22" t="s">
        <v>208</v>
      </c>
      <c r="D35" s="22" t="s">
        <v>209</v>
      </c>
      <c r="E35" s="44" t="s">
        <v>162</v>
      </c>
      <c r="F35" s="47" t="str">
        <f>Global!CR35</f>
        <v/>
      </c>
      <c r="G35" s="31" t="str">
        <f>Global!CS35</f>
        <v/>
      </c>
      <c r="H35" s="31" t="str">
        <f>Global!CT35</f>
        <v/>
      </c>
      <c r="I35" s="31" t="str">
        <f>Global!CU35</f>
        <v/>
      </c>
      <c r="J35" s="31" t="str">
        <f>Global!CV35</f>
        <v/>
      </c>
      <c r="K35" s="31" t="str">
        <f>Global!CW35</f>
        <v/>
      </c>
      <c r="L35" s="31" t="str">
        <f>Global!CX35</f>
        <v/>
      </c>
      <c r="M35" s="31" t="str">
        <f>Global!CY35</f>
        <v/>
      </c>
      <c r="N35" s="31" t="str">
        <f>Global!CZ35</f>
        <v/>
      </c>
      <c r="O35" s="31" t="str">
        <f>Global!DA35</f>
        <v/>
      </c>
      <c r="P35" s="31" t="str">
        <f>Global!DB35</f>
        <v/>
      </c>
      <c r="Q35" s="31" t="str">
        <f>Global!DC35</f>
        <v/>
      </c>
      <c r="R35" s="31" t="str">
        <f>Global!DD35</f>
        <v/>
      </c>
      <c r="S35" s="31" t="str">
        <f>Global!DE35</f>
        <v/>
      </c>
      <c r="T35" s="31" t="str">
        <f>Global!DF35</f>
        <v/>
      </c>
      <c r="U35" s="31" t="str">
        <f>Global!DG35</f>
        <v/>
      </c>
      <c r="V35" s="31" t="str">
        <f>Global!DH35</f>
        <v/>
      </c>
      <c r="W35" s="31" t="str">
        <f>Global!DI35</f>
        <v/>
      </c>
      <c r="X35" s="31" t="str">
        <f>Global!DJ35</f>
        <v/>
      </c>
      <c r="Y35" s="31" t="str">
        <f>Global!DK35</f>
        <v/>
      </c>
      <c r="Z35" s="31" t="str">
        <f>Global!DL35</f>
        <v/>
      </c>
      <c r="AA35" s="31" t="str">
        <f>Global!DM35</f>
        <v/>
      </c>
      <c r="AB35" s="31" t="str">
        <f>Global!DN35</f>
        <v/>
      </c>
      <c r="AC35" s="31" t="str">
        <f>Global!DO35</f>
        <v/>
      </c>
      <c r="AD35" s="31" t="str">
        <f>Global!DP35</f>
        <v/>
      </c>
      <c r="AE35" s="31" t="str">
        <f>Global!DQ35</f>
        <v/>
      </c>
      <c r="AF35" s="31" t="str">
        <f>Global!DR35</f>
        <v/>
      </c>
      <c r="AG35" s="31" t="str">
        <f>Global!DS35</f>
        <v/>
      </c>
      <c r="AH35" s="31" t="str">
        <f>Global!DT35</f>
        <v/>
      </c>
      <c r="AI35" s="31" t="str">
        <f>Global!DU35</f>
        <v/>
      </c>
      <c r="AJ35" s="113"/>
      <c r="AK35" s="108">
        <f>COUNTIF(Avril[[#This Row],[1]:[30]],"RTT")+(COUNTIF(Avril[[#This Row],[1]:[30]],"dRTT")/2)</f>
        <v>0</v>
      </c>
      <c r="AL35" s="109">
        <f>COUNTIF(Avril[[#This Row],[1]:[30]],"C")+(COUNTIF(Avril[[#This Row],[1]:[30]],"DC")/2)</f>
        <v>0</v>
      </c>
      <c r="AM35" s="22">
        <f>COUNTIF(Avril[[#This Row],[1]:[30]],"M")</f>
        <v>0</v>
      </c>
      <c r="AN35" s="22">
        <f>COUNTIF(Avril[[#This Row],[1]:[30]],"AT")</f>
        <v>0</v>
      </c>
      <c r="AO35" s="84">
        <f t="shared" si="0"/>
        <v>0.82191780821917804</v>
      </c>
    </row>
    <row r="36" spans="1:41" ht="30" customHeight="1" x14ac:dyDescent="0.2">
      <c r="A36" s="13" t="s">
        <v>92</v>
      </c>
      <c r="B36" s="22" t="s">
        <v>210</v>
      </c>
      <c r="C36" s="22" t="s">
        <v>211</v>
      </c>
      <c r="D36" s="22" t="s">
        <v>212</v>
      </c>
      <c r="E36" s="44">
        <v>0</v>
      </c>
      <c r="F36" s="47" t="str">
        <f>Global!CR36</f>
        <v/>
      </c>
      <c r="G36" s="31" t="str">
        <f>Global!CS36</f>
        <v/>
      </c>
      <c r="H36" s="31" t="str">
        <f>Global!CT36</f>
        <v/>
      </c>
      <c r="I36" s="31" t="str">
        <f>Global!CU36</f>
        <v/>
      </c>
      <c r="J36" s="31" t="str">
        <f>Global!CV36</f>
        <v/>
      </c>
      <c r="K36" s="31" t="str">
        <f>Global!CW36</f>
        <v/>
      </c>
      <c r="L36" s="31" t="str">
        <f>Global!CX36</f>
        <v/>
      </c>
      <c r="M36" s="31" t="str">
        <f>Global!CY36</f>
        <v/>
      </c>
      <c r="N36" s="31" t="str">
        <f>Global!CZ36</f>
        <v/>
      </c>
      <c r="O36" s="31" t="str">
        <f>Global!DA36</f>
        <v/>
      </c>
      <c r="P36" s="31" t="str">
        <f>Global!DB36</f>
        <v/>
      </c>
      <c r="Q36" s="31" t="str">
        <f>Global!DC36</f>
        <v/>
      </c>
      <c r="R36" s="31" t="str">
        <f>Global!DD36</f>
        <v/>
      </c>
      <c r="S36" s="31" t="str">
        <f>Global!DE36</f>
        <v/>
      </c>
      <c r="T36" s="31" t="str">
        <f>Global!DF36</f>
        <v/>
      </c>
      <c r="U36" s="31" t="str">
        <f>Global!DG36</f>
        <v/>
      </c>
      <c r="V36" s="31" t="str">
        <f>Global!DH36</f>
        <v/>
      </c>
      <c r="W36" s="31" t="str">
        <f>Global!DI36</f>
        <v/>
      </c>
      <c r="X36" s="31" t="str">
        <f>Global!DJ36</f>
        <v/>
      </c>
      <c r="Y36" s="31" t="str">
        <f>Global!DK36</f>
        <v/>
      </c>
      <c r="Z36" s="31" t="str">
        <f>Global!DL36</f>
        <v/>
      </c>
      <c r="AA36" s="31" t="str">
        <f>Global!DM36</f>
        <v/>
      </c>
      <c r="AB36" s="31" t="str">
        <f>Global!DN36</f>
        <v/>
      </c>
      <c r="AC36" s="31" t="str">
        <f>Global!DO36</f>
        <v/>
      </c>
      <c r="AD36" s="31" t="str">
        <f>Global!DP36</f>
        <v/>
      </c>
      <c r="AE36" s="31" t="str">
        <f>Global!DQ36</f>
        <v/>
      </c>
      <c r="AF36" s="31" t="str">
        <f>Global!DR36</f>
        <v/>
      </c>
      <c r="AG36" s="31" t="str">
        <f>Global!DS36</f>
        <v/>
      </c>
      <c r="AH36" s="31" t="str">
        <f>Global!DT36</f>
        <v/>
      </c>
      <c r="AI36" s="31" t="str">
        <f>Global!DU36</f>
        <v/>
      </c>
      <c r="AJ36" s="113"/>
      <c r="AK36" s="108">
        <f>COUNTIF(Avril[[#This Row],[1]:[30]],"RTT")+(COUNTIF(Avril[[#This Row],[1]:[30]],"dRTT")/2)</f>
        <v>0</v>
      </c>
      <c r="AL36" s="109">
        <f>COUNTIF(Avril[[#This Row],[1]:[30]],"C")+(COUNTIF(Avril[[#This Row],[1]:[30]],"DC")/2)</f>
        <v>0</v>
      </c>
      <c r="AM36" s="22">
        <f>COUNTIF(Avril[[#This Row],[1]:[30]],"M")</f>
        <v>0</v>
      </c>
      <c r="AN36" s="22">
        <f>COUNTIF(Avril[[#This Row],[1]:[30]],"AT")</f>
        <v>0</v>
      </c>
      <c r="AO36" s="84">
        <f t="shared" si="0"/>
        <v>0.82191780821917804</v>
      </c>
    </row>
    <row r="37" spans="1:41" ht="30" customHeight="1" x14ac:dyDescent="0.2">
      <c r="A37" s="13" t="s">
        <v>93</v>
      </c>
      <c r="B37" s="22" t="s">
        <v>213</v>
      </c>
      <c r="C37" s="22" t="s">
        <v>148</v>
      </c>
      <c r="D37" s="22" t="s">
        <v>214</v>
      </c>
      <c r="E37" s="44">
        <v>0</v>
      </c>
      <c r="F37" s="47" t="str">
        <f>Global!CR37</f>
        <v/>
      </c>
      <c r="G37" s="31" t="str">
        <f>Global!CS37</f>
        <v/>
      </c>
      <c r="H37" s="31" t="str">
        <f>Global!CT37</f>
        <v/>
      </c>
      <c r="I37" s="31" t="str">
        <f>Global!CU37</f>
        <v>C</v>
      </c>
      <c r="J37" s="31" t="str">
        <f>Global!CV37</f>
        <v/>
      </c>
      <c r="K37" s="31" t="str">
        <f>Global!CW37</f>
        <v/>
      </c>
      <c r="L37" s="31" t="str">
        <f>Global!CX37</f>
        <v/>
      </c>
      <c r="M37" s="31" t="str">
        <f>Global!CY37</f>
        <v/>
      </c>
      <c r="N37" s="31" t="str">
        <f>Global!CZ37</f>
        <v/>
      </c>
      <c r="O37" s="31" t="str">
        <f>Global!DA37</f>
        <v/>
      </c>
      <c r="P37" s="31" t="str">
        <f>Global!DB37</f>
        <v/>
      </c>
      <c r="Q37" s="31" t="str">
        <f>Global!DC37</f>
        <v/>
      </c>
      <c r="R37" s="31" t="str">
        <f>Global!DD37</f>
        <v/>
      </c>
      <c r="S37" s="31" t="str">
        <f>Global!DE37</f>
        <v/>
      </c>
      <c r="T37" s="31" t="str">
        <f>Global!DF37</f>
        <v/>
      </c>
      <c r="U37" s="31" t="str">
        <f>Global!DG37</f>
        <v/>
      </c>
      <c r="V37" s="31" t="str">
        <f>Global!DH37</f>
        <v/>
      </c>
      <c r="W37" s="31" t="str">
        <f>Global!DI37</f>
        <v/>
      </c>
      <c r="X37" s="31" t="str">
        <f>Global!DJ37</f>
        <v/>
      </c>
      <c r="Y37" s="31" t="str">
        <f>Global!DK37</f>
        <v/>
      </c>
      <c r="Z37" s="31" t="str">
        <f>Global!DL37</f>
        <v/>
      </c>
      <c r="AA37" s="31" t="str">
        <f>Global!DM37</f>
        <v/>
      </c>
      <c r="AB37" s="31" t="str">
        <f>Global!DN37</f>
        <v/>
      </c>
      <c r="AC37" s="31" t="str">
        <f>Global!DO37</f>
        <v/>
      </c>
      <c r="AD37" s="31" t="str">
        <f>Global!DP37</f>
        <v/>
      </c>
      <c r="AE37" s="31" t="str">
        <f>Global!DQ37</f>
        <v/>
      </c>
      <c r="AF37" s="31" t="str">
        <f>Global!DR37</f>
        <v/>
      </c>
      <c r="AG37" s="31" t="str">
        <f>Global!DS37</f>
        <v/>
      </c>
      <c r="AH37" s="31" t="str">
        <f>Global!DT37</f>
        <v/>
      </c>
      <c r="AI37" s="31" t="str">
        <f>Global!DU37</f>
        <v/>
      </c>
      <c r="AJ37" s="113"/>
      <c r="AK37" s="108">
        <f>COUNTIF(Avril[[#This Row],[1]:[30]],"RTT")+(COUNTIF(Avril[[#This Row],[1]:[30]],"dRTT")/2)</f>
        <v>0</v>
      </c>
      <c r="AL37" s="109">
        <f>COUNTIF(Avril[[#This Row],[1]:[30]],"C")+(COUNTIF(Avril[[#This Row],[1]:[30]],"DC")/2)</f>
        <v>1</v>
      </c>
      <c r="AM37" s="22">
        <f>COUNTIF(Avril[[#This Row],[1]:[30]],"M")</f>
        <v>0</v>
      </c>
      <c r="AN37" s="22">
        <f>COUNTIF(Avril[[#This Row],[1]:[30]],"AT")</f>
        <v>0</v>
      </c>
      <c r="AO37" s="84">
        <f t="shared" si="0"/>
        <v>0.82191780821917804</v>
      </c>
    </row>
    <row r="38" spans="1:41" ht="30" customHeight="1" x14ac:dyDescent="0.2">
      <c r="A38" s="13" t="s">
        <v>94</v>
      </c>
      <c r="B38" s="22" t="s">
        <v>215</v>
      </c>
      <c r="C38" s="22" t="s">
        <v>216</v>
      </c>
      <c r="D38" s="22" t="s">
        <v>217</v>
      </c>
      <c r="E38" s="44">
        <v>0</v>
      </c>
      <c r="F38" s="47" t="str">
        <f>Global!CR38</f>
        <v/>
      </c>
      <c r="G38" s="31" t="str">
        <f>Global!CS38</f>
        <v/>
      </c>
      <c r="H38" s="31" t="str">
        <f>Global!CT38</f>
        <v>C</v>
      </c>
      <c r="I38" s="31" t="str">
        <f>Global!CU38</f>
        <v>C</v>
      </c>
      <c r="J38" s="31" t="str">
        <f>Global!CV38</f>
        <v>C</v>
      </c>
      <c r="K38" s="31" t="str">
        <f>Global!CW38</f>
        <v>C</v>
      </c>
      <c r="L38" s="31" t="str">
        <f>Global!CX38</f>
        <v/>
      </c>
      <c r="M38" s="31" t="str">
        <f>Global!CY38</f>
        <v/>
      </c>
      <c r="N38" s="31" t="str">
        <f>Global!CZ38</f>
        <v/>
      </c>
      <c r="O38" s="31" t="str">
        <f>Global!DA38</f>
        <v/>
      </c>
      <c r="P38" s="31" t="str">
        <f>Global!DB38</f>
        <v/>
      </c>
      <c r="Q38" s="31" t="str">
        <f>Global!DC38</f>
        <v/>
      </c>
      <c r="R38" s="31" t="str">
        <f>Global!DD38</f>
        <v/>
      </c>
      <c r="S38" s="31" t="str">
        <f>Global!DE38</f>
        <v/>
      </c>
      <c r="T38" s="31" t="str">
        <f>Global!DF38</f>
        <v/>
      </c>
      <c r="U38" s="31" t="str">
        <f>Global!DG38</f>
        <v/>
      </c>
      <c r="V38" s="31" t="str">
        <f>Global!DH38</f>
        <v/>
      </c>
      <c r="W38" s="31" t="str">
        <f>Global!DI38</f>
        <v/>
      </c>
      <c r="X38" s="31" t="str">
        <f>Global!DJ38</f>
        <v/>
      </c>
      <c r="Y38" s="31" t="str">
        <f>Global!DK38</f>
        <v/>
      </c>
      <c r="Z38" s="31" t="str">
        <f>Global!DL38</f>
        <v/>
      </c>
      <c r="AA38" s="31" t="str">
        <f>Global!DM38</f>
        <v/>
      </c>
      <c r="AB38" s="31" t="str">
        <f>Global!DN38</f>
        <v/>
      </c>
      <c r="AC38" s="31" t="str">
        <f>Global!DO38</f>
        <v/>
      </c>
      <c r="AD38" s="31" t="str">
        <f>Global!DP38</f>
        <v/>
      </c>
      <c r="AE38" s="31" t="str">
        <f>Global!DQ38</f>
        <v/>
      </c>
      <c r="AF38" s="31" t="str">
        <f>Global!DR38</f>
        <v>AT</v>
      </c>
      <c r="AG38" s="31" t="str">
        <f>Global!DS38</f>
        <v>AT</v>
      </c>
      <c r="AH38" s="31" t="str">
        <f>Global!DT38</f>
        <v>AT</v>
      </c>
      <c r="AI38" s="31" t="str">
        <f>Global!DU38</f>
        <v>AT</v>
      </c>
      <c r="AJ38" s="113"/>
      <c r="AK38" s="108">
        <f>COUNTIF(Avril[[#This Row],[1]:[30]],"RTT")+(COUNTIF(Avril[[#This Row],[1]:[30]],"dRTT")/2)</f>
        <v>0</v>
      </c>
      <c r="AL38" s="109">
        <f>COUNTIF(Avril[[#This Row],[1]:[30]],"C")+(COUNTIF(Avril[[#This Row],[1]:[30]],"DC")/2)</f>
        <v>4</v>
      </c>
      <c r="AM38" s="22">
        <f>COUNTIF(Avril[[#This Row],[1]:[30]],"M")</f>
        <v>0</v>
      </c>
      <c r="AN38" s="22">
        <f>COUNTIF(Avril[[#This Row],[1]:[30]],"AT")</f>
        <v>4</v>
      </c>
      <c r="AO38" s="84">
        <f t="shared" si="0"/>
        <v>0.71232876712328763</v>
      </c>
    </row>
    <row r="39" spans="1:41" ht="30" customHeight="1" x14ac:dyDescent="0.2">
      <c r="A39" s="16" t="s">
        <v>95</v>
      </c>
      <c r="B39" s="22" t="s">
        <v>218</v>
      </c>
      <c r="C39" s="22" t="s">
        <v>219</v>
      </c>
      <c r="D39" s="22" t="s">
        <v>220</v>
      </c>
      <c r="E39" s="44">
        <v>0</v>
      </c>
      <c r="F39" s="47" t="str">
        <f>Global!CR39</f>
        <v/>
      </c>
      <c r="G39" s="31" t="str">
        <f>Global!CS39</f>
        <v/>
      </c>
      <c r="H39" s="31" t="str">
        <f>Global!CT39</f>
        <v/>
      </c>
      <c r="I39" s="31" t="str">
        <f>Global!CU39</f>
        <v/>
      </c>
      <c r="J39" s="31" t="str">
        <f>Global!CV39</f>
        <v/>
      </c>
      <c r="K39" s="31" t="str">
        <f>Global!CW39</f>
        <v/>
      </c>
      <c r="L39" s="31" t="str">
        <f>Global!CX39</f>
        <v/>
      </c>
      <c r="M39" s="31" t="str">
        <f>Global!CY39</f>
        <v/>
      </c>
      <c r="N39" s="31" t="str">
        <f>Global!CZ39</f>
        <v/>
      </c>
      <c r="O39" s="31" t="str">
        <f>Global!DA39</f>
        <v/>
      </c>
      <c r="P39" s="31" t="str">
        <f>Global!DB39</f>
        <v/>
      </c>
      <c r="Q39" s="31" t="str">
        <f>Global!DC39</f>
        <v/>
      </c>
      <c r="R39" s="31" t="str">
        <f>Global!DD39</f>
        <v/>
      </c>
      <c r="S39" s="31" t="str">
        <f>Global!DE39</f>
        <v/>
      </c>
      <c r="T39" s="31" t="str">
        <f>Global!DF39</f>
        <v/>
      </c>
      <c r="U39" s="31" t="str">
        <f>Global!DG39</f>
        <v>C</v>
      </c>
      <c r="V39" s="31" t="str">
        <f>Global!DH39</f>
        <v>C</v>
      </c>
      <c r="W39" s="31" t="str">
        <f>Global!DI39</f>
        <v/>
      </c>
      <c r="X39" s="31" t="str">
        <f>Global!DJ39</f>
        <v/>
      </c>
      <c r="Y39" s="31" t="str">
        <f>Global!DK39</f>
        <v/>
      </c>
      <c r="Z39" s="31" t="str">
        <f>Global!DL39</f>
        <v/>
      </c>
      <c r="AA39" s="31" t="str">
        <f>Global!DM39</f>
        <v/>
      </c>
      <c r="AB39" s="31" t="str">
        <f>Global!DN39</f>
        <v/>
      </c>
      <c r="AC39" s="31" t="str">
        <f>Global!DO39</f>
        <v/>
      </c>
      <c r="AD39" s="31" t="str">
        <f>Global!DP39</f>
        <v/>
      </c>
      <c r="AE39" s="31" t="str">
        <f>Global!DQ39</f>
        <v/>
      </c>
      <c r="AF39" s="31" t="str">
        <f>Global!DR39</f>
        <v/>
      </c>
      <c r="AG39" s="31" t="str">
        <f>Global!DS39</f>
        <v/>
      </c>
      <c r="AH39" s="31" t="str">
        <f>Global!DT39</f>
        <v/>
      </c>
      <c r="AI39" s="31" t="str">
        <f>Global!DU39</f>
        <v>C</v>
      </c>
      <c r="AJ39" s="113"/>
      <c r="AK39" s="108">
        <f>COUNTIF(Avril[[#This Row],[1]:[30]],"RTT")+(COUNTIF(Avril[[#This Row],[1]:[30]],"dRTT")/2)</f>
        <v>0</v>
      </c>
      <c r="AL39" s="109">
        <f>COUNTIF(Avril[[#This Row],[1]:[30]],"C")+(COUNTIF(Avril[[#This Row],[1]:[30]],"DC")/2)</f>
        <v>3</v>
      </c>
      <c r="AM39" s="22">
        <f>COUNTIF(Avril[[#This Row],[1]:[30]],"M")</f>
        <v>0</v>
      </c>
      <c r="AN39" s="22">
        <f>COUNTIF(Avril[[#This Row],[1]:[30]],"AT")</f>
        <v>0</v>
      </c>
      <c r="AO39" s="84">
        <f t="shared" si="0"/>
        <v>0.82191780821917804</v>
      </c>
    </row>
    <row r="40" spans="1:41" ht="30" customHeight="1" x14ac:dyDescent="0.2">
      <c r="A40" s="15" t="s">
        <v>96</v>
      </c>
      <c r="B40" s="22" t="s">
        <v>221</v>
      </c>
      <c r="C40" s="22" t="s">
        <v>222</v>
      </c>
      <c r="D40" s="22" t="s">
        <v>223</v>
      </c>
      <c r="E40" s="44">
        <v>0</v>
      </c>
      <c r="F40" s="47" t="str">
        <f>Global!CR40</f>
        <v/>
      </c>
      <c r="G40" s="31" t="str">
        <f>Global!CS40</f>
        <v/>
      </c>
      <c r="H40" s="31" t="str">
        <f>Global!CT40</f>
        <v>C</v>
      </c>
      <c r="I40" s="31" t="str">
        <f>Global!CU40</f>
        <v>C</v>
      </c>
      <c r="J40" s="31" t="str">
        <f>Global!CV40</f>
        <v>C</v>
      </c>
      <c r="K40" s="31" t="str">
        <f>Global!CW40</f>
        <v>C</v>
      </c>
      <c r="L40" s="31" t="str">
        <f>Global!CX40</f>
        <v/>
      </c>
      <c r="M40" s="31" t="str">
        <f>Global!CY40</f>
        <v/>
      </c>
      <c r="N40" s="31" t="str">
        <f>Global!CZ40</f>
        <v>C</v>
      </c>
      <c r="O40" s="31" t="str">
        <f>Global!DA40</f>
        <v>C</v>
      </c>
      <c r="P40" s="31" t="str">
        <f>Global!DB40</f>
        <v>C</v>
      </c>
      <c r="Q40" s="31" t="str">
        <f>Global!DC40</f>
        <v>C</v>
      </c>
      <c r="R40" s="31" t="str">
        <f>Global!DD40</f>
        <v>C</v>
      </c>
      <c r="S40" s="31" t="str">
        <f>Global!DE40</f>
        <v/>
      </c>
      <c r="T40" s="31" t="str">
        <f>Global!DF40</f>
        <v/>
      </c>
      <c r="U40" s="31" t="str">
        <f>Global!DG40</f>
        <v/>
      </c>
      <c r="V40" s="31" t="str">
        <f>Global!DH40</f>
        <v/>
      </c>
      <c r="W40" s="31" t="str">
        <f>Global!DI40</f>
        <v>C</v>
      </c>
      <c r="X40" s="31" t="str">
        <f>Global!DJ40</f>
        <v>C</v>
      </c>
      <c r="Y40" s="31" t="str">
        <f>Global!DK40</f>
        <v/>
      </c>
      <c r="Z40" s="31" t="str">
        <f>Global!DL40</f>
        <v/>
      </c>
      <c r="AA40" s="31" t="str">
        <f>Global!DM40</f>
        <v/>
      </c>
      <c r="AB40" s="31" t="str">
        <f>Global!DN40</f>
        <v/>
      </c>
      <c r="AC40" s="31" t="str">
        <f>Global!DO40</f>
        <v/>
      </c>
      <c r="AD40" s="31" t="str">
        <f>Global!DP40</f>
        <v/>
      </c>
      <c r="AE40" s="31" t="str">
        <f>Global!DQ40</f>
        <v/>
      </c>
      <c r="AF40" s="31" t="str">
        <f>Global!DR40</f>
        <v/>
      </c>
      <c r="AG40" s="31" t="str">
        <f>Global!DS40</f>
        <v/>
      </c>
      <c r="AH40" s="31" t="str">
        <f>Global!DT40</f>
        <v/>
      </c>
      <c r="AI40" s="31" t="str">
        <f>Global!DU40</f>
        <v/>
      </c>
      <c r="AJ40" s="113"/>
      <c r="AK40" s="108">
        <f>COUNTIF(Avril[[#This Row],[1]:[30]],"RTT")+(COUNTIF(Avril[[#This Row],[1]:[30]],"dRTT")/2)</f>
        <v>0</v>
      </c>
      <c r="AL40" s="109">
        <f>COUNTIF(Avril[[#This Row],[1]:[30]],"C")+(COUNTIF(Avril[[#This Row],[1]:[30]],"DC")/2)</f>
        <v>11</v>
      </c>
      <c r="AM40" s="22">
        <f>COUNTIF(Avril[[#This Row],[1]:[30]],"M")</f>
        <v>0</v>
      </c>
      <c r="AN40" s="22">
        <f>COUNTIF(Avril[[#This Row],[1]:[30]],"AT")</f>
        <v>0</v>
      </c>
      <c r="AO40" s="84">
        <f t="shared" si="0"/>
        <v>0.82191780821917804</v>
      </c>
    </row>
    <row r="41" spans="1:41" ht="30" customHeight="1" x14ac:dyDescent="0.2">
      <c r="A41" s="15" t="s">
        <v>97</v>
      </c>
      <c r="B41" s="22" t="s">
        <v>224</v>
      </c>
      <c r="C41" s="22" t="s">
        <v>225</v>
      </c>
      <c r="D41" s="22" t="s">
        <v>226</v>
      </c>
      <c r="E41" s="44">
        <v>0</v>
      </c>
      <c r="F41" s="47" t="str">
        <f>Global!CR41</f>
        <v/>
      </c>
      <c r="G41" s="31" t="str">
        <f>Global!CS41</f>
        <v/>
      </c>
      <c r="H41" s="31" t="str">
        <f>Global!CT41</f>
        <v/>
      </c>
      <c r="I41" s="31" t="str">
        <f>Global!CU41</f>
        <v/>
      </c>
      <c r="J41" s="31" t="str">
        <f>Global!CV41</f>
        <v/>
      </c>
      <c r="K41" s="31" t="str">
        <f>Global!CW41</f>
        <v/>
      </c>
      <c r="L41" s="31" t="str">
        <f>Global!CX41</f>
        <v/>
      </c>
      <c r="M41" s="31" t="str">
        <f>Global!CY41</f>
        <v/>
      </c>
      <c r="N41" s="31" t="str">
        <f>Global!CZ41</f>
        <v/>
      </c>
      <c r="O41" s="31" t="str">
        <f>Global!DA41</f>
        <v/>
      </c>
      <c r="P41" s="31" t="str">
        <f>Global!DB41</f>
        <v/>
      </c>
      <c r="Q41" s="31" t="str">
        <f>Global!DC41</f>
        <v/>
      </c>
      <c r="R41" s="31" t="str">
        <f>Global!DD41</f>
        <v/>
      </c>
      <c r="S41" s="31" t="str">
        <f>Global!DE41</f>
        <v/>
      </c>
      <c r="T41" s="31" t="str">
        <f>Global!DF41</f>
        <v/>
      </c>
      <c r="U41" s="31" t="str">
        <f>Global!DG41</f>
        <v/>
      </c>
      <c r="V41" s="31" t="str">
        <f>Global!DH41</f>
        <v/>
      </c>
      <c r="W41" s="31" t="str">
        <f>Global!DI41</f>
        <v/>
      </c>
      <c r="X41" s="31" t="str">
        <f>Global!DJ41</f>
        <v/>
      </c>
      <c r="Y41" s="31" t="str">
        <f>Global!DK41</f>
        <v/>
      </c>
      <c r="Z41" s="31" t="str">
        <f>Global!DL41</f>
        <v/>
      </c>
      <c r="AA41" s="31" t="str">
        <f>Global!DM41</f>
        <v/>
      </c>
      <c r="AB41" s="31" t="str">
        <f>Global!DN41</f>
        <v/>
      </c>
      <c r="AC41" s="31" t="str">
        <f>Global!DO41</f>
        <v/>
      </c>
      <c r="AD41" s="31" t="str">
        <f>Global!DP41</f>
        <v/>
      </c>
      <c r="AE41" s="31" t="str">
        <f>Global!DQ41</f>
        <v/>
      </c>
      <c r="AF41" s="31" t="str">
        <f>Global!DR41</f>
        <v/>
      </c>
      <c r="AG41" s="31" t="str">
        <f>Global!DS41</f>
        <v/>
      </c>
      <c r="AH41" s="31" t="str">
        <f>Global!DT41</f>
        <v/>
      </c>
      <c r="AI41" s="31" t="str">
        <f>Global!DU41</f>
        <v/>
      </c>
      <c r="AJ41" s="113"/>
      <c r="AK41" s="108">
        <f>COUNTIF(Avril[[#This Row],[1]:[30]],"RTT")+(COUNTIF(Avril[[#This Row],[1]:[30]],"dRTT")/2)</f>
        <v>0</v>
      </c>
      <c r="AL41" s="109">
        <f>COUNTIF(Avril[[#This Row],[1]:[30]],"C")+(COUNTIF(Avril[[#This Row],[1]:[30]],"DC")/2)</f>
        <v>0</v>
      </c>
      <c r="AM41" s="22">
        <f>COUNTIF(Avril[[#This Row],[1]:[30]],"M")</f>
        <v>0</v>
      </c>
      <c r="AN41" s="22">
        <f>COUNTIF(Avril[[#This Row],[1]:[30]],"AT")</f>
        <v>0</v>
      </c>
      <c r="AO41" s="84">
        <f t="shared" si="0"/>
        <v>0.82191780821917804</v>
      </c>
    </row>
    <row r="42" spans="1:41" ht="30" customHeight="1" x14ac:dyDescent="0.2">
      <c r="A42" s="13" t="s">
        <v>98</v>
      </c>
      <c r="B42" s="22" t="s">
        <v>227</v>
      </c>
      <c r="C42" s="22" t="s">
        <v>228</v>
      </c>
      <c r="D42" s="22" t="s">
        <v>229</v>
      </c>
      <c r="E42" s="44">
        <v>0</v>
      </c>
      <c r="F42" s="47" t="str">
        <f>Global!CR42</f>
        <v/>
      </c>
      <c r="G42" s="31" t="str">
        <f>Global!CS42</f>
        <v/>
      </c>
      <c r="H42" s="31" t="str">
        <f>Global!CT42</f>
        <v/>
      </c>
      <c r="I42" s="31" t="str">
        <f>Global!CU42</f>
        <v/>
      </c>
      <c r="J42" s="31" t="str">
        <f>Global!CV42</f>
        <v/>
      </c>
      <c r="K42" s="31" t="str">
        <f>Global!CW42</f>
        <v/>
      </c>
      <c r="L42" s="31" t="str">
        <f>Global!CX42</f>
        <v/>
      </c>
      <c r="M42" s="31" t="str">
        <f>Global!CY42</f>
        <v/>
      </c>
      <c r="N42" s="31" t="str">
        <f>Global!CZ42</f>
        <v/>
      </c>
      <c r="O42" s="31" t="str">
        <f>Global!DA42</f>
        <v/>
      </c>
      <c r="P42" s="31" t="str">
        <f>Global!DB42</f>
        <v/>
      </c>
      <c r="Q42" s="31" t="str">
        <f>Global!DC42</f>
        <v/>
      </c>
      <c r="R42" s="31" t="str">
        <f>Global!DD42</f>
        <v/>
      </c>
      <c r="S42" s="31" t="str">
        <f>Global!DE42</f>
        <v/>
      </c>
      <c r="T42" s="31" t="str">
        <f>Global!DF42</f>
        <v/>
      </c>
      <c r="U42" s="31" t="str">
        <f>Global!DG42</f>
        <v/>
      </c>
      <c r="V42" s="31" t="str">
        <f>Global!DH42</f>
        <v/>
      </c>
      <c r="W42" s="31" t="str">
        <f>Global!DI42</f>
        <v/>
      </c>
      <c r="X42" s="31" t="str">
        <f>Global!DJ42</f>
        <v/>
      </c>
      <c r="Y42" s="31" t="str">
        <f>Global!DK42</f>
        <v/>
      </c>
      <c r="Z42" s="31" t="str">
        <f>Global!DL42</f>
        <v/>
      </c>
      <c r="AA42" s="31" t="str">
        <f>Global!DM42</f>
        <v/>
      </c>
      <c r="AB42" s="31" t="str">
        <f>Global!DN42</f>
        <v/>
      </c>
      <c r="AC42" s="31" t="str">
        <f>Global!DO42</f>
        <v/>
      </c>
      <c r="AD42" s="31" t="str">
        <f>Global!DP42</f>
        <v/>
      </c>
      <c r="AE42" s="31" t="str">
        <f>Global!DQ42</f>
        <v/>
      </c>
      <c r="AF42" s="31" t="str">
        <f>Global!DR42</f>
        <v/>
      </c>
      <c r="AG42" s="31" t="str">
        <f>Global!DS42</f>
        <v/>
      </c>
      <c r="AH42" s="31" t="str">
        <f>Global!DT42</f>
        <v/>
      </c>
      <c r="AI42" s="31" t="str">
        <f>Global!DU42</f>
        <v/>
      </c>
      <c r="AJ42" s="113"/>
      <c r="AK42" s="108">
        <f>COUNTIF(Avril[[#This Row],[1]:[30]],"RTT")+(COUNTIF(Avril[[#This Row],[1]:[30]],"dRTT")/2)</f>
        <v>0</v>
      </c>
      <c r="AL42" s="109">
        <f>COUNTIF(Avril[[#This Row],[1]:[30]],"C")+(COUNTIF(Avril[[#This Row],[1]:[30]],"DC")/2)</f>
        <v>0</v>
      </c>
      <c r="AM42" s="22">
        <f>COUNTIF(Avril[[#This Row],[1]:[30]],"M")</f>
        <v>0</v>
      </c>
      <c r="AN42" s="22">
        <f>COUNTIF(Avril[[#This Row],[1]:[30]],"AT")</f>
        <v>0</v>
      </c>
      <c r="AO42" s="84">
        <f t="shared" si="0"/>
        <v>0.82191780821917804</v>
      </c>
    </row>
    <row r="43" spans="1:41" ht="30" customHeight="1" x14ac:dyDescent="0.2">
      <c r="A43" s="15" t="s">
        <v>99</v>
      </c>
      <c r="B43" s="22" t="s">
        <v>230</v>
      </c>
      <c r="C43" s="22" t="s">
        <v>231</v>
      </c>
      <c r="D43" s="22" t="s">
        <v>232</v>
      </c>
      <c r="E43" s="44">
        <v>0</v>
      </c>
      <c r="F43" s="47" t="str">
        <f>Global!CR43</f>
        <v/>
      </c>
      <c r="G43" s="31" t="str">
        <f>Global!CS43</f>
        <v/>
      </c>
      <c r="H43" s="31" t="str">
        <f>Global!CT43</f>
        <v/>
      </c>
      <c r="I43" s="31" t="str">
        <f>Global!CU43</f>
        <v/>
      </c>
      <c r="J43" s="31" t="str">
        <f>Global!CV43</f>
        <v/>
      </c>
      <c r="K43" s="31" t="str">
        <f>Global!CW43</f>
        <v/>
      </c>
      <c r="L43" s="31" t="str">
        <f>Global!CX43</f>
        <v/>
      </c>
      <c r="M43" s="31" t="str">
        <f>Global!CY43</f>
        <v/>
      </c>
      <c r="N43" s="31" t="str">
        <f>Global!CZ43</f>
        <v/>
      </c>
      <c r="O43" s="31" t="str">
        <f>Global!DA43</f>
        <v>C</v>
      </c>
      <c r="P43" s="31" t="str">
        <f>Global!DB43</f>
        <v>M</v>
      </c>
      <c r="Q43" s="31" t="str">
        <f>Global!DC43</f>
        <v>M</v>
      </c>
      <c r="R43" s="31" t="str">
        <f>Global!DD43</f>
        <v>M</v>
      </c>
      <c r="S43" s="31" t="str">
        <f>Global!DE43</f>
        <v>M</v>
      </c>
      <c r="T43" s="31" t="str">
        <f>Global!DF43</f>
        <v>M</v>
      </c>
      <c r="U43" s="31" t="str">
        <f>Global!DG43</f>
        <v>M</v>
      </c>
      <c r="V43" s="31" t="str">
        <f>Global!DH43</f>
        <v>M</v>
      </c>
      <c r="W43" s="31" t="str">
        <f>Global!DI43</f>
        <v>M</v>
      </c>
      <c r="X43" s="31" t="str">
        <f>Global!DJ43</f>
        <v>M</v>
      </c>
      <c r="Y43" s="31" t="str">
        <f>Global!DK43</f>
        <v>M</v>
      </c>
      <c r="Z43" s="31" t="str">
        <f>Global!DL43</f>
        <v>M</v>
      </c>
      <c r="AA43" s="31" t="str">
        <f>Global!DM43</f>
        <v>M</v>
      </c>
      <c r="AB43" s="31" t="str">
        <f>Global!DN43</f>
        <v>M</v>
      </c>
      <c r="AC43" s="31" t="str">
        <f>Global!DO43</f>
        <v/>
      </c>
      <c r="AD43" s="31" t="str">
        <f>Global!DP43</f>
        <v/>
      </c>
      <c r="AE43" s="31" t="str">
        <f>Global!DQ43</f>
        <v/>
      </c>
      <c r="AF43" s="31" t="str">
        <f>Global!DR43</f>
        <v>M</v>
      </c>
      <c r="AG43" s="31" t="str">
        <f>Global!DS43</f>
        <v>M</v>
      </c>
      <c r="AH43" s="31" t="str">
        <f>Global!DT43</f>
        <v>M</v>
      </c>
      <c r="AI43" s="31" t="str">
        <f>Global!DU43</f>
        <v>M</v>
      </c>
      <c r="AJ43" s="113"/>
      <c r="AK43" s="108">
        <f>COUNTIF(Avril[[#This Row],[1]:[30]],"RTT")+(COUNTIF(Avril[[#This Row],[1]:[30]],"dRTT")/2)</f>
        <v>0</v>
      </c>
      <c r="AL43" s="109">
        <f>COUNTIF(Avril[[#This Row],[1]:[30]],"C")+(COUNTIF(Avril[[#This Row],[1]:[30]],"DC")/2)</f>
        <v>1</v>
      </c>
      <c r="AM43" s="22">
        <f>COUNTIF(Avril[[#This Row],[1]:[30]],"M")</f>
        <v>17</v>
      </c>
      <c r="AN43" s="22">
        <f>COUNTIF(Avril[[#This Row],[1]:[30]],"AT")</f>
        <v>0</v>
      </c>
      <c r="AO43" s="84">
        <f t="shared" si="0"/>
        <v>0.35616438356164382</v>
      </c>
    </row>
    <row r="44" spans="1:41" ht="30" customHeight="1" x14ac:dyDescent="0.2">
      <c r="A44" s="15" t="s">
        <v>100</v>
      </c>
      <c r="B44" s="22" t="s">
        <v>233</v>
      </c>
      <c r="C44" s="22" t="s">
        <v>234</v>
      </c>
      <c r="D44" s="22" t="s">
        <v>235</v>
      </c>
      <c r="E44" s="44">
        <v>0</v>
      </c>
      <c r="F44" s="47" t="str">
        <f>Global!CR44</f>
        <v>M</v>
      </c>
      <c r="G44" s="31" t="str">
        <f>Global!CS44</f>
        <v>M</v>
      </c>
      <c r="H44" s="31" t="str">
        <f>Global!CT44</f>
        <v>M</v>
      </c>
      <c r="I44" s="31" t="str">
        <f>Global!CU44</f>
        <v>M</v>
      </c>
      <c r="J44" s="31" t="str">
        <f>Global!CV44</f>
        <v>M</v>
      </c>
      <c r="K44" s="31" t="str">
        <f>Global!CW44</f>
        <v>M</v>
      </c>
      <c r="L44" s="31" t="str">
        <f>Global!CX44</f>
        <v>M</v>
      </c>
      <c r="M44" s="31" t="str">
        <f>Global!CY44</f>
        <v>M</v>
      </c>
      <c r="N44" s="31" t="str">
        <f>Global!CZ44</f>
        <v>M</v>
      </c>
      <c r="O44" s="31" t="str">
        <f>Global!DA44</f>
        <v>M</v>
      </c>
      <c r="P44" s="31" t="str">
        <f>Global!DB44</f>
        <v>M</v>
      </c>
      <c r="Q44" s="31" t="str">
        <f>Global!DC44</f>
        <v>M</v>
      </c>
      <c r="R44" s="31" t="str">
        <f>Global!DD44</f>
        <v>M</v>
      </c>
      <c r="S44" s="31" t="str">
        <f>Global!DE44</f>
        <v>M</v>
      </c>
      <c r="T44" s="31" t="str">
        <f>Global!DF44</f>
        <v>M</v>
      </c>
      <c r="U44" s="31" t="str">
        <f>Global!DG44</f>
        <v>M</v>
      </c>
      <c r="V44" s="31" t="str">
        <f>Global!DH44</f>
        <v>M</v>
      </c>
      <c r="W44" s="31" t="str">
        <f>Global!DI44</f>
        <v>M</v>
      </c>
      <c r="X44" s="31" t="str">
        <f>Global!DJ44</f>
        <v>M</v>
      </c>
      <c r="Y44" s="31" t="str">
        <f>Global!DK44</f>
        <v>M</v>
      </c>
      <c r="Z44" s="31" t="str">
        <f>Global!DL44</f>
        <v>M</v>
      </c>
      <c r="AA44" s="31" t="str">
        <f>Global!DM44</f>
        <v>M</v>
      </c>
      <c r="AB44" s="31" t="str">
        <f>Global!DN44</f>
        <v>M</v>
      </c>
      <c r="AC44" s="31" t="str">
        <f>Global!DO44</f>
        <v>M</v>
      </c>
      <c r="AD44" s="31" t="str">
        <f>Global!DP44</f>
        <v>M</v>
      </c>
      <c r="AE44" s="31" t="str">
        <f>Global!DQ44</f>
        <v>M</v>
      </c>
      <c r="AF44" s="31" t="str">
        <f>Global!DR44</f>
        <v>M</v>
      </c>
      <c r="AG44" s="31" t="str">
        <f>Global!DS44</f>
        <v>M</v>
      </c>
      <c r="AH44" s="31" t="str">
        <f>Global!DT44</f>
        <v>M</v>
      </c>
      <c r="AI44" s="31" t="str">
        <f>Global!DU44</f>
        <v>M</v>
      </c>
      <c r="AJ44" s="113"/>
      <c r="AK44" s="108">
        <f>COUNTIF(Avril[[#This Row],[1]:[30]],"RTT")+(COUNTIF(Avril[[#This Row],[1]:[30]],"dRTT")/2)</f>
        <v>0</v>
      </c>
      <c r="AL44" s="109">
        <f>COUNTIF(Avril[[#This Row],[1]:[30]],"C")+(COUNTIF(Avril[[#This Row],[1]:[30]],"DC")/2)</f>
        <v>0</v>
      </c>
      <c r="AM44" s="22">
        <f>COUNTIF(Avril[[#This Row],[1]:[30]],"M")</f>
        <v>30</v>
      </c>
      <c r="AN44" s="22">
        <f>COUNTIF(Avril[[#This Row],[1]:[30]],"AT")</f>
        <v>0</v>
      </c>
      <c r="AO44" s="84">
        <f t="shared" si="0"/>
        <v>0</v>
      </c>
    </row>
    <row r="45" spans="1:41" ht="30" customHeight="1" x14ac:dyDescent="0.2">
      <c r="A45" s="15" t="s">
        <v>101</v>
      </c>
      <c r="B45" s="22" t="s">
        <v>236</v>
      </c>
      <c r="C45" s="22" t="s">
        <v>237</v>
      </c>
      <c r="D45" s="22" t="s">
        <v>238</v>
      </c>
      <c r="E45" s="44">
        <v>0</v>
      </c>
      <c r="F45" s="47" t="str">
        <f>Global!CR45</f>
        <v/>
      </c>
      <c r="G45" s="31" t="str">
        <f>Global!CS45</f>
        <v/>
      </c>
      <c r="H45" s="31" t="str">
        <f>Global!CT45</f>
        <v/>
      </c>
      <c r="I45" s="31" t="str">
        <f>Global!CU45</f>
        <v/>
      </c>
      <c r="J45" s="31" t="str">
        <f>Global!CV45</f>
        <v/>
      </c>
      <c r="K45" s="31" t="str">
        <f>Global!CW45</f>
        <v/>
      </c>
      <c r="L45" s="31" t="str">
        <f>Global!CX45</f>
        <v/>
      </c>
      <c r="M45" s="31" t="str">
        <f>Global!CY45</f>
        <v/>
      </c>
      <c r="N45" s="31" t="str">
        <f>Global!CZ45</f>
        <v/>
      </c>
      <c r="O45" s="31" t="str">
        <f>Global!DA45</f>
        <v/>
      </c>
      <c r="P45" s="31" t="str">
        <f>Global!DB45</f>
        <v/>
      </c>
      <c r="Q45" s="31" t="str">
        <f>Global!DC45</f>
        <v/>
      </c>
      <c r="R45" s="31" t="str">
        <f>Global!DD45</f>
        <v/>
      </c>
      <c r="S45" s="31" t="str">
        <f>Global!DE45</f>
        <v/>
      </c>
      <c r="T45" s="31" t="str">
        <f>Global!DF45</f>
        <v/>
      </c>
      <c r="U45" s="31" t="str">
        <f>Global!DG45</f>
        <v>C</v>
      </c>
      <c r="V45" s="31" t="str">
        <f>Global!DH45</f>
        <v>C</v>
      </c>
      <c r="W45" s="31" t="str">
        <f>Global!DI45</f>
        <v>C</v>
      </c>
      <c r="X45" s="31" t="str">
        <f>Global!DJ45</f>
        <v>C</v>
      </c>
      <c r="Y45" s="31" t="str">
        <f>Global!DK45</f>
        <v>C</v>
      </c>
      <c r="Z45" s="31" t="str">
        <f>Global!DL45</f>
        <v/>
      </c>
      <c r="AA45" s="31" t="str">
        <f>Global!DM45</f>
        <v/>
      </c>
      <c r="AB45" s="31" t="str">
        <f>Global!DN45</f>
        <v/>
      </c>
      <c r="AC45" s="31" t="str">
        <f>Global!DO45</f>
        <v/>
      </c>
      <c r="AD45" s="31" t="str">
        <f>Global!DP45</f>
        <v/>
      </c>
      <c r="AE45" s="31" t="str">
        <f>Global!DQ45</f>
        <v/>
      </c>
      <c r="AF45" s="31" t="str">
        <f>Global!DR45</f>
        <v/>
      </c>
      <c r="AG45" s="31" t="str">
        <f>Global!DS45</f>
        <v/>
      </c>
      <c r="AH45" s="31" t="str">
        <f>Global!DT45</f>
        <v/>
      </c>
      <c r="AI45" s="31" t="str">
        <f>Global!DU45</f>
        <v/>
      </c>
      <c r="AJ45" s="113"/>
      <c r="AK45" s="108">
        <f>COUNTIF(Avril[[#This Row],[1]:[30]],"RTT")+(COUNTIF(Avril[[#This Row],[1]:[30]],"dRTT")/2)</f>
        <v>0</v>
      </c>
      <c r="AL45" s="109">
        <f>COUNTIF(Avril[[#This Row],[1]:[30]],"C")+(COUNTIF(Avril[[#This Row],[1]:[30]],"DC")/2)</f>
        <v>5</v>
      </c>
      <c r="AM45" s="22">
        <f>COUNTIF(Avril[[#This Row],[1]:[30]],"M")</f>
        <v>0</v>
      </c>
      <c r="AN45" s="22">
        <f>COUNTIF(Avril[[#This Row],[1]:[30]],"AT")</f>
        <v>0</v>
      </c>
      <c r="AO45" s="84">
        <f t="shared" si="0"/>
        <v>0.82191780821917804</v>
      </c>
    </row>
    <row r="46" spans="1:41" ht="30" customHeight="1" x14ac:dyDescent="0.2">
      <c r="A46" s="17" t="s">
        <v>102</v>
      </c>
      <c r="B46" s="17" t="s">
        <v>239</v>
      </c>
      <c r="C46" s="17" t="s">
        <v>240</v>
      </c>
      <c r="D46" s="17" t="s">
        <v>241</v>
      </c>
      <c r="E46" s="23">
        <v>0</v>
      </c>
      <c r="F46" s="47" t="str">
        <f>Global!CR46</f>
        <v/>
      </c>
      <c r="G46" s="31" t="str">
        <f>Global!CS46</f>
        <v/>
      </c>
      <c r="H46" s="31" t="str">
        <f>Global!CT46</f>
        <v/>
      </c>
      <c r="I46" s="31" t="str">
        <f>Global!CU46</f>
        <v/>
      </c>
      <c r="J46" s="31" t="str">
        <f>Global!CV46</f>
        <v/>
      </c>
      <c r="K46" s="31" t="str">
        <f>Global!CW46</f>
        <v/>
      </c>
      <c r="L46" s="31" t="str">
        <f>Global!CX46</f>
        <v/>
      </c>
      <c r="M46" s="31" t="str">
        <f>Global!CY46</f>
        <v/>
      </c>
      <c r="N46" s="31" t="str">
        <f>Global!CZ46</f>
        <v/>
      </c>
      <c r="O46" s="31" t="str">
        <f>Global!DA46</f>
        <v/>
      </c>
      <c r="P46" s="31" t="str">
        <f>Global!DB46</f>
        <v/>
      </c>
      <c r="Q46" s="31" t="str">
        <f>Global!DC46</f>
        <v/>
      </c>
      <c r="R46" s="31" t="str">
        <f>Global!DD46</f>
        <v/>
      </c>
      <c r="S46" s="31" t="str">
        <f>Global!DE46</f>
        <v/>
      </c>
      <c r="T46" s="31" t="str">
        <f>Global!DF46</f>
        <v/>
      </c>
      <c r="U46" s="31" t="str">
        <f>Global!DG46</f>
        <v/>
      </c>
      <c r="V46" s="31" t="str">
        <f>Global!DH46</f>
        <v>C</v>
      </c>
      <c r="W46" s="31" t="str">
        <f>Global!DI46</f>
        <v/>
      </c>
      <c r="X46" s="31" t="str">
        <f>Global!DJ46</f>
        <v/>
      </c>
      <c r="Y46" s="31" t="str">
        <f>Global!DK46</f>
        <v/>
      </c>
      <c r="Z46" s="31" t="str">
        <f>Global!DL46</f>
        <v/>
      </c>
      <c r="AA46" s="31" t="str">
        <f>Global!DM46</f>
        <v/>
      </c>
      <c r="AB46" s="31" t="str">
        <f>Global!DN46</f>
        <v/>
      </c>
      <c r="AC46" s="31" t="str">
        <f>Global!DO46</f>
        <v/>
      </c>
      <c r="AD46" s="31" t="str">
        <f>Global!DP46</f>
        <v/>
      </c>
      <c r="AE46" s="31" t="str">
        <f>Global!DQ46</f>
        <v/>
      </c>
      <c r="AF46" s="31" t="str">
        <f>Global!DR46</f>
        <v>C</v>
      </c>
      <c r="AG46" s="31" t="str">
        <f>Global!DS46</f>
        <v/>
      </c>
      <c r="AH46" s="31" t="str">
        <f>Global!DT46</f>
        <v/>
      </c>
      <c r="AI46" s="31" t="str">
        <f>Global!DU46</f>
        <v>C</v>
      </c>
      <c r="AJ46" s="113"/>
      <c r="AK46" s="108">
        <f>COUNTIF(Avril[[#This Row],[1]:[30]],"RTT")+(COUNTIF(Avril[[#This Row],[1]:[30]],"dRTT")/2)</f>
        <v>0</v>
      </c>
      <c r="AL46" s="109">
        <f>COUNTIF(Avril[[#This Row],[1]:[30]],"C")+(COUNTIF(Avril[[#This Row],[1]:[30]],"DC")/2)</f>
        <v>3</v>
      </c>
      <c r="AM46" s="22">
        <f>COUNTIF(Avril[[#This Row],[1]:[30]],"M")</f>
        <v>0</v>
      </c>
      <c r="AN46" s="22">
        <f>COUNTIF(Avril[[#This Row],[1]:[30]],"AT")</f>
        <v>0</v>
      </c>
      <c r="AO46" s="84">
        <f t="shared" si="0"/>
        <v>0.82191780821917804</v>
      </c>
    </row>
    <row r="47" spans="1:41" ht="30" customHeight="1" x14ac:dyDescent="0.2">
      <c r="A47" s="17" t="s">
        <v>103</v>
      </c>
      <c r="B47" s="17" t="s">
        <v>242</v>
      </c>
      <c r="C47" s="17" t="s">
        <v>243</v>
      </c>
      <c r="D47" s="17" t="s">
        <v>244</v>
      </c>
      <c r="E47" s="23">
        <v>0</v>
      </c>
      <c r="F47" s="47" t="str">
        <f>Global!CR47</f>
        <v/>
      </c>
      <c r="G47" s="31" t="str">
        <f>Global!CS47</f>
        <v/>
      </c>
      <c r="H47" s="31" t="str">
        <f>Global!CT47</f>
        <v/>
      </c>
      <c r="I47" s="31" t="str">
        <f>Global!CU47</f>
        <v/>
      </c>
      <c r="J47" s="31" t="str">
        <f>Global!CV47</f>
        <v/>
      </c>
      <c r="K47" s="31" t="str">
        <f>Global!CW47</f>
        <v/>
      </c>
      <c r="L47" s="31" t="str">
        <f>Global!CX47</f>
        <v/>
      </c>
      <c r="M47" s="31" t="str">
        <f>Global!CY47</f>
        <v/>
      </c>
      <c r="N47" s="31" t="str">
        <f>Global!CZ47</f>
        <v/>
      </c>
      <c r="O47" s="31" t="str">
        <f>Global!DA47</f>
        <v/>
      </c>
      <c r="P47" s="31" t="str">
        <f>Global!DB47</f>
        <v/>
      </c>
      <c r="Q47" s="31" t="str">
        <f>Global!DC47</f>
        <v/>
      </c>
      <c r="R47" s="31" t="str">
        <f>Global!DD47</f>
        <v/>
      </c>
      <c r="S47" s="31" t="str">
        <f>Global!DE47</f>
        <v/>
      </c>
      <c r="T47" s="31" t="str">
        <f>Global!DF47</f>
        <v/>
      </c>
      <c r="U47" s="31" t="str">
        <f>Global!DG47</f>
        <v/>
      </c>
      <c r="V47" s="31" t="str">
        <f>Global!DH47</f>
        <v/>
      </c>
      <c r="W47" s="31" t="str">
        <f>Global!DI47</f>
        <v/>
      </c>
      <c r="X47" s="31" t="str">
        <f>Global!DJ47</f>
        <v/>
      </c>
      <c r="Y47" s="31" t="str">
        <f>Global!DK47</f>
        <v/>
      </c>
      <c r="Z47" s="31" t="str">
        <f>Global!DL47</f>
        <v/>
      </c>
      <c r="AA47" s="31" t="str">
        <f>Global!DM47</f>
        <v/>
      </c>
      <c r="AB47" s="31" t="str">
        <f>Global!DN47</f>
        <v/>
      </c>
      <c r="AC47" s="31" t="str">
        <f>Global!DO47</f>
        <v>C</v>
      </c>
      <c r="AD47" s="31" t="str">
        <f>Global!DP47</f>
        <v>C</v>
      </c>
      <c r="AE47" s="31" t="str">
        <f>Global!DQ47</f>
        <v>C</v>
      </c>
      <c r="AF47" s="31" t="str">
        <f>Global!DR47</f>
        <v/>
      </c>
      <c r="AG47" s="31" t="str">
        <f>Global!DS47</f>
        <v/>
      </c>
      <c r="AH47" s="31" t="str">
        <f>Global!DT47</f>
        <v/>
      </c>
      <c r="AI47" s="31" t="str">
        <f>Global!DU47</f>
        <v/>
      </c>
      <c r="AJ47" s="113"/>
      <c r="AK47" s="108">
        <f>COUNTIF(Avril[[#This Row],[1]:[30]],"RTT")+(COUNTIF(Avril[[#This Row],[1]:[30]],"dRTT")/2)</f>
        <v>0</v>
      </c>
      <c r="AL47" s="109">
        <f>COUNTIF(Avril[[#This Row],[1]:[30]],"C")+(COUNTIF(Avril[[#This Row],[1]:[30]],"DC")/2)</f>
        <v>3</v>
      </c>
      <c r="AM47" s="22">
        <f>COUNTIF(Avril[[#This Row],[1]:[30]],"M")</f>
        <v>0</v>
      </c>
      <c r="AN47" s="22">
        <f>COUNTIF(Avril[[#This Row],[1]:[30]],"AT")</f>
        <v>0</v>
      </c>
      <c r="AO47" s="84">
        <f t="shared" si="0"/>
        <v>0.82191780821917804</v>
      </c>
    </row>
    <row r="48" spans="1:41" ht="30" customHeight="1" x14ac:dyDescent="0.2">
      <c r="A48" s="17" t="s">
        <v>104</v>
      </c>
      <c r="B48" s="17" t="s">
        <v>245</v>
      </c>
      <c r="C48" s="17" t="s">
        <v>246</v>
      </c>
      <c r="D48" s="17" t="s">
        <v>247</v>
      </c>
      <c r="E48" s="23">
        <v>0</v>
      </c>
      <c r="F48" s="47" t="str">
        <f>Global!CR48</f>
        <v/>
      </c>
      <c r="G48" s="31" t="str">
        <f>Global!CS48</f>
        <v/>
      </c>
      <c r="H48" s="31" t="str">
        <f>Global!CT48</f>
        <v/>
      </c>
      <c r="I48" s="31" t="str">
        <f>Global!CU48</f>
        <v/>
      </c>
      <c r="J48" s="31" t="str">
        <f>Global!CV48</f>
        <v/>
      </c>
      <c r="K48" s="31" t="str">
        <f>Global!CW48</f>
        <v/>
      </c>
      <c r="L48" s="31" t="str">
        <f>Global!CX48</f>
        <v/>
      </c>
      <c r="M48" s="31" t="str">
        <f>Global!CY48</f>
        <v/>
      </c>
      <c r="N48" s="31" t="str">
        <f>Global!CZ48</f>
        <v/>
      </c>
      <c r="O48" s="31" t="str">
        <f>Global!DA48</f>
        <v/>
      </c>
      <c r="P48" s="31" t="str">
        <f>Global!DB48</f>
        <v/>
      </c>
      <c r="Q48" s="31" t="str">
        <f>Global!DC48</f>
        <v/>
      </c>
      <c r="R48" s="31" t="str">
        <f>Global!DD48</f>
        <v/>
      </c>
      <c r="S48" s="31" t="str">
        <f>Global!DE48</f>
        <v/>
      </c>
      <c r="T48" s="31" t="str">
        <f>Global!DF48</f>
        <v/>
      </c>
      <c r="U48" s="31" t="str">
        <f>Global!DG48</f>
        <v/>
      </c>
      <c r="V48" s="31" t="str">
        <f>Global!DH48</f>
        <v/>
      </c>
      <c r="W48" s="31" t="str">
        <f>Global!DI48</f>
        <v/>
      </c>
      <c r="X48" s="31" t="str">
        <f>Global!DJ48</f>
        <v/>
      </c>
      <c r="Y48" s="31" t="str">
        <f>Global!DK48</f>
        <v/>
      </c>
      <c r="Z48" s="31" t="str">
        <f>Global!DL48</f>
        <v/>
      </c>
      <c r="AA48" s="31" t="str">
        <f>Global!DM48</f>
        <v/>
      </c>
      <c r="AB48" s="31" t="str">
        <f>Global!DN48</f>
        <v/>
      </c>
      <c r="AC48" s="31" t="str">
        <f>Global!DO48</f>
        <v/>
      </c>
      <c r="AD48" s="31" t="str">
        <f>Global!DP48</f>
        <v/>
      </c>
      <c r="AE48" s="31" t="str">
        <f>Global!DQ48</f>
        <v/>
      </c>
      <c r="AF48" s="31" t="str">
        <f>Global!DR48</f>
        <v>RTT</v>
      </c>
      <c r="AG48" s="31" t="str">
        <f>Global!DS48</f>
        <v/>
      </c>
      <c r="AH48" s="31" t="str">
        <f>Global!DT48</f>
        <v/>
      </c>
      <c r="AI48" s="31" t="str">
        <f>Global!DU48</f>
        <v/>
      </c>
      <c r="AJ48" s="113"/>
      <c r="AK48" s="108">
        <f>COUNTIF(Avril[[#This Row],[1]:[30]],"RTT")+(COUNTIF(Avril[[#This Row],[1]:[30]],"dRTT")/2)</f>
        <v>1</v>
      </c>
      <c r="AL48" s="109">
        <f>COUNTIF(Avril[[#This Row],[1]:[30]],"C")+(COUNTIF(Avril[[#This Row],[1]:[30]],"DC")/2)</f>
        <v>0</v>
      </c>
      <c r="AM48" s="22">
        <f>COUNTIF(Avril[[#This Row],[1]:[30]],"M")</f>
        <v>0</v>
      </c>
      <c r="AN48" s="22">
        <f>COUNTIF(Avril[[#This Row],[1]:[30]],"AT")</f>
        <v>0</v>
      </c>
      <c r="AO48" s="84">
        <f t="shared" si="0"/>
        <v>0.82191780821917804</v>
      </c>
    </row>
    <row r="49" spans="1:41" ht="30" customHeight="1" x14ac:dyDescent="0.2">
      <c r="A49" s="17" t="s">
        <v>105</v>
      </c>
      <c r="B49" s="17" t="s">
        <v>248</v>
      </c>
      <c r="C49" s="17" t="s">
        <v>249</v>
      </c>
      <c r="D49" s="17" t="s">
        <v>250</v>
      </c>
      <c r="E49" s="23">
        <v>0</v>
      </c>
      <c r="F49" s="47" t="str">
        <f>Global!CR49</f>
        <v/>
      </c>
      <c r="G49" s="31" t="str">
        <f>Global!CS49</f>
        <v/>
      </c>
      <c r="H49" s="31" t="str">
        <f>Global!CT49</f>
        <v/>
      </c>
      <c r="I49" s="31" t="str">
        <f>Global!CU49</f>
        <v/>
      </c>
      <c r="J49" s="31" t="str">
        <f>Global!CV49</f>
        <v/>
      </c>
      <c r="K49" s="31" t="str">
        <f>Global!CW49</f>
        <v/>
      </c>
      <c r="L49" s="31" t="str">
        <f>Global!CX49</f>
        <v/>
      </c>
      <c r="M49" s="31" t="str">
        <f>Global!CY49</f>
        <v/>
      </c>
      <c r="N49" s="31" t="str">
        <f>Global!CZ49</f>
        <v/>
      </c>
      <c r="O49" s="31" t="str">
        <f>Global!DA49</f>
        <v/>
      </c>
      <c r="P49" s="31" t="str">
        <f>Global!DB49</f>
        <v/>
      </c>
      <c r="Q49" s="31" t="str">
        <f>Global!DC49</f>
        <v/>
      </c>
      <c r="R49" s="31" t="str">
        <f>Global!DD49</f>
        <v/>
      </c>
      <c r="S49" s="31" t="str">
        <f>Global!DE49</f>
        <v/>
      </c>
      <c r="T49" s="31" t="str">
        <f>Global!DF49</f>
        <v/>
      </c>
      <c r="U49" s="31" t="str">
        <f>Global!DG49</f>
        <v/>
      </c>
      <c r="V49" s="31" t="str">
        <f>Global!DH49</f>
        <v/>
      </c>
      <c r="W49" s="31" t="str">
        <f>Global!DI49</f>
        <v/>
      </c>
      <c r="X49" s="31" t="str">
        <f>Global!DJ49</f>
        <v/>
      </c>
      <c r="Y49" s="31" t="str">
        <f>Global!DK49</f>
        <v/>
      </c>
      <c r="Z49" s="31" t="str">
        <f>Global!DL49</f>
        <v/>
      </c>
      <c r="AA49" s="31" t="str">
        <f>Global!DM49</f>
        <v/>
      </c>
      <c r="AB49" s="31" t="str">
        <f>Global!DN49</f>
        <v/>
      </c>
      <c r="AC49" s="31" t="str">
        <f>Global!DO49</f>
        <v/>
      </c>
      <c r="AD49" s="31" t="str">
        <f>Global!DP49</f>
        <v/>
      </c>
      <c r="AE49" s="31" t="str">
        <f>Global!DQ49</f>
        <v/>
      </c>
      <c r="AF49" s="31" t="str">
        <f>Global!DR49</f>
        <v/>
      </c>
      <c r="AG49" s="31" t="str">
        <f>Global!DS49</f>
        <v/>
      </c>
      <c r="AH49" s="31" t="str">
        <f>Global!DT49</f>
        <v/>
      </c>
      <c r="AI49" s="31" t="str">
        <f>Global!DU49</f>
        <v/>
      </c>
      <c r="AJ49" s="113"/>
      <c r="AK49" s="108">
        <f>COUNTIF(Avril[[#This Row],[1]:[30]],"RTT")+(COUNTIF(Avril[[#This Row],[1]:[30]],"dRTT")/2)</f>
        <v>0</v>
      </c>
      <c r="AL49" s="109">
        <f>COUNTIF(Avril[[#This Row],[1]:[30]],"C")+(COUNTIF(Avril[[#This Row],[1]:[30]],"DC")/2)</f>
        <v>0</v>
      </c>
      <c r="AM49" s="22">
        <f>COUNTIF(Avril[[#This Row],[1]:[30]],"M")</f>
        <v>0</v>
      </c>
      <c r="AN49" s="22">
        <f>COUNTIF(Avril[[#This Row],[1]:[30]],"AT")</f>
        <v>0</v>
      </c>
      <c r="AO49" s="84">
        <f t="shared" si="0"/>
        <v>0.82191780821917804</v>
      </c>
    </row>
    <row r="50" spans="1:41" ht="30" customHeight="1" x14ac:dyDescent="0.2">
      <c r="A50" s="17" t="s">
        <v>106</v>
      </c>
      <c r="B50" s="17" t="s">
        <v>251</v>
      </c>
      <c r="C50" s="17" t="s">
        <v>252</v>
      </c>
      <c r="D50" s="17" t="s">
        <v>253</v>
      </c>
      <c r="E50" s="23">
        <v>0</v>
      </c>
      <c r="F50" s="47" t="str">
        <f>Global!CR50</f>
        <v/>
      </c>
      <c r="G50" s="31" t="str">
        <f>Global!CS50</f>
        <v/>
      </c>
      <c r="H50" s="31" t="str">
        <f>Global!CT50</f>
        <v/>
      </c>
      <c r="I50" s="31" t="str">
        <f>Global!CU50</f>
        <v/>
      </c>
      <c r="J50" s="31" t="str">
        <f>Global!CV50</f>
        <v/>
      </c>
      <c r="K50" s="31" t="str">
        <f>Global!CW50</f>
        <v/>
      </c>
      <c r="L50" s="31" t="str">
        <f>Global!CX50</f>
        <v/>
      </c>
      <c r="M50" s="31" t="str">
        <f>Global!CY50</f>
        <v/>
      </c>
      <c r="N50" s="31" t="str">
        <f>Global!CZ50</f>
        <v>C</v>
      </c>
      <c r="O50" s="31" t="str">
        <f>Global!DA50</f>
        <v>C</v>
      </c>
      <c r="P50" s="31" t="str">
        <f>Global!DB50</f>
        <v>C</v>
      </c>
      <c r="Q50" s="31" t="str">
        <f>Global!DC50</f>
        <v>C</v>
      </c>
      <c r="R50" s="31" t="str">
        <f>Global!DD50</f>
        <v>C</v>
      </c>
      <c r="S50" s="31" t="str">
        <f>Global!DE50</f>
        <v/>
      </c>
      <c r="T50" s="31" t="str">
        <f>Global!DF50</f>
        <v/>
      </c>
      <c r="U50" s="31" t="str">
        <f>Global!DG50</f>
        <v>C</v>
      </c>
      <c r="V50" s="31" t="str">
        <f>Global!DH50</f>
        <v>C</v>
      </c>
      <c r="W50" s="31" t="str">
        <f>Global!DI50</f>
        <v>C</v>
      </c>
      <c r="X50" s="31" t="str">
        <f>Global!DJ50</f>
        <v>C</v>
      </c>
      <c r="Y50" s="31" t="str">
        <f>Global!DK50</f>
        <v>C</v>
      </c>
      <c r="Z50" s="31" t="str">
        <f>Global!DL50</f>
        <v/>
      </c>
      <c r="AA50" s="31" t="str">
        <f>Global!DM50</f>
        <v/>
      </c>
      <c r="AB50" s="31" t="str">
        <f>Global!DN50</f>
        <v/>
      </c>
      <c r="AC50" s="31" t="str">
        <f>Global!DO50</f>
        <v/>
      </c>
      <c r="AD50" s="31" t="str">
        <f>Global!DP50</f>
        <v/>
      </c>
      <c r="AE50" s="31" t="str">
        <f>Global!DQ50</f>
        <v/>
      </c>
      <c r="AF50" s="31" t="str">
        <f>Global!DR50</f>
        <v/>
      </c>
      <c r="AG50" s="31" t="str">
        <f>Global!DS50</f>
        <v/>
      </c>
      <c r="AH50" s="31" t="str">
        <f>Global!DT50</f>
        <v/>
      </c>
      <c r="AI50" s="31" t="str">
        <f>Global!DU50</f>
        <v/>
      </c>
      <c r="AJ50" s="113"/>
      <c r="AK50" s="108">
        <f>COUNTIF(Avril[[#This Row],[1]:[30]],"RTT")+(COUNTIF(Avril[[#This Row],[1]:[30]],"dRTT")/2)</f>
        <v>0</v>
      </c>
      <c r="AL50" s="109">
        <f>COUNTIF(Avril[[#This Row],[1]:[30]],"C")+(COUNTIF(Avril[[#This Row],[1]:[30]],"DC")/2)</f>
        <v>10</v>
      </c>
      <c r="AM50" s="22">
        <f>COUNTIF(Avril[[#This Row],[1]:[30]],"M")</f>
        <v>0</v>
      </c>
      <c r="AN50" s="22">
        <f>COUNTIF(Avril[[#This Row],[1]:[30]],"AT")</f>
        <v>0</v>
      </c>
      <c r="AO50" s="84">
        <f t="shared" si="0"/>
        <v>0.82191780821917804</v>
      </c>
    </row>
    <row r="51" spans="1:41" ht="30" customHeight="1" x14ac:dyDescent="0.2">
      <c r="A51" s="17" t="s">
        <v>107</v>
      </c>
      <c r="B51" s="17" t="s">
        <v>254</v>
      </c>
      <c r="C51" s="17" t="s">
        <v>255</v>
      </c>
      <c r="D51" s="17" t="s">
        <v>256</v>
      </c>
      <c r="E51" s="23">
        <v>0</v>
      </c>
      <c r="F51" s="47" t="str">
        <f>Global!CR51</f>
        <v/>
      </c>
      <c r="G51" s="31" t="str">
        <f>Global!CS51</f>
        <v/>
      </c>
      <c r="H51" s="31" t="str">
        <f>Global!CT51</f>
        <v>C</v>
      </c>
      <c r="I51" s="31" t="str">
        <f>Global!CU51</f>
        <v>C</v>
      </c>
      <c r="J51" s="31" t="str">
        <f>Global!CV51</f>
        <v>C</v>
      </c>
      <c r="K51" s="31" t="str">
        <f>Global!CW51</f>
        <v>C</v>
      </c>
      <c r="L51" s="31" t="str">
        <f>Global!CX51</f>
        <v/>
      </c>
      <c r="M51" s="31" t="str">
        <f>Global!CY51</f>
        <v/>
      </c>
      <c r="N51" s="31" t="str">
        <f>Global!CZ51</f>
        <v/>
      </c>
      <c r="O51" s="31" t="str">
        <f>Global!DA51</f>
        <v/>
      </c>
      <c r="P51" s="31" t="str">
        <f>Global!DB51</f>
        <v/>
      </c>
      <c r="Q51" s="31" t="str">
        <f>Global!DC51</f>
        <v/>
      </c>
      <c r="R51" s="31" t="str">
        <f>Global!DD51</f>
        <v/>
      </c>
      <c r="S51" s="31" t="str">
        <f>Global!DE51</f>
        <v/>
      </c>
      <c r="T51" s="31" t="str">
        <f>Global!DF51</f>
        <v/>
      </c>
      <c r="U51" s="31" t="str">
        <f>Global!DG51</f>
        <v/>
      </c>
      <c r="V51" s="31" t="str">
        <f>Global!DH51</f>
        <v/>
      </c>
      <c r="W51" s="31" t="str">
        <f>Global!DI51</f>
        <v/>
      </c>
      <c r="X51" s="31" t="str">
        <f>Global!DJ51</f>
        <v/>
      </c>
      <c r="Y51" s="31" t="str">
        <f>Global!DK51</f>
        <v/>
      </c>
      <c r="Z51" s="31" t="str">
        <f>Global!DL51</f>
        <v/>
      </c>
      <c r="AA51" s="31" t="str">
        <f>Global!DM51</f>
        <v/>
      </c>
      <c r="AB51" s="31" t="str">
        <f>Global!DN51</f>
        <v/>
      </c>
      <c r="AC51" s="31" t="str">
        <f>Global!DO51</f>
        <v/>
      </c>
      <c r="AD51" s="31" t="str">
        <f>Global!DP51</f>
        <v/>
      </c>
      <c r="AE51" s="31" t="str">
        <f>Global!DQ51</f>
        <v/>
      </c>
      <c r="AF51" s="31" t="str">
        <f>Global!DR51</f>
        <v/>
      </c>
      <c r="AG51" s="31" t="str">
        <f>Global!DS51</f>
        <v/>
      </c>
      <c r="AH51" s="31" t="str">
        <f>Global!DT51</f>
        <v/>
      </c>
      <c r="AI51" s="31" t="str">
        <f>Global!DU51</f>
        <v>C</v>
      </c>
      <c r="AJ51" s="113"/>
      <c r="AK51" s="108">
        <f>COUNTIF(Avril[[#This Row],[1]:[30]],"RTT")+(COUNTIF(Avril[[#This Row],[1]:[30]],"dRTT")/2)</f>
        <v>0</v>
      </c>
      <c r="AL51" s="109">
        <f>COUNTIF(Avril[[#This Row],[1]:[30]],"C")+(COUNTIF(Avril[[#This Row],[1]:[30]],"DC")/2)</f>
        <v>5</v>
      </c>
      <c r="AM51" s="22">
        <f>COUNTIF(Avril[[#This Row],[1]:[30]],"M")</f>
        <v>0</v>
      </c>
      <c r="AN51" s="22">
        <f>COUNTIF(Avril[[#This Row],[1]:[30]],"AT")</f>
        <v>0</v>
      </c>
      <c r="AO51" s="84">
        <f t="shared" si="0"/>
        <v>0.82191780821917804</v>
      </c>
    </row>
    <row r="52" spans="1:41" ht="30" customHeight="1" x14ac:dyDescent="0.2">
      <c r="A52" s="17" t="s">
        <v>108</v>
      </c>
      <c r="B52" s="17" t="s">
        <v>257</v>
      </c>
      <c r="C52" s="17" t="s">
        <v>258</v>
      </c>
      <c r="D52" s="17" t="s">
        <v>259</v>
      </c>
      <c r="E52" s="23">
        <v>0</v>
      </c>
      <c r="F52" s="47" t="str">
        <f>Global!CR52</f>
        <v/>
      </c>
      <c r="G52" s="31" t="str">
        <f>Global!CS52</f>
        <v/>
      </c>
      <c r="H52" s="31" t="str">
        <f>Global!CT52</f>
        <v/>
      </c>
      <c r="I52" s="31" t="str">
        <f>Global!CU52</f>
        <v/>
      </c>
      <c r="J52" s="31" t="str">
        <f>Global!CV52</f>
        <v/>
      </c>
      <c r="K52" s="31" t="str">
        <f>Global!CW52</f>
        <v/>
      </c>
      <c r="L52" s="31" t="str">
        <f>Global!CX52</f>
        <v/>
      </c>
      <c r="M52" s="31" t="str">
        <f>Global!CY52</f>
        <v/>
      </c>
      <c r="N52" s="31" t="str">
        <f>Global!CZ52</f>
        <v/>
      </c>
      <c r="O52" s="31" t="str">
        <f>Global!DA52</f>
        <v/>
      </c>
      <c r="P52" s="31" t="str">
        <f>Global!DB52</f>
        <v/>
      </c>
      <c r="Q52" s="31" t="str">
        <f>Global!DC52</f>
        <v/>
      </c>
      <c r="R52" s="31" t="str">
        <f>Global!DD52</f>
        <v/>
      </c>
      <c r="S52" s="31" t="str">
        <f>Global!DE52</f>
        <v/>
      </c>
      <c r="T52" s="31" t="str">
        <f>Global!DF52</f>
        <v/>
      </c>
      <c r="U52" s="31" t="str">
        <f>Global!DG52</f>
        <v/>
      </c>
      <c r="V52" s="31" t="str">
        <f>Global!DH52</f>
        <v/>
      </c>
      <c r="W52" s="31" t="str">
        <f>Global!DI52</f>
        <v/>
      </c>
      <c r="X52" s="31" t="str">
        <f>Global!DJ52</f>
        <v/>
      </c>
      <c r="Y52" s="31" t="str">
        <f>Global!DK52</f>
        <v/>
      </c>
      <c r="Z52" s="31" t="str">
        <f>Global!DL52</f>
        <v/>
      </c>
      <c r="AA52" s="31" t="str">
        <f>Global!DM52</f>
        <v/>
      </c>
      <c r="AB52" s="31" t="str">
        <f>Global!DN52</f>
        <v/>
      </c>
      <c r="AC52" s="31" t="str">
        <f>Global!DO52</f>
        <v/>
      </c>
      <c r="AD52" s="31" t="str">
        <f>Global!DP52</f>
        <v/>
      </c>
      <c r="AE52" s="31" t="str">
        <f>Global!DQ52</f>
        <v/>
      </c>
      <c r="AF52" s="31" t="str">
        <f>Global!DR52</f>
        <v/>
      </c>
      <c r="AG52" s="31" t="str">
        <f>Global!DS52</f>
        <v/>
      </c>
      <c r="AH52" s="31" t="str">
        <f>Global!DT52</f>
        <v/>
      </c>
      <c r="AI52" s="31" t="str">
        <f>Global!DU52</f>
        <v/>
      </c>
      <c r="AJ52" s="113"/>
      <c r="AK52" s="108">
        <f>COUNTIF(Avril[[#This Row],[1]:[30]],"RTT")+(COUNTIF(Avril[[#This Row],[1]:[30]],"dRTT")/2)</f>
        <v>0</v>
      </c>
      <c r="AL52" s="109">
        <f>COUNTIF(Avril[[#This Row],[1]:[30]],"C")+(COUNTIF(Avril[[#This Row],[1]:[30]],"DC")/2)</f>
        <v>0</v>
      </c>
      <c r="AM52" s="22">
        <f>COUNTIF(Avril[[#This Row],[1]:[30]],"M")</f>
        <v>0</v>
      </c>
      <c r="AN52" s="22">
        <f>COUNTIF(Avril[[#This Row],[1]:[30]],"AT")</f>
        <v>0</v>
      </c>
      <c r="AO52" s="84">
        <f t="shared" si="0"/>
        <v>0.82191780821917804</v>
      </c>
    </row>
    <row r="53" spans="1:41" ht="30" customHeight="1" x14ac:dyDescent="0.2">
      <c r="A53" s="17" t="s">
        <v>109</v>
      </c>
      <c r="B53" s="17" t="s">
        <v>260</v>
      </c>
      <c r="C53" s="17" t="s">
        <v>261</v>
      </c>
      <c r="D53" s="17" t="s">
        <v>262</v>
      </c>
      <c r="E53" s="23">
        <v>0</v>
      </c>
      <c r="F53" s="47" t="str">
        <f>Global!CR53</f>
        <v/>
      </c>
      <c r="G53" s="31" t="str">
        <f>Global!CS53</f>
        <v/>
      </c>
      <c r="H53" s="31" t="str">
        <f>Global!CT53</f>
        <v/>
      </c>
      <c r="I53" s="31" t="str">
        <f>Global!CU53</f>
        <v/>
      </c>
      <c r="J53" s="31" t="str">
        <f>Global!CV53</f>
        <v/>
      </c>
      <c r="K53" s="31" t="str">
        <f>Global!CW53</f>
        <v/>
      </c>
      <c r="L53" s="31" t="str">
        <f>Global!CX53</f>
        <v/>
      </c>
      <c r="M53" s="31" t="str">
        <f>Global!CY53</f>
        <v/>
      </c>
      <c r="N53" s="31" t="str">
        <f>Global!CZ53</f>
        <v/>
      </c>
      <c r="O53" s="31" t="str">
        <f>Global!DA53</f>
        <v/>
      </c>
      <c r="P53" s="31" t="str">
        <f>Global!DB53</f>
        <v/>
      </c>
      <c r="Q53" s="31" t="str">
        <f>Global!DC53</f>
        <v/>
      </c>
      <c r="R53" s="31" t="str">
        <f>Global!DD53</f>
        <v/>
      </c>
      <c r="S53" s="31" t="str">
        <f>Global!DE53</f>
        <v/>
      </c>
      <c r="T53" s="31" t="str">
        <f>Global!DF53</f>
        <v/>
      </c>
      <c r="U53" s="31" t="str">
        <f>Global!DG53</f>
        <v/>
      </c>
      <c r="V53" s="31" t="str">
        <f>Global!DH53</f>
        <v/>
      </c>
      <c r="W53" s="31" t="str">
        <f>Global!DI53</f>
        <v/>
      </c>
      <c r="X53" s="31" t="str">
        <f>Global!DJ53</f>
        <v/>
      </c>
      <c r="Y53" s="31" t="str">
        <f>Global!DK53</f>
        <v/>
      </c>
      <c r="Z53" s="31" t="str">
        <f>Global!DL53</f>
        <v/>
      </c>
      <c r="AA53" s="31" t="str">
        <f>Global!DM53</f>
        <v/>
      </c>
      <c r="AB53" s="31" t="str">
        <f>Global!DN53</f>
        <v/>
      </c>
      <c r="AC53" s="31" t="str">
        <f>Global!DO53</f>
        <v/>
      </c>
      <c r="AD53" s="31" t="str">
        <f>Global!DP53</f>
        <v/>
      </c>
      <c r="AE53" s="31" t="str">
        <f>Global!DQ53</f>
        <v/>
      </c>
      <c r="AF53" s="31" t="str">
        <f>Global!DR53</f>
        <v/>
      </c>
      <c r="AG53" s="31" t="str">
        <f>Global!DS53</f>
        <v/>
      </c>
      <c r="AH53" s="31" t="str">
        <f>Global!DT53</f>
        <v/>
      </c>
      <c r="AI53" s="31" t="str">
        <f>Global!DU53</f>
        <v/>
      </c>
      <c r="AJ53" s="113"/>
      <c r="AK53" s="108">
        <f>COUNTIF(Avril[[#This Row],[1]:[30]],"RTT")+(COUNTIF(Avril[[#This Row],[1]:[30]],"dRTT")/2)</f>
        <v>0</v>
      </c>
      <c r="AL53" s="109">
        <f>COUNTIF(Avril[[#This Row],[1]:[30]],"C")+(COUNTIF(Avril[[#This Row],[1]:[30]],"DC")/2)</f>
        <v>0</v>
      </c>
      <c r="AM53" s="22">
        <f>COUNTIF(Avril[[#This Row],[1]:[30]],"M")</f>
        <v>0</v>
      </c>
      <c r="AN53" s="22">
        <f>COUNTIF(Avril[[#This Row],[1]:[30]],"AT")</f>
        <v>0</v>
      </c>
      <c r="AO53" s="84">
        <f t="shared" si="0"/>
        <v>0.82191780821917804</v>
      </c>
    </row>
    <row r="54" spans="1:41" ht="30" customHeight="1" x14ac:dyDescent="0.2">
      <c r="A54" s="18" t="s">
        <v>110</v>
      </c>
      <c r="B54" s="18" t="s">
        <v>263</v>
      </c>
      <c r="C54" s="18" t="s">
        <v>264</v>
      </c>
      <c r="D54" s="18" t="s">
        <v>265</v>
      </c>
      <c r="E54" s="24">
        <v>0</v>
      </c>
      <c r="F54" s="47" t="str">
        <f>Global!CR54</f>
        <v/>
      </c>
      <c r="G54" s="31" t="str">
        <f>Global!CS54</f>
        <v/>
      </c>
      <c r="H54" s="31" t="str">
        <f>Global!CT54</f>
        <v/>
      </c>
      <c r="I54" s="31" t="str">
        <f>Global!CU54</f>
        <v/>
      </c>
      <c r="J54" s="31" t="str">
        <f>Global!CV54</f>
        <v/>
      </c>
      <c r="K54" s="31" t="str">
        <f>Global!CW54</f>
        <v/>
      </c>
      <c r="L54" s="31" t="str">
        <f>Global!CX54</f>
        <v/>
      </c>
      <c r="M54" s="31" t="str">
        <f>Global!CY54</f>
        <v/>
      </c>
      <c r="N54" s="31" t="str">
        <f>Global!CZ54</f>
        <v/>
      </c>
      <c r="O54" s="31" t="str">
        <f>Global!DA54</f>
        <v/>
      </c>
      <c r="P54" s="31" t="str">
        <f>Global!DB54</f>
        <v/>
      </c>
      <c r="Q54" s="31" t="str">
        <f>Global!DC54</f>
        <v/>
      </c>
      <c r="R54" s="31" t="str">
        <f>Global!DD54</f>
        <v/>
      </c>
      <c r="S54" s="31" t="str">
        <f>Global!DE54</f>
        <v/>
      </c>
      <c r="T54" s="31" t="str">
        <f>Global!DF54</f>
        <v/>
      </c>
      <c r="U54" s="31" t="str">
        <f>Global!DG54</f>
        <v/>
      </c>
      <c r="V54" s="31" t="str">
        <f>Global!DH54</f>
        <v/>
      </c>
      <c r="W54" s="31" t="str">
        <f>Global!DI54</f>
        <v/>
      </c>
      <c r="X54" s="31" t="str">
        <f>Global!DJ54</f>
        <v/>
      </c>
      <c r="Y54" s="31" t="str">
        <f>Global!DK54</f>
        <v/>
      </c>
      <c r="Z54" s="31" t="str">
        <f>Global!DL54</f>
        <v/>
      </c>
      <c r="AA54" s="31" t="str">
        <f>Global!DM54</f>
        <v/>
      </c>
      <c r="AB54" s="31" t="str">
        <f>Global!DN54</f>
        <v>C</v>
      </c>
      <c r="AC54" s="31" t="str">
        <f>Global!DO54</f>
        <v>C</v>
      </c>
      <c r="AD54" s="31" t="str">
        <f>Global!DP54</f>
        <v>C</v>
      </c>
      <c r="AE54" s="31" t="str">
        <f>Global!DQ54</f>
        <v>C</v>
      </c>
      <c r="AF54" s="31" t="str">
        <f>Global!DR54</f>
        <v>C</v>
      </c>
      <c r="AG54" s="31" t="str">
        <f>Global!DS54</f>
        <v/>
      </c>
      <c r="AH54" s="31" t="str">
        <f>Global!DT54</f>
        <v/>
      </c>
      <c r="AI54" s="31" t="str">
        <f>Global!DU54</f>
        <v/>
      </c>
      <c r="AJ54" s="113"/>
      <c r="AK54" s="108">
        <f>COUNTIF(Avril[[#This Row],[1]:[30]],"RTT")+(COUNTIF(Avril[[#This Row],[1]:[30]],"dRTT")/2)</f>
        <v>0</v>
      </c>
      <c r="AL54" s="109">
        <f>COUNTIF(Avril[[#This Row],[1]:[30]],"C")+(COUNTIF(Avril[[#This Row],[1]:[30]],"DC")/2)</f>
        <v>5</v>
      </c>
      <c r="AM54" s="22">
        <f>COUNTIF(Avril[[#This Row],[1]:[30]],"M")</f>
        <v>0</v>
      </c>
      <c r="AN54" s="22">
        <f>COUNTIF(Avril[[#This Row],[1]:[30]],"AT")</f>
        <v>0</v>
      </c>
      <c r="AO54" s="84">
        <f t="shared" si="0"/>
        <v>0.82191780821917804</v>
      </c>
    </row>
    <row r="55" spans="1:41" ht="30" customHeight="1" x14ac:dyDescent="0.2">
      <c r="A55" s="17" t="s">
        <v>111</v>
      </c>
      <c r="B55" s="17" t="s">
        <v>266</v>
      </c>
      <c r="C55" s="17" t="s">
        <v>267</v>
      </c>
      <c r="D55" s="17" t="s">
        <v>268</v>
      </c>
      <c r="E55" s="23">
        <v>0</v>
      </c>
      <c r="F55" s="47" t="str">
        <f>Global!CR55</f>
        <v>M</v>
      </c>
      <c r="G55" s="31" t="str">
        <f>Global!CS55</f>
        <v>M</v>
      </c>
      <c r="H55" s="31" t="str">
        <f>Global!CT55</f>
        <v>M</v>
      </c>
      <c r="I55" s="31" t="str">
        <f>Global!CU55</f>
        <v>M</v>
      </c>
      <c r="J55" s="31" t="str">
        <f>Global!CV55</f>
        <v>M</v>
      </c>
      <c r="K55" s="31" t="str">
        <f>Global!CW55</f>
        <v>M</v>
      </c>
      <c r="L55" s="31" t="str">
        <f>Global!CX55</f>
        <v>M</v>
      </c>
      <c r="M55" s="31" t="str">
        <f>Global!CY55</f>
        <v>M</v>
      </c>
      <c r="N55" s="31" t="str">
        <f>Global!CZ55</f>
        <v>M</v>
      </c>
      <c r="O55" s="31" t="str">
        <f>Global!DA55</f>
        <v>M</v>
      </c>
      <c r="P55" s="31" t="str">
        <f>Global!DB55</f>
        <v>M</v>
      </c>
      <c r="Q55" s="31" t="str">
        <f>Global!DC55</f>
        <v>M</v>
      </c>
      <c r="R55" s="31" t="str">
        <f>Global!DD55</f>
        <v>M</v>
      </c>
      <c r="S55" s="31" t="str">
        <f>Global!DE55</f>
        <v>M</v>
      </c>
      <c r="T55" s="31" t="str">
        <f>Global!DF55</f>
        <v>M</v>
      </c>
      <c r="U55" s="31" t="str">
        <f>Global!DG55</f>
        <v>M</v>
      </c>
      <c r="V55" s="31" t="str">
        <f>Global!DH55</f>
        <v>M</v>
      </c>
      <c r="W55" s="31" t="str">
        <f>Global!DI55</f>
        <v>M</v>
      </c>
      <c r="X55" s="31" t="str">
        <f>Global!DJ55</f>
        <v>M</v>
      </c>
      <c r="Y55" s="31" t="str">
        <f>Global!DK55</f>
        <v>M</v>
      </c>
      <c r="Z55" s="31" t="str">
        <f>Global!DL55</f>
        <v>M</v>
      </c>
      <c r="AA55" s="31" t="str">
        <f>Global!DM55</f>
        <v>M</v>
      </c>
      <c r="AB55" s="31" t="str">
        <f>Global!DN55</f>
        <v>M</v>
      </c>
      <c r="AC55" s="31" t="str">
        <f>Global!DO55</f>
        <v>M</v>
      </c>
      <c r="AD55" s="31" t="str">
        <f>Global!DP55</f>
        <v>M</v>
      </c>
      <c r="AE55" s="31" t="str">
        <f>Global!DQ55</f>
        <v>M</v>
      </c>
      <c r="AF55" s="31" t="str">
        <f>Global!DR55</f>
        <v>M</v>
      </c>
      <c r="AG55" s="31" t="str">
        <f>Global!DS55</f>
        <v>M</v>
      </c>
      <c r="AH55" s="31" t="str">
        <f>Global!DT55</f>
        <v>M</v>
      </c>
      <c r="AI55" s="31" t="str">
        <f>Global!DU55</f>
        <v>M</v>
      </c>
      <c r="AJ55" s="113"/>
      <c r="AK55" s="108">
        <f>COUNTIF(Avril[[#This Row],[1]:[30]],"RTT")+(COUNTIF(Avril[[#This Row],[1]:[30]],"dRTT")/2)</f>
        <v>0</v>
      </c>
      <c r="AL55" s="109">
        <f>COUNTIF(Avril[[#This Row],[1]:[30]],"C")+(COUNTIF(Avril[[#This Row],[1]:[30]],"DC")/2)</f>
        <v>0</v>
      </c>
      <c r="AM55" s="22">
        <f>COUNTIF(Avril[[#This Row],[1]:[30]],"M")</f>
        <v>30</v>
      </c>
      <c r="AN55" s="22">
        <f>COUNTIF(Avril[[#This Row],[1]:[30]],"AT")</f>
        <v>0</v>
      </c>
      <c r="AO55" s="84">
        <f t="shared" si="0"/>
        <v>0</v>
      </c>
    </row>
    <row r="56" spans="1:41" ht="30" customHeight="1" thickBot="1" x14ac:dyDescent="0.25">
      <c r="A56" s="17" t="s">
        <v>112</v>
      </c>
      <c r="B56" s="17" t="s">
        <v>269</v>
      </c>
      <c r="C56" s="17" t="s">
        <v>270</v>
      </c>
      <c r="D56" s="17" t="s">
        <v>271</v>
      </c>
      <c r="E56" s="23">
        <v>0</v>
      </c>
      <c r="F56" s="49" t="str">
        <f>Global!CR56</f>
        <v/>
      </c>
      <c r="G56" s="50" t="str">
        <f>Global!CS56</f>
        <v/>
      </c>
      <c r="H56" s="50" t="str">
        <f>Global!CT56</f>
        <v/>
      </c>
      <c r="I56" s="50" t="str">
        <f>Global!CU56</f>
        <v/>
      </c>
      <c r="J56" s="50" t="str">
        <f>Global!CV56</f>
        <v/>
      </c>
      <c r="K56" s="50" t="str">
        <f>Global!CW56</f>
        <v/>
      </c>
      <c r="L56" s="50" t="str">
        <f>Global!CX56</f>
        <v/>
      </c>
      <c r="M56" s="50" t="str">
        <f>Global!CY56</f>
        <v/>
      </c>
      <c r="N56" s="50" t="str">
        <f>Global!CZ56</f>
        <v/>
      </c>
      <c r="O56" s="50" t="str">
        <f>Global!DA56</f>
        <v/>
      </c>
      <c r="P56" s="50" t="str">
        <f>Global!DB56</f>
        <v/>
      </c>
      <c r="Q56" s="50" t="str">
        <f>Global!DC56</f>
        <v/>
      </c>
      <c r="R56" s="50" t="str">
        <f>Global!DD56</f>
        <v/>
      </c>
      <c r="S56" s="50" t="str">
        <f>Global!DE56</f>
        <v/>
      </c>
      <c r="T56" s="50" t="str">
        <f>Global!DF56</f>
        <v/>
      </c>
      <c r="U56" s="50" t="str">
        <f>Global!DG56</f>
        <v/>
      </c>
      <c r="V56" s="50" t="str">
        <f>Global!DH56</f>
        <v/>
      </c>
      <c r="W56" s="50" t="str">
        <f>Global!DI56</f>
        <v/>
      </c>
      <c r="X56" s="50" t="str">
        <f>Global!DJ56</f>
        <v/>
      </c>
      <c r="Y56" s="50" t="str">
        <f>Global!DK56</f>
        <v/>
      </c>
      <c r="Z56" s="50" t="str">
        <f>Global!DL56</f>
        <v/>
      </c>
      <c r="AA56" s="50" t="str">
        <f>Global!DM56</f>
        <v/>
      </c>
      <c r="AB56" s="50" t="str">
        <f>Global!DN56</f>
        <v/>
      </c>
      <c r="AC56" s="50" t="str">
        <f>Global!DO56</f>
        <v/>
      </c>
      <c r="AD56" s="50" t="str">
        <f>Global!DP56</f>
        <v/>
      </c>
      <c r="AE56" s="50" t="str">
        <f>Global!DQ56</f>
        <v/>
      </c>
      <c r="AF56" s="50" t="str">
        <f>Global!DR56</f>
        <v/>
      </c>
      <c r="AG56" s="50" t="str">
        <f>Global!DS56</f>
        <v/>
      </c>
      <c r="AH56" s="50" t="str">
        <f>Global!DT56</f>
        <v/>
      </c>
      <c r="AI56" s="50" t="str">
        <f>Global!DU56</f>
        <v/>
      </c>
      <c r="AJ56" s="114"/>
      <c r="AK56" s="108">
        <f>COUNTIF(Avril[[#This Row],[1]:[30]],"RTT")+(COUNTIF(Avril[[#This Row],[1]:[30]],"dRTT")/2)</f>
        <v>0</v>
      </c>
      <c r="AL56" s="109">
        <f>COUNTIF(Avril[[#This Row],[1]:[30]],"C")+(COUNTIF(Avril[[#This Row],[1]:[30]],"DC")/2)</f>
        <v>0</v>
      </c>
      <c r="AM56" s="22">
        <f>COUNTIF(Avril[[#This Row],[1]:[30]],"M")</f>
        <v>0</v>
      </c>
      <c r="AN56" s="22">
        <f>COUNTIF(Avril[[#This Row],[1]:[30]],"AT")</f>
        <v>0</v>
      </c>
      <c r="AO56" s="84">
        <f t="shared" si="0"/>
        <v>0.82191780821917804</v>
      </c>
    </row>
    <row r="57" spans="1:41" x14ac:dyDescent="0.2">
      <c r="A57" s="1"/>
    </row>
  </sheetData>
  <mergeCells count="6">
    <mergeCell ref="G3:H3"/>
    <mergeCell ref="F5:AJ5"/>
    <mergeCell ref="J3:K3"/>
    <mergeCell ref="U3:V3"/>
    <mergeCell ref="AC3:AD3"/>
    <mergeCell ref="AH3:AI3"/>
  </mergeCells>
  <conditionalFormatting sqref="AJ8:AJ56">
    <cfRule type="expression" dxfId="146" priority="15">
      <formula>AJ8=""</formula>
    </cfRule>
  </conditionalFormatting>
  <conditionalFormatting sqref="AJ8:AJ56">
    <cfRule type="expression" dxfId="145" priority="16">
      <formula>AJ8=CléPersonnalisée2</formula>
    </cfRule>
    <cfRule type="expression" dxfId="144" priority="17">
      <formula>AJ8=CléPersonnalisée1</formula>
    </cfRule>
    <cfRule type="expression" dxfId="143" priority="18">
      <formula>AJ8=CléMaladie</formula>
    </cfRule>
    <cfRule type="expression" dxfId="142" priority="19">
      <formula>AJ8=CléPersonnel</formula>
    </cfRule>
    <cfRule type="expression" dxfId="141" priority="20">
      <formula>AJ8=CléCongé</formula>
    </cfRule>
  </conditionalFormatting>
  <conditionalFormatting sqref="F8:AI56">
    <cfRule type="expression" dxfId="140" priority="4">
      <formula>F8=CléPersonnalisée4</formula>
    </cfRule>
    <cfRule type="expression" dxfId="139" priority="5">
      <formula>F8=CléPersonnalisée5</formula>
    </cfRule>
    <cfRule type="expression" dxfId="138" priority="6">
      <formula>F8=CléPersonnalisée3</formula>
    </cfRule>
    <cfRule type="expression" dxfId="137" priority="7">
      <formula>F8=CléPersonnalisée2</formula>
    </cfRule>
    <cfRule type="expression" dxfId="136" priority="8">
      <formula>F8=CléPersonnalisée1</formula>
    </cfRule>
    <cfRule type="expression" dxfId="135" priority="9">
      <formula>F8=CléMaladie</formula>
    </cfRule>
    <cfRule type="expression" dxfId="134" priority="10">
      <formula>F8=CléPersonnel</formula>
    </cfRule>
    <cfRule type="expression" dxfId="133" priority="11" stopIfTrue="1">
      <formula>F8=CléCongé</formula>
    </cfRule>
    <cfRule type="expression" dxfId="132" priority="12" stopIfTrue="1">
      <formula>F8=CléDemiCongés</formula>
    </cfRule>
    <cfRule type="expression" dxfId="131" priority="13">
      <formula>F8=""</formula>
    </cfRule>
  </conditionalFormatting>
  <conditionalFormatting sqref="F6:AI56">
    <cfRule type="expression" dxfId="130" priority="2" stopIfTrue="1">
      <formula>WEEKDAY(F$1)=7</formula>
    </cfRule>
    <cfRule type="expression" dxfId="129"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C6AA9C06-454C-C943-A737-A323F05470E0}">
            <xm:f>F$1=VLOOKUP(F$1,JFériés!$D$1:$D$11,1,FALSE)</xm:f>
            <x14:dxf>
              <font>
                <color theme="1"/>
              </font>
              <fill>
                <patternFill>
                  <bgColor theme="5" tint="0.59996337778862885"/>
                </patternFill>
              </fill>
            </x14:dxf>
          </x14:cfRule>
          <xm:sqref>F6:AI56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enableFormatConditionsCalculation="0">
    <tabColor rgb="FFDFE1CA"/>
    <pageSetUpPr fitToPage="1"/>
  </sheetPr>
  <dimension ref="A1:AO57"/>
  <sheetViews>
    <sheetView showGridLines="0" topLeftCell="A40"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DATE(AnnéeCalendrier,5,1)</f>
        <v>43221</v>
      </c>
      <c r="G1" s="62">
        <f>DATE(AnnéeCalendrier,5,2)</f>
        <v>43222</v>
      </c>
      <c r="H1" s="62">
        <f>DATE(AnnéeCalendrier,5,3)</f>
        <v>43223</v>
      </c>
      <c r="I1" s="62">
        <f>DATE(AnnéeCalendrier,5,4)</f>
        <v>43224</v>
      </c>
      <c r="J1" s="62">
        <f>DATE(AnnéeCalendrier,5,5)</f>
        <v>43225</v>
      </c>
      <c r="K1" s="62">
        <f>DATE(AnnéeCalendrier,5,6)</f>
        <v>43226</v>
      </c>
      <c r="L1" s="62">
        <f>DATE(AnnéeCalendrier,5,7)</f>
        <v>43227</v>
      </c>
      <c r="M1" s="62">
        <f>DATE(AnnéeCalendrier,5,8)</f>
        <v>43228</v>
      </c>
      <c r="N1" s="62">
        <f>DATE(AnnéeCalendrier,5,9)</f>
        <v>43229</v>
      </c>
      <c r="O1" s="62">
        <f>DATE(AnnéeCalendrier,5,10)</f>
        <v>43230</v>
      </c>
      <c r="P1" s="62">
        <f>DATE(AnnéeCalendrier,5,11)</f>
        <v>43231</v>
      </c>
      <c r="Q1" s="62">
        <f>DATE(AnnéeCalendrier,5,12)</f>
        <v>43232</v>
      </c>
      <c r="R1" s="62">
        <f>DATE(AnnéeCalendrier,5,13)</f>
        <v>43233</v>
      </c>
      <c r="S1" s="62">
        <f>DATE(AnnéeCalendrier,5,14)</f>
        <v>43234</v>
      </c>
      <c r="T1" s="62">
        <f>DATE(AnnéeCalendrier,5,15)</f>
        <v>43235</v>
      </c>
      <c r="U1" s="62">
        <f>DATE(AnnéeCalendrier,5,16)</f>
        <v>43236</v>
      </c>
      <c r="V1" s="62">
        <f>DATE(AnnéeCalendrier,5,17)</f>
        <v>43237</v>
      </c>
      <c r="W1" s="62">
        <f>DATE(AnnéeCalendrier,5,18)</f>
        <v>43238</v>
      </c>
      <c r="X1" s="62">
        <f>DATE(AnnéeCalendrier,5,19)</f>
        <v>43239</v>
      </c>
      <c r="Y1" s="62">
        <f>DATE(AnnéeCalendrier,5,20)</f>
        <v>43240</v>
      </c>
      <c r="Z1" s="62">
        <f>DATE(AnnéeCalendrier,5,21)</f>
        <v>43241</v>
      </c>
      <c r="AA1" s="62">
        <f>DATE(AnnéeCalendrier,5,22)</f>
        <v>43242</v>
      </c>
      <c r="AB1" s="62">
        <f>DATE(AnnéeCalendrier,5,23)</f>
        <v>43243</v>
      </c>
      <c r="AC1" s="62">
        <f>DATE(AnnéeCalendrier,5,24)</f>
        <v>43244</v>
      </c>
      <c r="AD1" s="62">
        <f>DATE(AnnéeCalendrier,5,25)</f>
        <v>43245</v>
      </c>
      <c r="AE1" s="62">
        <f>DATE(AnnéeCalendrier,5,26)</f>
        <v>43246</v>
      </c>
      <c r="AF1" s="62">
        <f>DATE(AnnéeCalendrier,5,27)</f>
        <v>43247</v>
      </c>
      <c r="AG1" s="62">
        <f>DATE(AnnéeCalendrier,5,28)</f>
        <v>43248</v>
      </c>
      <c r="AH1" s="62">
        <f>DATE(AnnéeCalendrier,5,29)</f>
        <v>43249</v>
      </c>
      <c r="AI1" s="62">
        <f>DATE(AnnéeCalendrier,5,30)</f>
        <v>43250</v>
      </c>
      <c r="AJ1" s="62">
        <f>DATE(AnnéeCalendrier,5,31)</f>
        <v>43251</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49</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45" t="str">
        <f>TEXT(WEEKDAY(DATE(AnnéeCalendrier,5,1),1),"jjj")</f>
        <v>mar</v>
      </c>
      <c r="G6" s="35" t="str">
        <f>TEXT(WEEKDAY(DATE(AnnéeCalendrier,5,2),1),"jjj")</f>
        <v>mer</v>
      </c>
      <c r="H6" s="35" t="str">
        <f>TEXT(WEEKDAY(DATE(AnnéeCalendrier,5,3),1),"jjj")</f>
        <v>jeu</v>
      </c>
      <c r="I6" s="35" t="str">
        <f>TEXT(WEEKDAY(DATE(AnnéeCalendrier,5,4),1),"jjj")</f>
        <v>ven</v>
      </c>
      <c r="J6" s="35" t="str">
        <f>TEXT(WEEKDAY(DATE(AnnéeCalendrier,5,5),1),"jjj")</f>
        <v>sam</v>
      </c>
      <c r="K6" s="35" t="str">
        <f>TEXT(WEEKDAY(DATE(AnnéeCalendrier,5,6),1),"jjj")</f>
        <v>dim</v>
      </c>
      <c r="L6" s="35" t="str">
        <f>TEXT(WEEKDAY(DATE(AnnéeCalendrier,5,7),1),"jjj")</f>
        <v>lun</v>
      </c>
      <c r="M6" s="35" t="str">
        <f>TEXT(WEEKDAY(DATE(AnnéeCalendrier,5,8),1),"jjj")</f>
        <v>mar</v>
      </c>
      <c r="N6" s="35" t="str">
        <f>TEXT(WEEKDAY(DATE(AnnéeCalendrier,5,9),1),"jjj")</f>
        <v>mer</v>
      </c>
      <c r="O6" s="35" t="str">
        <f>TEXT(WEEKDAY(DATE(AnnéeCalendrier,5,10),1),"jjj")</f>
        <v>jeu</v>
      </c>
      <c r="P6" s="35" t="str">
        <f>TEXT(WEEKDAY(DATE(AnnéeCalendrier,5,11),1),"jjj")</f>
        <v>ven</v>
      </c>
      <c r="Q6" s="35" t="str">
        <f>TEXT(WEEKDAY(DATE(AnnéeCalendrier,5,12),1),"jjj")</f>
        <v>sam</v>
      </c>
      <c r="R6" s="35" t="str">
        <f>TEXT(WEEKDAY(DATE(AnnéeCalendrier,5,13),1),"jjj")</f>
        <v>dim</v>
      </c>
      <c r="S6" s="35" t="str">
        <f>TEXT(WEEKDAY(DATE(AnnéeCalendrier,5,14),1),"jjj")</f>
        <v>lun</v>
      </c>
      <c r="T6" s="35" t="str">
        <f>TEXT(WEEKDAY(DATE(AnnéeCalendrier,5,15),1),"jjj")</f>
        <v>mar</v>
      </c>
      <c r="U6" s="35" t="str">
        <f>TEXT(WEEKDAY(DATE(AnnéeCalendrier,5,16),1),"jjj")</f>
        <v>mer</v>
      </c>
      <c r="V6" s="35" t="str">
        <f>TEXT(WEEKDAY(DATE(AnnéeCalendrier,5,17),1),"jjj")</f>
        <v>jeu</v>
      </c>
      <c r="W6" s="35" t="str">
        <f>TEXT(WEEKDAY(DATE(AnnéeCalendrier,5,18),1),"jjj")</f>
        <v>ven</v>
      </c>
      <c r="X6" s="35" t="str">
        <f>TEXT(WEEKDAY(DATE(AnnéeCalendrier,5,19),1),"jjj")</f>
        <v>sam</v>
      </c>
      <c r="Y6" s="35" t="str">
        <f>TEXT(WEEKDAY(DATE(AnnéeCalendrier,5,20),1),"jjj")</f>
        <v>dim</v>
      </c>
      <c r="Z6" s="35" t="str">
        <f>TEXT(WEEKDAY(DATE(AnnéeCalendrier,5,21),1),"jjj")</f>
        <v>lun</v>
      </c>
      <c r="AA6" s="35" t="str">
        <f>TEXT(WEEKDAY(DATE(AnnéeCalendrier,5,22),1),"jjj")</f>
        <v>mar</v>
      </c>
      <c r="AB6" s="35" t="str">
        <f>TEXT(WEEKDAY(DATE(AnnéeCalendrier,5,23),1),"jjj")</f>
        <v>mer</v>
      </c>
      <c r="AC6" s="35" t="str">
        <f>TEXT(WEEKDAY(DATE(AnnéeCalendrier,5,24),1),"jjj")</f>
        <v>jeu</v>
      </c>
      <c r="AD6" s="35" t="str">
        <f>TEXT(WEEKDAY(DATE(AnnéeCalendrier,5,25),1),"jjj")</f>
        <v>ven</v>
      </c>
      <c r="AE6" s="35" t="str">
        <f>TEXT(WEEKDAY(DATE(AnnéeCalendrier,5,26),1),"jjj")</f>
        <v>sam</v>
      </c>
      <c r="AF6" s="35" t="str">
        <f>TEXT(WEEKDAY(DATE(AnnéeCalendrier,5,27),1),"jjj")</f>
        <v>dim</v>
      </c>
      <c r="AG6" s="35" t="str">
        <f>TEXT(WEEKDAY(DATE(AnnéeCalendrier,5,28),1),"jjj")</f>
        <v>lun</v>
      </c>
      <c r="AH6" s="35" t="str">
        <f>TEXT(WEEKDAY(DATE(AnnéeCalendrier,5,29),1),"jjj")</f>
        <v>mar</v>
      </c>
      <c r="AI6" s="35" t="str">
        <f>TEXT(WEEKDAY(DATE(AnnéeCalendrier,5,30),1),"jjj")</f>
        <v>mer</v>
      </c>
      <c r="AJ6" s="46" t="str">
        <f>TEXT(WEEKDAY(DATE(AnnéeCalendrier,5,31),1),"jjj")</f>
        <v>jeu</v>
      </c>
      <c r="AK6" s="10"/>
    </row>
    <row r="7" spans="1:41" ht="15" customHeight="1" thickBot="1" x14ac:dyDescent="0.25">
      <c r="A7" s="36" t="s">
        <v>63</v>
      </c>
      <c r="B7" s="36" t="s">
        <v>128</v>
      </c>
      <c r="C7" s="36" t="s">
        <v>129</v>
      </c>
      <c r="D7" s="36" t="s">
        <v>13</v>
      </c>
      <c r="E7" s="43" t="s">
        <v>113</v>
      </c>
      <c r="F7" s="76" t="s">
        <v>14</v>
      </c>
      <c r="G7" s="75" t="s">
        <v>15</v>
      </c>
      <c r="H7" s="75" t="s">
        <v>16</v>
      </c>
      <c r="I7" s="75" t="s">
        <v>17</v>
      </c>
      <c r="J7" s="75" t="s">
        <v>18</v>
      </c>
      <c r="K7" s="75" t="s">
        <v>19</v>
      </c>
      <c r="L7" s="75" t="s">
        <v>20</v>
      </c>
      <c r="M7" s="75" t="s">
        <v>21</v>
      </c>
      <c r="N7" s="75" t="s">
        <v>22</v>
      </c>
      <c r="O7" s="75" t="s">
        <v>23</v>
      </c>
      <c r="P7" s="75" t="s">
        <v>24</v>
      </c>
      <c r="Q7" s="75" t="s">
        <v>25</v>
      </c>
      <c r="R7" s="75" t="s">
        <v>26</v>
      </c>
      <c r="S7" s="75" t="s">
        <v>27</v>
      </c>
      <c r="T7" s="75" t="s">
        <v>28</v>
      </c>
      <c r="U7" s="75" t="s">
        <v>29</v>
      </c>
      <c r="V7" s="75" t="s">
        <v>30</v>
      </c>
      <c r="W7" s="75" t="s">
        <v>31</v>
      </c>
      <c r="X7" s="75" t="s">
        <v>32</v>
      </c>
      <c r="Y7" s="75" t="s">
        <v>33</v>
      </c>
      <c r="Z7" s="75" t="s">
        <v>34</v>
      </c>
      <c r="AA7" s="75" t="s">
        <v>35</v>
      </c>
      <c r="AB7" s="75" t="s">
        <v>36</v>
      </c>
      <c r="AC7" s="75" t="s">
        <v>37</v>
      </c>
      <c r="AD7" s="75" t="s">
        <v>38</v>
      </c>
      <c r="AE7" s="75" t="s">
        <v>39</v>
      </c>
      <c r="AF7" s="75" t="s">
        <v>40</v>
      </c>
      <c r="AG7" s="75" t="s">
        <v>41</v>
      </c>
      <c r="AH7" s="75" t="s">
        <v>42</v>
      </c>
      <c r="AI7" s="75" t="s">
        <v>43</v>
      </c>
      <c r="AJ7" s="77"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Global!DV8</f>
        <v/>
      </c>
      <c r="G8" s="79" t="str">
        <f>Global!DW8</f>
        <v/>
      </c>
      <c r="H8" s="79" t="str">
        <f>Global!DX8</f>
        <v/>
      </c>
      <c r="I8" s="79" t="str">
        <f>Global!DY8</f>
        <v/>
      </c>
      <c r="J8" s="79" t="str">
        <f>Global!DZ8</f>
        <v/>
      </c>
      <c r="K8" s="79" t="str">
        <f>Global!EA8</f>
        <v/>
      </c>
      <c r="L8" s="79" t="str">
        <f>Global!EB8</f>
        <v/>
      </c>
      <c r="M8" s="79" t="str">
        <f>Global!EC8</f>
        <v/>
      </c>
      <c r="N8" s="79" t="str">
        <f>Global!ED8</f>
        <v/>
      </c>
      <c r="O8" s="79" t="str">
        <f>Global!EE8</f>
        <v/>
      </c>
      <c r="P8" s="79" t="str">
        <f>Global!EF8</f>
        <v/>
      </c>
      <c r="Q8" s="79" t="str">
        <f>Global!EG8</f>
        <v/>
      </c>
      <c r="R8" s="79" t="str">
        <f>Global!EH8</f>
        <v/>
      </c>
      <c r="S8" s="79" t="str">
        <f>Global!EI8</f>
        <v/>
      </c>
      <c r="T8" s="79" t="str">
        <f>Global!EJ8</f>
        <v/>
      </c>
      <c r="U8" s="79" t="str">
        <f>Global!EK8</f>
        <v/>
      </c>
      <c r="V8" s="79" t="str">
        <f>Global!EL8</f>
        <v/>
      </c>
      <c r="W8" s="79" t="str">
        <f>Global!EM8</f>
        <v/>
      </c>
      <c r="X8" s="79" t="str">
        <f>Global!EN8</f>
        <v/>
      </c>
      <c r="Y8" s="79" t="str">
        <f>Global!EO8</f>
        <v/>
      </c>
      <c r="Z8" s="79" t="str">
        <f>Global!EP8</f>
        <v/>
      </c>
      <c r="AA8" s="79" t="str">
        <f>Global!EQ8</f>
        <v/>
      </c>
      <c r="AB8" s="79" t="str">
        <f>Global!ER8</f>
        <v/>
      </c>
      <c r="AC8" s="79" t="str">
        <f>Global!ES8</f>
        <v/>
      </c>
      <c r="AD8" s="79" t="str">
        <f>Global!ET8</f>
        <v/>
      </c>
      <c r="AE8" s="79" t="str">
        <f>Global!EU8</f>
        <v/>
      </c>
      <c r="AF8" s="79" t="str">
        <f>Global!EV8</f>
        <v/>
      </c>
      <c r="AG8" s="79" t="str">
        <f>Global!EW8</f>
        <v/>
      </c>
      <c r="AH8" s="79" t="str">
        <f>Global!EX8</f>
        <v/>
      </c>
      <c r="AI8" s="79" t="str">
        <f>Global!EY8</f>
        <v/>
      </c>
      <c r="AJ8" s="80" t="str">
        <f>Global!EZ8</f>
        <v/>
      </c>
      <c r="AK8" s="108">
        <f>COUNTIF(Mai[[#This Row],[1]:[31]],"RTT")+(COUNTIF(Mai[[#This Row],[1]:[31]],"dRTT")/2)</f>
        <v>0</v>
      </c>
      <c r="AL8" s="109">
        <f>COUNTIF(Mai[[#This Row],[1]:[31]],"C")+(COUNTIF(Mai[[#This Row],[1]:[31]],"DC")/2)</f>
        <v>0</v>
      </c>
      <c r="AM8" s="22">
        <f>COUNTIF(Mai[[#This Row],[1]:[31]],"M")</f>
        <v>0</v>
      </c>
      <c r="AN8" s="22">
        <f>COUNTIF(Mai[[#This Row],[1]:[31]],"AT")</f>
        <v>0</v>
      </c>
      <c r="AO8" s="84">
        <f>IF(AND(Mai[[#This Row],[Maladie]]=0,Mai[[#This Row],[AT]]=0),((10*(_xlfn.DAYS("31/05/2018","01/05/2018")+1))/365),((_xlfn.DAYS("31/05/2018","01/05/2018")+1-(Mai[[#This Row],[Maladie]]+Mai[[#This Row],[AT]]))*((10*(_xlfn.DAYS("31/05/2018","01/05/2018")+1))/365))/(_xlfn.DAYS("31/05/2018","01/05/2018")+1))</f>
        <v>0.84931506849315064</v>
      </c>
    </row>
    <row r="9" spans="1:41" ht="30" customHeight="1" x14ac:dyDescent="0.2">
      <c r="A9" s="13" t="s">
        <v>65</v>
      </c>
      <c r="B9" s="22" t="s">
        <v>130</v>
      </c>
      <c r="C9" s="22" t="s">
        <v>133</v>
      </c>
      <c r="D9" s="22" t="s">
        <v>134</v>
      </c>
      <c r="E9" s="44">
        <v>0</v>
      </c>
      <c r="F9" s="47" t="str">
        <f>Global!DV9</f>
        <v/>
      </c>
      <c r="G9" s="31" t="str">
        <f>Global!DW9</f>
        <v/>
      </c>
      <c r="H9" s="31" t="str">
        <f>Global!DX9</f>
        <v/>
      </c>
      <c r="I9" s="31" t="str">
        <f>Global!DY9</f>
        <v/>
      </c>
      <c r="J9" s="31" t="str">
        <f>Global!DZ9</f>
        <v/>
      </c>
      <c r="K9" s="31" t="str">
        <f>Global!EA9</f>
        <v/>
      </c>
      <c r="L9" s="31" t="str">
        <f>Global!EB9</f>
        <v/>
      </c>
      <c r="M9" s="31" t="str">
        <f>Global!EC9</f>
        <v/>
      </c>
      <c r="N9" s="31" t="str">
        <f>Global!ED9</f>
        <v/>
      </c>
      <c r="O9" s="31" t="str">
        <f>Global!EE9</f>
        <v/>
      </c>
      <c r="P9" s="31" t="str">
        <f>Global!EF9</f>
        <v/>
      </c>
      <c r="Q9" s="31" t="str">
        <f>Global!EG9</f>
        <v/>
      </c>
      <c r="R9" s="31" t="str">
        <f>Global!EH9</f>
        <v/>
      </c>
      <c r="S9" s="31" t="str">
        <f>Global!EI9</f>
        <v/>
      </c>
      <c r="T9" s="31" t="str">
        <f>Global!EJ9</f>
        <v/>
      </c>
      <c r="U9" s="31" t="str">
        <f>Global!EK9</f>
        <v/>
      </c>
      <c r="V9" s="31" t="str">
        <f>Global!EL9</f>
        <v/>
      </c>
      <c r="W9" s="31" t="str">
        <f>Global!EM9</f>
        <v/>
      </c>
      <c r="X9" s="31" t="str">
        <f>Global!EN9</f>
        <v/>
      </c>
      <c r="Y9" s="31" t="str">
        <f>Global!EO9</f>
        <v/>
      </c>
      <c r="Z9" s="31" t="str">
        <f>Global!EP9</f>
        <v/>
      </c>
      <c r="AA9" s="31" t="str">
        <f>Global!EQ9</f>
        <v/>
      </c>
      <c r="AB9" s="31" t="str">
        <f>Global!ER9</f>
        <v/>
      </c>
      <c r="AC9" s="31" t="str">
        <f>Global!ES9</f>
        <v/>
      </c>
      <c r="AD9" s="31" t="str">
        <f>Global!ET9</f>
        <v/>
      </c>
      <c r="AE9" s="31" t="str">
        <f>Global!EU9</f>
        <v/>
      </c>
      <c r="AF9" s="31" t="str">
        <f>Global!EV9</f>
        <v/>
      </c>
      <c r="AG9" s="31" t="str">
        <f>Global!EW9</f>
        <v/>
      </c>
      <c r="AH9" s="31" t="str">
        <f>Global!EX9</f>
        <v/>
      </c>
      <c r="AI9" s="31" t="str">
        <f>Global!EY9</f>
        <v/>
      </c>
      <c r="AJ9" s="48" t="str">
        <f>Global!EZ9</f>
        <v/>
      </c>
      <c r="AK9" s="108">
        <f>COUNTIF(Mai[[#This Row],[1]:[31]],"RTT")+(COUNTIF(Mai[[#This Row],[1]:[31]],"dRTT")/2)</f>
        <v>0</v>
      </c>
      <c r="AL9" s="109">
        <f>COUNTIF(Mai[[#This Row],[1]:[31]],"C")+(COUNTIF(Mai[[#This Row],[1]:[31]],"DC")/2)</f>
        <v>0</v>
      </c>
      <c r="AM9" s="22">
        <f>COUNTIF(Mai[[#This Row],[1]:[31]],"M")</f>
        <v>0</v>
      </c>
      <c r="AN9" s="22">
        <f>COUNTIF(Mai[[#This Row],[1]:[31]],"AT")</f>
        <v>0</v>
      </c>
      <c r="AO9" s="84">
        <f>IF(AND(Mai[[#This Row],[Maladie]]=0,Mai[[#This Row],[AT]]=0),((10*(_xlfn.DAYS("31/05/2018","01/05/2018")+1))/365),((_xlfn.DAYS("31/05/2018","01/05/2018")+1-(Mai[[#This Row],[Maladie]]+Mai[[#This Row],[AT]]))*((10*(_xlfn.DAYS("31/05/2018","01/05/2018")+1))/365))/(_xlfn.DAYS("31/05/2018","01/05/2018")+1))</f>
        <v>0.84931506849315064</v>
      </c>
    </row>
    <row r="10" spans="1:41" ht="30" customHeight="1" x14ac:dyDescent="0.2">
      <c r="A10" s="14" t="s">
        <v>66</v>
      </c>
      <c r="B10" s="22" t="s">
        <v>135</v>
      </c>
      <c r="C10" s="22" t="s">
        <v>136</v>
      </c>
      <c r="D10" s="22" t="s">
        <v>137</v>
      </c>
      <c r="E10" s="44">
        <v>0</v>
      </c>
      <c r="F10" s="47" t="str">
        <f>Global!DV10</f>
        <v/>
      </c>
      <c r="G10" s="31" t="str">
        <f>Global!DW10</f>
        <v/>
      </c>
      <c r="H10" s="31" t="str">
        <f>Global!DX10</f>
        <v/>
      </c>
      <c r="I10" s="31" t="str">
        <f>Global!DY10</f>
        <v/>
      </c>
      <c r="J10" s="31" t="str">
        <f>Global!DZ10</f>
        <v/>
      </c>
      <c r="K10" s="31" t="str">
        <f>Global!EA10</f>
        <v/>
      </c>
      <c r="L10" s="31" t="str">
        <f>Global!EB10</f>
        <v/>
      </c>
      <c r="M10" s="31" t="str">
        <f>Global!EC10</f>
        <v/>
      </c>
      <c r="N10" s="31" t="str">
        <f>Global!ED10</f>
        <v/>
      </c>
      <c r="O10" s="31" t="str">
        <f>Global!EE10</f>
        <v/>
      </c>
      <c r="P10" s="31" t="str">
        <f>Global!EF10</f>
        <v/>
      </c>
      <c r="Q10" s="31" t="str">
        <f>Global!EG10</f>
        <v/>
      </c>
      <c r="R10" s="31" t="str">
        <f>Global!EH10</f>
        <v/>
      </c>
      <c r="S10" s="31" t="str">
        <f>Global!EI10</f>
        <v/>
      </c>
      <c r="T10" s="31" t="str">
        <f>Global!EJ10</f>
        <v/>
      </c>
      <c r="U10" s="31" t="str">
        <f>Global!EK10</f>
        <v/>
      </c>
      <c r="V10" s="31" t="str">
        <f>Global!EL10</f>
        <v/>
      </c>
      <c r="W10" s="31" t="str">
        <f>Global!EM10</f>
        <v/>
      </c>
      <c r="X10" s="31" t="str">
        <f>Global!EN10</f>
        <v/>
      </c>
      <c r="Y10" s="31" t="str">
        <f>Global!EO10</f>
        <v/>
      </c>
      <c r="Z10" s="31" t="str">
        <f>Global!EP10</f>
        <v/>
      </c>
      <c r="AA10" s="31" t="str">
        <f>Global!EQ10</f>
        <v/>
      </c>
      <c r="AB10" s="31" t="str">
        <f>Global!ER10</f>
        <v/>
      </c>
      <c r="AC10" s="31" t="str">
        <f>Global!ES10</f>
        <v/>
      </c>
      <c r="AD10" s="31" t="str">
        <f>Global!ET10</f>
        <v/>
      </c>
      <c r="AE10" s="31" t="str">
        <f>Global!EU10</f>
        <v/>
      </c>
      <c r="AF10" s="31" t="str">
        <f>Global!EV10</f>
        <v/>
      </c>
      <c r="AG10" s="31" t="str">
        <f>Global!EW10</f>
        <v/>
      </c>
      <c r="AH10" s="31" t="str">
        <f>Global!EX10</f>
        <v/>
      </c>
      <c r="AI10" s="31" t="str">
        <f>Global!EY10</f>
        <v/>
      </c>
      <c r="AJ10" s="48" t="str">
        <f>Global!EZ10</f>
        <v/>
      </c>
      <c r="AK10" s="108">
        <f>COUNTIF(Mai[[#This Row],[1]:[31]],"RTT")+(COUNTIF(Mai[[#This Row],[1]:[31]],"dRTT")/2)</f>
        <v>0</v>
      </c>
      <c r="AL10" s="109">
        <f>COUNTIF(Mai[[#This Row],[1]:[31]],"C")+(COUNTIF(Mai[[#This Row],[1]:[31]],"DC")/2)</f>
        <v>0</v>
      </c>
      <c r="AM10" s="22">
        <f>COUNTIF(Mai[[#This Row],[1]:[31]],"M")</f>
        <v>0</v>
      </c>
      <c r="AN10" s="22">
        <f>COUNTIF(Mai[[#This Row],[1]:[31]],"AT")</f>
        <v>0</v>
      </c>
      <c r="AO10" s="84">
        <f>IF(AND(Mai[[#This Row],[Maladie]]=0,Mai[[#This Row],[AT]]=0),((10*(_xlfn.DAYS("31/05/2018","01/05/2018")+1))/365),((_xlfn.DAYS("31/05/2018","01/05/2018")+1-(Mai[[#This Row],[Maladie]]+Mai[[#This Row],[AT]]))*((10*(_xlfn.DAYS("31/05/2018","01/05/2018")+1))/365))/(_xlfn.DAYS("31/05/2018","01/05/2018")+1))</f>
        <v>0.84931506849315064</v>
      </c>
    </row>
    <row r="11" spans="1:41" ht="30" customHeight="1" x14ac:dyDescent="0.2">
      <c r="A11" s="15" t="s">
        <v>67</v>
      </c>
      <c r="B11" s="22" t="s">
        <v>138</v>
      </c>
      <c r="C11" s="22" t="s">
        <v>139</v>
      </c>
      <c r="D11" s="22" t="s">
        <v>140</v>
      </c>
      <c r="E11" s="44">
        <v>0</v>
      </c>
      <c r="F11" s="47" t="str">
        <f>Global!DV11</f>
        <v/>
      </c>
      <c r="G11" s="31" t="str">
        <f>Global!DW11</f>
        <v/>
      </c>
      <c r="H11" s="31" t="str">
        <f>Global!DX11</f>
        <v/>
      </c>
      <c r="I11" s="31" t="str">
        <f>Global!DY11</f>
        <v/>
      </c>
      <c r="J11" s="31" t="str">
        <f>Global!DZ11</f>
        <v/>
      </c>
      <c r="K11" s="31" t="str">
        <f>Global!EA11</f>
        <v/>
      </c>
      <c r="L11" s="31" t="str">
        <f>Global!EB11</f>
        <v/>
      </c>
      <c r="M11" s="31" t="str">
        <f>Global!EC11</f>
        <v/>
      </c>
      <c r="N11" s="31" t="str">
        <f>Global!ED11</f>
        <v/>
      </c>
      <c r="O11" s="31" t="str">
        <f>Global!EE11</f>
        <v/>
      </c>
      <c r="P11" s="31" t="str">
        <f>Global!EF11</f>
        <v>RTT</v>
      </c>
      <c r="Q11" s="31" t="str">
        <f>Global!EG11</f>
        <v/>
      </c>
      <c r="R11" s="31" t="str">
        <f>Global!EH11</f>
        <v/>
      </c>
      <c r="S11" s="31" t="str">
        <f>Global!EI11</f>
        <v/>
      </c>
      <c r="T11" s="31" t="str">
        <f>Global!EJ11</f>
        <v/>
      </c>
      <c r="U11" s="31" t="str">
        <f>Global!EK11</f>
        <v/>
      </c>
      <c r="V11" s="31" t="str">
        <f>Global!EL11</f>
        <v/>
      </c>
      <c r="W11" s="31" t="str">
        <f>Global!EM11</f>
        <v/>
      </c>
      <c r="X11" s="31" t="str">
        <f>Global!EN11</f>
        <v/>
      </c>
      <c r="Y11" s="31" t="str">
        <f>Global!EO11</f>
        <v/>
      </c>
      <c r="Z11" s="31" t="str">
        <f>Global!EP11</f>
        <v/>
      </c>
      <c r="AA11" s="31" t="str">
        <f>Global!EQ11</f>
        <v/>
      </c>
      <c r="AB11" s="31" t="str">
        <f>Global!ER11</f>
        <v/>
      </c>
      <c r="AC11" s="31" t="str">
        <f>Global!ES11</f>
        <v/>
      </c>
      <c r="AD11" s="31" t="str">
        <f>Global!ET11</f>
        <v/>
      </c>
      <c r="AE11" s="31" t="str">
        <f>Global!EU11</f>
        <v/>
      </c>
      <c r="AF11" s="31" t="str">
        <f>Global!EV11</f>
        <v/>
      </c>
      <c r="AG11" s="31" t="str">
        <f>Global!EW11</f>
        <v/>
      </c>
      <c r="AH11" s="31" t="str">
        <f>Global!EX11</f>
        <v/>
      </c>
      <c r="AI11" s="31" t="str">
        <f>Global!EY11</f>
        <v/>
      </c>
      <c r="AJ11" s="48" t="str">
        <f>Global!EZ11</f>
        <v/>
      </c>
      <c r="AK11" s="108">
        <f>COUNTIF(Mai[[#This Row],[1]:[31]],"RTT")+(COUNTIF(Mai[[#This Row],[1]:[31]],"dRTT")/2)</f>
        <v>1</v>
      </c>
      <c r="AL11" s="109">
        <f>COUNTIF(Mai[[#This Row],[1]:[31]],"C")+(COUNTIF(Mai[[#This Row],[1]:[31]],"DC")/2)</f>
        <v>0</v>
      </c>
      <c r="AM11" s="22">
        <f>COUNTIF(Mai[[#This Row],[1]:[31]],"M")</f>
        <v>0</v>
      </c>
      <c r="AN11" s="22">
        <f>COUNTIF(Mai[[#This Row],[1]:[31]],"AT")</f>
        <v>0</v>
      </c>
      <c r="AO11" s="84">
        <f>IF(AND(Mai[[#This Row],[Maladie]]=0,Mai[[#This Row],[AT]]=0),((10*(_xlfn.DAYS("31/05/2018","01/05/2018")+1))/365),((_xlfn.DAYS("31/05/2018","01/05/2018")+1-(Mai[[#This Row],[Maladie]]+Mai[[#This Row],[AT]]))*((10*(_xlfn.DAYS("31/05/2018","01/05/2018")+1))/365))/(_xlfn.DAYS("31/05/2018","01/05/2018")+1))</f>
        <v>0.84931506849315064</v>
      </c>
    </row>
    <row r="12" spans="1:41" ht="30" customHeight="1" x14ac:dyDescent="0.2">
      <c r="A12" s="15" t="s">
        <v>68</v>
      </c>
      <c r="B12" s="22" t="s">
        <v>141</v>
      </c>
      <c r="C12" s="22" t="s">
        <v>142</v>
      </c>
      <c r="D12" s="22" t="s">
        <v>143</v>
      </c>
      <c r="E12" s="44">
        <v>0</v>
      </c>
      <c r="F12" s="47" t="str">
        <f>Global!DV12</f>
        <v/>
      </c>
      <c r="G12" s="31" t="str">
        <f>Global!DW12</f>
        <v>C</v>
      </c>
      <c r="H12" s="31" t="str">
        <f>Global!DX12</f>
        <v>C</v>
      </c>
      <c r="I12" s="31" t="str">
        <f>Global!DY12</f>
        <v>C</v>
      </c>
      <c r="J12" s="31" t="str">
        <f>Global!DZ12</f>
        <v/>
      </c>
      <c r="K12" s="31" t="str">
        <f>Global!EA12</f>
        <v/>
      </c>
      <c r="L12" s="31" t="str">
        <f>Global!EB12</f>
        <v/>
      </c>
      <c r="M12" s="31" t="str">
        <f>Global!EC12</f>
        <v/>
      </c>
      <c r="N12" s="31" t="str">
        <f>Global!ED12</f>
        <v/>
      </c>
      <c r="O12" s="31" t="str">
        <f>Global!EE12</f>
        <v/>
      </c>
      <c r="P12" s="31" t="str">
        <f>Global!EF12</f>
        <v/>
      </c>
      <c r="Q12" s="31" t="str">
        <f>Global!EG12</f>
        <v/>
      </c>
      <c r="R12" s="31" t="str">
        <f>Global!EH12</f>
        <v/>
      </c>
      <c r="S12" s="31" t="str">
        <f>Global!EI12</f>
        <v/>
      </c>
      <c r="T12" s="31" t="str">
        <f>Global!EJ12</f>
        <v/>
      </c>
      <c r="U12" s="31" t="str">
        <f>Global!EK12</f>
        <v/>
      </c>
      <c r="V12" s="31" t="str">
        <f>Global!EL12</f>
        <v/>
      </c>
      <c r="W12" s="31" t="str">
        <f>Global!EM12</f>
        <v/>
      </c>
      <c r="X12" s="31" t="str">
        <f>Global!EN12</f>
        <v/>
      </c>
      <c r="Y12" s="31" t="str">
        <f>Global!EO12</f>
        <v/>
      </c>
      <c r="Z12" s="31" t="str">
        <f>Global!EP12</f>
        <v/>
      </c>
      <c r="AA12" s="31" t="str">
        <f>Global!EQ12</f>
        <v/>
      </c>
      <c r="AB12" s="31" t="str">
        <f>Global!ER12</f>
        <v/>
      </c>
      <c r="AC12" s="31" t="str">
        <f>Global!ES12</f>
        <v/>
      </c>
      <c r="AD12" s="31" t="str">
        <f>Global!ET12</f>
        <v/>
      </c>
      <c r="AE12" s="31" t="str">
        <f>Global!EU12</f>
        <v/>
      </c>
      <c r="AF12" s="31" t="str">
        <f>Global!EV12</f>
        <v/>
      </c>
      <c r="AG12" s="31" t="str">
        <f>Global!EW12</f>
        <v/>
      </c>
      <c r="AH12" s="31" t="str">
        <f>Global!EX12</f>
        <v/>
      </c>
      <c r="AI12" s="31" t="str">
        <f>Global!EY12</f>
        <v/>
      </c>
      <c r="AJ12" s="48" t="str">
        <f>Global!EZ12</f>
        <v/>
      </c>
      <c r="AK12" s="108">
        <f>COUNTIF(Mai[[#This Row],[1]:[31]],"RTT")+(COUNTIF(Mai[[#This Row],[1]:[31]],"dRTT")/2)</f>
        <v>0</v>
      </c>
      <c r="AL12" s="109">
        <f>COUNTIF(Mai[[#This Row],[1]:[31]],"C")+(COUNTIF(Mai[[#This Row],[1]:[31]],"DC")/2)</f>
        <v>3</v>
      </c>
      <c r="AM12" s="22">
        <f>COUNTIF(Mai[[#This Row],[1]:[31]],"M")</f>
        <v>0</v>
      </c>
      <c r="AN12" s="22">
        <f>COUNTIF(Mai[[#This Row],[1]:[31]],"AT")</f>
        <v>0</v>
      </c>
      <c r="AO12" s="84">
        <f>IF(AND(Mai[[#This Row],[Maladie]]=0,Mai[[#This Row],[AT]]=0),((10*(_xlfn.DAYS("31/05/2018","01/05/2018")+1))/365),((_xlfn.DAYS("31/05/2018","01/05/2018")+1-(Mai[[#This Row],[Maladie]]+Mai[[#This Row],[AT]]))*((10*(_xlfn.DAYS("31/05/2018","01/05/2018")+1))/365))/(_xlfn.DAYS("31/05/2018","01/05/2018")+1))</f>
        <v>0.84931506849315064</v>
      </c>
    </row>
    <row r="13" spans="1:41" ht="30" customHeight="1" x14ac:dyDescent="0.2">
      <c r="A13" s="13" t="s">
        <v>69</v>
      </c>
      <c r="B13" s="22" t="s">
        <v>144</v>
      </c>
      <c r="C13" s="22" t="s">
        <v>145</v>
      </c>
      <c r="D13" s="22" t="s">
        <v>146</v>
      </c>
      <c r="E13" s="44">
        <v>0</v>
      </c>
      <c r="F13" s="47" t="str">
        <f>Global!DV13</f>
        <v/>
      </c>
      <c r="G13" s="31" t="str">
        <f>Global!DW13</f>
        <v/>
      </c>
      <c r="H13" s="31" t="str">
        <f>Global!DX13</f>
        <v/>
      </c>
      <c r="I13" s="31" t="str">
        <f>Global!DY13</f>
        <v/>
      </c>
      <c r="J13" s="31" t="str">
        <f>Global!DZ13</f>
        <v/>
      </c>
      <c r="K13" s="31" t="str">
        <f>Global!EA13</f>
        <v/>
      </c>
      <c r="L13" s="31" t="str">
        <f>Global!EB13</f>
        <v>AT</v>
      </c>
      <c r="M13" s="31" t="str">
        <f>Global!EC13</f>
        <v>AT</v>
      </c>
      <c r="N13" s="31" t="str">
        <f>Global!ED13</f>
        <v>AT</v>
      </c>
      <c r="O13" s="31" t="str">
        <f>Global!EE13</f>
        <v>AT</v>
      </c>
      <c r="P13" s="31" t="str">
        <f>Global!EF13</f>
        <v>AT</v>
      </c>
      <c r="Q13" s="31" t="str">
        <f>Global!EG13</f>
        <v>AT</v>
      </c>
      <c r="R13" s="31" t="str">
        <f>Global!EH13</f>
        <v>AT</v>
      </c>
      <c r="S13" s="31" t="str">
        <f>Global!EI13</f>
        <v>AT</v>
      </c>
      <c r="T13" s="31" t="str">
        <f>Global!EJ13</f>
        <v>AT</v>
      </c>
      <c r="U13" s="31" t="str">
        <f>Global!EK13</f>
        <v>AT</v>
      </c>
      <c r="V13" s="31" t="str">
        <f>Global!EL13</f>
        <v>AT</v>
      </c>
      <c r="W13" s="31" t="str">
        <f>Global!EM13</f>
        <v>AT</v>
      </c>
      <c r="X13" s="31" t="str">
        <f>Global!EN13</f>
        <v>AT</v>
      </c>
      <c r="Y13" s="31" t="str">
        <f>Global!EO13</f>
        <v>AT</v>
      </c>
      <c r="Z13" s="31" t="str">
        <f>Global!EP13</f>
        <v>AT</v>
      </c>
      <c r="AA13" s="31" t="str">
        <f>Global!EQ13</f>
        <v>AT</v>
      </c>
      <c r="AB13" s="31" t="str">
        <f>Global!ER13</f>
        <v>AT</v>
      </c>
      <c r="AC13" s="31" t="str">
        <f>Global!ES13</f>
        <v>AT</v>
      </c>
      <c r="AD13" s="31" t="str">
        <f>Global!ET13</f>
        <v>AT</v>
      </c>
      <c r="AE13" s="31" t="str">
        <f>Global!EU13</f>
        <v>AT</v>
      </c>
      <c r="AF13" s="31" t="str">
        <f>Global!EV13</f>
        <v>AT</v>
      </c>
      <c r="AG13" s="31" t="str">
        <f>Global!EW13</f>
        <v>AT</v>
      </c>
      <c r="AH13" s="31" t="str">
        <f>Global!EX13</f>
        <v/>
      </c>
      <c r="AI13" s="31" t="str">
        <f>Global!EY13</f>
        <v/>
      </c>
      <c r="AJ13" s="48" t="str">
        <f>Global!EZ13</f>
        <v/>
      </c>
      <c r="AK13" s="108">
        <f>COUNTIF(Mai[[#This Row],[1]:[31]],"RTT")+(COUNTIF(Mai[[#This Row],[1]:[31]],"dRTT")/2)</f>
        <v>0</v>
      </c>
      <c r="AL13" s="109">
        <f>COUNTIF(Mai[[#This Row],[1]:[31]],"C")+(COUNTIF(Mai[[#This Row],[1]:[31]],"DC")/2)</f>
        <v>0</v>
      </c>
      <c r="AM13" s="22">
        <f>COUNTIF(Mai[[#This Row],[1]:[31]],"M")</f>
        <v>0</v>
      </c>
      <c r="AN13" s="22">
        <f>COUNTIF(Mai[[#This Row],[1]:[31]],"AT")</f>
        <v>22</v>
      </c>
      <c r="AO13" s="84">
        <f>IF(AND(Mai[[#This Row],[Maladie]]=0,Mai[[#This Row],[AT]]=0),((10*(_xlfn.DAYS("31/05/2018","01/05/2018")+1))/365),((_xlfn.DAYS("31/05/2018","01/05/2018")+1-(Mai[[#This Row],[Maladie]]+Mai[[#This Row],[AT]]))*((10*(_xlfn.DAYS("31/05/2018","01/05/2018")+1))/365))/(_xlfn.DAYS("31/05/2018","01/05/2018")+1))</f>
        <v>0.24657534246575341</v>
      </c>
    </row>
    <row r="14" spans="1:41" ht="30" customHeight="1" x14ac:dyDescent="0.2">
      <c r="A14" s="15" t="s">
        <v>70</v>
      </c>
      <c r="B14" s="22" t="s">
        <v>147</v>
      </c>
      <c r="C14" s="22" t="s">
        <v>148</v>
      </c>
      <c r="D14" s="22" t="s">
        <v>149</v>
      </c>
      <c r="E14" s="44">
        <v>0</v>
      </c>
      <c r="F14" s="47" t="str">
        <f>Global!DV14</f>
        <v>M</v>
      </c>
      <c r="G14" s="31" t="str">
        <f>Global!DW14</f>
        <v>M</v>
      </c>
      <c r="H14" s="31" t="str">
        <f>Global!DX14</f>
        <v>M</v>
      </c>
      <c r="I14" s="31" t="str">
        <f>Global!DY14</f>
        <v>M</v>
      </c>
      <c r="J14" s="31" t="str">
        <f>Global!DZ14</f>
        <v>M</v>
      </c>
      <c r="K14" s="31" t="str">
        <f>Global!EA14</f>
        <v>M</v>
      </c>
      <c r="L14" s="31" t="str">
        <f>Global!EB14</f>
        <v>M</v>
      </c>
      <c r="M14" s="31" t="str">
        <f>Global!EC14</f>
        <v>M</v>
      </c>
      <c r="N14" s="31" t="str">
        <f>Global!ED14</f>
        <v>M</v>
      </c>
      <c r="O14" s="31" t="str">
        <f>Global!EE14</f>
        <v>M</v>
      </c>
      <c r="P14" s="31" t="str">
        <f>Global!EF14</f>
        <v>M</v>
      </c>
      <c r="Q14" s="31" t="str">
        <f>Global!EG14</f>
        <v>M</v>
      </c>
      <c r="R14" s="31" t="str">
        <f>Global!EH14</f>
        <v>M</v>
      </c>
      <c r="S14" s="31" t="str">
        <f>Global!EI14</f>
        <v>M</v>
      </c>
      <c r="T14" s="31" t="str">
        <f>Global!EJ14</f>
        <v>M</v>
      </c>
      <c r="U14" s="31" t="str">
        <f>Global!EK14</f>
        <v>M</v>
      </c>
      <c r="V14" s="31" t="str">
        <f>Global!EL14</f>
        <v>M</v>
      </c>
      <c r="W14" s="31" t="str">
        <f>Global!EM14</f>
        <v>M</v>
      </c>
      <c r="X14" s="31" t="str">
        <f>Global!EN14</f>
        <v>M</v>
      </c>
      <c r="Y14" s="31" t="str">
        <f>Global!EO14</f>
        <v>M</v>
      </c>
      <c r="Z14" s="31" t="str">
        <f>Global!EP14</f>
        <v>M</v>
      </c>
      <c r="AA14" s="31" t="str">
        <f>Global!EQ14</f>
        <v>M</v>
      </c>
      <c r="AB14" s="31" t="str">
        <f>Global!ER14</f>
        <v>M</v>
      </c>
      <c r="AC14" s="31" t="str">
        <f>Global!ES14</f>
        <v>M</v>
      </c>
      <c r="AD14" s="31" t="str">
        <f>Global!ET14</f>
        <v>M</v>
      </c>
      <c r="AE14" s="31" t="str">
        <f>Global!EU14</f>
        <v>M</v>
      </c>
      <c r="AF14" s="31" t="str">
        <f>Global!EV14</f>
        <v>M</v>
      </c>
      <c r="AG14" s="31" t="str">
        <f>Global!EW14</f>
        <v>M</v>
      </c>
      <c r="AH14" s="31" t="str">
        <f>Global!EX14</f>
        <v>M</v>
      </c>
      <c r="AI14" s="31" t="str">
        <f>Global!EY14</f>
        <v>M</v>
      </c>
      <c r="AJ14" s="48" t="str">
        <f>Global!EZ14</f>
        <v>M</v>
      </c>
      <c r="AK14" s="108">
        <f>COUNTIF(Mai[[#This Row],[1]:[31]],"RTT")+(COUNTIF(Mai[[#This Row],[1]:[31]],"dRTT")/2)</f>
        <v>0</v>
      </c>
      <c r="AL14" s="109">
        <f>COUNTIF(Mai[[#This Row],[1]:[31]],"C")+(COUNTIF(Mai[[#This Row],[1]:[31]],"DC")/2)</f>
        <v>0</v>
      </c>
      <c r="AM14" s="22">
        <f>COUNTIF(Mai[[#This Row],[1]:[31]],"M")</f>
        <v>31</v>
      </c>
      <c r="AN14" s="22">
        <f>COUNTIF(Mai[[#This Row],[1]:[31]],"AT")</f>
        <v>0</v>
      </c>
      <c r="AO14" s="84">
        <f>IF(AND(Mai[[#This Row],[Maladie]]=0,Mai[[#This Row],[AT]]=0),((10*(_xlfn.DAYS("31/05/2018","01/05/2018")+1))/365),((_xlfn.DAYS("31/05/2018","01/05/2018")+1-(Mai[[#This Row],[Maladie]]+Mai[[#This Row],[AT]]))*((10*(_xlfn.DAYS("31/05/2018","01/05/2018")+1))/365))/(_xlfn.DAYS("31/05/2018","01/05/2018")+1))</f>
        <v>0</v>
      </c>
    </row>
    <row r="15" spans="1:41" ht="30" customHeight="1" x14ac:dyDescent="0.2">
      <c r="A15" s="15" t="s">
        <v>71</v>
      </c>
      <c r="B15" s="22" t="s">
        <v>150</v>
      </c>
      <c r="C15" s="22" t="s">
        <v>151</v>
      </c>
      <c r="D15" s="22" t="s">
        <v>152</v>
      </c>
      <c r="E15" s="44">
        <v>0</v>
      </c>
      <c r="F15" s="47" t="str">
        <f>Global!DV15</f>
        <v/>
      </c>
      <c r="G15" s="31" t="str">
        <f>Global!DW15</f>
        <v/>
      </c>
      <c r="H15" s="31" t="str">
        <f>Global!DX15</f>
        <v/>
      </c>
      <c r="I15" s="31" t="str">
        <f>Global!DY15</f>
        <v/>
      </c>
      <c r="J15" s="31" t="str">
        <f>Global!DZ15</f>
        <v/>
      </c>
      <c r="K15" s="31" t="str">
        <f>Global!EA15</f>
        <v/>
      </c>
      <c r="L15" s="31" t="str">
        <f>Global!EB15</f>
        <v/>
      </c>
      <c r="M15" s="31" t="str">
        <f>Global!EC15</f>
        <v/>
      </c>
      <c r="N15" s="31" t="str">
        <f>Global!ED15</f>
        <v/>
      </c>
      <c r="O15" s="31" t="str">
        <f>Global!EE15</f>
        <v/>
      </c>
      <c r="P15" s="31" t="str">
        <f>Global!EF15</f>
        <v/>
      </c>
      <c r="Q15" s="31" t="str">
        <f>Global!EG15</f>
        <v/>
      </c>
      <c r="R15" s="31" t="str">
        <f>Global!EH15</f>
        <v/>
      </c>
      <c r="S15" s="31" t="str">
        <f>Global!EI15</f>
        <v>C</v>
      </c>
      <c r="T15" s="31" t="str">
        <f>Global!EJ15</f>
        <v/>
      </c>
      <c r="U15" s="31" t="str">
        <f>Global!EK15</f>
        <v/>
      </c>
      <c r="V15" s="31" t="str">
        <f>Global!EL15</f>
        <v/>
      </c>
      <c r="W15" s="31" t="str">
        <f>Global!EM15</f>
        <v/>
      </c>
      <c r="X15" s="31" t="str">
        <f>Global!EN15</f>
        <v/>
      </c>
      <c r="Y15" s="31" t="str">
        <f>Global!EO15</f>
        <v/>
      </c>
      <c r="Z15" s="31" t="str">
        <f>Global!EP15</f>
        <v/>
      </c>
      <c r="AA15" s="31" t="str">
        <f>Global!EQ15</f>
        <v/>
      </c>
      <c r="AB15" s="31" t="str">
        <f>Global!ER15</f>
        <v/>
      </c>
      <c r="AC15" s="31" t="str">
        <f>Global!ES15</f>
        <v/>
      </c>
      <c r="AD15" s="31" t="str">
        <f>Global!ET15</f>
        <v/>
      </c>
      <c r="AE15" s="31" t="str">
        <f>Global!EU15</f>
        <v/>
      </c>
      <c r="AF15" s="31" t="str">
        <f>Global!EV15</f>
        <v/>
      </c>
      <c r="AG15" s="31" t="str">
        <f>Global!EW15</f>
        <v/>
      </c>
      <c r="AH15" s="31" t="str">
        <f>Global!EX15</f>
        <v/>
      </c>
      <c r="AI15" s="31" t="str">
        <f>Global!EY15</f>
        <v/>
      </c>
      <c r="AJ15" s="48" t="str">
        <f>Global!EZ15</f>
        <v/>
      </c>
      <c r="AK15" s="108">
        <f>COUNTIF(Mai[[#This Row],[1]:[31]],"RTT")+(COUNTIF(Mai[[#This Row],[1]:[31]],"dRTT")/2)</f>
        <v>0</v>
      </c>
      <c r="AL15" s="109">
        <f>COUNTIF(Mai[[#This Row],[1]:[31]],"C")+(COUNTIF(Mai[[#This Row],[1]:[31]],"DC")/2)</f>
        <v>1</v>
      </c>
      <c r="AM15" s="22">
        <f>COUNTIF(Mai[[#This Row],[1]:[31]],"M")</f>
        <v>0</v>
      </c>
      <c r="AN15" s="22">
        <f>COUNTIF(Mai[[#This Row],[1]:[31]],"AT")</f>
        <v>0</v>
      </c>
      <c r="AO15" s="84">
        <f>IF(AND(Mai[[#This Row],[Maladie]]=0,Mai[[#This Row],[AT]]=0),((10*(_xlfn.DAYS("31/05/2018","01/05/2018")+1))/365),((_xlfn.DAYS("31/05/2018","01/05/2018")+1-(Mai[[#This Row],[Maladie]]+Mai[[#This Row],[AT]]))*((10*(_xlfn.DAYS("31/05/2018","01/05/2018")+1))/365))/(_xlfn.DAYS("31/05/2018","01/05/2018")+1))</f>
        <v>0.84931506849315064</v>
      </c>
    </row>
    <row r="16" spans="1:41" ht="30" customHeight="1" x14ac:dyDescent="0.2">
      <c r="A16" s="15" t="s">
        <v>72</v>
      </c>
      <c r="B16" s="22" t="s">
        <v>153</v>
      </c>
      <c r="C16" s="22" t="s">
        <v>154</v>
      </c>
      <c r="D16" s="22" t="s">
        <v>155</v>
      </c>
      <c r="E16" s="44">
        <v>0</v>
      </c>
      <c r="F16" s="47" t="str">
        <f>Global!DV16</f>
        <v/>
      </c>
      <c r="G16" s="31" t="str">
        <f>Global!DW16</f>
        <v/>
      </c>
      <c r="H16" s="31" t="str">
        <f>Global!DX16</f>
        <v/>
      </c>
      <c r="I16" s="31" t="str">
        <f>Global!DY16</f>
        <v/>
      </c>
      <c r="J16" s="31" t="str">
        <f>Global!DZ16</f>
        <v/>
      </c>
      <c r="K16" s="31" t="str">
        <f>Global!EA16</f>
        <v/>
      </c>
      <c r="L16" s="31" t="str">
        <f>Global!EB16</f>
        <v/>
      </c>
      <c r="M16" s="31" t="str">
        <f>Global!EC16</f>
        <v/>
      </c>
      <c r="N16" s="31" t="str">
        <f>Global!ED16</f>
        <v/>
      </c>
      <c r="O16" s="31" t="str">
        <f>Global!EE16</f>
        <v/>
      </c>
      <c r="P16" s="31" t="str">
        <f>Global!EF16</f>
        <v/>
      </c>
      <c r="Q16" s="31" t="str">
        <f>Global!EG16</f>
        <v/>
      </c>
      <c r="R16" s="31" t="str">
        <f>Global!EH16</f>
        <v/>
      </c>
      <c r="S16" s="31" t="str">
        <f>Global!EI16</f>
        <v/>
      </c>
      <c r="T16" s="31" t="str">
        <f>Global!EJ16</f>
        <v/>
      </c>
      <c r="U16" s="31" t="str">
        <f>Global!EK16</f>
        <v>C</v>
      </c>
      <c r="V16" s="31" t="str">
        <f>Global!EL16</f>
        <v/>
      </c>
      <c r="W16" s="31" t="str">
        <f>Global!EM16</f>
        <v/>
      </c>
      <c r="X16" s="31" t="str">
        <f>Global!EN16</f>
        <v/>
      </c>
      <c r="Y16" s="31" t="str">
        <f>Global!EO16</f>
        <v/>
      </c>
      <c r="Z16" s="31" t="str">
        <f>Global!EP16</f>
        <v>RTT</v>
      </c>
      <c r="AA16" s="31" t="str">
        <f>Global!EQ16</f>
        <v/>
      </c>
      <c r="AB16" s="31" t="str">
        <f>Global!ER16</f>
        <v/>
      </c>
      <c r="AC16" s="31" t="str">
        <f>Global!ES16</f>
        <v/>
      </c>
      <c r="AD16" s="31" t="str">
        <f>Global!ET16</f>
        <v/>
      </c>
      <c r="AE16" s="31" t="str">
        <f>Global!EU16</f>
        <v/>
      </c>
      <c r="AF16" s="31" t="str">
        <f>Global!EV16</f>
        <v/>
      </c>
      <c r="AG16" s="31" t="str">
        <f>Global!EW16</f>
        <v/>
      </c>
      <c r="AH16" s="31" t="str">
        <f>Global!EX16</f>
        <v/>
      </c>
      <c r="AI16" s="31" t="str">
        <f>Global!EY16</f>
        <v/>
      </c>
      <c r="AJ16" s="48" t="str">
        <f>Global!EZ16</f>
        <v/>
      </c>
      <c r="AK16" s="108">
        <f>COUNTIF(Mai[[#This Row],[1]:[31]],"RTT")+(COUNTIF(Mai[[#This Row],[1]:[31]],"dRTT")/2)</f>
        <v>1</v>
      </c>
      <c r="AL16" s="109">
        <f>COUNTIF(Mai[[#This Row],[1]:[31]],"C")+(COUNTIF(Mai[[#This Row],[1]:[31]],"DC")/2)</f>
        <v>1</v>
      </c>
      <c r="AM16" s="22">
        <f>COUNTIF(Mai[[#This Row],[1]:[31]],"M")</f>
        <v>0</v>
      </c>
      <c r="AN16" s="22">
        <f>COUNTIF(Mai[[#This Row],[1]:[31]],"AT")</f>
        <v>0</v>
      </c>
      <c r="AO16" s="84">
        <f>IF(AND(Mai[[#This Row],[Maladie]]=0,Mai[[#This Row],[AT]]=0),((10*(_xlfn.DAYS("31/05/2018","01/05/2018")+1))/365),((_xlfn.DAYS("31/05/2018","01/05/2018")+1-(Mai[[#This Row],[Maladie]]+Mai[[#This Row],[AT]]))*((10*(_xlfn.DAYS("31/05/2018","01/05/2018")+1))/365))/(_xlfn.DAYS("31/05/2018","01/05/2018")+1))</f>
        <v>0.84931506849315064</v>
      </c>
    </row>
    <row r="17" spans="1:41" ht="30" customHeight="1" x14ac:dyDescent="0.2">
      <c r="A17" s="15" t="s">
        <v>73</v>
      </c>
      <c r="B17" s="22" t="s">
        <v>156</v>
      </c>
      <c r="C17" s="22" t="s">
        <v>157</v>
      </c>
      <c r="D17" s="22" t="s">
        <v>158</v>
      </c>
      <c r="E17" s="44">
        <v>0</v>
      </c>
      <c r="F17" s="47" t="str">
        <f>Global!DV17</f>
        <v/>
      </c>
      <c r="G17" s="31" t="str">
        <f>Global!DW17</f>
        <v/>
      </c>
      <c r="H17" s="31" t="str">
        <f>Global!DX17</f>
        <v/>
      </c>
      <c r="I17" s="31" t="str">
        <f>Global!DY17</f>
        <v/>
      </c>
      <c r="J17" s="31" t="str">
        <f>Global!DZ17</f>
        <v/>
      </c>
      <c r="K17" s="31" t="str">
        <f>Global!EA17</f>
        <v/>
      </c>
      <c r="L17" s="31" t="str">
        <f>Global!EB17</f>
        <v/>
      </c>
      <c r="M17" s="31" t="str">
        <f>Global!EC17</f>
        <v/>
      </c>
      <c r="N17" s="31" t="str">
        <f>Global!ED17</f>
        <v/>
      </c>
      <c r="O17" s="31" t="str">
        <f>Global!EE17</f>
        <v/>
      </c>
      <c r="P17" s="31" t="str">
        <f>Global!EF17</f>
        <v/>
      </c>
      <c r="Q17" s="31" t="str">
        <f>Global!EG17</f>
        <v/>
      </c>
      <c r="R17" s="31" t="str">
        <f>Global!EH17</f>
        <v/>
      </c>
      <c r="S17" s="31" t="str">
        <f>Global!EI17</f>
        <v/>
      </c>
      <c r="T17" s="31" t="str">
        <f>Global!EJ17</f>
        <v/>
      </c>
      <c r="U17" s="31" t="str">
        <f>Global!EK17</f>
        <v/>
      </c>
      <c r="V17" s="31" t="str">
        <f>Global!EL17</f>
        <v/>
      </c>
      <c r="W17" s="31" t="str">
        <f>Global!EM17</f>
        <v/>
      </c>
      <c r="X17" s="31" t="str">
        <f>Global!EN17</f>
        <v/>
      </c>
      <c r="Y17" s="31" t="str">
        <f>Global!EO17</f>
        <v/>
      </c>
      <c r="Z17" s="31" t="str">
        <f>Global!EP17</f>
        <v/>
      </c>
      <c r="AA17" s="31" t="str">
        <f>Global!EQ17</f>
        <v/>
      </c>
      <c r="AB17" s="31" t="str">
        <f>Global!ER17</f>
        <v/>
      </c>
      <c r="AC17" s="31" t="str">
        <f>Global!ES17</f>
        <v/>
      </c>
      <c r="AD17" s="31" t="str">
        <f>Global!ET17</f>
        <v/>
      </c>
      <c r="AE17" s="31" t="str">
        <f>Global!EU17</f>
        <v/>
      </c>
      <c r="AF17" s="31" t="str">
        <f>Global!EV17</f>
        <v/>
      </c>
      <c r="AG17" s="31" t="str">
        <f>Global!EW17</f>
        <v/>
      </c>
      <c r="AH17" s="31" t="str">
        <f>Global!EX17</f>
        <v/>
      </c>
      <c r="AI17" s="31" t="str">
        <f>Global!EY17</f>
        <v/>
      </c>
      <c r="AJ17" s="48" t="str">
        <f>Global!EZ17</f>
        <v/>
      </c>
      <c r="AK17" s="108">
        <f>COUNTIF(Mai[[#This Row],[1]:[31]],"RTT")+(COUNTIF(Mai[[#This Row],[1]:[31]],"dRTT")/2)</f>
        <v>0</v>
      </c>
      <c r="AL17" s="109">
        <f>COUNTIF(Mai[[#This Row],[1]:[31]],"C")+(COUNTIF(Mai[[#This Row],[1]:[31]],"DC")/2)</f>
        <v>0</v>
      </c>
      <c r="AM17" s="22">
        <f>COUNTIF(Mai[[#This Row],[1]:[31]],"M")</f>
        <v>0</v>
      </c>
      <c r="AN17" s="22">
        <f>COUNTIF(Mai[[#This Row],[1]:[31]],"AT")</f>
        <v>0</v>
      </c>
      <c r="AO17" s="84">
        <f>IF(AND(Mai[[#This Row],[Maladie]]=0,Mai[[#This Row],[AT]]=0),((10*(_xlfn.DAYS("31/05/2018","01/05/2018")+1))/365),((_xlfn.DAYS("31/05/2018","01/05/2018")+1-(Mai[[#This Row],[Maladie]]+Mai[[#This Row],[AT]]))*((10*(_xlfn.DAYS("31/05/2018","01/05/2018")+1))/365))/(_xlfn.DAYS("31/05/2018","01/05/2018")+1))</f>
        <v>0.84931506849315064</v>
      </c>
    </row>
    <row r="18" spans="1:41" ht="30" customHeight="1" x14ac:dyDescent="0.2">
      <c r="A18" s="15" t="s">
        <v>74</v>
      </c>
      <c r="B18" s="22" t="s">
        <v>159</v>
      </c>
      <c r="C18" s="22" t="s">
        <v>160</v>
      </c>
      <c r="D18" s="22" t="s">
        <v>161</v>
      </c>
      <c r="E18" s="44" t="s">
        <v>162</v>
      </c>
      <c r="F18" s="47" t="str">
        <f>Global!DV18</f>
        <v/>
      </c>
      <c r="G18" s="31" t="str">
        <f>Global!DW18</f>
        <v/>
      </c>
      <c r="H18" s="31" t="str">
        <f>Global!DX18</f>
        <v/>
      </c>
      <c r="I18" s="31" t="str">
        <f>Global!DY18</f>
        <v/>
      </c>
      <c r="J18" s="31" t="str">
        <f>Global!DZ18</f>
        <v/>
      </c>
      <c r="K18" s="31" t="str">
        <f>Global!EA18</f>
        <v/>
      </c>
      <c r="L18" s="31" t="str">
        <f>Global!EB18</f>
        <v/>
      </c>
      <c r="M18" s="31" t="str">
        <f>Global!EC18</f>
        <v/>
      </c>
      <c r="N18" s="31" t="str">
        <f>Global!ED18</f>
        <v/>
      </c>
      <c r="O18" s="31" t="str">
        <f>Global!EE18</f>
        <v/>
      </c>
      <c r="P18" s="31" t="str">
        <f>Global!EF18</f>
        <v/>
      </c>
      <c r="Q18" s="31" t="str">
        <f>Global!EG18</f>
        <v/>
      </c>
      <c r="R18" s="31" t="str">
        <f>Global!EH18</f>
        <v/>
      </c>
      <c r="S18" s="31" t="str">
        <f>Global!EI18</f>
        <v/>
      </c>
      <c r="T18" s="31" t="str">
        <f>Global!EJ18</f>
        <v/>
      </c>
      <c r="U18" s="31" t="str">
        <f>Global!EK18</f>
        <v/>
      </c>
      <c r="V18" s="31" t="str">
        <f>Global!EL18</f>
        <v/>
      </c>
      <c r="W18" s="31" t="str">
        <f>Global!EM18</f>
        <v/>
      </c>
      <c r="X18" s="31" t="str">
        <f>Global!EN18</f>
        <v/>
      </c>
      <c r="Y18" s="31" t="str">
        <f>Global!EO18</f>
        <v/>
      </c>
      <c r="Z18" s="31" t="str">
        <f>Global!EP18</f>
        <v/>
      </c>
      <c r="AA18" s="31" t="str">
        <f>Global!EQ18</f>
        <v/>
      </c>
      <c r="AB18" s="31" t="str">
        <f>Global!ER18</f>
        <v/>
      </c>
      <c r="AC18" s="31" t="str">
        <f>Global!ES18</f>
        <v/>
      </c>
      <c r="AD18" s="31" t="str">
        <f>Global!ET18</f>
        <v/>
      </c>
      <c r="AE18" s="31" t="str">
        <f>Global!EU18</f>
        <v/>
      </c>
      <c r="AF18" s="31" t="str">
        <f>Global!EV18</f>
        <v/>
      </c>
      <c r="AG18" s="31" t="str">
        <f>Global!EW18</f>
        <v/>
      </c>
      <c r="AH18" s="31" t="str">
        <f>Global!EX18</f>
        <v/>
      </c>
      <c r="AI18" s="31" t="str">
        <f>Global!EY18</f>
        <v/>
      </c>
      <c r="AJ18" s="48" t="str">
        <f>Global!EZ18</f>
        <v/>
      </c>
      <c r="AK18" s="108">
        <f>COUNTIF(Mai[[#This Row],[1]:[31]],"RTT")+(COUNTIF(Mai[[#This Row],[1]:[31]],"dRTT")/2)</f>
        <v>0</v>
      </c>
      <c r="AL18" s="109">
        <f>COUNTIF(Mai[[#This Row],[1]:[31]],"C")+(COUNTIF(Mai[[#This Row],[1]:[31]],"DC")/2)</f>
        <v>0</v>
      </c>
      <c r="AM18" s="22">
        <f>COUNTIF(Mai[[#This Row],[1]:[31]],"M")</f>
        <v>0</v>
      </c>
      <c r="AN18" s="22">
        <f>COUNTIF(Mai[[#This Row],[1]:[31]],"AT")</f>
        <v>0</v>
      </c>
      <c r="AO18" s="84">
        <f>IF(AND(Mai[[#This Row],[Maladie]]=0,Mai[[#This Row],[AT]]=0),((10*(_xlfn.DAYS("31/05/2018","01/05/2018")+1))/365),((_xlfn.DAYS("31/05/2018","01/05/2018")+1-(Mai[[#This Row],[Maladie]]+Mai[[#This Row],[AT]]))*((10*(_xlfn.DAYS("31/05/2018","01/05/2018")+1))/365))/(_xlfn.DAYS("31/05/2018","01/05/2018")+1))</f>
        <v>0.84931506849315064</v>
      </c>
    </row>
    <row r="19" spans="1:41" ht="30" customHeight="1" x14ac:dyDescent="0.2">
      <c r="A19" s="15" t="s">
        <v>75</v>
      </c>
      <c r="B19" s="22" t="s">
        <v>163</v>
      </c>
      <c r="C19" s="22" t="s">
        <v>164</v>
      </c>
      <c r="D19" s="22" t="s">
        <v>165</v>
      </c>
      <c r="E19" s="44">
        <v>0</v>
      </c>
      <c r="F19" s="47" t="str">
        <f>Global!DV19</f>
        <v/>
      </c>
      <c r="G19" s="31" t="str">
        <f>Global!DW19</f>
        <v/>
      </c>
      <c r="H19" s="31" t="str">
        <f>Global!DX19</f>
        <v/>
      </c>
      <c r="I19" s="31" t="str">
        <f>Global!DY19</f>
        <v/>
      </c>
      <c r="J19" s="31" t="str">
        <f>Global!DZ19</f>
        <v/>
      </c>
      <c r="K19" s="31" t="str">
        <f>Global!EA19</f>
        <v/>
      </c>
      <c r="L19" s="31" t="str">
        <f>Global!EB19</f>
        <v/>
      </c>
      <c r="M19" s="31" t="str">
        <f>Global!EC19</f>
        <v/>
      </c>
      <c r="N19" s="31" t="str">
        <f>Global!ED19</f>
        <v/>
      </c>
      <c r="O19" s="31" t="str">
        <f>Global!EE19</f>
        <v/>
      </c>
      <c r="P19" s="31" t="str">
        <f>Global!EF19</f>
        <v/>
      </c>
      <c r="Q19" s="31" t="str">
        <f>Global!EG19</f>
        <v/>
      </c>
      <c r="R19" s="31" t="str">
        <f>Global!EH19</f>
        <v/>
      </c>
      <c r="S19" s="31" t="str">
        <f>Global!EI19</f>
        <v/>
      </c>
      <c r="T19" s="31" t="str">
        <f>Global!EJ19</f>
        <v/>
      </c>
      <c r="U19" s="31" t="str">
        <f>Global!EK19</f>
        <v/>
      </c>
      <c r="V19" s="31" t="str">
        <f>Global!EL19</f>
        <v/>
      </c>
      <c r="W19" s="31" t="str">
        <f>Global!EM19</f>
        <v/>
      </c>
      <c r="X19" s="31" t="str">
        <f>Global!EN19</f>
        <v/>
      </c>
      <c r="Y19" s="31" t="str">
        <f>Global!EO19</f>
        <v/>
      </c>
      <c r="Z19" s="31" t="str">
        <f>Global!EP19</f>
        <v/>
      </c>
      <c r="AA19" s="31" t="str">
        <f>Global!EQ19</f>
        <v/>
      </c>
      <c r="AB19" s="31" t="str">
        <f>Global!ER19</f>
        <v/>
      </c>
      <c r="AC19" s="31" t="str">
        <f>Global!ES19</f>
        <v/>
      </c>
      <c r="AD19" s="31" t="str">
        <f>Global!ET19</f>
        <v/>
      </c>
      <c r="AE19" s="31" t="str">
        <f>Global!EU19</f>
        <v/>
      </c>
      <c r="AF19" s="31" t="str">
        <f>Global!EV19</f>
        <v/>
      </c>
      <c r="AG19" s="31" t="str">
        <f>Global!EW19</f>
        <v/>
      </c>
      <c r="AH19" s="31" t="str">
        <f>Global!EX19</f>
        <v/>
      </c>
      <c r="AI19" s="31" t="str">
        <f>Global!EY19</f>
        <v/>
      </c>
      <c r="AJ19" s="48" t="str">
        <f>Global!EZ19</f>
        <v/>
      </c>
      <c r="AK19" s="108">
        <f>COUNTIF(Mai[[#This Row],[1]:[31]],"RTT")+(COUNTIF(Mai[[#This Row],[1]:[31]],"dRTT")/2)</f>
        <v>0</v>
      </c>
      <c r="AL19" s="109">
        <f>COUNTIF(Mai[[#This Row],[1]:[31]],"C")+(COUNTIF(Mai[[#This Row],[1]:[31]],"DC")/2)</f>
        <v>0</v>
      </c>
      <c r="AM19" s="22">
        <f>COUNTIF(Mai[[#This Row],[1]:[31]],"M")</f>
        <v>0</v>
      </c>
      <c r="AN19" s="22">
        <f>COUNTIF(Mai[[#This Row],[1]:[31]],"AT")</f>
        <v>0</v>
      </c>
      <c r="AO19" s="84">
        <f>IF(AND(Mai[[#This Row],[Maladie]]=0,Mai[[#This Row],[AT]]=0),((10*(_xlfn.DAYS("31/05/2018","01/05/2018")+1))/365),((_xlfn.DAYS("31/05/2018","01/05/2018")+1-(Mai[[#This Row],[Maladie]]+Mai[[#This Row],[AT]]))*((10*(_xlfn.DAYS("31/05/2018","01/05/2018")+1))/365))/(_xlfn.DAYS("31/05/2018","01/05/2018")+1))</f>
        <v>0.84931506849315064</v>
      </c>
    </row>
    <row r="20" spans="1:41" ht="30" customHeight="1" x14ac:dyDescent="0.2">
      <c r="A20" s="15" t="s">
        <v>76</v>
      </c>
      <c r="B20" s="22" t="s">
        <v>166</v>
      </c>
      <c r="C20" s="22" t="s">
        <v>151</v>
      </c>
      <c r="D20" s="22" t="s">
        <v>167</v>
      </c>
      <c r="E20" s="44">
        <v>0</v>
      </c>
      <c r="F20" s="47" t="str">
        <f>Global!DV20</f>
        <v/>
      </c>
      <c r="G20" s="31" t="str">
        <f>Global!DW20</f>
        <v/>
      </c>
      <c r="H20" s="31" t="str">
        <f>Global!DX20</f>
        <v/>
      </c>
      <c r="I20" s="31" t="str">
        <f>Global!DY20</f>
        <v/>
      </c>
      <c r="J20" s="31" t="str">
        <f>Global!DZ20</f>
        <v/>
      </c>
      <c r="K20" s="31" t="str">
        <f>Global!EA20</f>
        <v/>
      </c>
      <c r="L20" s="31" t="str">
        <f>Global!EB20</f>
        <v>C</v>
      </c>
      <c r="M20" s="31" t="str">
        <f>Global!EC20</f>
        <v/>
      </c>
      <c r="N20" s="31" t="str">
        <f>Global!ED20</f>
        <v>C</v>
      </c>
      <c r="O20" s="31" t="str">
        <f>Global!EE20</f>
        <v/>
      </c>
      <c r="P20" s="31" t="str">
        <f>Global!EF20</f>
        <v/>
      </c>
      <c r="Q20" s="31" t="str">
        <f>Global!EG20</f>
        <v/>
      </c>
      <c r="R20" s="31" t="str">
        <f>Global!EH20</f>
        <v/>
      </c>
      <c r="S20" s="31" t="str">
        <f>Global!EI20</f>
        <v/>
      </c>
      <c r="T20" s="31" t="str">
        <f>Global!EJ20</f>
        <v/>
      </c>
      <c r="U20" s="31" t="str">
        <f>Global!EK20</f>
        <v/>
      </c>
      <c r="V20" s="31" t="str">
        <f>Global!EL20</f>
        <v/>
      </c>
      <c r="W20" s="31" t="str">
        <f>Global!EM20</f>
        <v/>
      </c>
      <c r="X20" s="31" t="str">
        <f>Global!EN20</f>
        <v/>
      </c>
      <c r="Y20" s="31" t="str">
        <f>Global!EO20</f>
        <v/>
      </c>
      <c r="Z20" s="31" t="str">
        <f>Global!EP20</f>
        <v/>
      </c>
      <c r="AA20" s="31" t="str">
        <f>Global!EQ20</f>
        <v/>
      </c>
      <c r="AB20" s="31" t="str">
        <f>Global!ER20</f>
        <v/>
      </c>
      <c r="AC20" s="31" t="str">
        <f>Global!ES20</f>
        <v/>
      </c>
      <c r="AD20" s="31" t="str">
        <f>Global!ET20</f>
        <v/>
      </c>
      <c r="AE20" s="31" t="str">
        <f>Global!EU20</f>
        <v/>
      </c>
      <c r="AF20" s="31" t="str">
        <f>Global!EV20</f>
        <v/>
      </c>
      <c r="AG20" s="31" t="str">
        <f>Global!EW20</f>
        <v/>
      </c>
      <c r="AH20" s="31" t="str">
        <f>Global!EX20</f>
        <v/>
      </c>
      <c r="AI20" s="31" t="str">
        <f>Global!EY20</f>
        <v/>
      </c>
      <c r="AJ20" s="48" t="str">
        <f>Global!EZ20</f>
        <v/>
      </c>
      <c r="AK20" s="108">
        <f>COUNTIF(Mai[[#This Row],[1]:[31]],"RTT")+(COUNTIF(Mai[[#This Row],[1]:[31]],"dRTT")/2)</f>
        <v>0</v>
      </c>
      <c r="AL20" s="109">
        <f>COUNTIF(Mai[[#This Row],[1]:[31]],"C")+(COUNTIF(Mai[[#This Row],[1]:[31]],"DC")/2)</f>
        <v>2</v>
      </c>
      <c r="AM20" s="22">
        <f>COUNTIF(Mai[[#This Row],[1]:[31]],"M")</f>
        <v>0</v>
      </c>
      <c r="AN20" s="22">
        <f>COUNTIF(Mai[[#This Row],[1]:[31]],"AT")</f>
        <v>0</v>
      </c>
      <c r="AO20" s="84">
        <f>IF(AND(Mai[[#This Row],[Maladie]]=0,Mai[[#This Row],[AT]]=0),((10*(_xlfn.DAYS("31/05/2018","01/05/2018")+1))/365),((_xlfn.DAYS("31/05/2018","01/05/2018")+1-(Mai[[#This Row],[Maladie]]+Mai[[#This Row],[AT]]))*((10*(_xlfn.DAYS("31/05/2018","01/05/2018")+1))/365))/(_xlfn.DAYS("31/05/2018","01/05/2018")+1))</f>
        <v>0.84931506849315064</v>
      </c>
    </row>
    <row r="21" spans="1:41" ht="30" customHeight="1" x14ac:dyDescent="0.2">
      <c r="A21" s="15" t="s">
        <v>77</v>
      </c>
      <c r="B21" s="22" t="s">
        <v>168</v>
      </c>
      <c r="C21" s="22" t="s">
        <v>169</v>
      </c>
      <c r="D21" s="22" t="s">
        <v>170</v>
      </c>
      <c r="E21" s="44">
        <v>0</v>
      </c>
      <c r="F21" s="47" t="str">
        <f>Global!DV21</f>
        <v/>
      </c>
      <c r="G21" s="31" t="str">
        <f>Global!DW21</f>
        <v/>
      </c>
      <c r="H21" s="31" t="str">
        <f>Global!DX21</f>
        <v>M</v>
      </c>
      <c r="I21" s="31" t="str">
        <f>Global!DY21</f>
        <v>M</v>
      </c>
      <c r="J21" s="31" t="str">
        <f>Global!DZ21</f>
        <v>M</v>
      </c>
      <c r="K21" s="31" t="str">
        <f>Global!EA21</f>
        <v>M</v>
      </c>
      <c r="L21" s="31" t="str">
        <f>Global!EB21</f>
        <v/>
      </c>
      <c r="M21" s="31" t="str">
        <f>Global!EC21</f>
        <v/>
      </c>
      <c r="N21" s="31" t="str">
        <f>Global!ED21</f>
        <v/>
      </c>
      <c r="O21" s="31" t="str">
        <f>Global!EE21</f>
        <v/>
      </c>
      <c r="P21" s="31" t="str">
        <f>Global!EF21</f>
        <v/>
      </c>
      <c r="Q21" s="31" t="str">
        <f>Global!EG21</f>
        <v/>
      </c>
      <c r="R21" s="31" t="str">
        <f>Global!EH21</f>
        <v/>
      </c>
      <c r="S21" s="31" t="str">
        <f>Global!EI21</f>
        <v/>
      </c>
      <c r="T21" s="31" t="str">
        <f>Global!EJ21</f>
        <v/>
      </c>
      <c r="U21" s="31" t="str">
        <f>Global!EK21</f>
        <v/>
      </c>
      <c r="V21" s="31" t="str">
        <f>Global!EL21</f>
        <v/>
      </c>
      <c r="W21" s="31" t="str">
        <f>Global!EM21</f>
        <v/>
      </c>
      <c r="X21" s="31" t="str">
        <f>Global!EN21</f>
        <v/>
      </c>
      <c r="Y21" s="31" t="str">
        <f>Global!EO21</f>
        <v/>
      </c>
      <c r="Z21" s="31" t="str">
        <f>Global!EP21</f>
        <v/>
      </c>
      <c r="AA21" s="31" t="str">
        <f>Global!EQ21</f>
        <v/>
      </c>
      <c r="AB21" s="31" t="str">
        <f>Global!ER21</f>
        <v/>
      </c>
      <c r="AC21" s="31" t="str">
        <f>Global!ES21</f>
        <v/>
      </c>
      <c r="AD21" s="31" t="str">
        <f>Global!ET21</f>
        <v/>
      </c>
      <c r="AE21" s="31" t="str">
        <f>Global!EU21</f>
        <v/>
      </c>
      <c r="AF21" s="31" t="str">
        <f>Global!EV21</f>
        <v/>
      </c>
      <c r="AG21" s="31" t="str">
        <f>Global!EW21</f>
        <v/>
      </c>
      <c r="AH21" s="31" t="str">
        <f>Global!EX21</f>
        <v/>
      </c>
      <c r="AI21" s="31" t="str">
        <f>Global!EY21</f>
        <v/>
      </c>
      <c r="AJ21" s="48" t="str">
        <f>Global!EZ21</f>
        <v/>
      </c>
      <c r="AK21" s="108">
        <f>COUNTIF(Mai[[#This Row],[1]:[31]],"RTT")+(COUNTIF(Mai[[#This Row],[1]:[31]],"dRTT")/2)</f>
        <v>0</v>
      </c>
      <c r="AL21" s="109">
        <f>COUNTIF(Mai[[#This Row],[1]:[31]],"C")+(COUNTIF(Mai[[#This Row],[1]:[31]],"DC")/2)</f>
        <v>0</v>
      </c>
      <c r="AM21" s="22">
        <f>COUNTIF(Mai[[#This Row],[1]:[31]],"M")</f>
        <v>4</v>
      </c>
      <c r="AN21" s="22">
        <f>COUNTIF(Mai[[#This Row],[1]:[31]],"AT")</f>
        <v>0</v>
      </c>
      <c r="AO21" s="84">
        <f>IF(AND(Mai[[#This Row],[Maladie]]=0,Mai[[#This Row],[AT]]=0),((10*(_xlfn.DAYS("31/05/2018","01/05/2018")+1))/365),((_xlfn.DAYS("31/05/2018","01/05/2018")+1-(Mai[[#This Row],[Maladie]]+Mai[[#This Row],[AT]]))*((10*(_xlfn.DAYS("31/05/2018","01/05/2018")+1))/365))/(_xlfn.DAYS("31/05/2018","01/05/2018")+1))</f>
        <v>0.73972602739726023</v>
      </c>
    </row>
    <row r="22" spans="1:41" ht="30" customHeight="1" x14ac:dyDescent="0.2">
      <c r="A22" s="13" t="s">
        <v>78</v>
      </c>
      <c r="B22" s="22" t="s">
        <v>171</v>
      </c>
      <c r="C22" s="22" t="s">
        <v>172</v>
      </c>
      <c r="D22" s="22" t="s">
        <v>173</v>
      </c>
      <c r="E22" s="44">
        <v>0</v>
      </c>
      <c r="F22" s="47" t="str">
        <f>Global!DV22</f>
        <v/>
      </c>
      <c r="G22" s="31" t="str">
        <f>Global!DW22</f>
        <v/>
      </c>
      <c r="H22" s="31" t="str">
        <f>Global!DX22</f>
        <v/>
      </c>
      <c r="I22" s="31" t="str">
        <f>Global!DY22</f>
        <v/>
      </c>
      <c r="J22" s="31" t="str">
        <f>Global!DZ22</f>
        <v/>
      </c>
      <c r="K22" s="31" t="str">
        <f>Global!EA22</f>
        <v/>
      </c>
      <c r="L22" s="31" t="str">
        <f>Global!EB22</f>
        <v/>
      </c>
      <c r="M22" s="31" t="str">
        <f>Global!EC22</f>
        <v/>
      </c>
      <c r="N22" s="31" t="str">
        <f>Global!ED22</f>
        <v/>
      </c>
      <c r="O22" s="31" t="str">
        <f>Global!EE22</f>
        <v/>
      </c>
      <c r="P22" s="31" t="str">
        <f>Global!EF22</f>
        <v/>
      </c>
      <c r="Q22" s="31" t="str">
        <f>Global!EG22</f>
        <v/>
      </c>
      <c r="R22" s="31" t="str">
        <f>Global!EH22</f>
        <v/>
      </c>
      <c r="S22" s="31" t="str">
        <f>Global!EI22</f>
        <v/>
      </c>
      <c r="T22" s="31" t="str">
        <f>Global!EJ22</f>
        <v/>
      </c>
      <c r="U22" s="31" t="str">
        <f>Global!EK22</f>
        <v/>
      </c>
      <c r="V22" s="31" t="str">
        <f>Global!EL22</f>
        <v/>
      </c>
      <c r="W22" s="31" t="str">
        <f>Global!EM22</f>
        <v/>
      </c>
      <c r="X22" s="31" t="str">
        <f>Global!EN22</f>
        <v/>
      </c>
      <c r="Y22" s="31" t="str">
        <f>Global!EO22</f>
        <v/>
      </c>
      <c r="Z22" s="31" t="str">
        <f>Global!EP22</f>
        <v/>
      </c>
      <c r="AA22" s="31" t="str">
        <f>Global!EQ22</f>
        <v/>
      </c>
      <c r="AB22" s="31" t="str">
        <f>Global!ER22</f>
        <v/>
      </c>
      <c r="AC22" s="31" t="str">
        <f>Global!ES22</f>
        <v/>
      </c>
      <c r="AD22" s="31" t="str">
        <f>Global!ET22</f>
        <v/>
      </c>
      <c r="AE22" s="31" t="str">
        <f>Global!EU22</f>
        <v/>
      </c>
      <c r="AF22" s="31" t="str">
        <f>Global!EV22</f>
        <v/>
      </c>
      <c r="AG22" s="31" t="str">
        <f>Global!EW22</f>
        <v/>
      </c>
      <c r="AH22" s="31" t="str">
        <f>Global!EX22</f>
        <v/>
      </c>
      <c r="AI22" s="31" t="str">
        <f>Global!EY22</f>
        <v/>
      </c>
      <c r="AJ22" s="48" t="str">
        <f>Global!EZ22</f>
        <v/>
      </c>
      <c r="AK22" s="108">
        <f>COUNTIF(Mai[[#This Row],[1]:[31]],"RTT")+(COUNTIF(Mai[[#This Row],[1]:[31]],"dRTT")/2)</f>
        <v>0</v>
      </c>
      <c r="AL22" s="109">
        <f>COUNTIF(Mai[[#This Row],[1]:[31]],"C")+(COUNTIF(Mai[[#This Row],[1]:[31]],"DC")/2)</f>
        <v>0</v>
      </c>
      <c r="AM22" s="22">
        <f>COUNTIF(Mai[[#This Row],[1]:[31]],"M")</f>
        <v>0</v>
      </c>
      <c r="AN22" s="22">
        <f>COUNTIF(Mai[[#This Row],[1]:[31]],"AT")</f>
        <v>0</v>
      </c>
      <c r="AO22" s="84">
        <f>IF(AND(Mai[[#This Row],[Maladie]]=0,Mai[[#This Row],[AT]]=0),((10*(_xlfn.DAYS("31/05/2018","01/05/2018")+1))/365),((_xlfn.DAYS("31/05/2018","01/05/2018")+1-(Mai[[#This Row],[Maladie]]+Mai[[#This Row],[AT]]))*((10*(_xlfn.DAYS("31/05/2018","01/05/2018")+1))/365))/(_xlfn.DAYS("31/05/2018","01/05/2018")+1))</f>
        <v>0.84931506849315064</v>
      </c>
    </row>
    <row r="23" spans="1:41" ht="30" customHeight="1" x14ac:dyDescent="0.2">
      <c r="A23" s="13" t="s">
        <v>79</v>
      </c>
      <c r="B23" s="22" t="s">
        <v>174</v>
      </c>
      <c r="C23" s="22" t="s">
        <v>175</v>
      </c>
      <c r="D23" s="22" t="s">
        <v>176</v>
      </c>
      <c r="E23" s="44">
        <v>0</v>
      </c>
      <c r="F23" s="47" t="str">
        <f>Global!DV23</f>
        <v/>
      </c>
      <c r="G23" s="31" t="str">
        <f>Global!DW23</f>
        <v/>
      </c>
      <c r="H23" s="31" t="str">
        <f>Global!DX23</f>
        <v/>
      </c>
      <c r="I23" s="31" t="str">
        <f>Global!DY23</f>
        <v/>
      </c>
      <c r="J23" s="31" t="str">
        <f>Global!DZ23</f>
        <v/>
      </c>
      <c r="K23" s="31" t="str">
        <f>Global!EA23</f>
        <v/>
      </c>
      <c r="L23" s="31" t="str">
        <f>Global!EB23</f>
        <v>C</v>
      </c>
      <c r="M23" s="31" t="str">
        <f>Global!EC23</f>
        <v/>
      </c>
      <c r="N23" s="31" t="str">
        <f>Global!ED23</f>
        <v/>
      </c>
      <c r="O23" s="31" t="str">
        <f>Global!EE23</f>
        <v/>
      </c>
      <c r="P23" s="31" t="str">
        <f>Global!EF23</f>
        <v/>
      </c>
      <c r="Q23" s="31" t="str">
        <f>Global!EG23</f>
        <v/>
      </c>
      <c r="R23" s="31" t="str">
        <f>Global!EH23</f>
        <v/>
      </c>
      <c r="S23" s="31" t="str">
        <f>Global!EI23</f>
        <v/>
      </c>
      <c r="T23" s="31" t="str">
        <f>Global!EJ23</f>
        <v/>
      </c>
      <c r="U23" s="31" t="str">
        <f>Global!EK23</f>
        <v/>
      </c>
      <c r="V23" s="31" t="str">
        <f>Global!EL23</f>
        <v/>
      </c>
      <c r="W23" s="31" t="str">
        <f>Global!EM23</f>
        <v/>
      </c>
      <c r="X23" s="31" t="str">
        <f>Global!EN23</f>
        <v/>
      </c>
      <c r="Y23" s="31" t="str">
        <f>Global!EO23</f>
        <v/>
      </c>
      <c r="Z23" s="31" t="str">
        <f>Global!EP23</f>
        <v>C</v>
      </c>
      <c r="AA23" s="31" t="str">
        <f>Global!EQ23</f>
        <v>C</v>
      </c>
      <c r="AB23" s="31" t="str">
        <f>Global!ER23</f>
        <v/>
      </c>
      <c r="AC23" s="31" t="str">
        <f>Global!ES23</f>
        <v/>
      </c>
      <c r="AD23" s="31" t="str">
        <f>Global!ET23</f>
        <v/>
      </c>
      <c r="AE23" s="31" t="str">
        <f>Global!EU23</f>
        <v/>
      </c>
      <c r="AF23" s="31" t="str">
        <f>Global!EV23</f>
        <v/>
      </c>
      <c r="AG23" s="31" t="str">
        <f>Global!EW23</f>
        <v>C</v>
      </c>
      <c r="AH23" s="31" t="str">
        <f>Global!EX23</f>
        <v>C</v>
      </c>
      <c r="AI23" s="31" t="str">
        <f>Global!EY23</f>
        <v>C</v>
      </c>
      <c r="AJ23" s="48" t="str">
        <f>Global!EZ23</f>
        <v>C</v>
      </c>
      <c r="AK23" s="108">
        <f>COUNTIF(Mai[[#This Row],[1]:[31]],"RTT")+(COUNTIF(Mai[[#This Row],[1]:[31]],"dRTT")/2)</f>
        <v>0</v>
      </c>
      <c r="AL23" s="109">
        <f>COUNTIF(Mai[[#This Row],[1]:[31]],"C")+(COUNTIF(Mai[[#This Row],[1]:[31]],"DC")/2)</f>
        <v>7</v>
      </c>
      <c r="AM23" s="22">
        <f>COUNTIF(Mai[[#This Row],[1]:[31]],"M")</f>
        <v>0</v>
      </c>
      <c r="AN23" s="22">
        <f>COUNTIF(Mai[[#This Row],[1]:[31]],"AT")</f>
        <v>0</v>
      </c>
      <c r="AO23" s="84">
        <f>IF(AND(Mai[[#This Row],[Maladie]]=0,Mai[[#This Row],[AT]]=0),((10*(_xlfn.DAYS("31/05/2018","01/05/2018")+1))/365),((_xlfn.DAYS("31/05/2018","01/05/2018")+1-(Mai[[#This Row],[Maladie]]+Mai[[#This Row],[AT]]))*((10*(_xlfn.DAYS("31/05/2018","01/05/2018")+1))/365))/(_xlfn.DAYS("31/05/2018","01/05/2018")+1))</f>
        <v>0.84931506849315064</v>
      </c>
    </row>
    <row r="24" spans="1:41" ht="30" customHeight="1" x14ac:dyDescent="0.2">
      <c r="A24" s="15" t="s">
        <v>80</v>
      </c>
      <c r="B24" s="22" t="s">
        <v>177</v>
      </c>
      <c r="C24" s="22" t="s">
        <v>178</v>
      </c>
      <c r="D24" s="22" t="s">
        <v>179</v>
      </c>
      <c r="E24" s="44">
        <v>0</v>
      </c>
      <c r="F24" s="47" t="str">
        <f>Global!DV24</f>
        <v/>
      </c>
      <c r="G24" s="31" t="str">
        <f>Global!DW24</f>
        <v/>
      </c>
      <c r="H24" s="31" t="str">
        <f>Global!DX24</f>
        <v/>
      </c>
      <c r="I24" s="31" t="str">
        <f>Global!DY24</f>
        <v/>
      </c>
      <c r="J24" s="31" t="str">
        <f>Global!DZ24</f>
        <v/>
      </c>
      <c r="K24" s="31" t="str">
        <f>Global!EA24</f>
        <v/>
      </c>
      <c r="L24" s="31" t="str">
        <f>Global!EB24</f>
        <v/>
      </c>
      <c r="M24" s="31" t="str">
        <f>Global!EC24</f>
        <v/>
      </c>
      <c r="N24" s="31" t="str">
        <f>Global!ED24</f>
        <v/>
      </c>
      <c r="O24" s="31" t="str">
        <f>Global!EE24</f>
        <v/>
      </c>
      <c r="P24" s="31" t="str">
        <f>Global!EF24</f>
        <v/>
      </c>
      <c r="Q24" s="31" t="str">
        <f>Global!EG24</f>
        <v/>
      </c>
      <c r="R24" s="31" t="str">
        <f>Global!EH24</f>
        <v/>
      </c>
      <c r="S24" s="31" t="str">
        <f>Global!EI24</f>
        <v/>
      </c>
      <c r="T24" s="31" t="str">
        <f>Global!EJ24</f>
        <v/>
      </c>
      <c r="U24" s="31" t="str">
        <f>Global!EK24</f>
        <v>C</v>
      </c>
      <c r="V24" s="31" t="str">
        <f>Global!EL24</f>
        <v/>
      </c>
      <c r="W24" s="31" t="str">
        <f>Global!EM24</f>
        <v/>
      </c>
      <c r="X24" s="31" t="str">
        <f>Global!EN24</f>
        <v/>
      </c>
      <c r="Y24" s="31" t="str">
        <f>Global!EO24</f>
        <v/>
      </c>
      <c r="Z24" s="31" t="str">
        <f>Global!EP24</f>
        <v/>
      </c>
      <c r="AA24" s="31" t="str">
        <f>Global!EQ24</f>
        <v/>
      </c>
      <c r="AB24" s="31" t="str">
        <f>Global!ER24</f>
        <v/>
      </c>
      <c r="AC24" s="31" t="str">
        <f>Global!ES24</f>
        <v/>
      </c>
      <c r="AD24" s="31" t="str">
        <f>Global!ET24</f>
        <v/>
      </c>
      <c r="AE24" s="31" t="str">
        <f>Global!EU24</f>
        <v/>
      </c>
      <c r="AF24" s="31" t="str">
        <f>Global!EV24</f>
        <v/>
      </c>
      <c r="AG24" s="31" t="str">
        <f>Global!EW24</f>
        <v/>
      </c>
      <c r="AH24" s="31" t="str">
        <f>Global!EX24</f>
        <v/>
      </c>
      <c r="AI24" s="31" t="str">
        <f>Global!EY24</f>
        <v/>
      </c>
      <c r="AJ24" s="48" t="str">
        <f>Global!EZ24</f>
        <v/>
      </c>
      <c r="AK24" s="108">
        <f>COUNTIF(Mai[[#This Row],[1]:[31]],"RTT")+(COUNTIF(Mai[[#This Row],[1]:[31]],"dRTT")/2)</f>
        <v>0</v>
      </c>
      <c r="AL24" s="109">
        <f>COUNTIF(Mai[[#This Row],[1]:[31]],"C")+(COUNTIF(Mai[[#This Row],[1]:[31]],"DC")/2)</f>
        <v>1</v>
      </c>
      <c r="AM24" s="22">
        <f>COUNTIF(Mai[[#This Row],[1]:[31]],"M")</f>
        <v>0</v>
      </c>
      <c r="AN24" s="22">
        <f>COUNTIF(Mai[[#This Row],[1]:[31]],"AT")</f>
        <v>0</v>
      </c>
      <c r="AO24" s="84">
        <f>IF(AND(Mai[[#This Row],[Maladie]]=0,Mai[[#This Row],[AT]]=0),((10*(_xlfn.DAYS("31/05/2018","01/05/2018")+1))/365),((_xlfn.DAYS("31/05/2018","01/05/2018")+1-(Mai[[#This Row],[Maladie]]+Mai[[#This Row],[AT]]))*((10*(_xlfn.DAYS("31/05/2018","01/05/2018")+1))/365))/(_xlfn.DAYS("31/05/2018","01/05/2018")+1))</f>
        <v>0.84931506849315064</v>
      </c>
    </row>
    <row r="25" spans="1:41" ht="30" customHeight="1" x14ac:dyDescent="0.2">
      <c r="A25" s="15" t="s">
        <v>81</v>
      </c>
      <c r="B25" s="22" t="s">
        <v>180</v>
      </c>
      <c r="C25" s="22" t="s">
        <v>157</v>
      </c>
      <c r="D25" s="22" t="s">
        <v>181</v>
      </c>
      <c r="E25" s="44">
        <v>0</v>
      </c>
      <c r="F25" s="47" t="str">
        <f>Global!DV25</f>
        <v>M</v>
      </c>
      <c r="G25" s="31" t="str">
        <f>Global!DW25</f>
        <v>M</v>
      </c>
      <c r="H25" s="31" t="str">
        <f>Global!DX25</f>
        <v>M</v>
      </c>
      <c r="I25" s="31" t="str">
        <f>Global!DY25</f>
        <v>M</v>
      </c>
      <c r="J25" s="31" t="str">
        <f>Global!DZ25</f>
        <v>M</v>
      </c>
      <c r="K25" s="31" t="str">
        <f>Global!EA25</f>
        <v>M</v>
      </c>
      <c r="L25" s="31" t="str">
        <f>Global!EB25</f>
        <v>M</v>
      </c>
      <c r="M25" s="31" t="str">
        <f>Global!EC25</f>
        <v>M</v>
      </c>
      <c r="N25" s="31" t="str">
        <f>Global!ED25</f>
        <v>M</v>
      </c>
      <c r="O25" s="31" t="str">
        <f>Global!EE25</f>
        <v>M</v>
      </c>
      <c r="P25" s="31" t="str">
        <f>Global!EF25</f>
        <v>M</v>
      </c>
      <c r="Q25" s="31" t="str">
        <f>Global!EG25</f>
        <v>M</v>
      </c>
      <c r="R25" s="31" t="str">
        <f>Global!EH25</f>
        <v>M</v>
      </c>
      <c r="S25" s="31" t="str">
        <f>Global!EI25</f>
        <v>M</v>
      </c>
      <c r="T25" s="31" t="str">
        <f>Global!EJ25</f>
        <v>M</v>
      </c>
      <c r="U25" s="31" t="str">
        <f>Global!EK25</f>
        <v>M</v>
      </c>
      <c r="V25" s="31" t="str">
        <f>Global!EL25</f>
        <v>M</v>
      </c>
      <c r="W25" s="31" t="str">
        <f>Global!EM25</f>
        <v>M</v>
      </c>
      <c r="X25" s="31" t="str">
        <f>Global!EN25</f>
        <v>M</v>
      </c>
      <c r="Y25" s="31" t="str">
        <f>Global!EO25</f>
        <v>M</v>
      </c>
      <c r="Z25" s="31" t="str">
        <f>Global!EP25</f>
        <v>M</v>
      </c>
      <c r="AA25" s="31" t="str">
        <f>Global!EQ25</f>
        <v>M</v>
      </c>
      <c r="AB25" s="31" t="str">
        <f>Global!ER25</f>
        <v>M</v>
      </c>
      <c r="AC25" s="31" t="str">
        <f>Global!ES25</f>
        <v>M</v>
      </c>
      <c r="AD25" s="31" t="str">
        <f>Global!ET25</f>
        <v>M</v>
      </c>
      <c r="AE25" s="31" t="str">
        <f>Global!EU25</f>
        <v>M</v>
      </c>
      <c r="AF25" s="31" t="str">
        <f>Global!EV25</f>
        <v>M</v>
      </c>
      <c r="AG25" s="31" t="str">
        <f>Global!EW25</f>
        <v>M</v>
      </c>
      <c r="AH25" s="31" t="str">
        <f>Global!EX25</f>
        <v>M</v>
      </c>
      <c r="AI25" s="31" t="str">
        <f>Global!EY25</f>
        <v>M</v>
      </c>
      <c r="AJ25" s="48" t="str">
        <f>Global!EZ25</f>
        <v>M</v>
      </c>
      <c r="AK25" s="108">
        <f>COUNTIF(Mai[[#This Row],[1]:[31]],"RTT")+(COUNTIF(Mai[[#This Row],[1]:[31]],"dRTT")/2)</f>
        <v>0</v>
      </c>
      <c r="AL25" s="109">
        <f>COUNTIF(Mai[[#This Row],[1]:[31]],"C")+(COUNTIF(Mai[[#This Row],[1]:[31]],"DC")/2)</f>
        <v>0</v>
      </c>
      <c r="AM25" s="22">
        <f>COUNTIF(Mai[[#This Row],[1]:[31]],"M")</f>
        <v>31</v>
      </c>
      <c r="AN25" s="22">
        <f>COUNTIF(Mai[[#This Row],[1]:[31]],"AT")</f>
        <v>0</v>
      </c>
      <c r="AO25" s="84">
        <f>IF(AND(Mai[[#This Row],[Maladie]]=0,Mai[[#This Row],[AT]]=0),((10*(_xlfn.DAYS("31/05/2018","01/05/2018")+1))/365),((_xlfn.DAYS("31/05/2018","01/05/2018")+1-(Mai[[#This Row],[Maladie]]+Mai[[#This Row],[AT]]))*((10*(_xlfn.DAYS("31/05/2018","01/05/2018")+1))/365))/(_xlfn.DAYS("31/05/2018","01/05/2018")+1))</f>
        <v>0</v>
      </c>
    </row>
    <row r="26" spans="1:41" ht="30" customHeight="1" x14ac:dyDescent="0.2">
      <c r="A26" s="15" t="s">
        <v>82</v>
      </c>
      <c r="B26" s="22" t="s">
        <v>182</v>
      </c>
      <c r="C26" s="22" t="s">
        <v>183</v>
      </c>
      <c r="D26" s="22" t="s">
        <v>184</v>
      </c>
      <c r="E26" s="44">
        <v>0</v>
      </c>
      <c r="F26" s="47" t="str">
        <f>Global!DV26</f>
        <v/>
      </c>
      <c r="G26" s="31" t="str">
        <f>Global!DW26</f>
        <v/>
      </c>
      <c r="H26" s="31" t="str">
        <f>Global!DX26</f>
        <v/>
      </c>
      <c r="I26" s="31" t="str">
        <f>Global!DY26</f>
        <v/>
      </c>
      <c r="J26" s="31" t="str">
        <f>Global!DZ26</f>
        <v/>
      </c>
      <c r="K26" s="31" t="str">
        <f>Global!EA26</f>
        <v/>
      </c>
      <c r="L26" s="31" t="str">
        <f>Global!EB26</f>
        <v/>
      </c>
      <c r="M26" s="31" t="str">
        <f>Global!EC26</f>
        <v/>
      </c>
      <c r="N26" s="31" t="str">
        <f>Global!ED26</f>
        <v/>
      </c>
      <c r="O26" s="31" t="str">
        <f>Global!EE26</f>
        <v/>
      </c>
      <c r="P26" s="31" t="str">
        <f>Global!EF26</f>
        <v/>
      </c>
      <c r="Q26" s="31" t="str">
        <f>Global!EG26</f>
        <v/>
      </c>
      <c r="R26" s="31" t="str">
        <f>Global!EH26</f>
        <v/>
      </c>
      <c r="S26" s="31" t="str">
        <f>Global!EI26</f>
        <v/>
      </c>
      <c r="T26" s="31" t="str">
        <f>Global!EJ26</f>
        <v/>
      </c>
      <c r="U26" s="31" t="str">
        <f>Global!EK26</f>
        <v/>
      </c>
      <c r="V26" s="31" t="str">
        <f>Global!EL26</f>
        <v/>
      </c>
      <c r="W26" s="31" t="str">
        <f>Global!EM26</f>
        <v/>
      </c>
      <c r="X26" s="31" t="str">
        <f>Global!EN26</f>
        <v/>
      </c>
      <c r="Y26" s="31" t="str">
        <f>Global!EO26</f>
        <v/>
      </c>
      <c r="Z26" s="31" t="str">
        <f>Global!EP26</f>
        <v/>
      </c>
      <c r="AA26" s="31" t="str">
        <f>Global!EQ26</f>
        <v/>
      </c>
      <c r="AB26" s="31" t="str">
        <f>Global!ER26</f>
        <v/>
      </c>
      <c r="AC26" s="31" t="str">
        <f>Global!ES26</f>
        <v/>
      </c>
      <c r="AD26" s="31" t="str">
        <f>Global!ET26</f>
        <v/>
      </c>
      <c r="AE26" s="31" t="str">
        <f>Global!EU26</f>
        <v/>
      </c>
      <c r="AF26" s="31" t="str">
        <f>Global!EV26</f>
        <v/>
      </c>
      <c r="AG26" s="31" t="str">
        <f>Global!EW26</f>
        <v/>
      </c>
      <c r="AH26" s="31" t="str">
        <f>Global!EX26</f>
        <v/>
      </c>
      <c r="AI26" s="31" t="str">
        <f>Global!EY26</f>
        <v/>
      </c>
      <c r="AJ26" s="48" t="str">
        <f>Global!EZ26</f>
        <v/>
      </c>
      <c r="AK26" s="108">
        <f>COUNTIF(Mai[[#This Row],[1]:[31]],"RTT")+(COUNTIF(Mai[[#This Row],[1]:[31]],"dRTT")/2)</f>
        <v>0</v>
      </c>
      <c r="AL26" s="109">
        <f>COUNTIF(Mai[[#This Row],[1]:[31]],"C")+(COUNTIF(Mai[[#This Row],[1]:[31]],"DC")/2)</f>
        <v>0</v>
      </c>
      <c r="AM26" s="22">
        <f>COUNTIF(Mai[[#This Row],[1]:[31]],"M")</f>
        <v>0</v>
      </c>
      <c r="AN26" s="22">
        <f>COUNTIF(Mai[[#This Row],[1]:[31]],"AT")</f>
        <v>0</v>
      </c>
      <c r="AO26" s="84">
        <f>IF(AND(Mai[[#This Row],[Maladie]]=0,Mai[[#This Row],[AT]]=0),((10*(_xlfn.DAYS("31/05/2018","01/05/2018")+1))/365),((_xlfn.DAYS("31/05/2018","01/05/2018")+1-(Mai[[#This Row],[Maladie]]+Mai[[#This Row],[AT]]))*((10*(_xlfn.DAYS("31/05/2018","01/05/2018")+1))/365))/(_xlfn.DAYS("31/05/2018","01/05/2018")+1))</f>
        <v>0.84931506849315064</v>
      </c>
    </row>
    <row r="27" spans="1:41" ht="30" customHeight="1" x14ac:dyDescent="0.2">
      <c r="A27" s="15" t="s">
        <v>83</v>
      </c>
      <c r="B27" s="22" t="s">
        <v>185</v>
      </c>
      <c r="C27" s="22" t="s">
        <v>186</v>
      </c>
      <c r="D27" s="22" t="s">
        <v>187</v>
      </c>
      <c r="E27" s="44">
        <v>0</v>
      </c>
      <c r="F27" s="47" t="str">
        <f>Global!DV27</f>
        <v/>
      </c>
      <c r="G27" s="31" t="str">
        <f>Global!DW27</f>
        <v>C</v>
      </c>
      <c r="H27" s="31" t="str">
        <f>Global!DX27</f>
        <v>C</v>
      </c>
      <c r="I27" s="31" t="str">
        <f>Global!DY27</f>
        <v>C</v>
      </c>
      <c r="J27" s="31" t="str">
        <f>Global!DZ27</f>
        <v/>
      </c>
      <c r="K27" s="31" t="str">
        <f>Global!EA27</f>
        <v/>
      </c>
      <c r="L27" s="31" t="str">
        <f>Global!EB27</f>
        <v/>
      </c>
      <c r="M27" s="31" t="str">
        <f>Global!EC27</f>
        <v/>
      </c>
      <c r="N27" s="31" t="str">
        <f>Global!ED27</f>
        <v/>
      </c>
      <c r="O27" s="31" t="str">
        <f>Global!EE27</f>
        <v/>
      </c>
      <c r="P27" s="31" t="str">
        <f>Global!EF27</f>
        <v/>
      </c>
      <c r="Q27" s="31" t="str">
        <f>Global!EG27</f>
        <v/>
      </c>
      <c r="R27" s="31" t="str">
        <f>Global!EH27</f>
        <v/>
      </c>
      <c r="S27" s="31" t="str">
        <f>Global!EI27</f>
        <v/>
      </c>
      <c r="T27" s="31" t="str">
        <f>Global!EJ27</f>
        <v/>
      </c>
      <c r="U27" s="31" t="str">
        <f>Global!EK27</f>
        <v/>
      </c>
      <c r="V27" s="31" t="str">
        <f>Global!EL27</f>
        <v/>
      </c>
      <c r="W27" s="31" t="str">
        <f>Global!EM27</f>
        <v/>
      </c>
      <c r="X27" s="31" t="str">
        <f>Global!EN27</f>
        <v/>
      </c>
      <c r="Y27" s="31" t="str">
        <f>Global!EO27</f>
        <v/>
      </c>
      <c r="Z27" s="31" t="str">
        <f>Global!EP27</f>
        <v/>
      </c>
      <c r="AA27" s="31" t="str">
        <f>Global!EQ27</f>
        <v/>
      </c>
      <c r="AB27" s="31" t="str">
        <f>Global!ER27</f>
        <v/>
      </c>
      <c r="AC27" s="31" t="str">
        <f>Global!ES27</f>
        <v/>
      </c>
      <c r="AD27" s="31" t="str">
        <f>Global!ET27</f>
        <v/>
      </c>
      <c r="AE27" s="31" t="str">
        <f>Global!EU27</f>
        <v/>
      </c>
      <c r="AF27" s="31" t="str">
        <f>Global!EV27</f>
        <v/>
      </c>
      <c r="AG27" s="31" t="str">
        <f>Global!EW27</f>
        <v/>
      </c>
      <c r="AH27" s="31" t="str">
        <f>Global!EX27</f>
        <v/>
      </c>
      <c r="AI27" s="31" t="str">
        <f>Global!EY27</f>
        <v/>
      </c>
      <c r="AJ27" s="48" t="str">
        <f>Global!EZ27</f>
        <v/>
      </c>
      <c r="AK27" s="108">
        <f>COUNTIF(Mai[[#This Row],[1]:[31]],"RTT")+(COUNTIF(Mai[[#This Row],[1]:[31]],"dRTT")/2)</f>
        <v>0</v>
      </c>
      <c r="AL27" s="109">
        <f>COUNTIF(Mai[[#This Row],[1]:[31]],"C")+(COUNTIF(Mai[[#This Row],[1]:[31]],"DC")/2)</f>
        <v>3</v>
      </c>
      <c r="AM27" s="22">
        <f>COUNTIF(Mai[[#This Row],[1]:[31]],"M")</f>
        <v>0</v>
      </c>
      <c r="AN27" s="22">
        <f>COUNTIF(Mai[[#This Row],[1]:[31]],"AT")</f>
        <v>0</v>
      </c>
      <c r="AO27" s="84">
        <f>IF(AND(Mai[[#This Row],[Maladie]]=0,Mai[[#This Row],[AT]]=0),((10*(_xlfn.DAYS("31/05/2018","01/05/2018")+1))/365),((_xlfn.DAYS("31/05/2018","01/05/2018")+1-(Mai[[#This Row],[Maladie]]+Mai[[#This Row],[AT]]))*((10*(_xlfn.DAYS("31/05/2018","01/05/2018")+1))/365))/(_xlfn.DAYS("31/05/2018","01/05/2018")+1))</f>
        <v>0.84931506849315064</v>
      </c>
    </row>
    <row r="28" spans="1:41" ht="30" customHeight="1" x14ac:dyDescent="0.2">
      <c r="A28" s="15" t="s">
        <v>84</v>
      </c>
      <c r="B28" s="22" t="s">
        <v>188</v>
      </c>
      <c r="C28" s="22" t="s">
        <v>189</v>
      </c>
      <c r="D28" s="22" t="s">
        <v>190</v>
      </c>
      <c r="E28" s="44">
        <v>0</v>
      </c>
      <c r="F28" s="47" t="str">
        <f>Global!DV28</f>
        <v/>
      </c>
      <c r="G28" s="31" t="str">
        <f>Global!DW28</f>
        <v/>
      </c>
      <c r="H28" s="31" t="str">
        <f>Global!DX28</f>
        <v/>
      </c>
      <c r="I28" s="31" t="str">
        <f>Global!DY28</f>
        <v/>
      </c>
      <c r="J28" s="31" t="str">
        <f>Global!DZ28</f>
        <v/>
      </c>
      <c r="K28" s="31" t="str">
        <f>Global!EA28</f>
        <v/>
      </c>
      <c r="L28" s="31" t="str">
        <f>Global!EB28</f>
        <v/>
      </c>
      <c r="M28" s="31" t="str">
        <f>Global!EC28</f>
        <v/>
      </c>
      <c r="N28" s="31" t="str">
        <f>Global!ED28</f>
        <v/>
      </c>
      <c r="O28" s="31" t="str">
        <f>Global!EE28</f>
        <v/>
      </c>
      <c r="P28" s="31" t="str">
        <f>Global!EF28</f>
        <v/>
      </c>
      <c r="Q28" s="31" t="str">
        <f>Global!EG28</f>
        <v/>
      </c>
      <c r="R28" s="31" t="str">
        <f>Global!EH28</f>
        <v/>
      </c>
      <c r="S28" s="31" t="str">
        <f>Global!EI28</f>
        <v>dRTT</v>
      </c>
      <c r="T28" s="31" t="str">
        <f>Global!EJ28</f>
        <v>C</v>
      </c>
      <c r="U28" s="31" t="str">
        <f>Global!EK28</f>
        <v/>
      </c>
      <c r="V28" s="31" t="str">
        <f>Global!EL28</f>
        <v/>
      </c>
      <c r="W28" s="31" t="str">
        <f>Global!EM28</f>
        <v/>
      </c>
      <c r="X28" s="31" t="str">
        <f>Global!EN28</f>
        <v/>
      </c>
      <c r="Y28" s="31" t="str">
        <f>Global!EO28</f>
        <v/>
      </c>
      <c r="Z28" s="31" t="str">
        <f>Global!EP28</f>
        <v>C</v>
      </c>
      <c r="AA28" s="31" t="str">
        <f>Global!EQ28</f>
        <v/>
      </c>
      <c r="AB28" s="31" t="str">
        <f>Global!ER28</f>
        <v/>
      </c>
      <c r="AC28" s="31" t="str">
        <f>Global!ES28</f>
        <v/>
      </c>
      <c r="AD28" s="31" t="str">
        <f>Global!ET28</f>
        <v/>
      </c>
      <c r="AE28" s="31" t="str">
        <f>Global!EU28</f>
        <v/>
      </c>
      <c r="AF28" s="31" t="str">
        <f>Global!EV28</f>
        <v/>
      </c>
      <c r="AG28" s="31" t="str">
        <f>Global!EW28</f>
        <v/>
      </c>
      <c r="AH28" s="31" t="str">
        <f>Global!EX28</f>
        <v/>
      </c>
      <c r="AI28" s="31" t="str">
        <f>Global!EY28</f>
        <v/>
      </c>
      <c r="AJ28" s="48" t="str">
        <f>Global!EZ28</f>
        <v/>
      </c>
      <c r="AK28" s="108">
        <f>COUNTIF(Mai[[#This Row],[1]:[31]],"RTT")+(COUNTIF(Mai[[#This Row],[1]:[31]],"dRTT")/2)</f>
        <v>0.5</v>
      </c>
      <c r="AL28" s="109">
        <f>COUNTIF(Mai[[#This Row],[1]:[31]],"C")+(COUNTIF(Mai[[#This Row],[1]:[31]],"DC")/2)</f>
        <v>2</v>
      </c>
      <c r="AM28" s="22">
        <f>COUNTIF(Mai[[#This Row],[1]:[31]],"M")</f>
        <v>0</v>
      </c>
      <c r="AN28" s="22">
        <f>COUNTIF(Mai[[#This Row],[1]:[31]],"AT")</f>
        <v>0</v>
      </c>
      <c r="AO28" s="84">
        <f>IF(AND(Mai[[#This Row],[Maladie]]=0,Mai[[#This Row],[AT]]=0),((10*(_xlfn.DAYS("31/05/2018","01/05/2018")+1))/365),((_xlfn.DAYS("31/05/2018","01/05/2018")+1-(Mai[[#This Row],[Maladie]]+Mai[[#This Row],[AT]]))*((10*(_xlfn.DAYS("31/05/2018","01/05/2018")+1))/365))/(_xlfn.DAYS("31/05/2018","01/05/2018")+1))</f>
        <v>0.84931506849315064</v>
      </c>
    </row>
    <row r="29" spans="1:41" ht="30" customHeight="1" x14ac:dyDescent="0.2">
      <c r="A29" s="15" t="s">
        <v>85</v>
      </c>
      <c r="B29" s="22" t="s">
        <v>191</v>
      </c>
      <c r="C29" s="22" t="s">
        <v>192</v>
      </c>
      <c r="D29" s="22" t="s">
        <v>193</v>
      </c>
      <c r="E29" s="44">
        <v>0</v>
      </c>
      <c r="F29" s="47" t="str">
        <f>Global!DV29</f>
        <v>M</v>
      </c>
      <c r="G29" s="31" t="str">
        <f>Global!DW29</f>
        <v>M</v>
      </c>
      <c r="H29" s="31" t="str">
        <f>Global!DX29</f>
        <v>M</v>
      </c>
      <c r="I29" s="31" t="str">
        <f>Global!DY29</f>
        <v>M</v>
      </c>
      <c r="J29" s="31" t="str">
        <f>Global!DZ29</f>
        <v>M</v>
      </c>
      <c r="K29" s="31" t="str">
        <f>Global!EA29</f>
        <v>M</v>
      </c>
      <c r="L29" s="31" t="str">
        <f>Global!EB29</f>
        <v>M</v>
      </c>
      <c r="M29" s="31" t="str">
        <f>Global!EC29</f>
        <v>M</v>
      </c>
      <c r="N29" s="31" t="str">
        <f>Global!ED29</f>
        <v>M</v>
      </c>
      <c r="O29" s="31" t="str">
        <f>Global!EE29</f>
        <v>M</v>
      </c>
      <c r="P29" s="31" t="str">
        <f>Global!EF29</f>
        <v>M</v>
      </c>
      <c r="Q29" s="31" t="str">
        <f>Global!EG29</f>
        <v/>
      </c>
      <c r="R29" s="31" t="str">
        <f>Global!EH29</f>
        <v/>
      </c>
      <c r="S29" s="31" t="str">
        <f>Global!EI29</f>
        <v/>
      </c>
      <c r="T29" s="31" t="str">
        <f>Global!EJ29</f>
        <v/>
      </c>
      <c r="U29" s="31" t="str">
        <f>Global!EK29</f>
        <v/>
      </c>
      <c r="V29" s="31" t="str">
        <f>Global!EL29</f>
        <v/>
      </c>
      <c r="W29" s="31" t="str">
        <f>Global!EM29</f>
        <v/>
      </c>
      <c r="X29" s="31" t="str">
        <f>Global!EN29</f>
        <v/>
      </c>
      <c r="Y29" s="31" t="str">
        <f>Global!EO29</f>
        <v/>
      </c>
      <c r="Z29" s="31" t="str">
        <f>Global!EP29</f>
        <v/>
      </c>
      <c r="AA29" s="31" t="str">
        <f>Global!EQ29</f>
        <v/>
      </c>
      <c r="AB29" s="31" t="str">
        <f>Global!ER29</f>
        <v/>
      </c>
      <c r="AC29" s="31" t="str">
        <f>Global!ES29</f>
        <v/>
      </c>
      <c r="AD29" s="31" t="str">
        <f>Global!ET29</f>
        <v/>
      </c>
      <c r="AE29" s="31" t="str">
        <f>Global!EU29</f>
        <v/>
      </c>
      <c r="AF29" s="31" t="str">
        <f>Global!EV29</f>
        <v/>
      </c>
      <c r="AG29" s="31" t="str">
        <f>Global!EW29</f>
        <v>RTT</v>
      </c>
      <c r="AH29" s="31" t="str">
        <f>Global!EX29</f>
        <v/>
      </c>
      <c r="AI29" s="31" t="str">
        <f>Global!EY29</f>
        <v/>
      </c>
      <c r="AJ29" s="48" t="str">
        <f>Global!EZ29</f>
        <v/>
      </c>
      <c r="AK29" s="108">
        <f>COUNTIF(Mai[[#This Row],[1]:[31]],"RTT")+(COUNTIF(Mai[[#This Row],[1]:[31]],"dRTT")/2)</f>
        <v>1</v>
      </c>
      <c r="AL29" s="109">
        <f>COUNTIF(Mai[[#This Row],[1]:[31]],"C")+(COUNTIF(Mai[[#This Row],[1]:[31]],"DC")/2)</f>
        <v>0</v>
      </c>
      <c r="AM29" s="22">
        <f>COUNTIF(Mai[[#This Row],[1]:[31]],"M")</f>
        <v>11</v>
      </c>
      <c r="AN29" s="22">
        <f>COUNTIF(Mai[[#This Row],[1]:[31]],"AT")</f>
        <v>0</v>
      </c>
      <c r="AO29" s="84">
        <f>IF(AND(Mai[[#This Row],[Maladie]]=0,Mai[[#This Row],[AT]]=0),((10*(_xlfn.DAYS("31/05/2018","01/05/2018")+1))/365),((_xlfn.DAYS("31/05/2018","01/05/2018")+1-(Mai[[#This Row],[Maladie]]+Mai[[#This Row],[AT]]))*((10*(_xlfn.DAYS("31/05/2018","01/05/2018")+1))/365))/(_xlfn.DAYS("31/05/2018","01/05/2018")+1))</f>
        <v>0.54794520547945202</v>
      </c>
    </row>
    <row r="30" spans="1:41" ht="30" customHeight="1" x14ac:dyDescent="0.2">
      <c r="A30" s="15" t="s">
        <v>86</v>
      </c>
      <c r="B30" s="22" t="s">
        <v>194</v>
      </c>
      <c r="C30" s="22" t="s">
        <v>192</v>
      </c>
      <c r="D30" s="22" t="s">
        <v>195</v>
      </c>
      <c r="E30" s="44" t="s">
        <v>162</v>
      </c>
      <c r="F30" s="47" t="str">
        <f>Global!DV30</f>
        <v/>
      </c>
      <c r="G30" s="31" t="str">
        <f>Global!DW30</f>
        <v/>
      </c>
      <c r="H30" s="31" t="str">
        <f>Global!DX30</f>
        <v/>
      </c>
      <c r="I30" s="31" t="str">
        <f>Global!DY30</f>
        <v/>
      </c>
      <c r="J30" s="31" t="str">
        <f>Global!DZ30</f>
        <v/>
      </c>
      <c r="K30" s="31" t="str">
        <f>Global!EA30</f>
        <v/>
      </c>
      <c r="L30" s="31" t="str">
        <f>Global!EB30</f>
        <v/>
      </c>
      <c r="M30" s="31" t="str">
        <f>Global!EC30</f>
        <v/>
      </c>
      <c r="N30" s="31" t="str">
        <f>Global!ED30</f>
        <v/>
      </c>
      <c r="O30" s="31" t="str">
        <f>Global!EE30</f>
        <v/>
      </c>
      <c r="P30" s="31" t="str">
        <f>Global!EF30</f>
        <v/>
      </c>
      <c r="Q30" s="31" t="str">
        <f>Global!EG30</f>
        <v/>
      </c>
      <c r="R30" s="31" t="str">
        <f>Global!EH30</f>
        <v/>
      </c>
      <c r="S30" s="31" t="str">
        <f>Global!EI30</f>
        <v/>
      </c>
      <c r="T30" s="31" t="str">
        <f>Global!EJ30</f>
        <v/>
      </c>
      <c r="U30" s="31" t="str">
        <f>Global!EK30</f>
        <v/>
      </c>
      <c r="V30" s="31" t="str">
        <f>Global!EL30</f>
        <v/>
      </c>
      <c r="W30" s="31" t="str">
        <f>Global!EM30</f>
        <v/>
      </c>
      <c r="X30" s="31" t="str">
        <f>Global!EN30</f>
        <v/>
      </c>
      <c r="Y30" s="31" t="str">
        <f>Global!EO30</f>
        <v/>
      </c>
      <c r="Z30" s="31" t="str">
        <f>Global!EP30</f>
        <v/>
      </c>
      <c r="AA30" s="31" t="str">
        <f>Global!EQ30</f>
        <v/>
      </c>
      <c r="AB30" s="31" t="str">
        <f>Global!ER30</f>
        <v/>
      </c>
      <c r="AC30" s="31" t="str">
        <f>Global!ES30</f>
        <v/>
      </c>
      <c r="AD30" s="31" t="str">
        <f>Global!ET30</f>
        <v/>
      </c>
      <c r="AE30" s="31" t="str">
        <f>Global!EU30</f>
        <v/>
      </c>
      <c r="AF30" s="31" t="str">
        <f>Global!EV30</f>
        <v/>
      </c>
      <c r="AG30" s="31" t="str">
        <f>Global!EW30</f>
        <v/>
      </c>
      <c r="AH30" s="31" t="str">
        <f>Global!EX30</f>
        <v/>
      </c>
      <c r="AI30" s="31" t="str">
        <f>Global!EY30</f>
        <v/>
      </c>
      <c r="AJ30" s="48" t="str">
        <f>Global!EZ30</f>
        <v/>
      </c>
      <c r="AK30" s="108">
        <f>COUNTIF(Mai[[#This Row],[1]:[31]],"RTT")+(COUNTIF(Mai[[#This Row],[1]:[31]],"dRTT")/2)</f>
        <v>0</v>
      </c>
      <c r="AL30" s="109">
        <f>COUNTIF(Mai[[#This Row],[1]:[31]],"C")+(COUNTIF(Mai[[#This Row],[1]:[31]],"DC")/2)</f>
        <v>0</v>
      </c>
      <c r="AM30" s="22">
        <f>COUNTIF(Mai[[#This Row],[1]:[31]],"M")</f>
        <v>0</v>
      </c>
      <c r="AN30" s="22">
        <f>COUNTIF(Mai[[#This Row],[1]:[31]],"AT")</f>
        <v>0</v>
      </c>
      <c r="AO30" s="84">
        <f>IF(AND(Mai[[#This Row],[Maladie]]=0,Mai[[#This Row],[AT]]=0),((10*(_xlfn.DAYS("31/05/2018","01/05/2018")+1))/365),((_xlfn.DAYS("31/05/2018","01/05/2018")+1-(Mai[[#This Row],[Maladie]]+Mai[[#This Row],[AT]]))*((10*(_xlfn.DAYS("31/05/2018","01/05/2018")+1))/365))/(_xlfn.DAYS("31/05/2018","01/05/2018")+1))</f>
        <v>0.84931506849315064</v>
      </c>
    </row>
    <row r="31" spans="1:41" ht="30" customHeight="1" x14ac:dyDescent="0.2">
      <c r="A31" s="15" t="s">
        <v>87</v>
      </c>
      <c r="B31" s="22" t="s">
        <v>196</v>
      </c>
      <c r="C31" s="22" t="s">
        <v>197</v>
      </c>
      <c r="D31" s="22" t="s">
        <v>198</v>
      </c>
      <c r="E31" s="44" t="s">
        <v>162</v>
      </c>
      <c r="F31" s="47" t="str">
        <f>Global!DV31</f>
        <v/>
      </c>
      <c r="G31" s="31" t="str">
        <f>Global!DW31</f>
        <v/>
      </c>
      <c r="H31" s="31" t="str">
        <f>Global!DX31</f>
        <v/>
      </c>
      <c r="I31" s="31" t="str">
        <f>Global!DY31</f>
        <v/>
      </c>
      <c r="J31" s="31" t="str">
        <f>Global!DZ31</f>
        <v/>
      </c>
      <c r="K31" s="31" t="str">
        <f>Global!EA31</f>
        <v/>
      </c>
      <c r="L31" s="31" t="str">
        <f>Global!EB31</f>
        <v/>
      </c>
      <c r="M31" s="31" t="str">
        <f>Global!EC31</f>
        <v/>
      </c>
      <c r="N31" s="31" t="str">
        <f>Global!ED31</f>
        <v/>
      </c>
      <c r="O31" s="31" t="str">
        <f>Global!EE31</f>
        <v/>
      </c>
      <c r="P31" s="31" t="str">
        <f>Global!EF31</f>
        <v/>
      </c>
      <c r="Q31" s="31" t="str">
        <f>Global!EG31</f>
        <v/>
      </c>
      <c r="R31" s="31" t="str">
        <f>Global!EH31</f>
        <v/>
      </c>
      <c r="S31" s="31" t="str">
        <f>Global!EI31</f>
        <v/>
      </c>
      <c r="T31" s="31" t="str">
        <f>Global!EJ31</f>
        <v/>
      </c>
      <c r="U31" s="31" t="str">
        <f>Global!EK31</f>
        <v/>
      </c>
      <c r="V31" s="31" t="str">
        <f>Global!EL31</f>
        <v/>
      </c>
      <c r="W31" s="31" t="str">
        <f>Global!EM31</f>
        <v/>
      </c>
      <c r="X31" s="31" t="str">
        <f>Global!EN31</f>
        <v/>
      </c>
      <c r="Y31" s="31" t="str">
        <f>Global!EO31</f>
        <v/>
      </c>
      <c r="Z31" s="31" t="str">
        <f>Global!EP31</f>
        <v/>
      </c>
      <c r="AA31" s="31" t="str">
        <f>Global!EQ31</f>
        <v/>
      </c>
      <c r="AB31" s="31" t="str">
        <f>Global!ER31</f>
        <v/>
      </c>
      <c r="AC31" s="31" t="str">
        <f>Global!ES31</f>
        <v/>
      </c>
      <c r="AD31" s="31" t="str">
        <f>Global!ET31</f>
        <v/>
      </c>
      <c r="AE31" s="31" t="str">
        <f>Global!EU31</f>
        <v/>
      </c>
      <c r="AF31" s="31" t="str">
        <f>Global!EV31</f>
        <v/>
      </c>
      <c r="AG31" s="31" t="str">
        <f>Global!EW31</f>
        <v/>
      </c>
      <c r="AH31" s="31" t="str">
        <f>Global!EX31</f>
        <v/>
      </c>
      <c r="AI31" s="31" t="str">
        <f>Global!EY31</f>
        <v/>
      </c>
      <c r="AJ31" s="48" t="str">
        <f>Global!EZ31</f>
        <v/>
      </c>
      <c r="AK31" s="108">
        <f>COUNTIF(Mai[[#This Row],[1]:[31]],"RTT")+(COUNTIF(Mai[[#This Row],[1]:[31]],"dRTT")/2)</f>
        <v>0</v>
      </c>
      <c r="AL31" s="109">
        <f>COUNTIF(Mai[[#This Row],[1]:[31]],"C")+(COUNTIF(Mai[[#This Row],[1]:[31]],"DC")/2)</f>
        <v>0</v>
      </c>
      <c r="AM31" s="22">
        <f>COUNTIF(Mai[[#This Row],[1]:[31]],"M")</f>
        <v>0</v>
      </c>
      <c r="AN31" s="22">
        <f>COUNTIF(Mai[[#This Row],[1]:[31]],"AT")</f>
        <v>0</v>
      </c>
      <c r="AO31" s="84">
        <f>IF(AND(Mai[[#This Row],[Maladie]]=0,Mai[[#This Row],[AT]]=0),((10*(_xlfn.DAYS("31/05/2018","01/05/2018")+1))/365),((_xlfn.DAYS("31/05/2018","01/05/2018")+1-(Mai[[#This Row],[Maladie]]+Mai[[#This Row],[AT]]))*((10*(_xlfn.DAYS("31/05/2018","01/05/2018")+1))/365))/(_xlfn.DAYS("31/05/2018","01/05/2018")+1))</f>
        <v>0.84931506849315064</v>
      </c>
    </row>
    <row r="32" spans="1:41" ht="30" customHeight="1" x14ac:dyDescent="0.2">
      <c r="A32" s="15" t="s">
        <v>88</v>
      </c>
      <c r="B32" s="22" t="s">
        <v>199</v>
      </c>
      <c r="C32" s="22" t="s">
        <v>200</v>
      </c>
      <c r="D32" s="22" t="s">
        <v>201</v>
      </c>
      <c r="E32" s="44">
        <v>0</v>
      </c>
      <c r="F32" s="47" t="str">
        <f>Global!DV32</f>
        <v/>
      </c>
      <c r="G32" s="31" t="str">
        <f>Global!DW32</f>
        <v/>
      </c>
      <c r="H32" s="31" t="str">
        <f>Global!DX32</f>
        <v/>
      </c>
      <c r="I32" s="31" t="str">
        <f>Global!DY32</f>
        <v/>
      </c>
      <c r="J32" s="31" t="str">
        <f>Global!DZ32</f>
        <v/>
      </c>
      <c r="K32" s="31" t="str">
        <f>Global!EA32</f>
        <v/>
      </c>
      <c r="L32" s="31" t="str">
        <f>Global!EB32</f>
        <v/>
      </c>
      <c r="M32" s="31" t="str">
        <f>Global!EC32</f>
        <v/>
      </c>
      <c r="N32" s="31" t="str">
        <f>Global!ED32</f>
        <v/>
      </c>
      <c r="O32" s="31" t="str">
        <f>Global!EE32</f>
        <v/>
      </c>
      <c r="P32" s="31" t="str">
        <f>Global!EF32</f>
        <v/>
      </c>
      <c r="Q32" s="31" t="str">
        <f>Global!EG32</f>
        <v/>
      </c>
      <c r="R32" s="31" t="str">
        <f>Global!EH32</f>
        <v/>
      </c>
      <c r="S32" s="31" t="str">
        <f>Global!EI32</f>
        <v/>
      </c>
      <c r="T32" s="31" t="str">
        <f>Global!EJ32</f>
        <v/>
      </c>
      <c r="U32" s="31" t="str">
        <f>Global!EK32</f>
        <v/>
      </c>
      <c r="V32" s="31" t="str">
        <f>Global!EL32</f>
        <v/>
      </c>
      <c r="W32" s="31" t="str">
        <f>Global!EM32</f>
        <v/>
      </c>
      <c r="X32" s="31" t="str">
        <f>Global!EN32</f>
        <v/>
      </c>
      <c r="Y32" s="31" t="str">
        <f>Global!EO32</f>
        <v/>
      </c>
      <c r="Z32" s="31" t="str">
        <f>Global!EP32</f>
        <v>RTT</v>
      </c>
      <c r="AA32" s="31" t="str">
        <f>Global!EQ32</f>
        <v/>
      </c>
      <c r="AB32" s="31" t="str">
        <f>Global!ER32</f>
        <v/>
      </c>
      <c r="AC32" s="31" t="str">
        <f>Global!ES32</f>
        <v/>
      </c>
      <c r="AD32" s="31" t="str">
        <f>Global!ET32</f>
        <v/>
      </c>
      <c r="AE32" s="31" t="str">
        <f>Global!EU32</f>
        <v/>
      </c>
      <c r="AF32" s="31" t="str">
        <f>Global!EV32</f>
        <v/>
      </c>
      <c r="AG32" s="31" t="str">
        <f>Global!EW32</f>
        <v>C</v>
      </c>
      <c r="AH32" s="31" t="str">
        <f>Global!EX32</f>
        <v>C</v>
      </c>
      <c r="AI32" s="31" t="str">
        <f>Global!EY32</f>
        <v>C</v>
      </c>
      <c r="AJ32" s="48" t="str">
        <f>Global!EZ32</f>
        <v>C</v>
      </c>
      <c r="AK32" s="108">
        <f>COUNTIF(Mai[[#This Row],[1]:[31]],"RTT")+(COUNTIF(Mai[[#This Row],[1]:[31]],"dRTT")/2)</f>
        <v>1</v>
      </c>
      <c r="AL32" s="109">
        <f>COUNTIF(Mai[[#This Row],[1]:[31]],"C")+(COUNTIF(Mai[[#This Row],[1]:[31]],"DC")/2)</f>
        <v>4</v>
      </c>
      <c r="AM32" s="22">
        <f>COUNTIF(Mai[[#This Row],[1]:[31]],"M")</f>
        <v>0</v>
      </c>
      <c r="AN32" s="22">
        <f>COUNTIF(Mai[[#This Row],[1]:[31]],"AT")</f>
        <v>0</v>
      </c>
      <c r="AO32" s="84">
        <f>IF(AND(Mai[[#This Row],[Maladie]]=0,Mai[[#This Row],[AT]]=0),((10*(_xlfn.DAYS("31/05/2018","01/05/2018")+1))/365),((_xlfn.DAYS("31/05/2018","01/05/2018")+1-(Mai[[#This Row],[Maladie]]+Mai[[#This Row],[AT]]))*((10*(_xlfn.DAYS("31/05/2018","01/05/2018")+1))/365))/(_xlfn.DAYS("31/05/2018","01/05/2018")+1))</f>
        <v>0.84931506849315064</v>
      </c>
    </row>
    <row r="33" spans="1:41" ht="30" customHeight="1" x14ac:dyDescent="0.2">
      <c r="A33" s="13" t="s">
        <v>89</v>
      </c>
      <c r="B33" s="22" t="s">
        <v>202</v>
      </c>
      <c r="C33" s="22" t="s">
        <v>172</v>
      </c>
      <c r="D33" s="22" t="s">
        <v>203</v>
      </c>
      <c r="E33" s="44">
        <v>0</v>
      </c>
      <c r="F33" s="47" t="str">
        <f>Global!DV33</f>
        <v/>
      </c>
      <c r="G33" s="31" t="str">
        <f>Global!DW33</f>
        <v/>
      </c>
      <c r="H33" s="31" t="str">
        <f>Global!DX33</f>
        <v/>
      </c>
      <c r="I33" s="31" t="str">
        <f>Global!DY33</f>
        <v/>
      </c>
      <c r="J33" s="31" t="str">
        <f>Global!DZ33</f>
        <v/>
      </c>
      <c r="K33" s="31" t="str">
        <f>Global!EA33</f>
        <v/>
      </c>
      <c r="L33" s="31" t="str">
        <f>Global!EB33</f>
        <v>C</v>
      </c>
      <c r="M33" s="31" t="str">
        <f>Global!EC33</f>
        <v/>
      </c>
      <c r="N33" s="31" t="str">
        <f>Global!ED33</f>
        <v/>
      </c>
      <c r="O33" s="31" t="str">
        <f>Global!EE33</f>
        <v/>
      </c>
      <c r="P33" s="31" t="str">
        <f>Global!EF33</f>
        <v/>
      </c>
      <c r="Q33" s="31" t="str">
        <f>Global!EG33</f>
        <v/>
      </c>
      <c r="R33" s="31" t="str">
        <f>Global!EH33</f>
        <v/>
      </c>
      <c r="S33" s="31" t="str">
        <f>Global!EI33</f>
        <v/>
      </c>
      <c r="T33" s="31" t="str">
        <f>Global!EJ33</f>
        <v/>
      </c>
      <c r="U33" s="31" t="str">
        <f>Global!EK33</f>
        <v/>
      </c>
      <c r="V33" s="31" t="str">
        <f>Global!EL33</f>
        <v/>
      </c>
      <c r="W33" s="31" t="str">
        <f>Global!EM33</f>
        <v/>
      </c>
      <c r="X33" s="31" t="str">
        <f>Global!EN33</f>
        <v/>
      </c>
      <c r="Y33" s="31" t="str">
        <f>Global!EO33</f>
        <v/>
      </c>
      <c r="Z33" s="31" t="str">
        <f>Global!EP33</f>
        <v/>
      </c>
      <c r="AA33" s="31" t="str">
        <f>Global!EQ33</f>
        <v/>
      </c>
      <c r="AB33" s="31" t="str">
        <f>Global!ER33</f>
        <v/>
      </c>
      <c r="AC33" s="31" t="str">
        <f>Global!ES33</f>
        <v/>
      </c>
      <c r="AD33" s="31" t="str">
        <f>Global!ET33</f>
        <v/>
      </c>
      <c r="AE33" s="31" t="str">
        <f>Global!EU33</f>
        <v/>
      </c>
      <c r="AF33" s="31" t="str">
        <f>Global!EV33</f>
        <v/>
      </c>
      <c r="AG33" s="31" t="str">
        <f>Global!EW33</f>
        <v/>
      </c>
      <c r="AH33" s="31" t="str">
        <f>Global!EX33</f>
        <v/>
      </c>
      <c r="AI33" s="31" t="str">
        <f>Global!EY33</f>
        <v/>
      </c>
      <c r="AJ33" s="48" t="str">
        <f>Global!EZ33</f>
        <v/>
      </c>
      <c r="AK33" s="108">
        <f>COUNTIF(Mai[[#This Row],[1]:[31]],"RTT")+(COUNTIF(Mai[[#This Row],[1]:[31]],"dRTT")/2)</f>
        <v>0</v>
      </c>
      <c r="AL33" s="109">
        <f>COUNTIF(Mai[[#This Row],[1]:[31]],"C")+(COUNTIF(Mai[[#This Row],[1]:[31]],"DC")/2)</f>
        <v>1</v>
      </c>
      <c r="AM33" s="22">
        <f>COUNTIF(Mai[[#This Row],[1]:[31]],"M")</f>
        <v>0</v>
      </c>
      <c r="AN33" s="22">
        <f>COUNTIF(Mai[[#This Row],[1]:[31]],"AT")</f>
        <v>0</v>
      </c>
      <c r="AO33" s="84">
        <f>IF(AND(Mai[[#This Row],[Maladie]]=0,Mai[[#This Row],[AT]]=0),((10*(_xlfn.DAYS("31/05/2018","01/05/2018")+1))/365),((_xlfn.DAYS("31/05/2018","01/05/2018")+1-(Mai[[#This Row],[Maladie]]+Mai[[#This Row],[AT]]))*((10*(_xlfn.DAYS("31/05/2018","01/05/2018")+1))/365))/(_xlfn.DAYS("31/05/2018","01/05/2018")+1))</f>
        <v>0.84931506849315064</v>
      </c>
    </row>
    <row r="34" spans="1:41" ht="30" customHeight="1" x14ac:dyDescent="0.2">
      <c r="A34" s="13" t="s">
        <v>90</v>
      </c>
      <c r="B34" s="22" t="s">
        <v>204</v>
      </c>
      <c r="C34" s="22" t="s">
        <v>205</v>
      </c>
      <c r="D34" s="22" t="s">
        <v>206</v>
      </c>
      <c r="E34" s="44" t="s">
        <v>162</v>
      </c>
      <c r="F34" s="47" t="str">
        <f>Global!DV34</f>
        <v/>
      </c>
      <c r="G34" s="31" t="str">
        <f>Global!DW34</f>
        <v/>
      </c>
      <c r="H34" s="31" t="str">
        <f>Global!DX34</f>
        <v/>
      </c>
      <c r="I34" s="31" t="str">
        <f>Global!DY34</f>
        <v/>
      </c>
      <c r="J34" s="31" t="str">
        <f>Global!DZ34</f>
        <v/>
      </c>
      <c r="K34" s="31" t="str">
        <f>Global!EA34</f>
        <v/>
      </c>
      <c r="L34" s="31" t="str">
        <f>Global!EB34</f>
        <v/>
      </c>
      <c r="M34" s="31" t="str">
        <f>Global!EC34</f>
        <v/>
      </c>
      <c r="N34" s="31" t="str">
        <f>Global!ED34</f>
        <v/>
      </c>
      <c r="O34" s="31" t="str">
        <f>Global!EE34</f>
        <v/>
      </c>
      <c r="P34" s="31" t="str">
        <f>Global!EF34</f>
        <v/>
      </c>
      <c r="Q34" s="31" t="str">
        <f>Global!EG34</f>
        <v/>
      </c>
      <c r="R34" s="31" t="str">
        <f>Global!EH34</f>
        <v/>
      </c>
      <c r="S34" s="31" t="str">
        <f>Global!EI34</f>
        <v/>
      </c>
      <c r="T34" s="31" t="str">
        <f>Global!EJ34</f>
        <v/>
      </c>
      <c r="U34" s="31" t="str">
        <f>Global!EK34</f>
        <v/>
      </c>
      <c r="V34" s="31" t="str">
        <f>Global!EL34</f>
        <v/>
      </c>
      <c r="W34" s="31" t="str">
        <f>Global!EM34</f>
        <v/>
      </c>
      <c r="X34" s="31" t="str">
        <f>Global!EN34</f>
        <v/>
      </c>
      <c r="Y34" s="31" t="str">
        <f>Global!EO34</f>
        <v/>
      </c>
      <c r="Z34" s="31" t="str">
        <f>Global!EP34</f>
        <v/>
      </c>
      <c r="AA34" s="31" t="str">
        <f>Global!EQ34</f>
        <v/>
      </c>
      <c r="AB34" s="31" t="str">
        <f>Global!ER34</f>
        <v/>
      </c>
      <c r="AC34" s="31" t="str">
        <f>Global!ES34</f>
        <v/>
      </c>
      <c r="AD34" s="31" t="str">
        <f>Global!ET34</f>
        <v/>
      </c>
      <c r="AE34" s="31" t="str">
        <f>Global!EU34</f>
        <v/>
      </c>
      <c r="AF34" s="31" t="str">
        <f>Global!EV34</f>
        <v/>
      </c>
      <c r="AG34" s="31" t="str">
        <f>Global!EW34</f>
        <v/>
      </c>
      <c r="AH34" s="31" t="str">
        <f>Global!EX34</f>
        <v/>
      </c>
      <c r="AI34" s="31" t="str">
        <f>Global!EY34</f>
        <v/>
      </c>
      <c r="AJ34" s="48" t="str">
        <f>Global!EZ34</f>
        <v/>
      </c>
      <c r="AK34" s="108">
        <f>COUNTIF(Mai[[#This Row],[1]:[31]],"RTT")+(COUNTIF(Mai[[#This Row],[1]:[31]],"dRTT")/2)</f>
        <v>0</v>
      </c>
      <c r="AL34" s="109">
        <f>COUNTIF(Mai[[#This Row],[1]:[31]],"C")+(COUNTIF(Mai[[#This Row],[1]:[31]],"DC")/2)</f>
        <v>0</v>
      </c>
      <c r="AM34" s="22">
        <f>COUNTIF(Mai[[#This Row],[1]:[31]],"M")</f>
        <v>0</v>
      </c>
      <c r="AN34" s="22">
        <f>COUNTIF(Mai[[#This Row],[1]:[31]],"AT")</f>
        <v>0</v>
      </c>
      <c r="AO34" s="84">
        <f>IF(AND(Mai[[#This Row],[Maladie]]=0,Mai[[#This Row],[AT]]=0),((10*(_xlfn.DAYS("31/05/2018","01/05/2018")+1))/365),((_xlfn.DAYS("31/05/2018","01/05/2018")+1-(Mai[[#This Row],[Maladie]]+Mai[[#This Row],[AT]]))*((10*(_xlfn.DAYS("31/05/2018","01/05/2018")+1))/365))/(_xlfn.DAYS("31/05/2018","01/05/2018")+1))</f>
        <v>0.84931506849315064</v>
      </c>
    </row>
    <row r="35" spans="1:41" ht="30" customHeight="1" x14ac:dyDescent="0.2">
      <c r="A35" s="13" t="s">
        <v>91</v>
      </c>
      <c r="B35" s="22" t="s">
        <v>207</v>
      </c>
      <c r="C35" s="22" t="s">
        <v>208</v>
      </c>
      <c r="D35" s="22" t="s">
        <v>209</v>
      </c>
      <c r="E35" s="44" t="s">
        <v>162</v>
      </c>
      <c r="F35" s="47" t="str">
        <f>Global!DV35</f>
        <v/>
      </c>
      <c r="G35" s="31" t="str">
        <f>Global!DW35</f>
        <v/>
      </c>
      <c r="H35" s="31" t="str">
        <f>Global!DX35</f>
        <v/>
      </c>
      <c r="I35" s="31" t="str">
        <f>Global!DY35</f>
        <v/>
      </c>
      <c r="J35" s="31" t="str">
        <f>Global!DZ35</f>
        <v/>
      </c>
      <c r="K35" s="31" t="str">
        <f>Global!EA35</f>
        <v/>
      </c>
      <c r="L35" s="31" t="str">
        <f>Global!EB35</f>
        <v/>
      </c>
      <c r="M35" s="31" t="str">
        <f>Global!EC35</f>
        <v/>
      </c>
      <c r="N35" s="31" t="str">
        <f>Global!ED35</f>
        <v/>
      </c>
      <c r="O35" s="31" t="str">
        <f>Global!EE35</f>
        <v/>
      </c>
      <c r="P35" s="31" t="str">
        <f>Global!EF35</f>
        <v/>
      </c>
      <c r="Q35" s="31" t="str">
        <f>Global!EG35</f>
        <v/>
      </c>
      <c r="R35" s="31" t="str">
        <f>Global!EH35</f>
        <v/>
      </c>
      <c r="S35" s="31" t="str">
        <f>Global!EI35</f>
        <v/>
      </c>
      <c r="T35" s="31" t="str">
        <f>Global!EJ35</f>
        <v/>
      </c>
      <c r="U35" s="31" t="str">
        <f>Global!EK35</f>
        <v/>
      </c>
      <c r="V35" s="31" t="str">
        <f>Global!EL35</f>
        <v/>
      </c>
      <c r="W35" s="31" t="str">
        <f>Global!EM35</f>
        <v/>
      </c>
      <c r="X35" s="31" t="str">
        <f>Global!EN35</f>
        <v/>
      </c>
      <c r="Y35" s="31" t="str">
        <f>Global!EO35</f>
        <v/>
      </c>
      <c r="Z35" s="31" t="str">
        <f>Global!EP35</f>
        <v/>
      </c>
      <c r="AA35" s="31" t="str">
        <f>Global!EQ35</f>
        <v/>
      </c>
      <c r="AB35" s="31" t="str">
        <f>Global!ER35</f>
        <v/>
      </c>
      <c r="AC35" s="31" t="str">
        <f>Global!ES35</f>
        <v/>
      </c>
      <c r="AD35" s="31" t="str">
        <f>Global!ET35</f>
        <v/>
      </c>
      <c r="AE35" s="31" t="str">
        <f>Global!EU35</f>
        <v/>
      </c>
      <c r="AF35" s="31" t="str">
        <f>Global!EV35</f>
        <v/>
      </c>
      <c r="AG35" s="31" t="str">
        <f>Global!EW35</f>
        <v/>
      </c>
      <c r="AH35" s="31" t="str">
        <f>Global!EX35</f>
        <v/>
      </c>
      <c r="AI35" s="31" t="str">
        <f>Global!EY35</f>
        <v/>
      </c>
      <c r="AJ35" s="48" t="str">
        <f>Global!EZ35</f>
        <v/>
      </c>
      <c r="AK35" s="108">
        <f>COUNTIF(Mai[[#This Row],[1]:[31]],"RTT")+(COUNTIF(Mai[[#This Row],[1]:[31]],"dRTT")/2)</f>
        <v>0</v>
      </c>
      <c r="AL35" s="109">
        <f>COUNTIF(Mai[[#This Row],[1]:[31]],"C")+(COUNTIF(Mai[[#This Row],[1]:[31]],"DC")/2)</f>
        <v>0</v>
      </c>
      <c r="AM35" s="22">
        <f>COUNTIF(Mai[[#This Row],[1]:[31]],"M")</f>
        <v>0</v>
      </c>
      <c r="AN35" s="22">
        <f>COUNTIF(Mai[[#This Row],[1]:[31]],"AT")</f>
        <v>0</v>
      </c>
      <c r="AO35" s="84">
        <f>IF(AND(Mai[[#This Row],[Maladie]]=0,Mai[[#This Row],[AT]]=0),((10*(_xlfn.DAYS("31/05/2018","01/05/2018")+1))/365),((_xlfn.DAYS("31/05/2018","01/05/2018")+1-(Mai[[#This Row],[Maladie]]+Mai[[#This Row],[AT]]))*((10*(_xlfn.DAYS("31/05/2018","01/05/2018")+1))/365))/(_xlfn.DAYS("31/05/2018","01/05/2018")+1))</f>
        <v>0.84931506849315064</v>
      </c>
    </row>
    <row r="36" spans="1:41" ht="30" customHeight="1" x14ac:dyDescent="0.2">
      <c r="A36" s="13" t="s">
        <v>92</v>
      </c>
      <c r="B36" s="22" t="s">
        <v>210</v>
      </c>
      <c r="C36" s="22" t="s">
        <v>211</v>
      </c>
      <c r="D36" s="22" t="s">
        <v>212</v>
      </c>
      <c r="E36" s="44">
        <v>0</v>
      </c>
      <c r="F36" s="47" t="str">
        <f>Global!DV36</f>
        <v/>
      </c>
      <c r="G36" s="31" t="str">
        <f>Global!DW36</f>
        <v/>
      </c>
      <c r="H36" s="31" t="str">
        <f>Global!DX36</f>
        <v/>
      </c>
      <c r="I36" s="31" t="str">
        <f>Global!DY36</f>
        <v/>
      </c>
      <c r="J36" s="31" t="str">
        <f>Global!DZ36</f>
        <v/>
      </c>
      <c r="K36" s="31" t="str">
        <f>Global!EA36</f>
        <v/>
      </c>
      <c r="L36" s="31" t="str">
        <f>Global!EB36</f>
        <v/>
      </c>
      <c r="M36" s="31" t="str">
        <f>Global!EC36</f>
        <v/>
      </c>
      <c r="N36" s="31" t="str">
        <f>Global!ED36</f>
        <v/>
      </c>
      <c r="O36" s="31" t="str">
        <f>Global!EE36</f>
        <v/>
      </c>
      <c r="P36" s="31" t="str">
        <f>Global!EF36</f>
        <v/>
      </c>
      <c r="Q36" s="31" t="str">
        <f>Global!EG36</f>
        <v/>
      </c>
      <c r="R36" s="31" t="str">
        <f>Global!EH36</f>
        <v/>
      </c>
      <c r="S36" s="31" t="str">
        <f>Global!EI36</f>
        <v/>
      </c>
      <c r="T36" s="31" t="str">
        <f>Global!EJ36</f>
        <v/>
      </c>
      <c r="U36" s="31" t="str">
        <f>Global!EK36</f>
        <v/>
      </c>
      <c r="V36" s="31" t="str">
        <f>Global!EL36</f>
        <v/>
      </c>
      <c r="W36" s="31" t="str">
        <f>Global!EM36</f>
        <v/>
      </c>
      <c r="X36" s="31" t="str">
        <f>Global!EN36</f>
        <v/>
      </c>
      <c r="Y36" s="31" t="str">
        <f>Global!EO36</f>
        <v/>
      </c>
      <c r="Z36" s="31" t="str">
        <f>Global!EP36</f>
        <v>C</v>
      </c>
      <c r="AA36" s="31" t="str">
        <f>Global!EQ36</f>
        <v>C</v>
      </c>
      <c r="AB36" s="31" t="str">
        <f>Global!ER36</f>
        <v>C</v>
      </c>
      <c r="AC36" s="31" t="str">
        <f>Global!ES36</f>
        <v>C</v>
      </c>
      <c r="AD36" s="31" t="str">
        <f>Global!ET36</f>
        <v>C</v>
      </c>
      <c r="AE36" s="31" t="str">
        <f>Global!EU36</f>
        <v/>
      </c>
      <c r="AF36" s="31" t="str">
        <f>Global!EV36</f>
        <v/>
      </c>
      <c r="AG36" s="31" t="str">
        <f>Global!EW36</f>
        <v>C</v>
      </c>
      <c r="AH36" s="31" t="str">
        <f>Global!EX36</f>
        <v>C</v>
      </c>
      <c r="AI36" s="31" t="str">
        <f>Global!EY36</f>
        <v>C</v>
      </c>
      <c r="AJ36" s="48" t="str">
        <f>Global!EZ36</f>
        <v>RTT</v>
      </c>
      <c r="AK36" s="108">
        <f>COUNTIF(Mai[[#This Row],[1]:[31]],"RTT")+(COUNTIF(Mai[[#This Row],[1]:[31]],"dRTT")/2)</f>
        <v>1</v>
      </c>
      <c r="AL36" s="109">
        <f>COUNTIF(Mai[[#This Row],[1]:[31]],"C")+(COUNTIF(Mai[[#This Row],[1]:[31]],"DC")/2)</f>
        <v>8</v>
      </c>
      <c r="AM36" s="22">
        <f>COUNTIF(Mai[[#This Row],[1]:[31]],"M")</f>
        <v>0</v>
      </c>
      <c r="AN36" s="22">
        <f>COUNTIF(Mai[[#This Row],[1]:[31]],"AT")</f>
        <v>0</v>
      </c>
      <c r="AO36" s="84">
        <f>IF(AND(Mai[[#This Row],[Maladie]]=0,Mai[[#This Row],[AT]]=0),((10*(_xlfn.DAYS("31/05/2018","01/05/2018")+1))/365),((_xlfn.DAYS("31/05/2018","01/05/2018")+1-(Mai[[#This Row],[Maladie]]+Mai[[#This Row],[AT]]))*((10*(_xlfn.DAYS("31/05/2018","01/05/2018")+1))/365))/(_xlfn.DAYS("31/05/2018","01/05/2018")+1))</f>
        <v>0.84931506849315064</v>
      </c>
    </row>
    <row r="37" spans="1:41" ht="30" customHeight="1" x14ac:dyDescent="0.2">
      <c r="A37" s="13" t="s">
        <v>93</v>
      </c>
      <c r="B37" s="22" t="s">
        <v>213</v>
      </c>
      <c r="C37" s="22" t="s">
        <v>148</v>
      </c>
      <c r="D37" s="22" t="s">
        <v>214</v>
      </c>
      <c r="E37" s="44">
        <v>0</v>
      </c>
      <c r="F37" s="47" t="str">
        <f>Global!DV37</f>
        <v/>
      </c>
      <c r="G37" s="31" t="str">
        <f>Global!DW37</f>
        <v/>
      </c>
      <c r="H37" s="31" t="str">
        <f>Global!DX37</f>
        <v/>
      </c>
      <c r="I37" s="31" t="str">
        <f>Global!DY37</f>
        <v/>
      </c>
      <c r="J37" s="31" t="str">
        <f>Global!DZ37</f>
        <v/>
      </c>
      <c r="K37" s="31" t="str">
        <f>Global!EA37</f>
        <v/>
      </c>
      <c r="L37" s="31" t="str">
        <f>Global!EB37</f>
        <v/>
      </c>
      <c r="M37" s="31" t="str">
        <f>Global!EC37</f>
        <v/>
      </c>
      <c r="N37" s="31" t="str">
        <f>Global!ED37</f>
        <v/>
      </c>
      <c r="O37" s="31" t="str">
        <f>Global!EE37</f>
        <v/>
      </c>
      <c r="P37" s="31" t="str">
        <f>Global!EF37</f>
        <v/>
      </c>
      <c r="Q37" s="31" t="str">
        <f>Global!EG37</f>
        <v/>
      </c>
      <c r="R37" s="31" t="str">
        <f>Global!EH37</f>
        <v/>
      </c>
      <c r="S37" s="31" t="str">
        <f>Global!EI37</f>
        <v/>
      </c>
      <c r="T37" s="31" t="str">
        <f>Global!EJ37</f>
        <v>C</v>
      </c>
      <c r="U37" s="31" t="str">
        <f>Global!EK37</f>
        <v/>
      </c>
      <c r="V37" s="31" t="str">
        <f>Global!EL37</f>
        <v/>
      </c>
      <c r="W37" s="31" t="str">
        <f>Global!EM37</f>
        <v/>
      </c>
      <c r="X37" s="31" t="str">
        <f>Global!EN37</f>
        <v/>
      </c>
      <c r="Y37" s="31" t="str">
        <f>Global!EO37</f>
        <v/>
      </c>
      <c r="Z37" s="31" t="str">
        <f>Global!EP37</f>
        <v/>
      </c>
      <c r="AA37" s="31" t="str">
        <f>Global!EQ37</f>
        <v/>
      </c>
      <c r="AB37" s="31" t="str">
        <f>Global!ER37</f>
        <v/>
      </c>
      <c r="AC37" s="31" t="str">
        <f>Global!ES37</f>
        <v/>
      </c>
      <c r="AD37" s="31" t="str">
        <f>Global!ET37</f>
        <v/>
      </c>
      <c r="AE37" s="31" t="str">
        <f>Global!EU37</f>
        <v/>
      </c>
      <c r="AF37" s="31" t="str">
        <f>Global!EV37</f>
        <v/>
      </c>
      <c r="AG37" s="31" t="str">
        <f>Global!EW37</f>
        <v/>
      </c>
      <c r="AH37" s="31" t="str">
        <f>Global!EX37</f>
        <v/>
      </c>
      <c r="AI37" s="31" t="str">
        <f>Global!EY37</f>
        <v/>
      </c>
      <c r="AJ37" s="48" t="str">
        <f>Global!EZ37</f>
        <v/>
      </c>
      <c r="AK37" s="108">
        <f>COUNTIF(Mai[[#This Row],[1]:[31]],"RTT")+(COUNTIF(Mai[[#This Row],[1]:[31]],"dRTT")/2)</f>
        <v>0</v>
      </c>
      <c r="AL37" s="109">
        <f>COUNTIF(Mai[[#This Row],[1]:[31]],"C")+(COUNTIF(Mai[[#This Row],[1]:[31]],"DC")/2)</f>
        <v>1</v>
      </c>
      <c r="AM37" s="22">
        <f>COUNTIF(Mai[[#This Row],[1]:[31]],"M")</f>
        <v>0</v>
      </c>
      <c r="AN37" s="22">
        <f>COUNTIF(Mai[[#This Row],[1]:[31]],"AT")</f>
        <v>0</v>
      </c>
      <c r="AO37" s="84">
        <f>IF(AND(Mai[[#This Row],[Maladie]]=0,Mai[[#This Row],[AT]]=0),((10*(_xlfn.DAYS("31/05/2018","01/05/2018")+1))/365),((_xlfn.DAYS("31/05/2018","01/05/2018")+1-(Mai[[#This Row],[Maladie]]+Mai[[#This Row],[AT]]))*((10*(_xlfn.DAYS("31/05/2018","01/05/2018")+1))/365))/(_xlfn.DAYS("31/05/2018","01/05/2018")+1))</f>
        <v>0.84931506849315064</v>
      </c>
    </row>
    <row r="38" spans="1:41" ht="30" customHeight="1" x14ac:dyDescent="0.2">
      <c r="A38" s="13" t="s">
        <v>94</v>
      </c>
      <c r="B38" s="22" t="s">
        <v>215</v>
      </c>
      <c r="C38" s="22" t="s">
        <v>216</v>
      </c>
      <c r="D38" s="22" t="s">
        <v>217</v>
      </c>
      <c r="E38" s="44">
        <v>0</v>
      </c>
      <c r="F38" s="47" t="str">
        <f>Global!DV38</f>
        <v>AT</v>
      </c>
      <c r="G38" s="31" t="str">
        <f>Global!DW38</f>
        <v>AT</v>
      </c>
      <c r="H38" s="31" t="str">
        <f>Global!DX38</f>
        <v>AT</v>
      </c>
      <c r="I38" s="31" t="str">
        <f>Global!DY38</f>
        <v>AT</v>
      </c>
      <c r="J38" s="31" t="str">
        <f>Global!DZ38</f>
        <v>AT</v>
      </c>
      <c r="K38" s="31" t="str">
        <f>Global!EA38</f>
        <v>AT</v>
      </c>
      <c r="L38" s="31" t="str">
        <f>Global!EB38</f>
        <v>AT</v>
      </c>
      <c r="M38" s="31" t="str">
        <f>Global!EC38</f>
        <v>AT</v>
      </c>
      <c r="N38" s="31" t="str">
        <f>Global!ED38</f>
        <v>AT</v>
      </c>
      <c r="O38" s="31" t="str">
        <f>Global!EE38</f>
        <v>AT</v>
      </c>
      <c r="P38" s="31" t="str">
        <f>Global!EF38</f>
        <v/>
      </c>
      <c r="Q38" s="31" t="str">
        <f>Global!EG38</f>
        <v/>
      </c>
      <c r="R38" s="31" t="str">
        <f>Global!EH38</f>
        <v/>
      </c>
      <c r="S38" s="31" t="str">
        <f>Global!EI38</f>
        <v/>
      </c>
      <c r="T38" s="31" t="str">
        <f>Global!EJ38</f>
        <v/>
      </c>
      <c r="U38" s="31" t="str">
        <f>Global!EK38</f>
        <v/>
      </c>
      <c r="V38" s="31" t="str">
        <f>Global!EL38</f>
        <v/>
      </c>
      <c r="W38" s="31" t="str">
        <f>Global!EM38</f>
        <v/>
      </c>
      <c r="X38" s="31" t="str">
        <f>Global!EN38</f>
        <v/>
      </c>
      <c r="Y38" s="31" t="str">
        <f>Global!EO38</f>
        <v/>
      </c>
      <c r="Z38" s="31" t="str">
        <f>Global!EP38</f>
        <v/>
      </c>
      <c r="AA38" s="31" t="str">
        <f>Global!EQ38</f>
        <v/>
      </c>
      <c r="AB38" s="31" t="str">
        <f>Global!ER38</f>
        <v/>
      </c>
      <c r="AC38" s="31" t="str">
        <f>Global!ES38</f>
        <v/>
      </c>
      <c r="AD38" s="31" t="str">
        <f>Global!ET38</f>
        <v/>
      </c>
      <c r="AE38" s="31" t="str">
        <f>Global!EU38</f>
        <v/>
      </c>
      <c r="AF38" s="31" t="str">
        <f>Global!EV38</f>
        <v/>
      </c>
      <c r="AG38" s="31" t="str">
        <f>Global!EW38</f>
        <v/>
      </c>
      <c r="AH38" s="31" t="str">
        <f>Global!EX38</f>
        <v/>
      </c>
      <c r="AI38" s="31" t="str">
        <f>Global!EY38</f>
        <v/>
      </c>
      <c r="AJ38" s="48" t="str">
        <f>Global!EZ38</f>
        <v/>
      </c>
      <c r="AK38" s="108">
        <f>COUNTIF(Mai[[#This Row],[1]:[31]],"RTT")+(COUNTIF(Mai[[#This Row],[1]:[31]],"dRTT")/2)</f>
        <v>0</v>
      </c>
      <c r="AL38" s="109">
        <f>COUNTIF(Mai[[#This Row],[1]:[31]],"C")+(COUNTIF(Mai[[#This Row],[1]:[31]],"DC")/2)</f>
        <v>0</v>
      </c>
      <c r="AM38" s="22">
        <f>COUNTIF(Mai[[#This Row],[1]:[31]],"M")</f>
        <v>0</v>
      </c>
      <c r="AN38" s="22">
        <f>COUNTIF(Mai[[#This Row],[1]:[31]],"AT")</f>
        <v>10</v>
      </c>
      <c r="AO38" s="84">
        <f>IF(AND(Mai[[#This Row],[Maladie]]=0,Mai[[#This Row],[AT]]=0),((10*(_xlfn.DAYS("31/05/2018","01/05/2018")+1))/365),((_xlfn.DAYS("31/05/2018","01/05/2018")+1-(Mai[[#This Row],[Maladie]]+Mai[[#This Row],[AT]]))*((10*(_xlfn.DAYS("31/05/2018","01/05/2018")+1))/365))/(_xlfn.DAYS("31/05/2018","01/05/2018")+1))</f>
        <v>0.57534246575342463</v>
      </c>
    </row>
    <row r="39" spans="1:41" ht="30" customHeight="1" x14ac:dyDescent="0.2">
      <c r="A39" s="16" t="s">
        <v>95</v>
      </c>
      <c r="B39" s="22" t="s">
        <v>218</v>
      </c>
      <c r="C39" s="22" t="s">
        <v>219</v>
      </c>
      <c r="D39" s="22" t="s">
        <v>220</v>
      </c>
      <c r="E39" s="44">
        <v>0</v>
      </c>
      <c r="F39" s="47" t="str">
        <f>Global!DV39</f>
        <v/>
      </c>
      <c r="G39" s="31" t="str">
        <f>Global!DW39</f>
        <v/>
      </c>
      <c r="H39" s="31" t="str">
        <f>Global!DX39</f>
        <v/>
      </c>
      <c r="I39" s="31" t="str">
        <f>Global!DY39</f>
        <v/>
      </c>
      <c r="J39" s="31" t="str">
        <f>Global!DZ39</f>
        <v/>
      </c>
      <c r="K39" s="31" t="str">
        <f>Global!EA39</f>
        <v/>
      </c>
      <c r="L39" s="31" t="str">
        <f>Global!EB39</f>
        <v/>
      </c>
      <c r="M39" s="31" t="str">
        <f>Global!EC39</f>
        <v/>
      </c>
      <c r="N39" s="31" t="str">
        <f>Global!ED39</f>
        <v/>
      </c>
      <c r="O39" s="31" t="str">
        <f>Global!EE39</f>
        <v/>
      </c>
      <c r="P39" s="31" t="str">
        <f>Global!EF39</f>
        <v/>
      </c>
      <c r="Q39" s="31" t="str">
        <f>Global!EG39</f>
        <v/>
      </c>
      <c r="R39" s="31" t="str">
        <f>Global!EH39</f>
        <v/>
      </c>
      <c r="S39" s="31" t="str">
        <f>Global!EI39</f>
        <v/>
      </c>
      <c r="T39" s="31" t="str">
        <f>Global!EJ39</f>
        <v/>
      </c>
      <c r="U39" s="31" t="str">
        <f>Global!EK39</f>
        <v/>
      </c>
      <c r="V39" s="31" t="str">
        <f>Global!EL39</f>
        <v/>
      </c>
      <c r="W39" s="31" t="str">
        <f>Global!EM39</f>
        <v/>
      </c>
      <c r="X39" s="31" t="str">
        <f>Global!EN39</f>
        <v/>
      </c>
      <c r="Y39" s="31" t="str">
        <f>Global!EO39</f>
        <v/>
      </c>
      <c r="Z39" s="31" t="str">
        <f>Global!EP39</f>
        <v/>
      </c>
      <c r="AA39" s="31" t="str">
        <f>Global!EQ39</f>
        <v/>
      </c>
      <c r="AB39" s="31" t="str">
        <f>Global!ER39</f>
        <v/>
      </c>
      <c r="AC39" s="31" t="str">
        <f>Global!ES39</f>
        <v/>
      </c>
      <c r="AD39" s="31" t="str">
        <f>Global!ET39</f>
        <v/>
      </c>
      <c r="AE39" s="31" t="str">
        <f>Global!EU39</f>
        <v/>
      </c>
      <c r="AF39" s="31" t="str">
        <f>Global!EV39</f>
        <v/>
      </c>
      <c r="AG39" s="31" t="str">
        <f>Global!EW39</f>
        <v/>
      </c>
      <c r="AH39" s="31" t="str">
        <f>Global!EX39</f>
        <v/>
      </c>
      <c r="AI39" s="31" t="str">
        <f>Global!EY39</f>
        <v/>
      </c>
      <c r="AJ39" s="48" t="str">
        <f>Global!EZ39</f>
        <v/>
      </c>
      <c r="AK39" s="108">
        <f>COUNTIF(Mai[[#This Row],[1]:[31]],"RTT")+(COUNTIF(Mai[[#This Row],[1]:[31]],"dRTT")/2)</f>
        <v>0</v>
      </c>
      <c r="AL39" s="109">
        <f>COUNTIF(Mai[[#This Row],[1]:[31]],"C")+(COUNTIF(Mai[[#This Row],[1]:[31]],"DC")/2)</f>
        <v>0</v>
      </c>
      <c r="AM39" s="22">
        <f>COUNTIF(Mai[[#This Row],[1]:[31]],"M")</f>
        <v>0</v>
      </c>
      <c r="AN39" s="22">
        <f>COUNTIF(Mai[[#This Row],[1]:[31]],"AT")</f>
        <v>0</v>
      </c>
      <c r="AO39" s="84">
        <f>IF(AND(Mai[[#This Row],[Maladie]]=0,Mai[[#This Row],[AT]]=0),((10*(_xlfn.DAYS("31/05/2018","01/05/2018")+1))/365),((_xlfn.DAYS("31/05/2018","01/05/2018")+1-(Mai[[#This Row],[Maladie]]+Mai[[#This Row],[AT]]))*((10*(_xlfn.DAYS("31/05/2018","01/05/2018")+1))/365))/(_xlfn.DAYS("31/05/2018","01/05/2018")+1))</f>
        <v>0.84931506849315064</v>
      </c>
    </row>
    <row r="40" spans="1:41" ht="30" customHeight="1" x14ac:dyDescent="0.2">
      <c r="A40" s="15" t="s">
        <v>96</v>
      </c>
      <c r="B40" s="22" t="s">
        <v>221</v>
      </c>
      <c r="C40" s="22" t="s">
        <v>222</v>
      </c>
      <c r="D40" s="22" t="s">
        <v>223</v>
      </c>
      <c r="E40" s="44">
        <v>0</v>
      </c>
      <c r="F40" s="47" t="str">
        <f>Global!DV40</f>
        <v/>
      </c>
      <c r="G40" s="31" t="str">
        <f>Global!DW40</f>
        <v/>
      </c>
      <c r="H40" s="31" t="str">
        <f>Global!DX40</f>
        <v/>
      </c>
      <c r="I40" s="31" t="str">
        <f>Global!DY40</f>
        <v/>
      </c>
      <c r="J40" s="31" t="str">
        <f>Global!DZ40</f>
        <v/>
      </c>
      <c r="K40" s="31" t="str">
        <f>Global!EA40</f>
        <v/>
      </c>
      <c r="L40" s="31" t="str">
        <f>Global!EB40</f>
        <v/>
      </c>
      <c r="M40" s="31" t="str">
        <f>Global!EC40</f>
        <v/>
      </c>
      <c r="N40" s="31" t="str">
        <f>Global!ED40</f>
        <v/>
      </c>
      <c r="O40" s="31" t="str">
        <f>Global!EE40</f>
        <v/>
      </c>
      <c r="P40" s="31" t="str">
        <f>Global!EF40</f>
        <v/>
      </c>
      <c r="Q40" s="31" t="str">
        <f>Global!EG40</f>
        <v/>
      </c>
      <c r="R40" s="31" t="str">
        <f>Global!EH40</f>
        <v/>
      </c>
      <c r="S40" s="31" t="str">
        <f>Global!EI40</f>
        <v/>
      </c>
      <c r="T40" s="31" t="str">
        <f>Global!EJ40</f>
        <v/>
      </c>
      <c r="U40" s="31" t="str">
        <f>Global!EK40</f>
        <v/>
      </c>
      <c r="V40" s="31" t="str">
        <f>Global!EL40</f>
        <v/>
      </c>
      <c r="W40" s="31" t="str">
        <f>Global!EM40</f>
        <v/>
      </c>
      <c r="X40" s="31" t="str">
        <f>Global!EN40</f>
        <v/>
      </c>
      <c r="Y40" s="31" t="str">
        <f>Global!EO40</f>
        <v/>
      </c>
      <c r="Z40" s="31" t="str">
        <f>Global!EP40</f>
        <v/>
      </c>
      <c r="AA40" s="31" t="str">
        <f>Global!EQ40</f>
        <v/>
      </c>
      <c r="AB40" s="31" t="str">
        <f>Global!ER40</f>
        <v/>
      </c>
      <c r="AC40" s="31" t="str">
        <f>Global!ES40</f>
        <v/>
      </c>
      <c r="AD40" s="31" t="str">
        <f>Global!ET40</f>
        <v/>
      </c>
      <c r="AE40" s="31" t="str">
        <f>Global!EU40</f>
        <v/>
      </c>
      <c r="AF40" s="31" t="str">
        <f>Global!EV40</f>
        <v/>
      </c>
      <c r="AG40" s="31" t="str">
        <f>Global!EW40</f>
        <v/>
      </c>
      <c r="AH40" s="31" t="str">
        <f>Global!EX40</f>
        <v/>
      </c>
      <c r="AI40" s="31" t="str">
        <f>Global!EY40</f>
        <v/>
      </c>
      <c r="AJ40" s="48" t="str">
        <f>Global!EZ40</f>
        <v/>
      </c>
      <c r="AK40" s="108">
        <f>COUNTIF(Mai[[#This Row],[1]:[31]],"RTT")+(COUNTIF(Mai[[#This Row],[1]:[31]],"dRTT")/2)</f>
        <v>0</v>
      </c>
      <c r="AL40" s="109">
        <f>COUNTIF(Mai[[#This Row],[1]:[31]],"C")+(COUNTIF(Mai[[#This Row],[1]:[31]],"DC")/2)</f>
        <v>0</v>
      </c>
      <c r="AM40" s="22">
        <f>COUNTIF(Mai[[#This Row],[1]:[31]],"M")</f>
        <v>0</v>
      </c>
      <c r="AN40" s="22">
        <f>COUNTIF(Mai[[#This Row],[1]:[31]],"AT")</f>
        <v>0</v>
      </c>
      <c r="AO40" s="84">
        <f>IF(AND(Mai[[#This Row],[Maladie]]=0,Mai[[#This Row],[AT]]=0),((10*(_xlfn.DAYS("31/05/2018","01/05/2018")+1))/365),((_xlfn.DAYS("31/05/2018","01/05/2018")+1-(Mai[[#This Row],[Maladie]]+Mai[[#This Row],[AT]]))*((10*(_xlfn.DAYS("31/05/2018","01/05/2018")+1))/365))/(_xlfn.DAYS("31/05/2018","01/05/2018")+1))</f>
        <v>0.84931506849315064</v>
      </c>
    </row>
    <row r="41" spans="1:41" ht="30" customHeight="1" x14ac:dyDescent="0.2">
      <c r="A41" s="15" t="s">
        <v>97</v>
      </c>
      <c r="B41" s="22" t="s">
        <v>224</v>
      </c>
      <c r="C41" s="22" t="s">
        <v>225</v>
      </c>
      <c r="D41" s="22" t="s">
        <v>226</v>
      </c>
      <c r="E41" s="44">
        <v>0</v>
      </c>
      <c r="F41" s="47" t="str">
        <f>Global!DV41</f>
        <v/>
      </c>
      <c r="G41" s="31" t="str">
        <f>Global!DW41</f>
        <v/>
      </c>
      <c r="H41" s="31" t="str">
        <f>Global!DX41</f>
        <v/>
      </c>
      <c r="I41" s="31" t="str">
        <f>Global!DY41</f>
        <v/>
      </c>
      <c r="J41" s="31" t="str">
        <f>Global!DZ41</f>
        <v/>
      </c>
      <c r="K41" s="31" t="str">
        <f>Global!EA41</f>
        <v/>
      </c>
      <c r="L41" s="31" t="str">
        <f>Global!EB41</f>
        <v/>
      </c>
      <c r="M41" s="31" t="str">
        <f>Global!EC41</f>
        <v/>
      </c>
      <c r="N41" s="31" t="str">
        <f>Global!ED41</f>
        <v/>
      </c>
      <c r="O41" s="31" t="str">
        <f>Global!EE41</f>
        <v/>
      </c>
      <c r="P41" s="31" t="str">
        <f>Global!EF41</f>
        <v/>
      </c>
      <c r="Q41" s="31" t="str">
        <f>Global!EG41</f>
        <v/>
      </c>
      <c r="R41" s="31" t="str">
        <f>Global!EH41</f>
        <v/>
      </c>
      <c r="S41" s="31" t="str">
        <f>Global!EI41</f>
        <v>C</v>
      </c>
      <c r="T41" s="31" t="str">
        <f>Global!EJ41</f>
        <v>C</v>
      </c>
      <c r="U41" s="31" t="str">
        <f>Global!EK41</f>
        <v>C</v>
      </c>
      <c r="V41" s="31" t="str">
        <f>Global!EL41</f>
        <v>C</v>
      </c>
      <c r="W41" s="31" t="str">
        <f>Global!EM41</f>
        <v>C</v>
      </c>
      <c r="X41" s="31" t="str">
        <f>Global!EN41</f>
        <v/>
      </c>
      <c r="Y41" s="31" t="str">
        <f>Global!EO41</f>
        <v/>
      </c>
      <c r="Z41" s="31" t="str">
        <f>Global!EP41</f>
        <v/>
      </c>
      <c r="AA41" s="31" t="str">
        <f>Global!EQ41</f>
        <v/>
      </c>
      <c r="AB41" s="31" t="str">
        <f>Global!ER41</f>
        <v/>
      </c>
      <c r="AC41" s="31" t="str">
        <f>Global!ES41</f>
        <v/>
      </c>
      <c r="AD41" s="31" t="str">
        <f>Global!ET41</f>
        <v/>
      </c>
      <c r="AE41" s="31" t="str">
        <f>Global!EU41</f>
        <v/>
      </c>
      <c r="AF41" s="31" t="str">
        <f>Global!EV41</f>
        <v/>
      </c>
      <c r="AG41" s="31" t="str">
        <f>Global!EW41</f>
        <v/>
      </c>
      <c r="AH41" s="31" t="str">
        <f>Global!EX41</f>
        <v/>
      </c>
      <c r="AI41" s="31" t="str">
        <f>Global!EY41</f>
        <v/>
      </c>
      <c r="AJ41" s="48" t="str">
        <f>Global!EZ41</f>
        <v/>
      </c>
      <c r="AK41" s="108">
        <f>COUNTIF(Mai[[#This Row],[1]:[31]],"RTT")+(COUNTIF(Mai[[#This Row],[1]:[31]],"dRTT")/2)</f>
        <v>0</v>
      </c>
      <c r="AL41" s="109">
        <f>COUNTIF(Mai[[#This Row],[1]:[31]],"C")+(COUNTIF(Mai[[#This Row],[1]:[31]],"DC")/2)</f>
        <v>5</v>
      </c>
      <c r="AM41" s="22">
        <f>COUNTIF(Mai[[#This Row],[1]:[31]],"M")</f>
        <v>0</v>
      </c>
      <c r="AN41" s="22">
        <f>COUNTIF(Mai[[#This Row],[1]:[31]],"AT")</f>
        <v>0</v>
      </c>
      <c r="AO41" s="84">
        <f>IF(AND(Mai[[#This Row],[Maladie]]=0,Mai[[#This Row],[AT]]=0),((10*(_xlfn.DAYS("31/05/2018","01/05/2018")+1))/365),((_xlfn.DAYS("31/05/2018","01/05/2018")+1-(Mai[[#This Row],[Maladie]]+Mai[[#This Row],[AT]]))*((10*(_xlfn.DAYS("31/05/2018","01/05/2018")+1))/365))/(_xlfn.DAYS("31/05/2018","01/05/2018")+1))</f>
        <v>0.84931506849315064</v>
      </c>
    </row>
    <row r="42" spans="1:41" ht="30" customHeight="1" x14ac:dyDescent="0.2">
      <c r="A42" s="13" t="s">
        <v>98</v>
      </c>
      <c r="B42" s="22" t="s">
        <v>227</v>
      </c>
      <c r="C42" s="22" t="s">
        <v>228</v>
      </c>
      <c r="D42" s="22" t="s">
        <v>229</v>
      </c>
      <c r="E42" s="44">
        <v>0</v>
      </c>
      <c r="F42" s="47" t="str">
        <f>Global!DV42</f>
        <v/>
      </c>
      <c r="G42" s="31" t="str">
        <f>Global!DW42</f>
        <v/>
      </c>
      <c r="H42" s="31" t="str">
        <f>Global!DX42</f>
        <v/>
      </c>
      <c r="I42" s="31" t="str">
        <f>Global!DY42</f>
        <v/>
      </c>
      <c r="J42" s="31" t="str">
        <f>Global!DZ42</f>
        <v/>
      </c>
      <c r="K42" s="31" t="str">
        <f>Global!EA42</f>
        <v/>
      </c>
      <c r="L42" s="31" t="str">
        <f>Global!EB42</f>
        <v/>
      </c>
      <c r="M42" s="31" t="str">
        <f>Global!EC42</f>
        <v/>
      </c>
      <c r="N42" s="31" t="str">
        <f>Global!ED42</f>
        <v/>
      </c>
      <c r="O42" s="31" t="str">
        <f>Global!EE42</f>
        <v/>
      </c>
      <c r="P42" s="31" t="str">
        <f>Global!EF42</f>
        <v/>
      </c>
      <c r="Q42" s="31" t="str">
        <f>Global!EG42</f>
        <v/>
      </c>
      <c r="R42" s="31" t="str">
        <f>Global!EH42</f>
        <v/>
      </c>
      <c r="S42" s="31" t="str">
        <f>Global!EI42</f>
        <v/>
      </c>
      <c r="T42" s="31" t="str">
        <f>Global!EJ42</f>
        <v/>
      </c>
      <c r="U42" s="31" t="str">
        <f>Global!EK42</f>
        <v/>
      </c>
      <c r="V42" s="31" t="str">
        <f>Global!EL42</f>
        <v/>
      </c>
      <c r="W42" s="31" t="str">
        <f>Global!EM42</f>
        <v/>
      </c>
      <c r="X42" s="31" t="str">
        <f>Global!EN42</f>
        <v/>
      </c>
      <c r="Y42" s="31" t="str">
        <f>Global!EO42</f>
        <v/>
      </c>
      <c r="Z42" s="31" t="str">
        <f>Global!EP42</f>
        <v/>
      </c>
      <c r="AA42" s="31" t="str">
        <f>Global!EQ42</f>
        <v/>
      </c>
      <c r="AB42" s="31" t="str">
        <f>Global!ER42</f>
        <v/>
      </c>
      <c r="AC42" s="31" t="str">
        <f>Global!ES42</f>
        <v/>
      </c>
      <c r="AD42" s="31" t="str">
        <f>Global!ET42</f>
        <v/>
      </c>
      <c r="AE42" s="31" t="str">
        <f>Global!EU42</f>
        <v/>
      </c>
      <c r="AF42" s="31" t="str">
        <f>Global!EV42</f>
        <v/>
      </c>
      <c r="AG42" s="31" t="str">
        <f>Global!EW42</f>
        <v/>
      </c>
      <c r="AH42" s="31" t="str">
        <f>Global!EX42</f>
        <v/>
      </c>
      <c r="AI42" s="31" t="str">
        <f>Global!EY42</f>
        <v/>
      </c>
      <c r="AJ42" s="48" t="str">
        <f>Global!EZ42</f>
        <v/>
      </c>
      <c r="AK42" s="108">
        <f>COUNTIF(Mai[[#This Row],[1]:[31]],"RTT")+(COUNTIF(Mai[[#This Row],[1]:[31]],"dRTT")/2)</f>
        <v>0</v>
      </c>
      <c r="AL42" s="109">
        <f>COUNTIF(Mai[[#This Row],[1]:[31]],"C")+(COUNTIF(Mai[[#This Row],[1]:[31]],"DC")/2)</f>
        <v>0</v>
      </c>
      <c r="AM42" s="22">
        <f>COUNTIF(Mai[[#This Row],[1]:[31]],"M")</f>
        <v>0</v>
      </c>
      <c r="AN42" s="22">
        <f>COUNTIF(Mai[[#This Row],[1]:[31]],"AT")</f>
        <v>0</v>
      </c>
      <c r="AO42" s="84">
        <f>IF(AND(Mai[[#This Row],[Maladie]]=0,Mai[[#This Row],[AT]]=0),((10*(_xlfn.DAYS("31/05/2018","01/05/2018")+1))/365),((_xlfn.DAYS("31/05/2018","01/05/2018")+1-(Mai[[#This Row],[Maladie]]+Mai[[#This Row],[AT]]))*((10*(_xlfn.DAYS("31/05/2018","01/05/2018")+1))/365))/(_xlfn.DAYS("31/05/2018","01/05/2018")+1))</f>
        <v>0.84931506849315064</v>
      </c>
    </row>
    <row r="43" spans="1:41" ht="30" customHeight="1" x14ac:dyDescent="0.2">
      <c r="A43" s="15" t="s">
        <v>99</v>
      </c>
      <c r="B43" s="22" t="s">
        <v>230</v>
      </c>
      <c r="C43" s="22" t="s">
        <v>231</v>
      </c>
      <c r="D43" s="22" t="s">
        <v>232</v>
      </c>
      <c r="E43" s="44">
        <v>0</v>
      </c>
      <c r="F43" s="47" t="str">
        <f>Global!DV43</f>
        <v>M</v>
      </c>
      <c r="G43" s="31" t="str">
        <f>Global!DW43</f>
        <v>M</v>
      </c>
      <c r="H43" s="31" t="str">
        <f>Global!DX43</f>
        <v>M</v>
      </c>
      <c r="I43" s="31" t="str">
        <f>Global!DY43</f>
        <v>M</v>
      </c>
      <c r="J43" s="31" t="str">
        <f>Global!DZ43</f>
        <v>M</v>
      </c>
      <c r="K43" s="31" t="str">
        <f>Global!EA43</f>
        <v>M</v>
      </c>
      <c r="L43" s="31" t="str">
        <f>Global!EB43</f>
        <v>M</v>
      </c>
      <c r="M43" s="31" t="str">
        <f>Global!EC43</f>
        <v>M</v>
      </c>
      <c r="N43" s="31" t="str">
        <f>Global!ED43</f>
        <v>M</v>
      </c>
      <c r="O43" s="31" t="str">
        <f>Global!EE43</f>
        <v>M</v>
      </c>
      <c r="P43" s="31" t="str">
        <f>Global!EF43</f>
        <v/>
      </c>
      <c r="Q43" s="31" t="str">
        <f>Global!EG43</f>
        <v/>
      </c>
      <c r="R43" s="31" t="str">
        <f>Global!EH43</f>
        <v/>
      </c>
      <c r="S43" s="31" t="str">
        <f>Global!EI43</f>
        <v/>
      </c>
      <c r="T43" s="31" t="str">
        <f>Global!EJ43</f>
        <v/>
      </c>
      <c r="U43" s="31" t="str">
        <f>Global!EK43</f>
        <v/>
      </c>
      <c r="V43" s="31" t="str">
        <f>Global!EL43</f>
        <v/>
      </c>
      <c r="W43" s="31" t="str">
        <f>Global!EM43</f>
        <v/>
      </c>
      <c r="X43" s="31" t="str">
        <f>Global!EN43</f>
        <v/>
      </c>
      <c r="Y43" s="31" t="str">
        <f>Global!EO43</f>
        <v/>
      </c>
      <c r="Z43" s="31" t="str">
        <f>Global!EP43</f>
        <v/>
      </c>
      <c r="AA43" s="31" t="str">
        <f>Global!EQ43</f>
        <v/>
      </c>
      <c r="AB43" s="31" t="str">
        <f>Global!ER43</f>
        <v/>
      </c>
      <c r="AC43" s="31" t="str">
        <f>Global!ES43</f>
        <v/>
      </c>
      <c r="AD43" s="31" t="str">
        <f>Global!ET43</f>
        <v/>
      </c>
      <c r="AE43" s="31" t="str">
        <f>Global!EU43</f>
        <v/>
      </c>
      <c r="AF43" s="31" t="str">
        <f>Global!EV43</f>
        <v/>
      </c>
      <c r="AG43" s="31" t="str">
        <f>Global!EW43</f>
        <v/>
      </c>
      <c r="AH43" s="31" t="str">
        <f>Global!EX43</f>
        <v/>
      </c>
      <c r="AI43" s="31" t="str">
        <f>Global!EY43</f>
        <v/>
      </c>
      <c r="AJ43" s="48" t="str">
        <f>Global!EZ43</f>
        <v/>
      </c>
      <c r="AK43" s="108">
        <f>COUNTIF(Mai[[#This Row],[1]:[31]],"RTT")+(COUNTIF(Mai[[#This Row],[1]:[31]],"dRTT")/2)</f>
        <v>0</v>
      </c>
      <c r="AL43" s="109">
        <f>COUNTIF(Mai[[#This Row],[1]:[31]],"C")+(COUNTIF(Mai[[#This Row],[1]:[31]],"DC")/2)</f>
        <v>0</v>
      </c>
      <c r="AM43" s="22">
        <f>COUNTIF(Mai[[#This Row],[1]:[31]],"M")</f>
        <v>10</v>
      </c>
      <c r="AN43" s="22">
        <f>COUNTIF(Mai[[#This Row],[1]:[31]],"AT")</f>
        <v>0</v>
      </c>
      <c r="AO43" s="84">
        <f>IF(AND(Mai[[#This Row],[Maladie]]=0,Mai[[#This Row],[AT]]=0),((10*(_xlfn.DAYS("31/05/2018","01/05/2018")+1))/365),((_xlfn.DAYS("31/05/2018","01/05/2018")+1-(Mai[[#This Row],[Maladie]]+Mai[[#This Row],[AT]]))*((10*(_xlfn.DAYS("31/05/2018","01/05/2018")+1))/365))/(_xlfn.DAYS("31/05/2018","01/05/2018")+1))</f>
        <v>0.57534246575342463</v>
      </c>
    </row>
    <row r="44" spans="1:41" ht="30" customHeight="1" x14ac:dyDescent="0.2">
      <c r="A44" s="15" t="s">
        <v>100</v>
      </c>
      <c r="B44" s="22" t="s">
        <v>233</v>
      </c>
      <c r="C44" s="22" t="s">
        <v>234</v>
      </c>
      <c r="D44" s="22" t="s">
        <v>235</v>
      </c>
      <c r="E44" s="44">
        <v>0</v>
      </c>
      <c r="F44" s="47" t="str">
        <f>Global!DV44</f>
        <v>M</v>
      </c>
      <c r="G44" s="31" t="str">
        <f>Global!DW44</f>
        <v>M</v>
      </c>
      <c r="H44" s="31" t="str">
        <f>Global!DX44</f>
        <v>M</v>
      </c>
      <c r="I44" s="31" t="str">
        <f>Global!DY44</f>
        <v>M</v>
      </c>
      <c r="J44" s="31" t="str">
        <f>Global!DZ44</f>
        <v>M</v>
      </c>
      <c r="K44" s="31" t="str">
        <f>Global!EA44</f>
        <v>M</v>
      </c>
      <c r="L44" s="31" t="str">
        <f>Global!EB44</f>
        <v>M</v>
      </c>
      <c r="M44" s="31" t="str">
        <f>Global!EC44</f>
        <v>M</v>
      </c>
      <c r="N44" s="31" t="str">
        <f>Global!ED44</f>
        <v>M</v>
      </c>
      <c r="O44" s="31" t="str">
        <f>Global!EE44</f>
        <v>M</v>
      </c>
      <c r="P44" s="31" t="str">
        <f>Global!EF44</f>
        <v>M</v>
      </c>
      <c r="Q44" s="31" t="str">
        <f>Global!EG44</f>
        <v>M</v>
      </c>
      <c r="R44" s="31" t="str">
        <f>Global!EH44</f>
        <v>M</v>
      </c>
      <c r="S44" s="31" t="str">
        <f>Global!EI44</f>
        <v>M</v>
      </c>
      <c r="T44" s="31" t="str">
        <f>Global!EJ44</f>
        <v>M</v>
      </c>
      <c r="U44" s="31" t="str">
        <f>Global!EK44</f>
        <v>M</v>
      </c>
      <c r="V44" s="31" t="str">
        <f>Global!EL44</f>
        <v>M</v>
      </c>
      <c r="W44" s="31" t="str">
        <f>Global!EM44</f>
        <v>M</v>
      </c>
      <c r="X44" s="31" t="str">
        <f>Global!EN44</f>
        <v>M</v>
      </c>
      <c r="Y44" s="31" t="str">
        <f>Global!EO44</f>
        <v>M</v>
      </c>
      <c r="Z44" s="31" t="str">
        <f>Global!EP44</f>
        <v>M</v>
      </c>
      <c r="AA44" s="31" t="str">
        <f>Global!EQ44</f>
        <v>M</v>
      </c>
      <c r="AB44" s="31" t="str">
        <f>Global!ER44</f>
        <v>M</v>
      </c>
      <c r="AC44" s="31" t="str">
        <f>Global!ES44</f>
        <v>M</v>
      </c>
      <c r="AD44" s="31" t="str">
        <f>Global!ET44</f>
        <v>M</v>
      </c>
      <c r="AE44" s="31" t="str">
        <f>Global!EU44</f>
        <v>M</v>
      </c>
      <c r="AF44" s="31" t="str">
        <f>Global!EV44</f>
        <v>M</v>
      </c>
      <c r="AG44" s="31" t="str">
        <f>Global!EW44</f>
        <v>M</v>
      </c>
      <c r="AH44" s="31" t="str">
        <f>Global!EX44</f>
        <v>M</v>
      </c>
      <c r="AI44" s="31" t="str">
        <f>Global!EY44</f>
        <v>M</v>
      </c>
      <c r="AJ44" s="48" t="str">
        <f>Global!EZ44</f>
        <v>M</v>
      </c>
      <c r="AK44" s="108">
        <f>COUNTIF(Mai[[#This Row],[1]:[31]],"RTT")+(COUNTIF(Mai[[#This Row],[1]:[31]],"dRTT")/2)</f>
        <v>0</v>
      </c>
      <c r="AL44" s="109">
        <f>COUNTIF(Mai[[#This Row],[1]:[31]],"C")+(COUNTIF(Mai[[#This Row],[1]:[31]],"DC")/2)</f>
        <v>0</v>
      </c>
      <c r="AM44" s="22">
        <f>COUNTIF(Mai[[#This Row],[1]:[31]],"M")</f>
        <v>31</v>
      </c>
      <c r="AN44" s="22">
        <f>COUNTIF(Mai[[#This Row],[1]:[31]],"AT")</f>
        <v>0</v>
      </c>
      <c r="AO44" s="84">
        <f>IF(AND(Mai[[#This Row],[Maladie]]=0,Mai[[#This Row],[AT]]=0),((10*(_xlfn.DAYS("31/05/2018","01/05/2018")+1))/365),((_xlfn.DAYS("31/05/2018","01/05/2018")+1-(Mai[[#This Row],[Maladie]]+Mai[[#This Row],[AT]]))*((10*(_xlfn.DAYS("31/05/2018","01/05/2018")+1))/365))/(_xlfn.DAYS("31/05/2018","01/05/2018")+1))</f>
        <v>0</v>
      </c>
    </row>
    <row r="45" spans="1:41" ht="30" customHeight="1" x14ac:dyDescent="0.2">
      <c r="A45" s="15" t="s">
        <v>101</v>
      </c>
      <c r="B45" s="22" t="s">
        <v>236</v>
      </c>
      <c r="C45" s="22" t="s">
        <v>237</v>
      </c>
      <c r="D45" s="22" t="s">
        <v>238</v>
      </c>
      <c r="E45" s="44">
        <v>0</v>
      </c>
      <c r="F45" s="47" t="str">
        <f>Global!DV45</f>
        <v/>
      </c>
      <c r="G45" s="31" t="str">
        <f>Global!DW45</f>
        <v/>
      </c>
      <c r="H45" s="31" t="str">
        <f>Global!DX45</f>
        <v/>
      </c>
      <c r="I45" s="31" t="str">
        <f>Global!DY45</f>
        <v/>
      </c>
      <c r="J45" s="31" t="str">
        <f>Global!DZ45</f>
        <v/>
      </c>
      <c r="K45" s="31" t="str">
        <f>Global!EA45</f>
        <v/>
      </c>
      <c r="L45" s="31" t="str">
        <f>Global!EB45</f>
        <v/>
      </c>
      <c r="M45" s="31" t="str">
        <f>Global!EC45</f>
        <v/>
      </c>
      <c r="N45" s="31" t="str">
        <f>Global!ED45</f>
        <v/>
      </c>
      <c r="O45" s="31" t="str">
        <f>Global!EE45</f>
        <v/>
      </c>
      <c r="P45" s="31" t="str">
        <f>Global!EF45</f>
        <v/>
      </c>
      <c r="Q45" s="31" t="str">
        <f>Global!EG45</f>
        <v/>
      </c>
      <c r="R45" s="31" t="str">
        <f>Global!EH45</f>
        <v/>
      </c>
      <c r="S45" s="31" t="str">
        <f>Global!EI45</f>
        <v/>
      </c>
      <c r="T45" s="31" t="str">
        <f>Global!EJ45</f>
        <v/>
      </c>
      <c r="U45" s="31" t="str">
        <f>Global!EK45</f>
        <v/>
      </c>
      <c r="V45" s="31" t="str">
        <f>Global!EL45</f>
        <v/>
      </c>
      <c r="W45" s="31" t="str">
        <f>Global!EM45</f>
        <v/>
      </c>
      <c r="X45" s="31" t="str">
        <f>Global!EN45</f>
        <v/>
      </c>
      <c r="Y45" s="31" t="str">
        <f>Global!EO45</f>
        <v/>
      </c>
      <c r="Z45" s="31" t="str">
        <f>Global!EP45</f>
        <v/>
      </c>
      <c r="AA45" s="31" t="str">
        <f>Global!EQ45</f>
        <v/>
      </c>
      <c r="AB45" s="31" t="str">
        <f>Global!ER45</f>
        <v/>
      </c>
      <c r="AC45" s="31" t="str">
        <f>Global!ES45</f>
        <v/>
      </c>
      <c r="AD45" s="31" t="str">
        <f>Global!ET45</f>
        <v/>
      </c>
      <c r="AE45" s="31" t="str">
        <f>Global!EU45</f>
        <v/>
      </c>
      <c r="AF45" s="31" t="str">
        <f>Global!EV45</f>
        <v/>
      </c>
      <c r="AG45" s="31" t="str">
        <f>Global!EW45</f>
        <v/>
      </c>
      <c r="AH45" s="31" t="str">
        <f>Global!EX45</f>
        <v/>
      </c>
      <c r="AI45" s="31" t="str">
        <f>Global!EY45</f>
        <v/>
      </c>
      <c r="AJ45" s="48" t="str">
        <f>Global!EZ45</f>
        <v/>
      </c>
      <c r="AK45" s="108">
        <f>COUNTIF(Mai[[#This Row],[1]:[31]],"RTT")+(COUNTIF(Mai[[#This Row],[1]:[31]],"dRTT")/2)</f>
        <v>0</v>
      </c>
      <c r="AL45" s="109">
        <f>COUNTIF(Mai[[#This Row],[1]:[31]],"C")+(COUNTIF(Mai[[#This Row],[1]:[31]],"DC")/2)</f>
        <v>0</v>
      </c>
      <c r="AM45" s="22">
        <f>COUNTIF(Mai[[#This Row],[1]:[31]],"M")</f>
        <v>0</v>
      </c>
      <c r="AN45" s="22">
        <f>COUNTIF(Mai[[#This Row],[1]:[31]],"AT")</f>
        <v>0</v>
      </c>
      <c r="AO45" s="84">
        <f>IF(AND(Mai[[#This Row],[Maladie]]=0,Mai[[#This Row],[AT]]=0),((10*(_xlfn.DAYS("31/05/2018","01/05/2018")+1))/365),((_xlfn.DAYS("31/05/2018","01/05/2018")+1-(Mai[[#This Row],[Maladie]]+Mai[[#This Row],[AT]]))*((10*(_xlfn.DAYS("31/05/2018","01/05/2018")+1))/365))/(_xlfn.DAYS("31/05/2018","01/05/2018")+1))</f>
        <v>0.84931506849315064</v>
      </c>
    </row>
    <row r="46" spans="1:41" ht="30" customHeight="1" x14ac:dyDescent="0.2">
      <c r="A46" s="17" t="s">
        <v>102</v>
      </c>
      <c r="B46" s="17" t="s">
        <v>239</v>
      </c>
      <c r="C46" s="17" t="s">
        <v>240</v>
      </c>
      <c r="D46" s="17" t="s">
        <v>241</v>
      </c>
      <c r="E46" s="23">
        <v>0</v>
      </c>
      <c r="F46" s="47" t="str">
        <f>Global!DV46</f>
        <v/>
      </c>
      <c r="G46" s="31" t="str">
        <f>Global!DW46</f>
        <v>C</v>
      </c>
      <c r="H46" s="31" t="str">
        <f>Global!DX46</f>
        <v>C</v>
      </c>
      <c r="I46" s="31" t="str">
        <f>Global!DY46</f>
        <v>C</v>
      </c>
      <c r="J46" s="31" t="str">
        <f>Global!DZ46</f>
        <v/>
      </c>
      <c r="K46" s="31" t="str">
        <f>Global!EA46</f>
        <v/>
      </c>
      <c r="L46" s="31" t="str">
        <f>Global!EB46</f>
        <v>C</v>
      </c>
      <c r="M46" s="31" t="str">
        <f>Global!EC46</f>
        <v/>
      </c>
      <c r="N46" s="31" t="str">
        <f>Global!ED46</f>
        <v/>
      </c>
      <c r="O46" s="31" t="str">
        <f>Global!EE46</f>
        <v/>
      </c>
      <c r="P46" s="31" t="str">
        <f>Global!EF46</f>
        <v/>
      </c>
      <c r="Q46" s="31" t="str">
        <f>Global!EG46</f>
        <v/>
      </c>
      <c r="R46" s="31" t="str">
        <f>Global!EH46</f>
        <v/>
      </c>
      <c r="S46" s="31" t="str">
        <f>Global!EI46</f>
        <v/>
      </c>
      <c r="T46" s="31" t="str">
        <f>Global!EJ46</f>
        <v/>
      </c>
      <c r="U46" s="31" t="str">
        <f>Global!EK46</f>
        <v/>
      </c>
      <c r="V46" s="31" t="str">
        <f>Global!EL46</f>
        <v/>
      </c>
      <c r="W46" s="31" t="str">
        <f>Global!EM46</f>
        <v/>
      </c>
      <c r="X46" s="31" t="str">
        <f>Global!EN46</f>
        <v/>
      </c>
      <c r="Y46" s="31" t="str">
        <f>Global!EO46</f>
        <v/>
      </c>
      <c r="Z46" s="31" t="str">
        <f>Global!EP46</f>
        <v/>
      </c>
      <c r="AA46" s="31" t="str">
        <f>Global!EQ46</f>
        <v/>
      </c>
      <c r="AB46" s="31" t="str">
        <f>Global!ER46</f>
        <v>C</v>
      </c>
      <c r="AC46" s="31" t="str">
        <f>Global!ES46</f>
        <v/>
      </c>
      <c r="AD46" s="31" t="str">
        <f>Global!ET46</f>
        <v/>
      </c>
      <c r="AE46" s="31" t="str">
        <f>Global!EU46</f>
        <v/>
      </c>
      <c r="AF46" s="31" t="str">
        <f>Global!EV46</f>
        <v/>
      </c>
      <c r="AG46" s="31" t="str">
        <f>Global!EW46</f>
        <v/>
      </c>
      <c r="AH46" s="31" t="str">
        <f>Global!EX46</f>
        <v/>
      </c>
      <c r="AI46" s="31" t="str">
        <f>Global!EY46</f>
        <v/>
      </c>
      <c r="AJ46" s="48" t="str">
        <f>Global!EZ46</f>
        <v/>
      </c>
      <c r="AK46" s="108">
        <f>COUNTIF(Mai[[#This Row],[1]:[31]],"RTT")+(COUNTIF(Mai[[#This Row],[1]:[31]],"dRTT")/2)</f>
        <v>0</v>
      </c>
      <c r="AL46" s="109">
        <f>COUNTIF(Mai[[#This Row],[1]:[31]],"C")+(COUNTIF(Mai[[#This Row],[1]:[31]],"DC")/2)</f>
        <v>5</v>
      </c>
      <c r="AM46" s="22">
        <f>COUNTIF(Mai[[#This Row],[1]:[31]],"M")</f>
        <v>0</v>
      </c>
      <c r="AN46" s="22">
        <f>COUNTIF(Mai[[#This Row],[1]:[31]],"AT")</f>
        <v>0</v>
      </c>
      <c r="AO46" s="84">
        <f>IF(AND(Mai[[#This Row],[Maladie]]=0,Mai[[#This Row],[AT]]=0),((10*(_xlfn.DAYS("31/05/2018","01/05/2018")+1))/365),((_xlfn.DAYS("31/05/2018","01/05/2018")+1-(Mai[[#This Row],[Maladie]]+Mai[[#This Row],[AT]]))*((10*(_xlfn.DAYS("31/05/2018","01/05/2018")+1))/365))/(_xlfn.DAYS("31/05/2018","01/05/2018")+1))</f>
        <v>0.84931506849315064</v>
      </c>
    </row>
    <row r="47" spans="1:41" ht="30" customHeight="1" x14ac:dyDescent="0.2">
      <c r="A47" s="17" t="s">
        <v>103</v>
      </c>
      <c r="B47" s="17" t="s">
        <v>242</v>
      </c>
      <c r="C47" s="17" t="s">
        <v>243</v>
      </c>
      <c r="D47" s="17" t="s">
        <v>244</v>
      </c>
      <c r="E47" s="23">
        <v>0</v>
      </c>
      <c r="F47" s="47" t="str">
        <f>Global!DV47</f>
        <v/>
      </c>
      <c r="G47" s="31" t="str">
        <f>Global!DW47</f>
        <v/>
      </c>
      <c r="H47" s="31" t="str">
        <f>Global!DX47</f>
        <v/>
      </c>
      <c r="I47" s="31" t="str">
        <f>Global!DY47</f>
        <v/>
      </c>
      <c r="J47" s="31" t="str">
        <f>Global!DZ47</f>
        <v/>
      </c>
      <c r="K47" s="31" t="str">
        <f>Global!EA47</f>
        <v/>
      </c>
      <c r="L47" s="31" t="str">
        <f>Global!EB47</f>
        <v/>
      </c>
      <c r="M47" s="31" t="str">
        <f>Global!EC47</f>
        <v/>
      </c>
      <c r="N47" s="31" t="str">
        <f>Global!ED47</f>
        <v/>
      </c>
      <c r="O47" s="31" t="str">
        <f>Global!EE47</f>
        <v/>
      </c>
      <c r="P47" s="31" t="str">
        <f>Global!EF47</f>
        <v/>
      </c>
      <c r="Q47" s="31" t="str">
        <f>Global!EG47</f>
        <v/>
      </c>
      <c r="R47" s="31" t="str">
        <f>Global!EH47</f>
        <v/>
      </c>
      <c r="S47" s="31" t="str">
        <f>Global!EI47</f>
        <v/>
      </c>
      <c r="T47" s="31" t="str">
        <f>Global!EJ47</f>
        <v>C</v>
      </c>
      <c r="U47" s="31" t="str">
        <f>Global!EK47</f>
        <v/>
      </c>
      <c r="V47" s="31" t="str">
        <f>Global!EL47</f>
        <v/>
      </c>
      <c r="W47" s="31" t="str">
        <f>Global!EM47</f>
        <v/>
      </c>
      <c r="X47" s="31" t="str">
        <f>Global!EN47</f>
        <v/>
      </c>
      <c r="Y47" s="31" t="str">
        <f>Global!EO47</f>
        <v/>
      </c>
      <c r="Z47" s="31" t="str">
        <f>Global!EP47</f>
        <v/>
      </c>
      <c r="AA47" s="31" t="str">
        <f>Global!EQ47</f>
        <v>RTT</v>
      </c>
      <c r="AB47" s="31" t="str">
        <f>Global!ER47</f>
        <v/>
      </c>
      <c r="AC47" s="31" t="str">
        <f>Global!ES47</f>
        <v/>
      </c>
      <c r="AD47" s="31" t="str">
        <f>Global!ET47</f>
        <v/>
      </c>
      <c r="AE47" s="31" t="str">
        <f>Global!EU47</f>
        <v/>
      </c>
      <c r="AF47" s="31" t="str">
        <f>Global!EV47</f>
        <v/>
      </c>
      <c r="AG47" s="31" t="str">
        <f>Global!EW47</f>
        <v/>
      </c>
      <c r="AH47" s="31" t="str">
        <f>Global!EX47</f>
        <v/>
      </c>
      <c r="AI47" s="31" t="str">
        <f>Global!EY47</f>
        <v>RTT</v>
      </c>
      <c r="AJ47" s="48" t="str">
        <f>Global!EZ47</f>
        <v/>
      </c>
      <c r="AK47" s="108">
        <f>COUNTIF(Mai[[#This Row],[1]:[31]],"RTT")+(COUNTIF(Mai[[#This Row],[1]:[31]],"dRTT")/2)</f>
        <v>2</v>
      </c>
      <c r="AL47" s="109">
        <f>COUNTIF(Mai[[#This Row],[1]:[31]],"C")+(COUNTIF(Mai[[#This Row],[1]:[31]],"DC")/2)</f>
        <v>1</v>
      </c>
      <c r="AM47" s="22">
        <f>COUNTIF(Mai[[#This Row],[1]:[31]],"M")</f>
        <v>0</v>
      </c>
      <c r="AN47" s="22">
        <f>COUNTIF(Mai[[#This Row],[1]:[31]],"AT")</f>
        <v>0</v>
      </c>
      <c r="AO47" s="84">
        <f>IF(AND(Mai[[#This Row],[Maladie]]=0,Mai[[#This Row],[AT]]=0),((10*(_xlfn.DAYS("31/05/2018","01/05/2018")+1))/365),((_xlfn.DAYS("31/05/2018","01/05/2018")+1-(Mai[[#This Row],[Maladie]]+Mai[[#This Row],[AT]]))*((10*(_xlfn.DAYS("31/05/2018","01/05/2018")+1))/365))/(_xlfn.DAYS("31/05/2018","01/05/2018")+1))</f>
        <v>0.84931506849315064</v>
      </c>
    </row>
    <row r="48" spans="1:41" ht="30" customHeight="1" x14ac:dyDescent="0.2">
      <c r="A48" s="17" t="s">
        <v>104</v>
      </c>
      <c r="B48" s="17" t="s">
        <v>245</v>
      </c>
      <c r="C48" s="17" t="s">
        <v>246</v>
      </c>
      <c r="D48" s="17" t="s">
        <v>247</v>
      </c>
      <c r="E48" s="23">
        <v>0</v>
      </c>
      <c r="F48" s="47" t="str">
        <f>Global!DV48</f>
        <v/>
      </c>
      <c r="G48" s="31" t="str">
        <f>Global!DW48</f>
        <v/>
      </c>
      <c r="H48" s="31" t="str">
        <f>Global!DX48</f>
        <v/>
      </c>
      <c r="I48" s="31" t="str">
        <f>Global!DY48</f>
        <v/>
      </c>
      <c r="J48" s="31" t="str">
        <f>Global!DZ48</f>
        <v/>
      </c>
      <c r="K48" s="31" t="str">
        <f>Global!EA48</f>
        <v/>
      </c>
      <c r="L48" s="31" t="str">
        <f>Global!EB48</f>
        <v>C</v>
      </c>
      <c r="M48" s="31" t="str">
        <f>Global!EC48</f>
        <v/>
      </c>
      <c r="N48" s="31" t="str">
        <f>Global!ED48</f>
        <v>C</v>
      </c>
      <c r="O48" s="31" t="str">
        <f>Global!EE48</f>
        <v/>
      </c>
      <c r="P48" s="31" t="str">
        <f>Global!EF48</f>
        <v>C</v>
      </c>
      <c r="Q48" s="31" t="str">
        <f>Global!EG48</f>
        <v/>
      </c>
      <c r="R48" s="31" t="str">
        <f>Global!EH48</f>
        <v/>
      </c>
      <c r="S48" s="31" t="str">
        <f>Global!EI48</f>
        <v>C</v>
      </c>
      <c r="T48" s="31" t="str">
        <f>Global!EJ48</f>
        <v>C</v>
      </c>
      <c r="U48" s="31" t="str">
        <f>Global!EK48</f>
        <v>C</v>
      </c>
      <c r="V48" s="31" t="str">
        <f>Global!EL48</f>
        <v>C</v>
      </c>
      <c r="W48" s="31" t="str">
        <f>Global!EM48</f>
        <v>C</v>
      </c>
      <c r="X48" s="31" t="str">
        <f>Global!EN48</f>
        <v/>
      </c>
      <c r="Y48" s="31" t="str">
        <f>Global!EO48</f>
        <v/>
      </c>
      <c r="Z48" s="31" t="str">
        <f>Global!EP48</f>
        <v/>
      </c>
      <c r="AA48" s="31" t="str">
        <f>Global!EQ48</f>
        <v/>
      </c>
      <c r="AB48" s="31" t="str">
        <f>Global!ER48</f>
        <v/>
      </c>
      <c r="AC48" s="31" t="str">
        <f>Global!ES48</f>
        <v/>
      </c>
      <c r="AD48" s="31" t="str">
        <f>Global!ET48</f>
        <v/>
      </c>
      <c r="AE48" s="31" t="str">
        <f>Global!EU48</f>
        <v/>
      </c>
      <c r="AF48" s="31" t="str">
        <f>Global!EV48</f>
        <v/>
      </c>
      <c r="AG48" s="31" t="str">
        <f>Global!EW48</f>
        <v/>
      </c>
      <c r="AH48" s="31" t="str">
        <f>Global!EX48</f>
        <v/>
      </c>
      <c r="AI48" s="31" t="str">
        <f>Global!EY48</f>
        <v/>
      </c>
      <c r="AJ48" s="48" t="str">
        <f>Global!EZ48</f>
        <v/>
      </c>
      <c r="AK48" s="108">
        <f>COUNTIF(Mai[[#This Row],[1]:[31]],"RTT")+(COUNTIF(Mai[[#This Row],[1]:[31]],"dRTT")/2)</f>
        <v>0</v>
      </c>
      <c r="AL48" s="109">
        <f>COUNTIF(Mai[[#This Row],[1]:[31]],"C")+(COUNTIF(Mai[[#This Row],[1]:[31]],"DC")/2)</f>
        <v>8</v>
      </c>
      <c r="AM48" s="22">
        <f>COUNTIF(Mai[[#This Row],[1]:[31]],"M")</f>
        <v>0</v>
      </c>
      <c r="AN48" s="22">
        <f>COUNTIF(Mai[[#This Row],[1]:[31]],"AT")</f>
        <v>0</v>
      </c>
      <c r="AO48" s="84">
        <f>IF(AND(Mai[[#This Row],[Maladie]]=0,Mai[[#This Row],[AT]]=0),((10*(_xlfn.DAYS("31/05/2018","01/05/2018")+1))/365),((_xlfn.DAYS("31/05/2018","01/05/2018")+1-(Mai[[#This Row],[Maladie]]+Mai[[#This Row],[AT]]))*((10*(_xlfn.DAYS("31/05/2018","01/05/2018")+1))/365))/(_xlfn.DAYS("31/05/2018","01/05/2018")+1))</f>
        <v>0.84931506849315064</v>
      </c>
    </row>
    <row r="49" spans="1:41" ht="30" customHeight="1" x14ac:dyDescent="0.2">
      <c r="A49" s="17" t="s">
        <v>105</v>
      </c>
      <c r="B49" s="17" t="s">
        <v>248</v>
      </c>
      <c r="C49" s="17" t="s">
        <v>249</v>
      </c>
      <c r="D49" s="17" t="s">
        <v>250</v>
      </c>
      <c r="E49" s="23">
        <v>0</v>
      </c>
      <c r="F49" s="47" t="str">
        <f>Global!DV49</f>
        <v/>
      </c>
      <c r="G49" s="31" t="str">
        <f>Global!DW49</f>
        <v/>
      </c>
      <c r="H49" s="31" t="str">
        <f>Global!DX49</f>
        <v/>
      </c>
      <c r="I49" s="31" t="str">
        <f>Global!DY49</f>
        <v/>
      </c>
      <c r="J49" s="31" t="str">
        <f>Global!DZ49</f>
        <v/>
      </c>
      <c r="K49" s="31" t="str">
        <f>Global!EA49</f>
        <v/>
      </c>
      <c r="L49" s="31" t="str">
        <f>Global!EB49</f>
        <v/>
      </c>
      <c r="M49" s="31" t="str">
        <f>Global!EC49</f>
        <v/>
      </c>
      <c r="N49" s="31" t="str">
        <f>Global!ED49</f>
        <v/>
      </c>
      <c r="O49" s="31" t="str">
        <f>Global!EE49</f>
        <v/>
      </c>
      <c r="P49" s="31" t="str">
        <f>Global!EF49</f>
        <v/>
      </c>
      <c r="Q49" s="31" t="str">
        <f>Global!EG49</f>
        <v/>
      </c>
      <c r="R49" s="31" t="str">
        <f>Global!EH49</f>
        <v/>
      </c>
      <c r="S49" s="31" t="str">
        <f>Global!EI49</f>
        <v/>
      </c>
      <c r="T49" s="31" t="str">
        <f>Global!EJ49</f>
        <v/>
      </c>
      <c r="U49" s="31" t="str">
        <f>Global!EK49</f>
        <v/>
      </c>
      <c r="V49" s="31" t="str">
        <f>Global!EL49</f>
        <v/>
      </c>
      <c r="W49" s="31" t="str">
        <f>Global!EM49</f>
        <v/>
      </c>
      <c r="X49" s="31" t="str">
        <f>Global!EN49</f>
        <v/>
      </c>
      <c r="Y49" s="31" t="str">
        <f>Global!EO49</f>
        <v/>
      </c>
      <c r="Z49" s="31" t="str">
        <f>Global!EP49</f>
        <v/>
      </c>
      <c r="AA49" s="31" t="str">
        <f>Global!EQ49</f>
        <v/>
      </c>
      <c r="AB49" s="31" t="str">
        <f>Global!ER49</f>
        <v/>
      </c>
      <c r="AC49" s="31" t="str">
        <f>Global!ES49</f>
        <v/>
      </c>
      <c r="AD49" s="31" t="str">
        <f>Global!ET49</f>
        <v/>
      </c>
      <c r="AE49" s="31" t="str">
        <f>Global!EU49</f>
        <v/>
      </c>
      <c r="AF49" s="31" t="str">
        <f>Global!EV49</f>
        <v/>
      </c>
      <c r="AG49" s="31" t="str">
        <f>Global!EW49</f>
        <v>RTT</v>
      </c>
      <c r="AH49" s="31" t="str">
        <f>Global!EX49</f>
        <v>RTT</v>
      </c>
      <c r="AI49" s="31" t="str">
        <f>Global!EY49</f>
        <v>RTT</v>
      </c>
      <c r="AJ49" s="48" t="str">
        <f>Global!EZ49</f>
        <v>C</v>
      </c>
      <c r="AK49" s="108">
        <f>COUNTIF(Mai[[#This Row],[1]:[31]],"RTT")+(COUNTIF(Mai[[#This Row],[1]:[31]],"dRTT")/2)</f>
        <v>3</v>
      </c>
      <c r="AL49" s="109">
        <f>COUNTIF(Mai[[#This Row],[1]:[31]],"C")+(COUNTIF(Mai[[#This Row],[1]:[31]],"DC")/2)</f>
        <v>1</v>
      </c>
      <c r="AM49" s="22">
        <f>COUNTIF(Mai[[#This Row],[1]:[31]],"M")</f>
        <v>0</v>
      </c>
      <c r="AN49" s="22">
        <f>COUNTIF(Mai[[#This Row],[1]:[31]],"AT")</f>
        <v>0</v>
      </c>
      <c r="AO49" s="84">
        <f>IF(AND(Mai[[#This Row],[Maladie]]=0,Mai[[#This Row],[AT]]=0),((10*(_xlfn.DAYS("31/05/2018","01/05/2018")+1))/365),((_xlfn.DAYS("31/05/2018","01/05/2018")+1-(Mai[[#This Row],[Maladie]]+Mai[[#This Row],[AT]]))*((10*(_xlfn.DAYS("31/05/2018","01/05/2018")+1))/365))/(_xlfn.DAYS("31/05/2018","01/05/2018")+1))</f>
        <v>0.84931506849315064</v>
      </c>
    </row>
    <row r="50" spans="1:41" ht="30" customHeight="1" x14ac:dyDescent="0.2">
      <c r="A50" s="17" t="s">
        <v>106</v>
      </c>
      <c r="B50" s="17" t="s">
        <v>251</v>
      </c>
      <c r="C50" s="17" t="s">
        <v>252</v>
      </c>
      <c r="D50" s="17" t="s">
        <v>253</v>
      </c>
      <c r="E50" s="23">
        <v>0</v>
      </c>
      <c r="F50" s="47" t="str">
        <f>Global!DV50</f>
        <v/>
      </c>
      <c r="G50" s="31" t="str">
        <f>Global!DW50</f>
        <v/>
      </c>
      <c r="H50" s="31" t="str">
        <f>Global!DX50</f>
        <v/>
      </c>
      <c r="I50" s="31" t="str">
        <f>Global!DY50</f>
        <v/>
      </c>
      <c r="J50" s="31" t="str">
        <f>Global!DZ50</f>
        <v/>
      </c>
      <c r="K50" s="31" t="str">
        <f>Global!EA50</f>
        <v/>
      </c>
      <c r="L50" s="31" t="str">
        <f>Global!EB50</f>
        <v/>
      </c>
      <c r="M50" s="31" t="str">
        <f>Global!EC50</f>
        <v/>
      </c>
      <c r="N50" s="31" t="str">
        <f>Global!ED50</f>
        <v/>
      </c>
      <c r="O50" s="31" t="str">
        <f>Global!EE50</f>
        <v/>
      </c>
      <c r="P50" s="31" t="str">
        <f>Global!EF50</f>
        <v/>
      </c>
      <c r="Q50" s="31" t="str">
        <f>Global!EG50</f>
        <v/>
      </c>
      <c r="R50" s="31" t="str">
        <f>Global!EH50</f>
        <v/>
      </c>
      <c r="S50" s="31" t="str">
        <f>Global!EI50</f>
        <v/>
      </c>
      <c r="T50" s="31" t="str">
        <f>Global!EJ50</f>
        <v/>
      </c>
      <c r="U50" s="31" t="str">
        <f>Global!EK50</f>
        <v/>
      </c>
      <c r="V50" s="31" t="str">
        <f>Global!EL50</f>
        <v/>
      </c>
      <c r="W50" s="31" t="str">
        <f>Global!EM50</f>
        <v/>
      </c>
      <c r="X50" s="31" t="str">
        <f>Global!EN50</f>
        <v/>
      </c>
      <c r="Y50" s="31" t="str">
        <f>Global!EO50</f>
        <v/>
      </c>
      <c r="Z50" s="31" t="str">
        <f>Global!EP50</f>
        <v/>
      </c>
      <c r="AA50" s="31" t="str">
        <f>Global!EQ50</f>
        <v/>
      </c>
      <c r="AB50" s="31" t="str">
        <f>Global!ER50</f>
        <v/>
      </c>
      <c r="AC50" s="31" t="str">
        <f>Global!ES50</f>
        <v/>
      </c>
      <c r="AD50" s="31" t="str">
        <f>Global!ET50</f>
        <v>RTT</v>
      </c>
      <c r="AE50" s="31" t="str">
        <f>Global!EU50</f>
        <v/>
      </c>
      <c r="AF50" s="31" t="str">
        <f>Global!EV50</f>
        <v/>
      </c>
      <c r="AG50" s="31" t="str">
        <f>Global!EW50</f>
        <v/>
      </c>
      <c r="AH50" s="31" t="str">
        <f>Global!EX50</f>
        <v/>
      </c>
      <c r="AI50" s="31" t="str">
        <f>Global!EY50</f>
        <v/>
      </c>
      <c r="AJ50" s="48" t="str">
        <f>Global!EZ50</f>
        <v/>
      </c>
      <c r="AK50" s="108">
        <f>COUNTIF(Mai[[#This Row],[1]:[31]],"RTT")+(COUNTIF(Mai[[#This Row],[1]:[31]],"dRTT")/2)</f>
        <v>1</v>
      </c>
      <c r="AL50" s="109">
        <f>COUNTIF(Mai[[#This Row],[1]:[31]],"C")+(COUNTIF(Mai[[#This Row],[1]:[31]],"DC")/2)</f>
        <v>0</v>
      </c>
      <c r="AM50" s="22">
        <f>COUNTIF(Mai[[#This Row],[1]:[31]],"M")</f>
        <v>0</v>
      </c>
      <c r="AN50" s="22">
        <f>COUNTIF(Mai[[#This Row],[1]:[31]],"AT")</f>
        <v>0</v>
      </c>
      <c r="AO50" s="84">
        <f>IF(AND(Mai[[#This Row],[Maladie]]=0,Mai[[#This Row],[AT]]=0),((10*(_xlfn.DAYS("31/05/2018","01/05/2018")+1))/365),((_xlfn.DAYS("31/05/2018","01/05/2018")+1-(Mai[[#This Row],[Maladie]]+Mai[[#This Row],[AT]]))*((10*(_xlfn.DAYS("31/05/2018","01/05/2018")+1))/365))/(_xlfn.DAYS("31/05/2018","01/05/2018")+1))</f>
        <v>0.84931506849315064</v>
      </c>
    </row>
    <row r="51" spans="1:41" ht="30" customHeight="1" x14ac:dyDescent="0.2">
      <c r="A51" s="17" t="s">
        <v>107</v>
      </c>
      <c r="B51" s="17" t="s">
        <v>254</v>
      </c>
      <c r="C51" s="17" t="s">
        <v>255</v>
      </c>
      <c r="D51" s="17" t="s">
        <v>256</v>
      </c>
      <c r="E51" s="23">
        <v>0</v>
      </c>
      <c r="F51" s="47" t="str">
        <f>Global!DV51</f>
        <v/>
      </c>
      <c r="G51" s="31" t="str">
        <f>Global!DW51</f>
        <v>C</v>
      </c>
      <c r="H51" s="31" t="str">
        <f>Global!DX51</f>
        <v>C</v>
      </c>
      <c r="I51" s="31" t="str">
        <f>Global!DY51</f>
        <v>C</v>
      </c>
      <c r="J51" s="31" t="str">
        <f>Global!DZ51</f>
        <v/>
      </c>
      <c r="K51" s="31" t="str">
        <f>Global!EA51</f>
        <v/>
      </c>
      <c r="L51" s="31" t="str">
        <f>Global!EB51</f>
        <v>C</v>
      </c>
      <c r="M51" s="31" t="str">
        <f>Global!EC51</f>
        <v/>
      </c>
      <c r="N51" s="31" t="str">
        <f>Global!ED51</f>
        <v>C</v>
      </c>
      <c r="O51" s="31" t="str">
        <f>Global!EE51</f>
        <v/>
      </c>
      <c r="P51" s="31" t="str">
        <f>Global!EF51</f>
        <v>C</v>
      </c>
      <c r="Q51" s="31" t="str">
        <f>Global!EG51</f>
        <v/>
      </c>
      <c r="R51" s="31" t="str">
        <f>Global!EH51</f>
        <v/>
      </c>
      <c r="S51" s="31" t="str">
        <f>Global!EI51</f>
        <v/>
      </c>
      <c r="T51" s="31" t="str">
        <f>Global!EJ51</f>
        <v/>
      </c>
      <c r="U51" s="31" t="str">
        <f>Global!EK51</f>
        <v/>
      </c>
      <c r="V51" s="31" t="str">
        <f>Global!EL51</f>
        <v/>
      </c>
      <c r="W51" s="31" t="str">
        <f>Global!EM51</f>
        <v/>
      </c>
      <c r="X51" s="31" t="str">
        <f>Global!EN51</f>
        <v/>
      </c>
      <c r="Y51" s="31" t="str">
        <f>Global!EO51</f>
        <v/>
      </c>
      <c r="Z51" s="31" t="str">
        <f>Global!EP51</f>
        <v>RTT</v>
      </c>
      <c r="AA51" s="31" t="str">
        <f>Global!EQ51</f>
        <v/>
      </c>
      <c r="AB51" s="31" t="str">
        <f>Global!ER51</f>
        <v/>
      </c>
      <c r="AC51" s="31" t="str">
        <f>Global!ES51</f>
        <v/>
      </c>
      <c r="AD51" s="31" t="str">
        <f>Global!ET51</f>
        <v/>
      </c>
      <c r="AE51" s="31" t="str">
        <f>Global!EU51</f>
        <v/>
      </c>
      <c r="AF51" s="31" t="str">
        <f>Global!EV51</f>
        <v/>
      </c>
      <c r="AG51" s="31" t="str">
        <f>Global!EW51</f>
        <v/>
      </c>
      <c r="AH51" s="31" t="str">
        <f>Global!EX51</f>
        <v/>
      </c>
      <c r="AI51" s="31" t="str">
        <f>Global!EY51</f>
        <v/>
      </c>
      <c r="AJ51" s="48" t="str">
        <f>Global!EZ51</f>
        <v/>
      </c>
      <c r="AK51" s="108">
        <f>COUNTIF(Mai[[#This Row],[1]:[31]],"RTT")+(COUNTIF(Mai[[#This Row],[1]:[31]],"dRTT")/2)</f>
        <v>1</v>
      </c>
      <c r="AL51" s="109">
        <f>COUNTIF(Mai[[#This Row],[1]:[31]],"C")+(COUNTIF(Mai[[#This Row],[1]:[31]],"DC")/2)</f>
        <v>6</v>
      </c>
      <c r="AM51" s="22">
        <f>COUNTIF(Mai[[#This Row],[1]:[31]],"M")</f>
        <v>0</v>
      </c>
      <c r="AN51" s="22">
        <f>COUNTIF(Mai[[#This Row],[1]:[31]],"AT")</f>
        <v>0</v>
      </c>
      <c r="AO51" s="84">
        <f>IF(AND(Mai[[#This Row],[Maladie]]=0,Mai[[#This Row],[AT]]=0),((10*(_xlfn.DAYS("31/05/2018","01/05/2018")+1))/365),((_xlfn.DAYS("31/05/2018","01/05/2018")+1-(Mai[[#This Row],[Maladie]]+Mai[[#This Row],[AT]]))*((10*(_xlfn.DAYS("31/05/2018","01/05/2018")+1))/365))/(_xlfn.DAYS("31/05/2018","01/05/2018")+1))</f>
        <v>0.84931506849315064</v>
      </c>
    </row>
    <row r="52" spans="1:41" ht="30" customHeight="1" x14ac:dyDescent="0.2">
      <c r="A52" s="17" t="s">
        <v>108</v>
      </c>
      <c r="B52" s="17" t="s">
        <v>257</v>
      </c>
      <c r="C52" s="17" t="s">
        <v>258</v>
      </c>
      <c r="D52" s="17" t="s">
        <v>259</v>
      </c>
      <c r="E52" s="23">
        <v>0</v>
      </c>
      <c r="F52" s="47" t="str">
        <f>Global!DV52</f>
        <v/>
      </c>
      <c r="G52" s="31" t="str">
        <f>Global!DW52</f>
        <v/>
      </c>
      <c r="H52" s="31" t="str">
        <f>Global!DX52</f>
        <v/>
      </c>
      <c r="I52" s="31" t="str">
        <f>Global!DY52</f>
        <v/>
      </c>
      <c r="J52" s="31" t="str">
        <f>Global!DZ52</f>
        <v/>
      </c>
      <c r="K52" s="31" t="str">
        <f>Global!EA52</f>
        <v/>
      </c>
      <c r="L52" s="31" t="str">
        <f>Global!EB52</f>
        <v/>
      </c>
      <c r="M52" s="31" t="str">
        <f>Global!EC52</f>
        <v/>
      </c>
      <c r="N52" s="31" t="str">
        <f>Global!ED52</f>
        <v/>
      </c>
      <c r="O52" s="31" t="str">
        <f>Global!EE52</f>
        <v/>
      </c>
      <c r="P52" s="31" t="str">
        <f>Global!EF52</f>
        <v/>
      </c>
      <c r="Q52" s="31" t="str">
        <f>Global!EG52</f>
        <v/>
      </c>
      <c r="R52" s="31" t="str">
        <f>Global!EH52</f>
        <v/>
      </c>
      <c r="S52" s="31" t="str">
        <f>Global!EI52</f>
        <v/>
      </c>
      <c r="T52" s="31" t="str">
        <f>Global!EJ52</f>
        <v/>
      </c>
      <c r="U52" s="31" t="str">
        <f>Global!EK52</f>
        <v/>
      </c>
      <c r="V52" s="31" t="str">
        <f>Global!EL52</f>
        <v/>
      </c>
      <c r="W52" s="31" t="str">
        <f>Global!EM52</f>
        <v/>
      </c>
      <c r="X52" s="31" t="str">
        <f>Global!EN52</f>
        <v/>
      </c>
      <c r="Y52" s="31" t="str">
        <f>Global!EO52</f>
        <v/>
      </c>
      <c r="Z52" s="31" t="str">
        <f>Global!EP52</f>
        <v/>
      </c>
      <c r="AA52" s="31" t="str">
        <f>Global!EQ52</f>
        <v/>
      </c>
      <c r="AB52" s="31" t="str">
        <f>Global!ER52</f>
        <v>RTT</v>
      </c>
      <c r="AC52" s="31" t="str">
        <f>Global!ES52</f>
        <v>RTT</v>
      </c>
      <c r="AD52" s="31" t="str">
        <f>Global!ET52</f>
        <v>C</v>
      </c>
      <c r="AE52" s="31" t="str">
        <f>Global!EU52</f>
        <v/>
      </c>
      <c r="AF52" s="31" t="str">
        <f>Global!EV52</f>
        <v/>
      </c>
      <c r="AG52" s="31" t="str">
        <f>Global!EW52</f>
        <v/>
      </c>
      <c r="AH52" s="31" t="str">
        <f>Global!EX52</f>
        <v/>
      </c>
      <c r="AI52" s="31" t="str">
        <f>Global!EY52</f>
        <v/>
      </c>
      <c r="AJ52" s="48" t="str">
        <f>Global!EZ52</f>
        <v/>
      </c>
      <c r="AK52" s="108">
        <f>COUNTIF(Mai[[#This Row],[1]:[31]],"RTT")+(COUNTIF(Mai[[#This Row],[1]:[31]],"dRTT")/2)</f>
        <v>2</v>
      </c>
      <c r="AL52" s="109">
        <f>COUNTIF(Mai[[#This Row],[1]:[31]],"C")+(COUNTIF(Mai[[#This Row],[1]:[31]],"DC")/2)</f>
        <v>1</v>
      </c>
      <c r="AM52" s="22">
        <f>COUNTIF(Mai[[#This Row],[1]:[31]],"M")</f>
        <v>0</v>
      </c>
      <c r="AN52" s="22">
        <f>COUNTIF(Mai[[#This Row],[1]:[31]],"AT")</f>
        <v>0</v>
      </c>
      <c r="AO52" s="84">
        <f>IF(AND(Mai[[#This Row],[Maladie]]=0,Mai[[#This Row],[AT]]=0),((10*(_xlfn.DAYS("31/05/2018","01/05/2018")+1))/365),((_xlfn.DAYS("31/05/2018","01/05/2018")+1-(Mai[[#This Row],[Maladie]]+Mai[[#This Row],[AT]]))*((10*(_xlfn.DAYS("31/05/2018","01/05/2018")+1))/365))/(_xlfn.DAYS("31/05/2018","01/05/2018")+1))</f>
        <v>0.84931506849315064</v>
      </c>
    </row>
    <row r="53" spans="1:41" ht="30" customHeight="1" x14ac:dyDescent="0.2">
      <c r="A53" s="17" t="s">
        <v>109</v>
      </c>
      <c r="B53" s="17" t="s">
        <v>260</v>
      </c>
      <c r="C53" s="17" t="s">
        <v>261</v>
      </c>
      <c r="D53" s="17" t="s">
        <v>262</v>
      </c>
      <c r="E53" s="23">
        <v>0</v>
      </c>
      <c r="F53" s="47" t="str">
        <f>Global!DV53</f>
        <v/>
      </c>
      <c r="G53" s="31" t="str">
        <f>Global!DW53</f>
        <v/>
      </c>
      <c r="H53" s="31" t="str">
        <f>Global!DX53</f>
        <v/>
      </c>
      <c r="I53" s="31" t="str">
        <f>Global!DY53</f>
        <v/>
      </c>
      <c r="J53" s="31" t="str">
        <f>Global!DZ53</f>
        <v/>
      </c>
      <c r="K53" s="31" t="str">
        <f>Global!EA53</f>
        <v/>
      </c>
      <c r="L53" s="31" t="str">
        <f>Global!EB53</f>
        <v/>
      </c>
      <c r="M53" s="31" t="str">
        <f>Global!EC53</f>
        <v/>
      </c>
      <c r="N53" s="31" t="str">
        <f>Global!ED53</f>
        <v/>
      </c>
      <c r="O53" s="31" t="str">
        <f>Global!EE53</f>
        <v/>
      </c>
      <c r="P53" s="31" t="str">
        <f>Global!EF53</f>
        <v/>
      </c>
      <c r="Q53" s="31" t="str">
        <f>Global!EG53</f>
        <v/>
      </c>
      <c r="R53" s="31" t="str">
        <f>Global!EH53</f>
        <v/>
      </c>
      <c r="S53" s="31" t="str">
        <f>Global!EI53</f>
        <v/>
      </c>
      <c r="T53" s="31" t="str">
        <f>Global!EJ53</f>
        <v/>
      </c>
      <c r="U53" s="31" t="str">
        <f>Global!EK53</f>
        <v/>
      </c>
      <c r="V53" s="31" t="str">
        <f>Global!EL53</f>
        <v/>
      </c>
      <c r="W53" s="31" t="str">
        <f>Global!EM53</f>
        <v/>
      </c>
      <c r="X53" s="31" t="str">
        <f>Global!EN53</f>
        <v/>
      </c>
      <c r="Y53" s="31" t="str">
        <f>Global!EO53</f>
        <v/>
      </c>
      <c r="Z53" s="31" t="str">
        <f>Global!EP53</f>
        <v/>
      </c>
      <c r="AA53" s="31" t="str">
        <f>Global!EQ53</f>
        <v/>
      </c>
      <c r="AB53" s="31" t="str">
        <f>Global!ER53</f>
        <v/>
      </c>
      <c r="AC53" s="31" t="str">
        <f>Global!ES53</f>
        <v/>
      </c>
      <c r="AD53" s="31" t="str">
        <f>Global!ET53</f>
        <v/>
      </c>
      <c r="AE53" s="31" t="str">
        <f>Global!EU53</f>
        <v/>
      </c>
      <c r="AF53" s="31" t="str">
        <f>Global!EV53</f>
        <v/>
      </c>
      <c r="AG53" s="31" t="str">
        <f>Global!EW53</f>
        <v/>
      </c>
      <c r="AH53" s="31" t="str">
        <f>Global!EX53</f>
        <v/>
      </c>
      <c r="AI53" s="31" t="str">
        <f>Global!EY53</f>
        <v/>
      </c>
      <c r="AJ53" s="48" t="str">
        <f>Global!EZ53</f>
        <v/>
      </c>
      <c r="AK53" s="108">
        <f>COUNTIF(Mai[[#This Row],[1]:[31]],"RTT")+(COUNTIF(Mai[[#This Row],[1]:[31]],"dRTT")/2)</f>
        <v>0</v>
      </c>
      <c r="AL53" s="109">
        <f>COUNTIF(Mai[[#This Row],[1]:[31]],"C")+(COUNTIF(Mai[[#This Row],[1]:[31]],"DC")/2)</f>
        <v>0</v>
      </c>
      <c r="AM53" s="22">
        <f>COUNTIF(Mai[[#This Row],[1]:[31]],"M")</f>
        <v>0</v>
      </c>
      <c r="AN53" s="22">
        <f>COUNTIF(Mai[[#This Row],[1]:[31]],"AT")</f>
        <v>0</v>
      </c>
      <c r="AO53" s="84">
        <f>IF(AND(Mai[[#This Row],[Maladie]]=0,Mai[[#This Row],[AT]]=0),((10*(_xlfn.DAYS("31/05/2018","01/05/2018")+1))/365),((_xlfn.DAYS("31/05/2018","01/05/2018")+1-(Mai[[#This Row],[Maladie]]+Mai[[#This Row],[AT]]))*((10*(_xlfn.DAYS("31/05/2018","01/05/2018")+1))/365))/(_xlfn.DAYS("31/05/2018","01/05/2018")+1))</f>
        <v>0.84931506849315064</v>
      </c>
    </row>
    <row r="54" spans="1:41" ht="30" customHeight="1" x14ac:dyDescent="0.2">
      <c r="A54" s="18" t="s">
        <v>110</v>
      </c>
      <c r="B54" s="18" t="s">
        <v>263</v>
      </c>
      <c r="C54" s="18" t="s">
        <v>264</v>
      </c>
      <c r="D54" s="18" t="s">
        <v>265</v>
      </c>
      <c r="E54" s="24">
        <v>0</v>
      </c>
      <c r="F54" s="47" t="str">
        <f>Global!DV54</f>
        <v/>
      </c>
      <c r="G54" s="31" t="str">
        <f>Global!DW54</f>
        <v/>
      </c>
      <c r="H54" s="31" t="str">
        <f>Global!DX54</f>
        <v/>
      </c>
      <c r="I54" s="31" t="str">
        <f>Global!DY54</f>
        <v/>
      </c>
      <c r="J54" s="31" t="str">
        <f>Global!DZ54</f>
        <v/>
      </c>
      <c r="K54" s="31" t="str">
        <f>Global!EA54</f>
        <v/>
      </c>
      <c r="L54" s="31" t="str">
        <f>Global!EB54</f>
        <v/>
      </c>
      <c r="M54" s="31" t="str">
        <f>Global!EC54</f>
        <v/>
      </c>
      <c r="N54" s="31" t="str">
        <f>Global!ED54</f>
        <v/>
      </c>
      <c r="O54" s="31" t="str">
        <f>Global!EE54</f>
        <v/>
      </c>
      <c r="P54" s="31" t="str">
        <f>Global!EF54</f>
        <v/>
      </c>
      <c r="Q54" s="31" t="str">
        <f>Global!EG54</f>
        <v/>
      </c>
      <c r="R54" s="31" t="str">
        <f>Global!EH54</f>
        <v/>
      </c>
      <c r="S54" s="31" t="str">
        <f>Global!EI54</f>
        <v/>
      </c>
      <c r="T54" s="31" t="str">
        <f>Global!EJ54</f>
        <v/>
      </c>
      <c r="U54" s="31" t="str">
        <f>Global!EK54</f>
        <v/>
      </c>
      <c r="V54" s="31" t="str">
        <f>Global!EL54</f>
        <v/>
      </c>
      <c r="W54" s="31" t="str">
        <f>Global!EM54</f>
        <v/>
      </c>
      <c r="X54" s="31" t="str">
        <f>Global!EN54</f>
        <v/>
      </c>
      <c r="Y54" s="31" t="str">
        <f>Global!EO54</f>
        <v/>
      </c>
      <c r="Z54" s="31" t="str">
        <f>Global!EP54</f>
        <v/>
      </c>
      <c r="AA54" s="31" t="str">
        <f>Global!EQ54</f>
        <v/>
      </c>
      <c r="AB54" s="31" t="str">
        <f>Global!ER54</f>
        <v/>
      </c>
      <c r="AC54" s="31" t="str">
        <f>Global!ES54</f>
        <v>RTT</v>
      </c>
      <c r="AD54" s="31" t="str">
        <f>Global!ET54</f>
        <v>RTT</v>
      </c>
      <c r="AE54" s="31" t="str">
        <f>Global!EU54</f>
        <v/>
      </c>
      <c r="AF54" s="31" t="str">
        <f>Global!EV54</f>
        <v/>
      </c>
      <c r="AG54" s="31" t="str">
        <f>Global!EW54</f>
        <v/>
      </c>
      <c r="AH54" s="31" t="str">
        <f>Global!EX54</f>
        <v/>
      </c>
      <c r="AI54" s="31" t="str">
        <f>Global!EY54</f>
        <v/>
      </c>
      <c r="AJ54" s="48" t="str">
        <f>Global!EZ54</f>
        <v/>
      </c>
      <c r="AK54" s="108">
        <f>COUNTIF(Mai[[#This Row],[1]:[31]],"RTT")+(COUNTIF(Mai[[#This Row],[1]:[31]],"dRTT")/2)</f>
        <v>2</v>
      </c>
      <c r="AL54" s="109">
        <f>COUNTIF(Mai[[#This Row],[1]:[31]],"C")+(COUNTIF(Mai[[#This Row],[1]:[31]],"DC")/2)</f>
        <v>0</v>
      </c>
      <c r="AM54" s="22">
        <f>COUNTIF(Mai[[#This Row],[1]:[31]],"M")</f>
        <v>0</v>
      </c>
      <c r="AN54" s="22">
        <f>COUNTIF(Mai[[#This Row],[1]:[31]],"AT")</f>
        <v>0</v>
      </c>
      <c r="AO54" s="84">
        <f>IF(AND(Mai[[#This Row],[Maladie]]=0,Mai[[#This Row],[AT]]=0),((10*(_xlfn.DAYS("31/05/2018","01/05/2018")+1))/365),((_xlfn.DAYS("31/05/2018","01/05/2018")+1-(Mai[[#This Row],[Maladie]]+Mai[[#This Row],[AT]]))*((10*(_xlfn.DAYS("31/05/2018","01/05/2018")+1))/365))/(_xlfn.DAYS("31/05/2018","01/05/2018")+1))</f>
        <v>0.84931506849315064</v>
      </c>
    </row>
    <row r="55" spans="1:41" ht="30" customHeight="1" x14ac:dyDescent="0.2">
      <c r="A55" s="17" t="s">
        <v>111</v>
      </c>
      <c r="B55" s="17" t="s">
        <v>266</v>
      </c>
      <c r="C55" s="17" t="s">
        <v>267</v>
      </c>
      <c r="D55" s="17" t="s">
        <v>268</v>
      </c>
      <c r="E55" s="23">
        <v>0</v>
      </c>
      <c r="F55" s="47" t="str">
        <f>Global!DV55</f>
        <v>M</v>
      </c>
      <c r="G55" s="31" t="str">
        <f>Global!DW55</f>
        <v>M</v>
      </c>
      <c r="H55" s="31" t="str">
        <f>Global!DX55</f>
        <v>M</v>
      </c>
      <c r="I55" s="31" t="str">
        <f>Global!DY55</f>
        <v>M</v>
      </c>
      <c r="J55" s="31" t="str">
        <f>Global!DZ55</f>
        <v>M</v>
      </c>
      <c r="K55" s="31" t="str">
        <f>Global!EA55</f>
        <v>M</v>
      </c>
      <c r="L55" s="31" t="str">
        <f>Global!EB55</f>
        <v>M</v>
      </c>
      <c r="M55" s="31" t="str">
        <f>Global!EC55</f>
        <v>M</v>
      </c>
      <c r="N55" s="31" t="str">
        <f>Global!ED55</f>
        <v>M</v>
      </c>
      <c r="O55" s="31" t="str">
        <f>Global!EE55</f>
        <v>M</v>
      </c>
      <c r="P55" s="31" t="str">
        <f>Global!EF55</f>
        <v>M</v>
      </c>
      <c r="Q55" s="31" t="str">
        <f>Global!EG55</f>
        <v>M</v>
      </c>
      <c r="R55" s="31" t="str">
        <f>Global!EH55</f>
        <v>M</v>
      </c>
      <c r="S55" s="31" t="str">
        <f>Global!EI55</f>
        <v>M</v>
      </c>
      <c r="T55" s="31" t="str">
        <f>Global!EJ55</f>
        <v>M</v>
      </c>
      <c r="U55" s="31" t="str">
        <f>Global!EK55</f>
        <v>M</v>
      </c>
      <c r="V55" s="31" t="str">
        <f>Global!EL55</f>
        <v>M</v>
      </c>
      <c r="W55" s="31" t="str">
        <f>Global!EM55</f>
        <v>M</v>
      </c>
      <c r="X55" s="31" t="str">
        <f>Global!EN55</f>
        <v>M</v>
      </c>
      <c r="Y55" s="31" t="str">
        <f>Global!EO55</f>
        <v>M</v>
      </c>
      <c r="Z55" s="31" t="str">
        <f>Global!EP55</f>
        <v>M</v>
      </c>
      <c r="AA55" s="31" t="str">
        <f>Global!EQ55</f>
        <v>M</v>
      </c>
      <c r="AB55" s="31" t="str">
        <f>Global!ER55</f>
        <v>M</v>
      </c>
      <c r="AC55" s="31" t="str">
        <f>Global!ES55</f>
        <v>M</v>
      </c>
      <c r="AD55" s="31" t="str">
        <f>Global!ET55</f>
        <v>M</v>
      </c>
      <c r="AE55" s="31" t="str">
        <f>Global!EU55</f>
        <v>M</v>
      </c>
      <c r="AF55" s="31" t="str">
        <f>Global!EV55</f>
        <v>M</v>
      </c>
      <c r="AG55" s="31" t="str">
        <f>Global!EW55</f>
        <v>M</v>
      </c>
      <c r="AH55" s="31" t="str">
        <f>Global!EX55</f>
        <v>M</v>
      </c>
      <c r="AI55" s="31" t="str">
        <f>Global!EY55</f>
        <v>M</v>
      </c>
      <c r="AJ55" s="48" t="str">
        <f>Global!EZ55</f>
        <v>M</v>
      </c>
      <c r="AK55" s="108">
        <f>COUNTIF(Mai[[#This Row],[1]:[31]],"RTT")+(COUNTIF(Mai[[#This Row],[1]:[31]],"dRTT")/2)</f>
        <v>0</v>
      </c>
      <c r="AL55" s="109">
        <f>COUNTIF(Mai[[#This Row],[1]:[31]],"C")+(COUNTIF(Mai[[#This Row],[1]:[31]],"DC")/2)</f>
        <v>0</v>
      </c>
      <c r="AM55" s="22">
        <f>COUNTIF(Mai[[#This Row],[1]:[31]],"M")</f>
        <v>31</v>
      </c>
      <c r="AN55" s="22">
        <f>COUNTIF(Mai[[#This Row],[1]:[31]],"AT")</f>
        <v>0</v>
      </c>
      <c r="AO55" s="84">
        <f>IF(AND(Mai[[#This Row],[Maladie]]=0,Mai[[#This Row],[AT]]=0),((10*(_xlfn.DAYS("31/05/2018","01/05/2018")+1))/365),((_xlfn.DAYS("31/05/2018","01/05/2018")+1-(Mai[[#This Row],[Maladie]]+Mai[[#This Row],[AT]]))*((10*(_xlfn.DAYS("31/05/2018","01/05/2018")+1))/365))/(_xlfn.DAYS("31/05/2018","01/05/2018")+1))</f>
        <v>0</v>
      </c>
    </row>
    <row r="56" spans="1:41" ht="30" customHeight="1" thickBot="1" x14ac:dyDescent="0.25">
      <c r="A56" s="17" t="s">
        <v>112</v>
      </c>
      <c r="B56" s="17" t="s">
        <v>269</v>
      </c>
      <c r="C56" s="17" t="s">
        <v>270</v>
      </c>
      <c r="D56" s="17" t="s">
        <v>271</v>
      </c>
      <c r="E56" s="23">
        <v>0</v>
      </c>
      <c r="F56" s="49" t="str">
        <f>Global!DV56</f>
        <v/>
      </c>
      <c r="G56" s="50" t="str">
        <f>Global!DW56</f>
        <v/>
      </c>
      <c r="H56" s="50" t="str">
        <f>Global!DX56</f>
        <v/>
      </c>
      <c r="I56" s="50" t="str">
        <f>Global!DY56</f>
        <v/>
      </c>
      <c r="J56" s="50" t="str">
        <f>Global!DZ56</f>
        <v/>
      </c>
      <c r="K56" s="50" t="str">
        <f>Global!EA56</f>
        <v/>
      </c>
      <c r="L56" s="50" t="str">
        <f>Global!EB56</f>
        <v/>
      </c>
      <c r="M56" s="50" t="str">
        <f>Global!EC56</f>
        <v/>
      </c>
      <c r="N56" s="50" t="str">
        <f>Global!ED56</f>
        <v/>
      </c>
      <c r="O56" s="50" t="str">
        <f>Global!EE56</f>
        <v/>
      </c>
      <c r="P56" s="50" t="str">
        <f>Global!EF56</f>
        <v/>
      </c>
      <c r="Q56" s="50" t="str">
        <f>Global!EG56</f>
        <v/>
      </c>
      <c r="R56" s="50" t="str">
        <f>Global!EH56</f>
        <v/>
      </c>
      <c r="S56" s="50" t="str">
        <f>Global!EI56</f>
        <v>C</v>
      </c>
      <c r="T56" s="50" t="str">
        <f>Global!EJ56</f>
        <v>C</v>
      </c>
      <c r="U56" s="50" t="str">
        <f>Global!EK56</f>
        <v>C</v>
      </c>
      <c r="V56" s="50" t="str">
        <f>Global!EL56</f>
        <v>C</v>
      </c>
      <c r="W56" s="50" t="str">
        <f>Global!EM56</f>
        <v>C</v>
      </c>
      <c r="X56" s="50" t="str">
        <f>Global!EN56</f>
        <v/>
      </c>
      <c r="Y56" s="50" t="str">
        <f>Global!EO56</f>
        <v/>
      </c>
      <c r="Z56" s="50" t="str">
        <f>Global!EP56</f>
        <v/>
      </c>
      <c r="AA56" s="50" t="str">
        <f>Global!EQ56</f>
        <v/>
      </c>
      <c r="AB56" s="50" t="str">
        <f>Global!ER56</f>
        <v/>
      </c>
      <c r="AC56" s="50" t="str">
        <f>Global!ES56</f>
        <v/>
      </c>
      <c r="AD56" s="50" t="str">
        <f>Global!ET56</f>
        <v/>
      </c>
      <c r="AE56" s="50" t="str">
        <f>Global!EU56</f>
        <v/>
      </c>
      <c r="AF56" s="50" t="str">
        <f>Global!EV56</f>
        <v/>
      </c>
      <c r="AG56" s="50" t="str">
        <f>Global!EW56</f>
        <v>RTT</v>
      </c>
      <c r="AH56" s="50" t="str">
        <f>Global!EX56</f>
        <v>RTT</v>
      </c>
      <c r="AI56" s="50" t="str">
        <f>Global!EY56</f>
        <v>RTT</v>
      </c>
      <c r="AJ56" s="51" t="str">
        <f>Global!EZ56</f>
        <v>C</v>
      </c>
      <c r="AK56" s="108">
        <f>COUNTIF(Mai[[#This Row],[1]:[31]],"RTT")+(COUNTIF(Mai[[#This Row],[1]:[31]],"dRTT")/2)</f>
        <v>3</v>
      </c>
      <c r="AL56" s="109">
        <f>COUNTIF(Mai[[#This Row],[1]:[31]],"C")+(COUNTIF(Mai[[#This Row],[1]:[31]],"DC")/2)</f>
        <v>6</v>
      </c>
      <c r="AM56" s="22">
        <f>COUNTIF(Mai[[#This Row],[1]:[31]],"M")</f>
        <v>0</v>
      </c>
      <c r="AN56" s="22">
        <f>COUNTIF(Mai[[#This Row],[1]:[31]],"AT")</f>
        <v>0</v>
      </c>
      <c r="AO56" s="84">
        <f>IF(AND(Mai[[#This Row],[Maladie]]=0,Mai[[#This Row],[AT]]=0),((10*(_xlfn.DAYS("31/05/2018","01/05/2018")+1))/365),((_xlfn.DAYS("31/05/2018","01/05/2018")+1-(Mai[[#This Row],[Maladie]]+Mai[[#This Row],[AT]]))*((10*(_xlfn.DAYS("31/05/2018","01/05/2018")+1))/365))/(_xlfn.DAYS("31/05/2018","01/05/2018")+1))</f>
        <v>0.84931506849315064</v>
      </c>
    </row>
    <row r="57" spans="1:41" x14ac:dyDescent="0.2">
      <c r="A57" s="1"/>
    </row>
  </sheetData>
  <mergeCells count="6">
    <mergeCell ref="F5:AJ5"/>
    <mergeCell ref="G3:H3"/>
    <mergeCell ref="J3:K3"/>
    <mergeCell ref="U3:V3"/>
    <mergeCell ref="AC3:AD3"/>
    <mergeCell ref="AH3:AI3"/>
  </mergeCells>
  <conditionalFormatting sqref="F8:AJ56">
    <cfRule type="expression" dxfId="127" priority="4">
      <formula>F8=CléPersonnalisée4</formula>
    </cfRule>
    <cfRule type="expression" dxfId="126" priority="5">
      <formula>F8=CléPersonnalisée5</formula>
    </cfRule>
    <cfRule type="expression" dxfId="125" priority="6">
      <formula>F8=CléPersonnalisée3</formula>
    </cfRule>
    <cfRule type="expression" dxfId="124" priority="7">
      <formula>F8=CléPersonnalisée2</formula>
    </cfRule>
    <cfRule type="expression" dxfId="123" priority="8">
      <formula>F8=CléPersonnalisée1</formula>
    </cfRule>
    <cfRule type="expression" dxfId="122" priority="9">
      <formula>F8=CléMaladie</formula>
    </cfRule>
    <cfRule type="expression" dxfId="121" priority="10">
      <formula>F8=CléPersonnel</formula>
    </cfRule>
    <cfRule type="expression" dxfId="120" priority="11" stopIfTrue="1">
      <formula>F8=CléCongé</formula>
    </cfRule>
    <cfRule type="expression" dxfId="119" priority="12" stopIfTrue="1">
      <formula>F8=CléDemiCongés</formula>
    </cfRule>
    <cfRule type="expression" dxfId="118" priority="13">
      <formula>F8=""</formula>
    </cfRule>
  </conditionalFormatting>
  <conditionalFormatting sqref="F6:AJ56">
    <cfRule type="expression" dxfId="117" priority="2" stopIfTrue="1">
      <formula>WEEKDAY(F$1)=7</formula>
    </cfRule>
    <cfRule type="expression" dxfId="116"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2A11335A-844F-3641-BED1-3D89059C5495}">
            <xm:f>F$1=VLOOKUP(F$1,JFériés!$D$1:$D$11,1,FALSE)</xm:f>
            <x14:dxf>
              <font>
                <color theme="1"/>
              </font>
              <fill>
                <patternFill>
                  <bgColor theme="5" tint="0.59996337778862885"/>
                </patternFill>
              </fill>
            </x14:dxf>
          </x14:cfRule>
          <xm:sqref>F6:AJ56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8" enableFormatConditionsCalculation="0">
    <tabColor rgb="FFF1F2E8"/>
    <pageSetUpPr fitToPage="1"/>
  </sheetPr>
  <dimension ref="A1:AO57"/>
  <sheetViews>
    <sheetView showGridLines="0" topLeftCell="A35"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DATE(AnnéeCalendrier,6,1)</f>
        <v>43252</v>
      </c>
      <c r="G1" s="62">
        <f>DATE(AnnéeCalendrier,6,2)</f>
        <v>43253</v>
      </c>
      <c r="H1" s="62">
        <f>DATE(AnnéeCalendrier,6,3)</f>
        <v>43254</v>
      </c>
      <c r="I1" s="62">
        <f>DATE(AnnéeCalendrier,6,4)</f>
        <v>43255</v>
      </c>
      <c r="J1" s="62">
        <f>DATE(AnnéeCalendrier,6,5)</f>
        <v>43256</v>
      </c>
      <c r="K1" s="62">
        <f>DATE(AnnéeCalendrier,6,6)</f>
        <v>43257</v>
      </c>
      <c r="L1" s="62">
        <f>DATE(AnnéeCalendrier,6,7)</f>
        <v>43258</v>
      </c>
      <c r="M1" s="62">
        <f>DATE(AnnéeCalendrier,6,8)</f>
        <v>43259</v>
      </c>
      <c r="N1" s="62">
        <f>DATE(AnnéeCalendrier,6,9)</f>
        <v>43260</v>
      </c>
      <c r="O1" s="62">
        <f>DATE(AnnéeCalendrier,6,10)</f>
        <v>43261</v>
      </c>
      <c r="P1" s="62">
        <f>DATE(AnnéeCalendrier,6,11)</f>
        <v>43262</v>
      </c>
      <c r="Q1" s="62">
        <f>DATE(AnnéeCalendrier,6,12)</f>
        <v>43263</v>
      </c>
      <c r="R1" s="62">
        <f>DATE(AnnéeCalendrier,6,13)</f>
        <v>43264</v>
      </c>
      <c r="S1" s="62">
        <f>DATE(AnnéeCalendrier,6,14)</f>
        <v>43265</v>
      </c>
      <c r="T1" s="62">
        <f>DATE(AnnéeCalendrier,6,15)</f>
        <v>43266</v>
      </c>
      <c r="U1" s="62">
        <f>DATE(AnnéeCalendrier,6,16)</f>
        <v>43267</v>
      </c>
      <c r="V1" s="62">
        <f>DATE(AnnéeCalendrier,6,17)</f>
        <v>43268</v>
      </c>
      <c r="W1" s="62">
        <f>DATE(AnnéeCalendrier,6,18)</f>
        <v>43269</v>
      </c>
      <c r="X1" s="62">
        <f>DATE(AnnéeCalendrier,6,19)</f>
        <v>43270</v>
      </c>
      <c r="Y1" s="62">
        <f>DATE(AnnéeCalendrier,6,20)</f>
        <v>43271</v>
      </c>
      <c r="Z1" s="62">
        <f>DATE(AnnéeCalendrier,6,21)</f>
        <v>43272</v>
      </c>
      <c r="AA1" s="62">
        <f>DATE(AnnéeCalendrier,6,22)</f>
        <v>43273</v>
      </c>
      <c r="AB1" s="62">
        <f>DATE(AnnéeCalendrier,6,23)</f>
        <v>43274</v>
      </c>
      <c r="AC1" s="62">
        <f>DATE(AnnéeCalendrier,6,24)</f>
        <v>43275</v>
      </c>
      <c r="AD1" s="62">
        <f>DATE(AnnéeCalendrier,6,25)</f>
        <v>43276</v>
      </c>
      <c r="AE1" s="62">
        <f>DATE(AnnéeCalendrier,6,26)</f>
        <v>43277</v>
      </c>
      <c r="AF1" s="62">
        <f>DATE(AnnéeCalendrier,6,27)</f>
        <v>43278</v>
      </c>
      <c r="AG1" s="62">
        <f>DATE(AnnéeCalendrier,6,28)</f>
        <v>43279</v>
      </c>
      <c r="AH1" s="62">
        <f>DATE(AnnéeCalendrier,6,29)</f>
        <v>43280</v>
      </c>
      <c r="AI1" s="62">
        <f>DATE(AnnéeCalendrier,6,30)</f>
        <v>43281</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50</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88" t="str">
        <f>TEXT(WEEKDAY(DATE(AnnéeCalendrier,6,1),1),"jjj")</f>
        <v>ven</v>
      </c>
      <c r="G6" s="89" t="str">
        <f>TEXT(WEEKDAY(DATE(AnnéeCalendrier,6,2),1),"jjj")</f>
        <v>sam</v>
      </c>
      <c r="H6" s="89" t="str">
        <f>TEXT(WEEKDAY(DATE(AnnéeCalendrier,6,3),1),"jjj")</f>
        <v>dim</v>
      </c>
      <c r="I6" s="89" t="str">
        <f>TEXT(WEEKDAY(DATE(AnnéeCalendrier,6,4),1),"jjj")</f>
        <v>lun</v>
      </c>
      <c r="J6" s="89" t="str">
        <f>TEXT(WEEKDAY(DATE(AnnéeCalendrier,6,5),1),"jjj")</f>
        <v>mar</v>
      </c>
      <c r="K6" s="89" t="str">
        <f>TEXT(WEEKDAY(DATE(AnnéeCalendrier,6,6),1),"jjj")</f>
        <v>mer</v>
      </c>
      <c r="L6" s="89" t="str">
        <f>TEXT(WEEKDAY(DATE(AnnéeCalendrier,6,7),1),"jjj")</f>
        <v>jeu</v>
      </c>
      <c r="M6" s="89" t="str">
        <f>TEXT(WEEKDAY(DATE(AnnéeCalendrier,6,8),1),"jjj")</f>
        <v>ven</v>
      </c>
      <c r="N6" s="89" t="str">
        <f>TEXT(WEEKDAY(DATE(AnnéeCalendrier,6,9),1),"jjj")</f>
        <v>sam</v>
      </c>
      <c r="O6" s="89" t="str">
        <f>TEXT(WEEKDAY(DATE(AnnéeCalendrier,6,10),1),"jjj")</f>
        <v>dim</v>
      </c>
      <c r="P6" s="89" t="str">
        <f>TEXT(WEEKDAY(DATE(AnnéeCalendrier,6,11),1),"jjj")</f>
        <v>lun</v>
      </c>
      <c r="Q6" s="89" t="str">
        <f>TEXT(WEEKDAY(DATE(AnnéeCalendrier,6,12),1),"jjj")</f>
        <v>mar</v>
      </c>
      <c r="R6" s="89" t="str">
        <f>TEXT(WEEKDAY(DATE(AnnéeCalendrier,6,13),1),"jjj")</f>
        <v>mer</v>
      </c>
      <c r="S6" s="89" t="str">
        <f>TEXT(WEEKDAY(DATE(AnnéeCalendrier,6,14),1),"jjj")</f>
        <v>jeu</v>
      </c>
      <c r="T6" s="89" t="str">
        <f>TEXT(WEEKDAY(DATE(AnnéeCalendrier,6,15),1),"jjj")</f>
        <v>ven</v>
      </c>
      <c r="U6" s="89" t="str">
        <f>TEXT(WEEKDAY(DATE(AnnéeCalendrier,6,16),1),"jjj")</f>
        <v>sam</v>
      </c>
      <c r="V6" s="89" t="str">
        <f>TEXT(WEEKDAY(DATE(AnnéeCalendrier,6,17),1),"jjj")</f>
        <v>dim</v>
      </c>
      <c r="W6" s="89" t="str">
        <f>TEXT(WEEKDAY(DATE(AnnéeCalendrier,6,18),1),"jjj")</f>
        <v>lun</v>
      </c>
      <c r="X6" s="89" t="str">
        <f>TEXT(WEEKDAY(DATE(AnnéeCalendrier,6,19),1),"jjj")</f>
        <v>mar</v>
      </c>
      <c r="Y6" s="89" t="str">
        <f>TEXT(WEEKDAY(DATE(AnnéeCalendrier,6,20),1),"jjj")</f>
        <v>mer</v>
      </c>
      <c r="Z6" s="89" t="str">
        <f>TEXT(WEEKDAY(DATE(AnnéeCalendrier,6,21),1),"jjj")</f>
        <v>jeu</v>
      </c>
      <c r="AA6" s="89" t="str">
        <f>TEXT(WEEKDAY(DATE(AnnéeCalendrier,6,22),1),"jjj")</f>
        <v>ven</v>
      </c>
      <c r="AB6" s="89" t="str">
        <f>TEXT(WEEKDAY(DATE(AnnéeCalendrier,6,23),1),"jjj")</f>
        <v>sam</v>
      </c>
      <c r="AC6" s="89" t="str">
        <f>TEXT(WEEKDAY(DATE(AnnéeCalendrier,6,24),1),"jjj")</f>
        <v>dim</v>
      </c>
      <c r="AD6" s="89" t="str">
        <f>TEXT(WEEKDAY(DATE(AnnéeCalendrier,6,25),1),"jjj")</f>
        <v>lun</v>
      </c>
      <c r="AE6" s="89" t="str">
        <f>TEXT(WEEKDAY(DATE(AnnéeCalendrier,6,26),1),"jjj")</f>
        <v>mar</v>
      </c>
      <c r="AF6" s="89" t="str">
        <f>TEXT(WEEKDAY(DATE(AnnéeCalendrier,6,27),1),"jjj")</f>
        <v>mer</v>
      </c>
      <c r="AG6" s="89" t="str">
        <f>TEXT(WEEKDAY(DATE(AnnéeCalendrier,6,28),1),"jjj")</f>
        <v>jeu</v>
      </c>
      <c r="AH6" s="89" t="str">
        <f>TEXT(WEEKDAY(DATE(AnnéeCalendrier,6,29),1),"jjj")</f>
        <v>ven</v>
      </c>
      <c r="AI6" s="89" t="str">
        <f>TEXT(WEEKDAY(DATE(AnnéeCalendrier,6,30),1),"jjj")</f>
        <v>sam</v>
      </c>
      <c r="AJ6" s="90"/>
      <c r="AK6" s="10"/>
    </row>
    <row r="7" spans="1:41" ht="15" customHeight="1" thickBot="1" x14ac:dyDescent="0.25">
      <c r="A7" s="36" t="s">
        <v>63</v>
      </c>
      <c r="B7" s="36" t="s">
        <v>128</v>
      </c>
      <c r="C7" s="36" t="s">
        <v>129</v>
      </c>
      <c r="D7" s="36" t="s">
        <v>13</v>
      </c>
      <c r="E7" s="43" t="s">
        <v>113</v>
      </c>
      <c r="F7" s="91" t="s">
        <v>14</v>
      </c>
      <c r="G7" s="92" t="s">
        <v>15</v>
      </c>
      <c r="H7" s="92" t="s">
        <v>16</v>
      </c>
      <c r="I7" s="92" t="s">
        <v>17</v>
      </c>
      <c r="J7" s="92" t="s">
        <v>18</v>
      </c>
      <c r="K7" s="92" t="s">
        <v>19</v>
      </c>
      <c r="L7" s="92" t="s">
        <v>20</v>
      </c>
      <c r="M7" s="92" t="s">
        <v>21</v>
      </c>
      <c r="N7" s="92" t="s">
        <v>22</v>
      </c>
      <c r="O7" s="92" t="s">
        <v>23</v>
      </c>
      <c r="P7" s="92" t="s">
        <v>24</v>
      </c>
      <c r="Q7" s="92" t="s">
        <v>25</v>
      </c>
      <c r="R7" s="92" t="s">
        <v>26</v>
      </c>
      <c r="S7" s="92" t="s">
        <v>27</v>
      </c>
      <c r="T7" s="92" t="s">
        <v>28</v>
      </c>
      <c r="U7" s="92" t="s">
        <v>29</v>
      </c>
      <c r="V7" s="92" t="s">
        <v>30</v>
      </c>
      <c r="W7" s="92" t="s">
        <v>31</v>
      </c>
      <c r="X7" s="92" t="s">
        <v>32</v>
      </c>
      <c r="Y7" s="92" t="s">
        <v>33</v>
      </c>
      <c r="Z7" s="92" t="s">
        <v>34</v>
      </c>
      <c r="AA7" s="92" t="s">
        <v>35</v>
      </c>
      <c r="AB7" s="92" t="s">
        <v>36</v>
      </c>
      <c r="AC7" s="92" t="s">
        <v>37</v>
      </c>
      <c r="AD7" s="92" t="s">
        <v>38</v>
      </c>
      <c r="AE7" s="92" t="s">
        <v>39</v>
      </c>
      <c r="AF7" s="92" t="s">
        <v>40</v>
      </c>
      <c r="AG7" s="92" t="s">
        <v>41</v>
      </c>
      <c r="AH7" s="92" t="s">
        <v>42</v>
      </c>
      <c r="AI7" s="92" t="s">
        <v>43</v>
      </c>
      <c r="AJ7" s="94"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86" t="str">
        <f>Global!FA8</f>
        <v/>
      </c>
      <c r="G8" s="87" t="str">
        <f>Global!FB8</f>
        <v/>
      </c>
      <c r="H8" s="87" t="str">
        <f>Global!FC8</f>
        <v/>
      </c>
      <c r="I8" s="87" t="str">
        <f>Global!FD8</f>
        <v/>
      </c>
      <c r="J8" s="87" t="str">
        <f>Global!FE8</f>
        <v/>
      </c>
      <c r="K8" s="87" t="str">
        <f>Global!FF8</f>
        <v/>
      </c>
      <c r="L8" s="87" t="str">
        <f>Global!FG8</f>
        <v/>
      </c>
      <c r="M8" s="87" t="str">
        <f>Global!FH8</f>
        <v/>
      </c>
      <c r="N8" s="87" t="str">
        <f>Global!FI8</f>
        <v/>
      </c>
      <c r="O8" s="87" t="str">
        <f>Global!FJ8</f>
        <v/>
      </c>
      <c r="P8" s="87" t="str">
        <f>Global!FK8</f>
        <v/>
      </c>
      <c r="Q8" s="87" t="str">
        <f>Global!FL8</f>
        <v/>
      </c>
      <c r="R8" s="87" t="str">
        <f>Global!FM8</f>
        <v/>
      </c>
      <c r="S8" s="87" t="str">
        <f>Global!FN8</f>
        <v/>
      </c>
      <c r="T8" s="87" t="str">
        <f>Global!FO8</f>
        <v/>
      </c>
      <c r="U8" s="87" t="str">
        <f>Global!FP8</f>
        <v/>
      </c>
      <c r="V8" s="87" t="str">
        <f>Global!FQ8</f>
        <v/>
      </c>
      <c r="W8" s="87" t="str">
        <f>Global!FR8</f>
        <v/>
      </c>
      <c r="X8" s="87" t="str">
        <f>Global!FS8</f>
        <v/>
      </c>
      <c r="Y8" s="87" t="str">
        <f>Global!FT8</f>
        <v/>
      </c>
      <c r="Z8" s="87" t="str">
        <f>Global!FU8</f>
        <v/>
      </c>
      <c r="AA8" s="87" t="str">
        <f>Global!FV8</f>
        <v/>
      </c>
      <c r="AB8" s="87" t="str">
        <f>Global!FW8</f>
        <v/>
      </c>
      <c r="AC8" s="87" t="str">
        <f>Global!FX8</f>
        <v/>
      </c>
      <c r="AD8" s="87" t="str">
        <f>Global!FY8</f>
        <v>C</v>
      </c>
      <c r="AE8" s="87" t="str">
        <f>Global!FZ8</f>
        <v>C</v>
      </c>
      <c r="AF8" s="87" t="str">
        <f>Global!GA8</f>
        <v>C</v>
      </c>
      <c r="AG8" s="87" t="str">
        <f>Global!GB8</f>
        <v>C</v>
      </c>
      <c r="AH8" s="87" t="str">
        <f>Global!GC8</f>
        <v>C</v>
      </c>
      <c r="AI8" s="87" t="str">
        <f>Global!GD8</f>
        <v/>
      </c>
      <c r="AJ8" s="34"/>
      <c r="AK8" s="108">
        <f>COUNTIF(Juin[[#This Row],[1]:[30]],"RTT")+(COUNTIF(Juin[[#This Row],[1]:[31]],"dRTT")/2)</f>
        <v>0</v>
      </c>
      <c r="AL8" s="109">
        <f>COUNTIF(Juin[[#This Row],[1]:[30]],"C")+(COUNTIF(Juin[[#This Row],[1]:[30]],"DC")/2)</f>
        <v>5</v>
      </c>
      <c r="AM8" s="22">
        <f>COUNTIF(Juin[[#This Row],[1]:[30]],"M")</f>
        <v>0</v>
      </c>
      <c r="AN8" s="22">
        <f>COUNTIF(Juin[[#This Row],[1]:[30]],"AT")</f>
        <v>0</v>
      </c>
      <c r="AO8" s="84">
        <f>IF(AND(AM8=0,AN8=0),((10*(_xlfn.DAYS("30/06/2018","01/06/2018")+1))/365),((_xlfn.DAYS("30/06/2018","01/06/2018")+1-(AM8+AN8))*((10*(_xlfn.DAYS("30/06/2018","01/06/2018")+1))/365))/(_xlfn.DAYS("30/06/2018","01/06/2018")+1))</f>
        <v>0.82191780821917804</v>
      </c>
    </row>
    <row r="9" spans="1:41" ht="30" customHeight="1" x14ac:dyDescent="0.2">
      <c r="A9" s="13" t="s">
        <v>65</v>
      </c>
      <c r="B9" s="22" t="s">
        <v>130</v>
      </c>
      <c r="C9" s="22" t="s">
        <v>133</v>
      </c>
      <c r="D9" s="22" t="s">
        <v>134</v>
      </c>
      <c r="E9" s="44">
        <v>0</v>
      </c>
      <c r="F9" s="47" t="str">
        <f>Global!FA9</f>
        <v/>
      </c>
      <c r="G9" s="31" t="str">
        <f>Global!FB9</f>
        <v/>
      </c>
      <c r="H9" s="31" t="str">
        <f>Global!FC9</f>
        <v/>
      </c>
      <c r="I9" s="31" t="str">
        <f>Global!FD9</f>
        <v/>
      </c>
      <c r="J9" s="31" t="str">
        <f>Global!FE9</f>
        <v/>
      </c>
      <c r="K9" s="31" t="str">
        <f>Global!FF9</f>
        <v/>
      </c>
      <c r="L9" s="31" t="str">
        <f>Global!FG9</f>
        <v/>
      </c>
      <c r="M9" s="31" t="str">
        <f>Global!FH9</f>
        <v/>
      </c>
      <c r="N9" s="31" t="str">
        <f>Global!FI9</f>
        <v/>
      </c>
      <c r="O9" s="31" t="str">
        <f>Global!FJ9</f>
        <v/>
      </c>
      <c r="P9" s="31" t="str">
        <f>Global!FK9</f>
        <v>C</v>
      </c>
      <c r="Q9" s="31" t="str">
        <f>Global!FL9</f>
        <v>C</v>
      </c>
      <c r="R9" s="31" t="str">
        <f>Global!FM9</f>
        <v>C</v>
      </c>
      <c r="S9" s="31" t="str">
        <f>Global!FN9</f>
        <v>C</v>
      </c>
      <c r="T9" s="31" t="str">
        <f>Global!FO9</f>
        <v>C</v>
      </c>
      <c r="U9" s="31" t="str">
        <f>Global!FP9</f>
        <v/>
      </c>
      <c r="V9" s="31" t="str">
        <f>Global!FQ9</f>
        <v/>
      </c>
      <c r="W9" s="31" t="str">
        <f>Global!FR9</f>
        <v>C</v>
      </c>
      <c r="X9" s="31" t="str">
        <f>Global!FS9</f>
        <v>C</v>
      </c>
      <c r="Y9" s="31" t="str">
        <f>Global!FT9</f>
        <v>C</v>
      </c>
      <c r="Z9" s="31" t="str">
        <f>Global!FU9</f>
        <v>C</v>
      </c>
      <c r="AA9" s="31" t="str">
        <f>Global!FV9</f>
        <v>C</v>
      </c>
      <c r="AB9" s="31" t="str">
        <f>Global!FW9</f>
        <v/>
      </c>
      <c r="AC9" s="31" t="str">
        <f>Global!FX9</f>
        <v/>
      </c>
      <c r="AD9" s="31" t="str">
        <f>Global!FY9</f>
        <v/>
      </c>
      <c r="AE9" s="31" t="str">
        <f>Global!FZ9</f>
        <v/>
      </c>
      <c r="AF9" s="31" t="str">
        <f>Global!GA9</f>
        <v/>
      </c>
      <c r="AG9" s="31" t="str">
        <f>Global!GB9</f>
        <v/>
      </c>
      <c r="AH9" s="31" t="str">
        <f>Global!GC9</f>
        <v/>
      </c>
      <c r="AI9" s="31" t="str">
        <f>Global!GD9</f>
        <v/>
      </c>
      <c r="AJ9" s="20"/>
      <c r="AK9" s="108">
        <f>COUNTIF(Juin[[#This Row],[1]:[30]],"RTT")+(COUNTIF(Juin[[#This Row],[1]:[31]],"dRTT")/2)</f>
        <v>0</v>
      </c>
      <c r="AL9" s="109">
        <f>COUNTIF(Juin[[#This Row],[1]:[30]],"C")+(COUNTIF(Juin[[#This Row],[1]:[30]],"DC")/2)</f>
        <v>10</v>
      </c>
      <c r="AM9" s="22">
        <f>COUNTIF(Juin[[#This Row],[1]:[30]],"M")</f>
        <v>0</v>
      </c>
      <c r="AN9" s="22">
        <f>COUNTIF(Juin[[#This Row],[1]:[30]],"AT")</f>
        <v>0</v>
      </c>
      <c r="AO9" s="84">
        <f t="shared" ref="AO9:AO56" si="0">IF(AND(AM9=0,AN9=0),((10*(_xlfn.DAYS("30/06/2018","01/06/2018")+1))/365),((_xlfn.DAYS("30/06/2018","01/06/2018")+1-(AM9+AN9))*((10*(_xlfn.DAYS("30/06/2018","01/06/2018")+1))/365))/(_xlfn.DAYS("30/06/2018","01/06/2018")+1))</f>
        <v>0.82191780821917804</v>
      </c>
    </row>
    <row r="10" spans="1:41" ht="30" customHeight="1" x14ac:dyDescent="0.2">
      <c r="A10" s="14" t="s">
        <v>66</v>
      </c>
      <c r="B10" s="22" t="s">
        <v>135</v>
      </c>
      <c r="C10" s="22" t="s">
        <v>136</v>
      </c>
      <c r="D10" s="22" t="s">
        <v>137</v>
      </c>
      <c r="E10" s="44">
        <v>0</v>
      </c>
      <c r="F10" s="47" t="str">
        <f>Global!FA10</f>
        <v/>
      </c>
      <c r="G10" s="31" t="str">
        <f>Global!FB10</f>
        <v/>
      </c>
      <c r="H10" s="31" t="str">
        <f>Global!FC10</f>
        <v/>
      </c>
      <c r="I10" s="31" t="str">
        <f>Global!FD10</f>
        <v/>
      </c>
      <c r="J10" s="31" t="str">
        <f>Global!FE10</f>
        <v/>
      </c>
      <c r="K10" s="31" t="str">
        <f>Global!FF10</f>
        <v/>
      </c>
      <c r="L10" s="31" t="str">
        <f>Global!FG10</f>
        <v/>
      </c>
      <c r="M10" s="31" t="str">
        <f>Global!FH10</f>
        <v/>
      </c>
      <c r="N10" s="31" t="str">
        <f>Global!FI10</f>
        <v/>
      </c>
      <c r="O10" s="31" t="str">
        <f>Global!FJ10</f>
        <v/>
      </c>
      <c r="P10" s="31" t="str">
        <f>Global!FK10</f>
        <v/>
      </c>
      <c r="Q10" s="31" t="str">
        <f>Global!FL10</f>
        <v/>
      </c>
      <c r="R10" s="31" t="str">
        <f>Global!FM10</f>
        <v/>
      </c>
      <c r="S10" s="31" t="str">
        <f>Global!FN10</f>
        <v/>
      </c>
      <c r="T10" s="31" t="str">
        <f>Global!FO10</f>
        <v/>
      </c>
      <c r="U10" s="31" t="str">
        <f>Global!FP10</f>
        <v/>
      </c>
      <c r="V10" s="31" t="str">
        <f>Global!FQ10</f>
        <v/>
      </c>
      <c r="W10" s="31" t="str">
        <f>Global!FR10</f>
        <v/>
      </c>
      <c r="X10" s="31" t="str">
        <f>Global!FS10</f>
        <v/>
      </c>
      <c r="Y10" s="31" t="str">
        <f>Global!FT10</f>
        <v/>
      </c>
      <c r="Z10" s="31" t="str">
        <f>Global!FU10</f>
        <v/>
      </c>
      <c r="AA10" s="31" t="str">
        <f>Global!FV10</f>
        <v/>
      </c>
      <c r="AB10" s="31" t="str">
        <f>Global!FW10</f>
        <v/>
      </c>
      <c r="AC10" s="31" t="str">
        <f>Global!FX10</f>
        <v/>
      </c>
      <c r="AD10" s="31" t="str">
        <f>Global!FY10</f>
        <v/>
      </c>
      <c r="AE10" s="31" t="str">
        <f>Global!FZ10</f>
        <v/>
      </c>
      <c r="AF10" s="31" t="str">
        <f>Global!GA10</f>
        <v/>
      </c>
      <c r="AG10" s="31" t="str">
        <f>Global!GB10</f>
        <v/>
      </c>
      <c r="AH10" s="31" t="str">
        <f>Global!GC10</f>
        <v/>
      </c>
      <c r="AI10" s="31" t="str">
        <f>Global!GD10</f>
        <v/>
      </c>
      <c r="AJ10" s="20"/>
      <c r="AK10" s="108">
        <f>COUNTIF(Juin[[#This Row],[1]:[30]],"RTT")+(COUNTIF(Juin[[#This Row],[1]:[31]],"dRTT")/2)</f>
        <v>0</v>
      </c>
      <c r="AL10" s="109">
        <f>COUNTIF(Juin[[#This Row],[1]:[30]],"C")+(COUNTIF(Juin[[#This Row],[1]:[30]],"DC")/2)</f>
        <v>0</v>
      </c>
      <c r="AM10" s="22">
        <f>COUNTIF(Juin[[#This Row],[1]:[30]],"M")</f>
        <v>0</v>
      </c>
      <c r="AN10" s="22">
        <f>COUNTIF(Juin[[#This Row],[1]:[30]],"AT")</f>
        <v>0</v>
      </c>
      <c r="AO10" s="84">
        <f t="shared" si="0"/>
        <v>0.82191780821917804</v>
      </c>
    </row>
    <row r="11" spans="1:41" ht="30" customHeight="1" x14ac:dyDescent="0.2">
      <c r="A11" s="15" t="s">
        <v>67</v>
      </c>
      <c r="B11" s="22" t="s">
        <v>138</v>
      </c>
      <c r="C11" s="22" t="s">
        <v>139</v>
      </c>
      <c r="D11" s="22" t="s">
        <v>140</v>
      </c>
      <c r="E11" s="44">
        <v>0</v>
      </c>
      <c r="F11" s="47" t="str">
        <f>Global!FA11</f>
        <v/>
      </c>
      <c r="G11" s="31" t="str">
        <f>Global!FB11</f>
        <v/>
      </c>
      <c r="H11" s="31" t="str">
        <f>Global!FC11</f>
        <v/>
      </c>
      <c r="I11" s="31" t="str">
        <f>Global!FD11</f>
        <v/>
      </c>
      <c r="J11" s="31" t="str">
        <f>Global!FE11</f>
        <v/>
      </c>
      <c r="K11" s="31" t="str">
        <f>Global!FF11</f>
        <v/>
      </c>
      <c r="L11" s="31" t="str">
        <f>Global!FG11</f>
        <v/>
      </c>
      <c r="M11" s="31" t="str">
        <f>Global!FH11</f>
        <v/>
      </c>
      <c r="N11" s="31" t="str">
        <f>Global!FI11</f>
        <v/>
      </c>
      <c r="O11" s="31" t="str">
        <f>Global!FJ11</f>
        <v/>
      </c>
      <c r="P11" s="31" t="str">
        <f>Global!FK11</f>
        <v/>
      </c>
      <c r="Q11" s="31" t="str">
        <f>Global!FL11</f>
        <v/>
      </c>
      <c r="R11" s="31" t="str">
        <f>Global!FM11</f>
        <v/>
      </c>
      <c r="S11" s="31" t="str">
        <f>Global!FN11</f>
        <v/>
      </c>
      <c r="T11" s="31" t="str">
        <f>Global!FO11</f>
        <v/>
      </c>
      <c r="U11" s="31" t="str">
        <f>Global!FP11</f>
        <v/>
      </c>
      <c r="V11" s="31" t="str">
        <f>Global!FQ11</f>
        <v/>
      </c>
      <c r="W11" s="31" t="str">
        <f>Global!FR11</f>
        <v/>
      </c>
      <c r="X11" s="31" t="str">
        <f>Global!FS11</f>
        <v/>
      </c>
      <c r="Y11" s="31" t="str">
        <f>Global!FT11</f>
        <v/>
      </c>
      <c r="Z11" s="31" t="str">
        <f>Global!FU11</f>
        <v/>
      </c>
      <c r="AA11" s="31" t="str">
        <f>Global!FV11</f>
        <v/>
      </c>
      <c r="AB11" s="31" t="str">
        <f>Global!FW11</f>
        <v/>
      </c>
      <c r="AC11" s="31" t="str">
        <f>Global!FX11</f>
        <v/>
      </c>
      <c r="AD11" s="31" t="str">
        <f>Global!FY11</f>
        <v>C</v>
      </c>
      <c r="AE11" s="31" t="str">
        <f>Global!FZ11</f>
        <v/>
      </c>
      <c r="AF11" s="31" t="str">
        <f>Global!GA11</f>
        <v/>
      </c>
      <c r="AG11" s="31" t="str">
        <f>Global!GB11</f>
        <v/>
      </c>
      <c r="AH11" s="31" t="str">
        <f>Global!GC11</f>
        <v/>
      </c>
      <c r="AI11" s="31" t="str">
        <f>Global!GD11</f>
        <v/>
      </c>
      <c r="AJ11" s="20"/>
      <c r="AK11" s="108">
        <f>COUNTIF(Juin[[#This Row],[1]:[30]],"RTT")+(COUNTIF(Juin[[#This Row],[1]:[31]],"dRTT")/2)</f>
        <v>0</v>
      </c>
      <c r="AL11" s="109">
        <f>COUNTIF(Juin[[#This Row],[1]:[30]],"C")+(COUNTIF(Juin[[#This Row],[1]:[30]],"DC")/2)</f>
        <v>1</v>
      </c>
      <c r="AM11" s="22">
        <f>COUNTIF(Juin[[#This Row],[1]:[30]],"M")</f>
        <v>0</v>
      </c>
      <c r="AN11" s="22">
        <f>COUNTIF(Juin[[#This Row],[1]:[30]],"AT")</f>
        <v>0</v>
      </c>
      <c r="AO11" s="84">
        <f t="shared" si="0"/>
        <v>0.82191780821917804</v>
      </c>
    </row>
    <row r="12" spans="1:41" ht="30" customHeight="1" x14ac:dyDescent="0.2">
      <c r="A12" s="15" t="s">
        <v>68</v>
      </c>
      <c r="B12" s="22" t="s">
        <v>141</v>
      </c>
      <c r="C12" s="22" t="s">
        <v>142</v>
      </c>
      <c r="D12" s="22" t="s">
        <v>143</v>
      </c>
      <c r="E12" s="44">
        <v>0</v>
      </c>
      <c r="F12" s="47" t="str">
        <f>Global!FA12</f>
        <v/>
      </c>
      <c r="G12" s="31" t="str">
        <f>Global!FB12</f>
        <v/>
      </c>
      <c r="H12" s="31" t="str">
        <f>Global!FC12</f>
        <v/>
      </c>
      <c r="I12" s="31" t="str">
        <f>Global!FD12</f>
        <v/>
      </c>
      <c r="J12" s="31" t="str">
        <f>Global!FE12</f>
        <v/>
      </c>
      <c r="K12" s="31" t="str">
        <f>Global!FF12</f>
        <v/>
      </c>
      <c r="L12" s="31" t="str">
        <f>Global!FG12</f>
        <v/>
      </c>
      <c r="M12" s="31" t="str">
        <f>Global!FH12</f>
        <v/>
      </c>
      <c r="N12" s="31" t="str">
        <f>Global!FI12</f>
        <v/>
      </c>
      <c r="O12" s="31" t="str">
        <f>Global!FJ12</f>
        <v/>
      </c>
      <c r="P12" s="31" t="str">
        <f>Global!FK12</f>
        <v/>
      </c>
      <c r="Q12" s="31" t="str">
        <f>Global!FL12</f>
        <v/>
      </c>
      <c r="R12" s="31" t="str">
        <f>Global!FM12</f>
        <v/>
      </c>
      <c r="S12" s="31" t="str">
        <f>Global!FN12</f>
        <v/>
      </c>
      <c r="T12" s="31" t="str">
        <f>Global!FO12</f>
        <v/>
      </c>
      <c r="U12" s="31" t="str">
        <f>Global!FP12</f>
        <v/>
      </c>
      <c r="V12" s="31" t="str">
        <f>Global!FQ12</f>
        <v/>
      </c>
      <c r="W12" s="31" t="str">
        <f>Global!FR12</f>
        <v/>
      </c>
      <c r="X12" s="31" t="str">
        <f>Global!FS12</f>
        <v/>
      </c>
      <c r="Y12" s="31" t="str">
        <f>Global!FT12</f>
        <v/>
      </c>
      <c r="Z12" s="31" t="str">
        <f>Global!FU12</f>
        <v/>
      </c>
      <c r="AA12" s="31" t="str">
        <f>Global!FV12</f>
        <v/>
      </c>
      <c r="AB12" s="31" t="str">
        <f>Global!FW12</f>
        <v/>
      </c>
      <c r="AC12" s="31" t="str">
        <f>Global!FX12</f>
        <v/>
      </c>
      <c r="AD12" s="31" t="str">
        <f>Global!FY12</f>
        <v/>
      </c>
      <c r="AE12" s="31" t="str">
        <f>Global!FZ12</f>
        <v/>
      </c>
      <c r="AF12" s="31" t="str">
        <f>Global!GA12</f>
        <v/>
      </c>
      <c r="AG12" s="31" t="str">
        <f>Global!GB12</f>
        <v/>
      </c>
      <c r="AH12" s="31" t="str">
        <f>Global!GC12</f>
        <v/>
      </c>
      <c r="AI12" s="31" t="str">
        <f>Global!GD12</f>
        <v/>
      </c>
      <c r="AJ12" s="32"/>
      <c r="AK12" s="108">
        <f>COUNTIF(Juin[[#This Row],[1]:[30]],"RTT")+(COUNTIF(Juin[[#This Row],[1]:[31]],"dRTT")/2)</f>
        <v>0</v>
      </c>
      <c r="AL12" s="109">
        <f>COUNTIF(Juin[[#This Row],[1]:[30]],"C")+(COUNTIF(Juin[[#This Row],[1]:[30]],"DC")/2)</f>
        <v>0</v>
      </c>
      <c r="AM12" s="22">
        <f>COUNTIF(Juin[[#This Row],[1]:[30]],"M")</f>
        <v>0</v>
      </c>
      <c r="AN12" s="22">
        <f>COUNTIF(Juin[[#This Row],[1]:[30]],"AT")</f>
        <v>0</v>
      </c>
      <c r="AO12" s="84">
        <f t="shared" si="0"/>
        <v>0.82191780821917804</v>
      </c>
    </row>
    <row r="13" spans="1:41" ht="30" customHeight="1" x14ac:dyDescent="0.2">
      <c r="A13" s="13" t="s">
        <v>69</v>
      </c>
      <c r="B13" s="22" t="s">
        <v>144</v>
      </c>
      <c r="C13" s="22" t="s">
        <v>145</v>
      </c>
      <c r="D13" s="22" t="s">
        <v>146</v>
      </c>
      <c r="E13" s="44">
        <v>0</v>
      </c>
      <c r="F13" s="47" t="str">
        <f>Global!FA13</f>
        <v/>
      </c>
      <c r="G13" s="31" t="str">
        <f>Global!FB13</f>
        <v/>
      </c>
      <c r="H13" s="31" t="str">
        <f>Global!FC13</f>
        <v/>
      </c>
      <c r="I13" s="31" t="str">
        <f>Global!FD13</f>
        <v/>
      </c>
      <c r="J13" s="31" t="str">
        <f>Global!FE13</f>
        <v/>
      </c>
      <c r="K13" s="31" t="str">
        <f>Global!FF13</f>
        <v/>
      </c>
      <c r="L13" s="31" t="str">
        <f>Global!FG13</f>
        <v/>
      </c>
      <c r="M13" s="31" t="str">
        <f>Global!FH13</f>
        <v/>
      </c>
      <c r="N13" s="31" t="str">
        <f>Global!FI13</f>
        <v/>
      </c>
      <c r="O13" s="31" t="str">
        <f>Global!FJ13</f>
        <v/>
      </c>
      <c r="P13" s="31" t="str">
        <f>Global!FK13</f>
        <v/>
      </c>
      <c r="Q13" s="31" t="str">
        <f>Global!FL13</f>
        <v/>
      </c>
      <c r="R13" s="31" t="str">
        <f>Global!FM13</f>
        <v/>
      </c>
      <c r="S13" s="31" t="str">
        <f>Global!FN13</f>
        <v/>
      </c>
      <c r="T13" s="31" t="str">
        <f>Global!FO13</f>
        <v/>
      </c>
      <c r="U13" s="31" t="str">
        <f>Global!FP13</f>
        <v/>
      </c>
      <c r="V13" s="31" t="str">
        <f>Global!FQ13</f>
        <v/>
      </c>
      <c r="W13" s="31" t="str">
        <f>Global!FR13</f>
        <v/>
      </c>
      <c r="X13" s="31" t="str">
        <f>Global!FS13</f>
        <v/>
      </c>
      <c r="Y13" s="31" t="str">
        <f>Global!FT13</f>
        <v/>
      </c>
      <c r="Z13" s="31" t="str">
        <f>Global!FU13</f>
        <v/>
      </c>
      <c r="AA13" s="31" t="str">
        <f>Global!FV13</f>
        <v/>
      </c>
      <c r="AB13" s="31" t="str">
        <f>Global!FW13</f>
        <v/>
      </c>
      <c r="AC13" s="31" t="str">
        <f>Global!FX13</f>
        <v/>
      </c>
      <c r="AD13" s="31" t="str">
        <f>Global!FY13</f>
        <v/>
      </c>
      <c r="AE13" s="31" t="str">
        <f>Global!FZ13</f>
        <v/>
      </c>
      <c r="AF13" s="31" t="str">
        <f>Global!GA13</f>
        <v/>
      </c>
      <c r="AG13" s="31" t="str">
        <f>Global!GB13</f>
        <v/>
      </c>
      <c r="AH13" s="31" t="str">
        <f>Global!GC13</f>
        <v/>
      </c>
      <c r="AI13" s="31" t="str">
        <f>Global!GD13</f>
        <v/>
      </c>
      <c r="AJ13" s="32"/>
      <c r="AK13" s="108">
        <f>COUNTIF(Juin[[#This Row],[1]:[30]],"RTT")+(COUNTIF(Juin[[#This Row],[1]:[31]],"dRTT")/2)</f>
        <v>0</v>
      </c>
      <c r="AL13" s="109">
        <f>COUNTIF(Juin[[#This Row],[1]:[30]],"C")+(COUNTIF(Juin[[#This Row],[1]:[30]],"DC")/2)</f>
        <v>0</v>
      </c>
      <c r="AM13" s="22">
        <f>COUNTIF(Juin[[#This Row],[1]:[30]],"M")</f>
        <v>0</v>
      </c>
      <c r="AN13" s="22">
        <f>COUNTIF(Juin[[#This Row],[1]:[30]],"AT")</f>
        <v>0</v>
      </c>
      <c r="AO13" s="84">
        <f t="shared" si="0"/>
        <v>0.82191780821917804</v>
      </c>
    </row>
    <row r="14" spans="1:41" ht="30" customHeight="1" x14ac:dyDescent="0.2">
      <c r="A14" s="15" t="s">
        <v>70</v>
      </c>
      <c r="B14" s="22" t="s">
        <v>147</v>
      </c>
      <c r="C14" s="22" t="s">
        <v>148</v>
      </c>
      <c r="D14" s="22" t="s">
        <v>149</v>
      </c>
      <c r="E14" s="44">
        <v>0</v>
      </c>
      <c r="F14" s="47" t="str">
        <f>Global!FA14</f>
        <v>M</v>
      </c>
      <c r="G14" s="31" t="str">
        <f>Global!FB14</f>
        <v>M</v>
      </c>
      <c r="H14" s="31" t="str">
        <f>Global!FC14</f>
        <v>M</v>
      </c>
      <c r="I14" s="31" t="str">
        <f>Global!FD14</f>
        <v>M</v>
      </c>
      <c r="J14" s="31" t="str">
        <f>Global!FE14</f>
        <v/>
      </c>
      <c r="K14" s="31" t="str">
        <f>Global!FF14</f>
        <v/>
      </c>
      <c r="L14" s="31" t="str">
        <f>Global!FG14</f>
        <v/>
      </c>
      <c r="M14" s="31" t="str">
        <f>Global!FH14</f>
        <v/>
      </c>
      <c r="N14" s="31" t="str">
        <f>Global!FI14</f>
        <v/>
      </c>
      <c r="O14" s="31" t="str">
        <f>Global!FJ14</f>
        <v/>
      </c>
      <c r="P14" s="31" t="str">
        <f>Global!FK14</f>
        <v/>
      </c>
      <c r="Q14" s="31" t="str">
        <f>Global!FL14</f>
        <v/>
      </c>
      <c r="R14" s="31" t="str">
        <f>Global!FM14</f>
        <v/>
      </c>
      <c r="S14" s="31" t="str">
        <f>Global!FN14</f>
        <v/>
      </c>
      <c r="T14" s="31" t="str">
        <f>Global!FO14</f>
        <v/>
      </c>
      <c r="U14" s="31" t="str">
        <f>Global!FP14</f>
        <v/>
      </c>
      <c r="V14" s="31" t="str">
        <f>Global!FQ14</f>
        <v/>
      </c>
      <c r="W14" s="31" t="str">
        <f>Global!FR14</f>
        <v/>
      </c>
      <c r="X14" s="31" t="str">
        <f>Global!FS14</f>
        <v/>
      </c>
      <c r="Y14" s="31" t="str">
        <f>Global!FT14</f>
        <v/>
      </c>
      <c r="Z14" s="31" t="str">
        <f>Global!FU14</f>
        <v/>
      </c>
      <c r="AA14" s="31" t="str">
        <f>Global!FV14</f>
        <v/>
      </c>
      <c r="AB14" s="31" t="str">
        <f>Global!FW14</f>
        <v/>
      </c>
      <c r="AC14" s="31" t="str">
        <f>Global!FX14</f>
        <v/>
      </c>
      <c r="AD14" s="31" t="str">
        <f>Global!FY14</f>
        <v/>
      </c>
      <c r="AE14" s="31" t="str">
        <f>Global!FZ14</f>
        <v/>
      </c>
      <c r="AF14" s="31" t="str">
        <f>Global!GA14</f>
        <v/>
      </c>
      <c r="AG14" s="31" t="str">
        <f>Global!GB14</f>
        <v/>
      </c>
      <c r="AH14" s="31" t="str">
        <f>Global!GC14</f>
        <v/>
      </c>
      <c r="AI14" s="31" t="str">
        <f>Global!GD14</f>
        <v/>
      </c>
      <c r="AJ14" s="20"/>
      <c r="AK14" s="108">
        <f>COUNTIF(Juin[[#This Row],[1]:[30]],"RTT")+(COUNTIF(Juin[[#This Row],[1]:[31]],"dRTT")/2)</f>
        <v>0</v>
      </c>
      <c r="AL14" s="109">
        <f>COUNTIF(Juin[[#This Row],[1]:[30]],"C")+(COUNTIF(Juin[[#This Row],[1]:[30]],"DC")/2)</f>
        <v>0</v>
      </c>
      <c r="AM14" s="22">
        <f>COUNTIF(Juin[[#This Row],[1]:[30]],"M")</f>
        <v>4</v>
      </c>
      <c r="AN14" s="22">
        <f>COUNTIF(Juin[[#This Row],[1]:[30]],"AT")</f>
        <v>0</v>
      </c>
      <c r="AO14" s="84">
        <f t="shared" si="0"/>
        <v>0.71232876712328763</v>
      </c>
    </row>
    <row r="15" spans="1:41" ht="30" customHeight="1" x14ac:dyDescent="0.2">
      <c r="A15" s="15" t="s">
        <v>71</v>
      </c>
      <c r="B15" s="22" t="s">
        <v>150</v>
      </c>
      <c r="C15" s="22" t="s">
        <v>151</v>
      </c>
      <c r="D15" s="22" t="s">
        <v>152</v>
      </c>
      <c r="E15" s="44">
        <v>0</v>
      </c>
      <c r="F15" s="47" t="str">
        <f>Global!FA15</f>
        <v/>
      </c>
      <c r="G15" s="31" t="str">
        <f>Global!FB15</f>
        <v/>
      </c>
      <c r="H15" s="31" t="str">
        <f>Global!FC15</f>
        <v/>
      </c>
      <c r="I15" s="31" t="str">
        <f>Global!FD15</f>
        <v/>
      </c>
      <c r="J15" s="31" t="str">
        <f>Global!FE15</f>
        <v/>
      </c>
      <c r="K15" s="31" t="str">
        <f>Global!FF15</f>
        <v/>
      </c>
      <c r="L15" s="31" t="str">
        <f>Global!FG15</f>
        <v/>
      </c>
      <c r="M15" s="31" t="str">
        <f>Global!FH15</f>
        <v/>
      </c>
      <c r="N15" s="31" t="str">
        <f>Global!FI15</f>
        <v/>
      </c>
      <c r="O15" s="31" t="str">
        <f>Global!FJ15</f>
        <v/>
      </c>
      <c r="P15" s="31" t="str">
        <f>Global!FK15</f>
        <v/>
      </c>
      <c r="Q15" s="31" t="str">
        <f>Global!FL15</f>
        <v/>
      </c>
      <c r="R15" s="31" t="str">
        <f>Global!FM15</f>
        <v/>
      </c>
      <c r="S15" s="31" t="str">
        <f>Global!FN15</f>
        <v/>
      </c>
      <c r="T15" s="31" t="str">
        <f>Global!FO15</f>
        <v/>
      </c>
      <c r="U15" s="31" t="str">
        <f>Global!FP15</f>
        <v/>
      </c>
      <c r="V15" s="31" t="str">
        <f>Global!FQ15</f>
        <v/>
      </c>
      <c r="W15" s="31" t="str">
        <f>Global!FR15</f>
        <v/>
      </c>
      <c r="X15" s="31" t="str">
        <f>Global!FS15</f>
        <v/>
      </c>
      <c r="Y15" s="31" t="str">
        <f>Global!FT15</f>
        <v/>
      </c>
      <c r="Z15" s="31" t="str">
        <f>Global!FU15</f>
        <v/>
      </c>
      <c r="AA15" s="31" t="str">
        <f>Global!FV15</f>
        <v/>
      </c>
      <c r="AB15" s="31" t="str">
        <f>Global!FW15</f>
        <v/>
      </c>
      <c r="AC15" s="31" t="str">
        <f>Global!FX15</f>
        <v/>
      </c>
      <c r="AD15" s="31" t="str">
        <f>Global!FY15</f>
        <v/>
      </c>
      <c r="AE15" s="31" t="str">
        <f>Global!FZ15</f>
        <v/>
      </c>
      <c r="AF15" s="31" t="str">
        <f>Global!GA15</f>
        <v/>
      </c>
      <c r="AG15" s="31" t="str">
        <f>Global!GB15</f>
        <v/>
      </c>
      <c r="AH15" s="31" t="str">
        <f>Global!GC15</f>
        <v/>
      </c>
      <c r="AI15" s="31" t="str">
        <f>Global!GD15</f>
        <v/>
      </c>
      <c r="AJ15" s="21"/>
      <c r="AK15" s="108">
        <f>COUNTIF(Juin[[#This Row],[1]:[30]],"RTT")+(COUNTIF(Juin[[#This Row],[1]:[31]],"dRTT")/2)</f>
        <v>0</v>
      </c>
      <c r="AL15" s="109">
        <f>COUNTIF(Juin[[#This Row],[1]:[30]],"C")+(COUNTIF(Juin[[#This Row],[1]:[30]],"DC")/2)</f>
        <v>0</v>
      </c>
      <c r="AM15" s="22">
        <f>COUNTIF(Juin[[#This Row],[1]:[30]],"M")</f>
        <v>0</v>
      </c>
      <c r="AN15" s="22">
        <f>COUNTIF(Juin[[#This Row],[1]:[30]],"AT")</f>
        <v>0</v>
      </c>
      <c r="AO15" s="84">
        <f t="shared" si="0"/>
        <v>0.82191780821917804</v>
      </c>
    </row>
    <row r="16" spans="1:41" ht="30" customHeight="1" x14ac:dyDescent="0.2">
      <c r="A16" s="15" t="s">
        <v>72</v>
      </c>
      <c r="B16" s="22" t="s">
        <v>153</v>
      </c>
      <c r="C16" s="22" t="s">
        <v>154</v>
      </c>
      <c r="D16" s="22" t="s">
        <v>155</v>
      </c>
      <c r="E16" s="44">
        <v>0</v>
      </c>
      <c r="F16" s="47" t="str">
        <f>Global!FA16</f>
        <v/>
      </c>
      <c r="G16" s="31" t="str">
        <f>Global!FB16</f>
        <v/>
      </c>
      <c r="H16" s="31" t="str">
        <f>Global!FC16</f>
        <v/>
      </c>
      <c r="I16" s="31" t="str">
        <f>Global!FD16</f>
        <v/>
      </c>
      <c r="J16" s="31" t="str">
        <f>Global!FE16</f>
        <v/>
      </c>
      <c r="K16" s="31" t="str">
        <f>Global!FF16</f>
        <v/>
      </c>
      <c r="L16" s="31" t="str">
        <f>Global!FG16</f>
        <v/>
      </c>
      <c r="M16" s="31" t="str">
        <f>Global!FH16</f>
        <v/>
      </c>
      <c r="N16" s="31" t="str">
        <f>Global!FI16</f>
        <v/>
      </c>
      <c r="O16" s="31" t="str">
        <f>Global!FJ16</f>
        <v/>
      </c>
      <c r="P16" s="31" t="str">
        <f>Global!FK16</f>
        <v/>
      </c>
      <c r="Q16" s="31" t="str">
        <f>Global!FL16</f>
        <v/>
      </c>
      <c r="R16" s="31" t="str">
        <f>Global!FM16</f>
        <v/>
      </c>
      <c r="S16" s="31" t="str">
        <f>Global!FN16</f>
        <v/>
      </c>
      <c r="T16" s="31" t="str">
        <f>Global!FO16</f>
        <v/>
      </c>
      <c r="U16" s="31" t="str">
        <f>Global!FP16</f>
        <v/>
      </c>
      <c r="V16" s="31" t="str">
        <f>Global!FQ16</f>
        <v/>
      </c>
      <c r="W16" s="31" t="str">
        <f>Global!FR16</f>
        <v/>
      </c>
      <c r="X16" s="31" t="str">
        <f>Global!FS16</f>
        <v/>
      </c>
      <c r="Y16" s="31" t="str">
        <f>Global!FT16</f>
        <v>dRTT</v>
      </c>
      <c r="Z16" s="31" t="str">
        <f>Global!FU16</f>
        <v/>
      </c>
      <c r="AA16" s="31" t="str">
        <f>Global!FV16</f>
        <v/>
      </c>
      <c r="AB16" s="31" t="str">
        <f>Global!FW16</f>
        <v/>
      </c>
      <c r="AC16" s="31" t="str">
        <f>Global!FX16</f>
        <v/>
      </c>
      <c r="AD16" s="31" t="str">
        <f>Global!FY16</f>
        <v>RTT</v>
      </c>
      <c r="AE16" s="31" t="str">
        <f>Global!FZ16</f>
        <v>C</v>
      </c>
      <c r="AF16" s="31" t="str">
        <f>Global!GA16</f>
        <v/>
      </c>
      <c r="AG16" s="31" t="str">
        <f>Global!GB16</f>
        <v/>
      </c>
      <c r="AH16" s="31" t="str">
        <f>Global!GC16</f>
        <v/>
      </c>
      <c r="AI16" s="31" t="str">
        <f>Global!GD16</f>
        <v/>
      </c>
      <c r="AJ16" s="19"/>
      <c r="AK16" s="108">
        <f>COUNTIF(Juin[[#This Row],[1]:[30]],"RTT")+(COUNTIF(Juin[[#This Row],[1]:[31]],"dRTT")/2)</f>
        <v>1.5</v>
      </c>
      <c r="AL16" s="109">
        <f>COUNTIF(Juin[[#This Row],[1]:[30]],"C")+(COUNTIF(Juin[[#This Row],[1]:[30]],"DC")/2)</f>
        <v>1</v>
      </c>
      <c r="AM16" s="22">
        <f>COUNTIF(Juin[[#This Row],[1]:[30]],"M")</f>
        <v>0</v>
      </c>
      <c r="AN16" s="22">
        <f>COUNTIF(Juin[[#This Row],[1]:[30]],"AT")</f>
        <v>0</v>
      </c>
      <c r="AO16" s="84">
        <f t="shared" si="0"/>
        <v>0.82191780821917804</v>
      </c>
    </row>
    <row r="17" spans="1:41" ht="30" customHeight="1" x14ac:dyDescent="0.2">
      <c r="A17" s="15" t="s">
        <v>73</v>
      </c>
      <c r="B17" s="22" t="s">
        <v>156</v>
      </c>
      <c r="C17" s="22" t="s">
        <v>157</v>
      </c>
      <c r="D17" s="22" t="s">
        <v>158</v>
      </c>
      <c r="E17" s="44">
        <v>0</v>
      </c>
      <c r="F17" s="47" t="str">
        <f>Global!FA17</f>
        <v/>
      </c>
      <c r="G17" s="31" t="str">
        <f>Global!FB17</f>
        <v/>
      </c>
      <c r="H17" s="31" t="str">
        <f>Global!FC17</f>
        <v/>
      </c>
      <c r="I17" s="31" t="str">
        <f>Global!FD17</f>
        <v/>
      </c>
      <c r="J17" s="31" t="str">
        <f>Global!FE17</f>
        <v/>
      </c>
      <c r="K17" s="31" t="str">
        <f>Global!FF17</f>
        <v/>
      </c>
      <c r="L17" s="31" t="str">
        <f>Global!FG17</f>
        <v/>
      </c>
      <c r="M17" s="31" t="str">
        <f>Global!FH17</f>
        <v/>
      </c>
      <c r="N17" s="31" t="str">
        <f>Global!FI17</f>
        <v/>
      </c>
      <c r="O17" s="31" t="str">
        <f>Global!FJ17</f>
        <v/>
      </c>
      <c r="P17" s="31" t="str">
        <f>Global!FK17</f>
        <v>C</v>
      </c>
      <c r="Q17" s="31" t="str">
        <f>Global!FL17</f>
        <v>C</v>
      </c>
      <c r="R17" s="31" t="str">
        <f>Global!FM17</f>
        <v>C</v>
      </c>
      <c r="S17" s="31" t="str">
        <f>Global!FN17</f>
        <v>C</v>
      </c>
      <c r="T17" s="31" t="str">
        <f>Global!FO17</f>
        <v>C</v>
      </c>
      <c r="U17" s="31" t="str">
        <f>Global!FP17</f>
        <v/>
      </c>
      <c r="V17" s="31" t="str">
        <f>Global!FQ17</f>
        <v/>
      </c>
      <c r="W17" s="31" t="str">
        <f>Global!FR17</f>
        <v>C</v>
      </c>
      <c r="X17" s="31" t="str">
        <f>Global!FS17</f>
        <v>C</v>
      </c>
      <c r="Y17" s="31" t="str">
        <f>Global!FT17</f>
        <v>C</v>
      </c>
      <c r="Z17" s="31" t="str">
        <f>Global!FU17</f>
        <v>C</v>
      </c>
      <c r="AA17" s="31" t="str">
        <f>Global!FV17</f>
        <v>C</v>
      </c>
      <c r="AB17" s="31" t="str">
        <f>Global!FW17</f>
        <v/>
      </c>
      <c r="AC17" s="31" t="str">
        <f>Global!FX17</f>
        <v/>
      </c>
      <c r="AD17" s="31" t="str">
        <f>Global!FY17</f>
        <v/>
      </c>
      <c r="AE17" s="31" t="str">
        <f>Global!FZ17</f>
        <v/>
      </c>
      <c r="AF17" s="31" t="str">
        <f>Global!GA17</f>
        <v/>
      </c>
      <c r="AG17" s="31" t="str">
        <f>Global!GB17</f>
        <v/>
      </c>
      <c r="AH17" s="31" t="str">
        <f>Global!GC17</f>
        <v/>
      </c>
      <c r="AI17" s="31" t="str">
        <f>Global!GD17</f>
        <v/>
      </c>
      <c r="AJ17" s="19"/>
      <c r="AK17" s="108">
        <f>COUNTIF(Juin[[#This Row],[1]:[30]],"RTT")+(COUNTIF(Juin[[#This Row],[1]:[31]],"dRTT")/2)</f>
        <v>0</v>
      </c>
      <c r="AL17" s="109">
        <f>COUNTIF(Juin[[#This Row],[1]:[30]],"C")+(COUNTIF(Juin[[#This Row],[1]:[30]],"DC")/2)</f>
        <v>10</v>
      </c>
      <c r="AM17" s="22">
        <f>COUNTIF(Juin[[#This Row],[1]:[30]],"M")</f>
        <v>0</v>
      </c>
      <c r="AN17" s="22">
        <f>COUNTIF(Juin[[#This Row],[1]:[30]],"AT")</f>
        <v>0</v>
      </c>
      <c r="AO17" s="84">
        <f t="shared" si="0"/>
        <v>0.82191780821917804</v>
      </c>
    </row>
    <row r="18" spans="1:41" ht="30" customHeight="1" x14ac:dyDescent="0.2">
      <c r="A18" s="15" t="s">
        <v>74</v>
      </c>
      <c r="B18" s="22" t="s">
        <v>159</v>
      </c>
      <c r="C18" s="22" t="s">
        <v>160</v>
      </c>
      <c r="D18" s="22" t="s">
        <v>161</v>
      </c>
      <c r="E18" s="44" t="s">
        <v>162</v>
      </c>
      <c r="F18" s="47" t="str">
        <f>Global!FA18</f>
        <v/>
      </c>
      <c r="G18" s="31" t="str">
        <f>Global!FB18</f>
        <v/>
      </c>
      <c r="H18" s="31" t="str">
        <f>Global!FC18</f>
        <v/>
      </c>
      <c r="I18" s="31" t="str">
        <f>Global!FD18</f>
        <v/>
      </c>
      <c r="J18" s="31" t="str">
        <f>Global!FE18</f>
        <v/>
      </c>
      <c r="K18" s="31" t="str">
        <f>Global!FF18</f>
        <v/>
      </c>
      <c r="L18" s="31" t="str">
        <f>Global!FG18</f>
        <v/>
      </c>
      <c r="M18" s="31" t="str">
        <f>Global!FH18</f>
        <v/>
      </c>
      <c r="N18" s="31" t="str">
        <f>Global!FI18</f>
        <v/>
      </c>
      <c r="O18" s="31" t="str">
        <f>Global!FJ18</f>
        <v/>
      </c>
      <c r="P18" s="31" t="str">
        <f>Global!FK18</f>
        <v/>
      </c>
      <c r="Q18" s="31" t="str">
        <f>Global!FL18</f>
        <v/>
      </c>
      <c r="R18" s="31" t="str">
        <f>Global!FM18</f>
        <v/>
      </c>
      <c r="S18" s="31" t="str">
        <f>Global!FN18</f>
        <v/>
      </c>
      <c r="T18" s="31" t="str">
        <f>Global!FO18</f>
        <v/>
      </c>
      <c r="U18" s="31" t="str">
        <f>Global!FP18</f>
        <v/>
      </c>
      <c r="V18" s="31" t="str">
        <f>Global!FQ18</f>
        <v/>
      </c>
      <c r="W18" s="31" t="str">
        <f>Global!FR18</f>
        <v/>
      </c>
      <c r="X18" s="31" t="str">
        <f>Global!FS18</f>
        <v/>
      </c>
      <c r="Y18" s="31" t="str">
        <f>Global!FT18</f>
        <v/>
      </c>
      <c r="Z18" s="31" t="str">
        <f>Global!FU18</f>
        <v/>
      </c>
      <c r="AA18" s="31" t="str">
        <f>Global!FV18</f>
        <v/>
      </c>
      <c r="AB18" s="31" t="str">
        <f>Global!FW18</f>
        <v/>
      </c>
      <c r="AC18" s="31" t="str">
        <f>Global!FX18</f>
        <v/>
      </c>
      <c r="AD18" s="31" t="str">
        <f>Global!FY18</f>
        <v/>
      </c>
      <c r="AE18" s="31" t="str">
        <f>Global!FZ18</f>
        <v/>
      </c>
      <c r="AF18" s="31" t="str">
        <f>Global!GA18</f>
        <v/>
      </c>
      <c r="AG18" s="31" t="str">
        <f>Global!GB18</f>
        <v/>
      </c>
      <c r="AH18" s="31" t="str">
        <f>Global!GC18</f>
        <v/>
      </c>
      <c r="AI18" s="31" t="str">
        <f>Global!GD18</f>
        <v/>
      </c>
      <c r="AJ18" s="19"/>
      <c r="AK18" s="108">
        <f>COUNTIF(Juin[[#This Row],[1]:[30]],"RTT")+(COUNTIF(Juin[[#This Row],[1]:[31]],"dRTT")/2)</f>
        <v>0</v>
      </c>
      <c r="AL18" s="109">
        <f>COUNTIF(Juin[[#This Row],[1]:[30]],"C")+(COUNTIF(Juin[[#This Row],[1]:[30]],"DC")/2)</f>
        <v>0</v>
      </c>
      <c r="AM18" s="22">
        <f>COUNTIF(Juin[[#This Row],[1]:[30]],"M")</f>
        <v>0</v>
      </c>
      <c r="AN18" s="22">
        <f>COUNTIF(Juin[[#This Row],[1]:[30]],"AT")</f>
        <v>0</v>
      </c>
      <c r="AO18" s="84">
        <f t="shared" si="0"/>
        <v>0.82191780821917804</v>
      </c>
    </row>
    <row r="19" spans="1:41" ht="30" customHeight="1" x14ac:dyDescent="0.2">
      <c r="A19" s="15" t="s">
        <v>75</v>
      </c>
      <c r="B19" s="22" t="s">
        <v>163</v>
      </c>
      <c r="C19" s="22" t="s">
        <v>164</v>
      </c>
      <c r="D19" s="22" t="s">
        <v>165</v>
      </c>
      <c r="E19" s="44">
        <v>0</v>
      </c>
      <c r="F19" s="47" t="str">
        <f>Global!FA19</f>
        <v/>
      </c>
      <c r="G19" s="31" t="str">
        <f>Global!FB19</f>
        <v/>
      </c>
      <c r="H19" s="31" t="str">
        <f>Global!FC19</f>
        <v/>
      </c>
      <c r="I19" s="31" t="str">
        <f>Global!FD19</f>
        <v>C</v>
      </c>
      <c r="J19" s="31" t="str">
        <f>Global!FE19</f>
        <v>C</v>
      </c>
      <c r="K19" s="31" t="str">
        <f>Global!FF19</f>
        <v>C</v>
      </c>
      <c r="L19" s="31" t="str">
        <f>Global!FG19</f>
        <v>C</v>
      </c>
      <c r="M19" s="31" t="str">
        <f>Global!FH19</f>
        <v>C</v>
      </c>
      <c r="N19" s="31" t="str">
        <f>Global!FI19</f>
        <v/>
      </c>
      <c r="O19" s="31" t="str">
        <f>Global!FJ19</f>
        <v/>
      </c>
      <c r="P19" s="31" t="str">
        <f>Global!FK19</f>
        <v>C</v>
      </c>
      <c r="Q19" s="31" t="str">
        <f>Global!FL19</f>
        <v>C</v>
      </c>
      <c r="R19" s="31" t="str">
        <f>Global!FM19</f>
        <v>C</v>
      </c>
      <c r="S19" s="31" t="str">
        <f>Global!FN19</f>
        <v>C</v>
      </c>
      <c r="T19" s="31" t="str">
        <f>Global!FO19</f>
        <v>C</v>
      </c>
      <c r="U19" s="31" t="str">
        <f>Global!FP19</f>
        <v/>
      </c>
      <c r="V19" s="31" t="str">
        <f>Global!FQ19</f>
        <v/>
      </c>
      <c r="W19" s="31" t="str">
        <f>Global!FR19</f>
        <v/>
      </c>
      <c r="X19" s="31" t="str">
        <f>Global!FS19</f>
        <v/>
      </c>
      <c r="Y19" s="31" t="str">
        <f>Global!FT19</f>
        <v/>
      </c>
      <c r="Z19" s="31" t="str">
        <f>Global!FU19</f>
        <v/>
      </c>
      <c r="AA19" s="31" t="str">
        <f>Global!FV19</f>
        <v/>
      </c>
      <c r="AB19" s="31" t="str">
        <f>Global!FW19</f>
        <v/>
      </c>
      <c r="AC19" s="31" t="str">
        <f>Global!FX19</f>
        <v/>
      </c>
      <c r="AD19" s="31" t="str">
        <f>Global!FY19</f>
        <v/>
      </c>
      <c r="AE19" s="31" t="str">
        <f>Global!FZ19</f>
        <v/>
      </c>
      <c r="AF19" s="31" t="str">
        <f>Global!GA19</f>
        <v/>
      </c>
      <c r="AG19" s="31" t="str">
        <f>Global!GB19</f>
        <v/>
      </c>
      <c r="AH19" s="31" t="str">
        <f>Global!GC19</f>
        <v/>
      </c>
      <c r="AI19" s="31" t="str">
        <f>Global!GD19</f>
        <v/>
      </c>
      <c r="AJ19" s="19"/>
      <c r="AK19" s="108">
        <f>COUNTIF(Juin[[#This Row],[1]:[30]],"RTT")+(COUNTIF(Juin[[#This Row],[1]:[31]],"dRTT")/2)</f>
        <v>0</v>
      </c>
      <c r="AL19" s="109">
        <f>COUNTIF(Juin[[#This Row],[1]:[30]],"C")+(COUNTIF(Juin[[#This Row],[1]:[30]],"DC")/2)</f>
        <v>10</v>
      </c>
      <c r="AM19" s="22">
        <f>COUNTIF(Juin[[#This Row],[1]:[30]],"M")</f>
        <v>0</v>
      </c>
      <c r="AN19" s="22">
        <f>COUNTIF(Juin[[#This Row],[1]:[30]],"AT")</f>
        <v>0</v>
      </c>
      <c r="AO19" s="84">
        <f t="shared" si="0"/>
        <v>0.82191780821917804</v>
      </c>
    </row>
    <row r="20" spans="1:41" ht="30" customHeight="1" x14ac:dyDescent="0.2">
      <c r="A20" s="15" t="s">
        <v>76</v>
      </c>
      <c r="B20" s="22" t="s">
        <v>166</v>
      </c>
      <c r="C20" s="22" t="s">
        <v>151</v>
      </c>
      <c r="D20" s="22" t="s">
        <v>167</v>
      </c>
      <c r="E20" s="44">
        <v>0</v>
      </c>
      <c r="F20" s="47" t="str">
        <f>Global!FA20</f>
        <v/>
      </c>
      <c r="G20" s="31" t="str">
        <f>Global!FB20</f>
        <v/>
      </c>
      <c r="H20" s="31" t="str">
        <f>Global!FC20</f>
        <v/>
      </c>
      <c r="I20" s="31" t="str">
        <f>Global!FD20</f>
        <v/>
      </c>
      <c r="J20" s="31" t="str">
        <f>Global!FE20</f>
        <v/>
      </c>
      <c r="K20" s="31" t="str">
        <f>Global!FF20</f>
        <v/>
      </c>
      <c r="L20" s="31" t="str">
        <f>Global!FG20</f>
        <v/>
      </c>
      <c r="M20" s="31" t="str">
        <f>Global!FH20</f>
        <v/>
      </c>
      <c r="N20" s="31" t="str">
        <f>Global!FI20</f>
        <v/>
      </c>
      <c r="O20" s="31" t="str">
        <f>Global!FJ20</f>
        <v/>
      </c>
      <c r="P20" s="31" t="str">
        <f>Global!FK20</f>
        <v/>
      </c>
      <c r="Q20" s="31" t="str">
        <f>Global!FL20</f>
        <v/>
      </c>
      <c r="R20" s="31" t="str">
        <f>Global!FM20</f>
        <v/>
      </c>
      <c r="S20" s="31" t="str">
        <f>Global!FN20</f>
        <v/>
      </c>
      <c r="T20" s="31" t="str">
        <f>Global!FO20</f>
        <v/>
      </c>
      <c r="U20" s="31" t="str">
        <f>Global!FP20</f>
        <v/>
      </c>
      <c r="V20" s="31" t="str">
        <f>Global!FQ20</f>
        <v/>
      </c>
      <c r="W20" s="31" t="str">
        <f>Global!FR20</f>
        <v>C</v>
      </c>
      <c r="X20" s="31" t="str">
        <f>Global!FS20</f>
        <v>C</v>
      </c>
      <c r="Y20" s="31" t="str">
        <f>Global!FT20</f>
        <v>C</v>
      </c>
      <c r="Z20" s="31" t="str">
        <f>Global!FU20</f>
        <v>C</v>
      </c>
      <c r="AA20" s="31" t="str">
        <f>Global!FV20</f>
        <v>C</v>
      </c>
      <c r="AB20" s="31" t="str">
        <f>Global!FW20</f>
        <v/>
      </c>
      <c r="AC20" s="31" t="str">
        <f>Global!FX20</f>
        <v/>
      </c>
      <c r="AD20" s="31" t="str">
        <f>Global!FY20</f>
        <v>C</v>
      </c>
      <c r="AE20" s="31" t="str">
        <f>Global!FZ20</f>
        <v>C</v>
      </c>
      <c r="AF20" s="31" t="str">
        <f>Global!GA20</f>
        <v>C</v>
      </c>
      <c r="AG20" s="31" t="str">
        <f>Global!GB20</f>
        <v>C</v>
      </c>
      <c r="AH20" s="31" t="str">
        <f>Global!GC20</f>
        <v>C</v>
      </c>
      <c r="AI20" s="31" t="str">
        <f>Global!GD20</f>
        <v/>
      </c>
      <c r="AJ20" s="19"/>
      <c r="AK20" s="108">
        <f>COUNTIF(Juin[[#This Row],[1]:[30]],"RTT")+(COUNTIF(Juin[[#This Row],[1]:[31]],"dRTT")/2)</f>
        <v>0</v>
      </c>
      <c r="AL20" s="109">
        <f>COUNTIF(Juin[[#This Row],[1]:[30]],"C")+(COUNTIF(Juin[[#This Row],[1]:[30]],"DC")/2)</f>
        <v>10</v>
      </c>
      <c r="AM20" s="22">
        <f>COUNTIF(Juin[[#This Row],[1]:[30]],"M")</f>
        <v>0</v>
      </c>
      <c r="AN20" s="22">
        <f>COUNTIF(Juin[[#This Row],[1]:[30]],"AT")</f>
        <v>0</v>
      </c>
      <c r="AO20" s="84">
        <f t="shared" si="0"/>
        <v>0.82191780821917804</v>
      </c>
    </row>
    <row r="21" spans="1:41" ht="30" customHeight="1" x14ac:dyDescent="0.2">
      <c r="A21" s="15" t="s">
        <v>77</v>
      </c>
      <c r="B21" s="22" t="s">
        <v>168</v>
      </c>
      <c r="C21" s="22" t="s">
        <v>169</v>
      </c>
      <c r="D21" s="22" t="s">
        <v>170</v>
      </c>
      <c r="E21" s="44">
        <v>0</v>
      </c>
      <c r="F21" s="47" t="str">
        <f>Global!FA21</f>
        <v>RTT</v>
      </c>
      <c r="G21" s="31" t="str">
        <f>Global!FB21</f>
        <v/>
      </c>
      <c r="H21" s="31" t="str">
        <f>Global!FC21</f>
        <v/>
      </c>
      <c r="I21" s="31" t="str">
        <f>Global!FD21</f>
        <v>RTT</v>
      </c>
      <c r="J21" s="31" t="str">
        <f>Global!FE21</f>
        <v/>
      </c>
      <c r="K21" s="31" t="str">
        <f>Global!FF21</f>
        <v/>
      </c>
      <c r="L21" s="31" t="str">
        <f>Global!FG21</f>
        <v/>
      </c>
      <c r="M21" s="31" t="str">
        <f>Global!FH21</f>
        <v/>
      </c>
      <c r="N21" s="31" t="str">
        <f>Global!FI21</f>
        <v/>
      </c>
      <c r="O21" s="31" t="str">
        <f>Global!FJ21</f>
        <v/>
      </c>
      <c r="P21" s="31" t="str">
        <f>Global!FK21</f>
        <v/>
      </c>
      <c r="Q21" s="31" t="str">
        <f>Global!FL21</f>
        <v/>
      </c>
      <c r="R21" s="31" t="str">
        <f>Global!FM21</f>
        <v/>
      </c>
      <c r="S21" s="31" t="str">
        <f>Global!FN21</f>
        <v/>
      </c>
      <c r="T21" s="31" t="str">
        <f>Global!FO21</f>
        <v/>
      </c>
      <c r="U21" s="31" t="str">
        <f>Global!FP21</f>
        <v/>
      </c>
      <c r="V21" s="31" t="str">
        <f>Global!FQ21</f>
        <v/>
      </c>
      <c r="W21" s="31" t="str">
        <f>Global!FR21</f>
        <v/>
      </c>
      <c r="X21" s="31" t="str">
        <f>Global!FS21</f>
        <v/>
      </c>
      <c r="Y21" s="31" t="str">
        <f>Global!FT21</f>
        <v/>
      </c>
      <c r="Z21" s="31" t="str">
        <f>Global!FU21</f>
        <v/>
      </c>
      <c r="AA21" s="31" t="str">
        <f>Global!FV21</f>
        <v/>
      </c>
      <c r="AB21" s="31" t="str">
        <f>Global!FW21</f>
        <v/>
      </c>
      <c r="AC21" s="31" t="str">
        <f>Global!FX21</f>
        <v/>
      </c>
      <c r="AD21" s="31" t="str">
        <f>Global!FY21</f>
        <v/>
      </c>
      <c r="AE21" s="31" t="str">
        <f>Global!FZ21</f>
        <v/>
      </c>
      <c r="AF21" s="31" t="str">
        <f>Global!GA21</f>
        <v/>
      </c>
      <c r="AG21" s="31" t="str">
        <f>Global!GB21</f>
        <v/>
      </c>
      <c r="AH21" s="31" t="str">
        <f>Global!GC21</f>
        <v/>
      </c>
      <c r="AI21" s="31" t="str">
        <f>Global!GD21</f>
        <v/>
      </c>
      <c r="AJ21" s="19"/>
      <c r="AK21" s="108">
        <f>COUNTIF(Juin[[#This Row],[1]:[30]],"RTT")+(COUNTIF(Juin[[#This Row],[1]:[31]],"dRTT")/2)</f>
        <v>2</v>
      </c>
      <c r="AL21" s="109">
        <f>COUNTIF(Juin[[#This Row],[1]:[30]],"C")+(COUNTIF(Juin[[#This Row],[1]:[30]],"DC")/2)</f>
        <v>0</v>
      </c>
      <c r="AM21" s="22">
        <f>COUNTIF(Juin[[#This Row],[1]:[30]],"M")</f>
        <v>0</v>
      </c>
      <c r="AN21" s="22">
        <f>COUNTIF(Juin[[#This Row],[1]:[30]],"AT")</f>
        <v>0</v>
      </c>
      <c r="AO21" s="84">
        <f t="shared" si="0"/>
        <v>0.82191780821917804</v>
      </c>
    </row>
    <row r="22" spans="1:41" ht="30" customHeight="1" x14ac:dyDescent="0.2">
      <c r="A22" s="13" t="s">
        <v>78</v>
      </c>
      <c r="B22" s="22" t="s">
        <v>171</v>
      </c>
      <c r="C22" s="22" t="s">
        <v>172</v>
      </c>
      <c r="D22" s="22" t="s">
        <v>173</v>
      </c>
      <c r="E22" s="44">
        <v>0</v>
      </c>
      <c r="F22" s="47" t="str">
        <f>Global!FA22</f>
        <v/>
      </c>
      <c r="G22" s="31" t="str">
        <f>Global!FB22</f>
        <v/>
      </c>
      <c r="H22" s="31" t="str">
        <f>Global!FC22</f>
        <v/>
      </c>
      <c r="I22" s="31" t="str">
        <f>Global!FD22</f>
        <v/>
      </c>
      <c r="J22" s="31" t="str">
        <f>Global!FE22</f>
        <v/>
      </c>
      <c r="K22" s="31" t="str">
        <f>Global!FF22</f>
        <v/>
      </c>
      <c r="L22" s="31" t="str">
        <f>Global!FG22</f>
        <v/>
      </c>
      <c r="M22" s="31" t="str">
        <f>Global!FH22</f>
        <v/>
      </c>
      <c r="N22" s="31" t="str">
        <f>Global!FI22</f>
        <v/>
      </c>
      <c r="O22" s="31" t="str">
        <f>Global!FJ22</f>
        <v/>
      </c>
      <c r="P22" s="31" t="str">
        <f>Global!FK22</f>
        <v/>
      </c>
      <c r="Q22" s="31" t="str">
        <f>Global!FL22</f>
        <v/>
      </c>
      <c r="R22" s="31" t="str">
        <f>Global!FM22</f>
        <v/>
      </c>
      <c r="S22" s="31" t="str">
        <f>Global!FN22</f>
        <v/>
      </c>
      <c r="T22" s="31" t="str">
        <f>Global!FO22</f>
        <v/>
      </c>
      <c r="U22" s="31" t="str">
        <f>Global!FP22</f>
        <v/>
      </c>
      <c r="V22" s="31" t="str">
        <f>Global!FQ22</f>
        <v/>
      </c>
      <c r="W22" s="31" t="str">
        <f>Global!FR22</f>
        <v/>
      </c>
      <c r="X22" s="31" t="str">
        <f>Global!FS22</f>
        <v/>
      </c>
      <c r="Y22" s="31" t="str">
        <f>Global!FT22</f>
        <v/>
      </c>
      <c r="Z22" s="31" t="str">
        <f>Global!FU22</f>
        <v/>
      </c>
      <c r="AA22" s="31" t="str">
        <f>Global!FV22</f>
        <v/>
      </c>
      <c r="AB22" s="31" t="str">
        <f>Global!FW22</f>
        <v/>
      </c>
      <c r="AC22" s="31" t="str">
        <f>Global!FX22</f>
        <v/>
      </c>
      <c r="AD22" s="31" t="str">
        <f>Global!FY22</f>
        <v/>
      </c>
      <c r="AE22" s="31" t="str">
        <f>Global!FZ22</f>
        <v/>
      </c>
      <c r="AF22" s="31" t="str">
        <f>Global!GA22</f>
        <v/>
      </c>
      <c r="AG22" s="31" t="str">
        <f>Global!GB22</f>
        <v/>
      </c>
      <c r="AH22" s="31" t="str">
        <f>Global!GC22</f>
        <v/>
      </c>
      <c r="AI22" s="31" t="str">
        <f>Global!GD22</f>
        <v/>
      </c>
      <c r="AJ22" s="19"/>
      <c r="AK22" s="108">
        <f>COUNTIF(Juin[[#This Row],[1]:[30]],"RTT")+(COUNTIF(Juin[[#This Row],[1]:[31]],"dRTT")/2)</f>
        <v>0</v>
      </c>
      <c r="AL22" s="109">
        <f>COUNTIF(Juin[[#This Row],[1]:[30]],"C")+(COUNTIF(Juin[[#This Row],[1]:[30]],"DC")/2)</f>
        <v>0</v>
      </c>
      <c r="AM22" s="22">
        <f>COUNTIF(Juin[[#This Row],[1]:[30]],"M")</f>
        <v>0</v>
      </c>
      <c r="AN22" s="22">
        <f>COUNTIF(Juin[[#This Row],[1]:[30]],"AT")</f>
        <v>0</v>
      </c>
      <c r="AO22" s="84">
        <f t="shared" si="0"/>
        <v>0.82191780821917804</v>
      </c>
    </row>
    <row r="23" spans="1:41" ht="30" customHeight="1" x14ac:dyDescent="0.2">
      <c r="A23" s="13" t="s">
        <v>79</v>
      </c>
      <c r="B23" s="22" t="s">
        <v>174</v>
      </c>
      <c r="C23" s="22" t="s">
        <v>175</v>
      </c>
      <c r="D23" s="22" t="s">
        <v>176</v>
      </c>
      <c r="E23" s="44">
        <v>0</v>
      </c>
      <c r="F23" s="47" t="str">
        <f>Global!FA23</f>
        <v>C</v>
      </c>
      <c r="G23" s="31" t="str">
        <f>Global!FB23</f>
        <v/>
      </c>
      <c r="H23" s="31" t="str">
        <f>Global!FC23</f>
        <v/>
      </c>
      <c r="I23" s="31" t="str">
        <f>Global!FD23</f>
        <v>C</v>
      </c>
      <c r="J23" s="31" t="str">
        <f>Global!FE23</f>
        <v>C</v>
      </c>
      <c r="K23" s="31" t="str">
        <f>Global!FF23</f>
        <v>C</v>
      </c>
      <c r="L23" s="31" t="str">
        <f>Global!FG23</f>
        <v>C</v>
      </c>
      <c r="M23" s="31" t="str">
        <f>Global!FH23</f>
        <v>C</v>
      </c>
      <c r="N23" s="31" t="str">
        <f>Global!FI23</f>
        <v/>
      </c>
      <c r="O23" s="31" t="str">
        <f>Global!FJ23</f>
        <v/>
      </c>
      <c r="P23" s="31" t="str">
        <f>Global!FK23</f>
        <v/>
      </c>
      <c r="Q23" s="31" t="str">
        <f>Global!FL23</f>
        <v/>
      </c>
      <c r="R23" s="31" t="str">
        <f>Global!FM23</f>
        <v/>
      </c>
      <c r="S23" s="31" t="str">
        <f>Global!FN23</f>
        <v/>
      </c>
      <c r="T23" s="31" t="str">
        <f>Global!FO23</f>
        <v/>
      </c>
      <c r="U23" s="31" t="str">
        <f>Global!FP23</f>
        <v/>
      </c>
      <c r="V23" s="31" t="str">
        <f>Global!FQ23</f>
        <v/>
      </c>
      <c r="W23" s="31" t="str">
        <f>Global!FR23</f>
        <v/>
      </c>
      <c r="X23" s="31" t="str">
        <f>Global!FS23</f>
        <v/>
      </c>
      <c r="Y23" s="31" t="str">
        <f>Global!FT23</f>
        <v/>
      </c>
      <c r="Z23" s="31" t="str">
        <f>Global!FU23</f>
        <v/>
      </c>
      <c r="AA23" s="31" t="str">
        <f>Global!FV23</f>
        <v/>
      </c>
      <c r="AB23" s="31" t="str">
        <f>Global!FW23</f>
        <v/>
      </c>
      <c r="AC23" s="31" t="str">
        <f>Global!FX23</f>
        <v/>
      </c>
      <c r="AD23" s="31" t="str">
        <f>Global!FY23</f>
        <v/>
      </c>
      <c r="AE23" s="31" t="str">
        <f>Global!FZ23</f>
        <v/>
      </c>
      <c r="AF23" s="31" t="str">
        <f>Global!GA23</f>
        <v/>
      </c>
      <c r="AG23" s="31" t="str">
        <f>Global!GB23</f>
        <v/>
      </c>
      <c r="AH23" s="31" t="str">
        <f>Global!GC23</f>
        <v/>
      </c>
      <c r="AI23" s="31" t="str">
        <f>Global!GD23</f>
        <v/>
      </c>
      <c r="AJ23" s="19"/>
      <c r="AK23" s="108">
        <f>COUNTIF(Juin[[#This Row],[1]:[30]],"RTT")+(COUNTIF(Juin[[#This Row],[1]:[31]],"dRTT")/2)</f>
        <v>0</v>
      </c>
      <c r="AL23" s="109">
        <f>COUNTIF(Juin[[#This Row],[1]:[30]],"C")+(COUNTIF(Juin[[#This Row],[1]:[30]],"DC")/2)</f>
        <v>6</v>
      </c>
      <c r="AM23" s="22">
        <f>COUNTIF(Juin[[#This Row],[1]:[30]],"M")</f>
        <v>0</v>
      </c>
      <c r="AN23" s="22">
        <f>COUNTIF(Juin[[#This Row],[1]:[30]],"AT")</f>
        <v>0</v>
      </c>
      <c r="AO23" s="84">
        <f t="shared" si="0"/>
        <v>0.82191780821917804</v>
      </c>
    </row>
    <row r="24" spans="1:41" ht="30" customHeight="1" x14ac:dyDescent="0.2">
      <c r="A24" s="15" t="s">
        <v>80</v>
      </c>
      <c r="B24" s="22" t="s">
        <v>177</v>
      </c>
      <c r="C24" s="22" t="s">
        <v>178</v>
      </c>
      <c r="D24" s="22" t="s">
        <v>179</v>
      </c>
      <c r="E24" s="44">
        <v>0</v>
      </c>
      <c r="F24" s="47" t="str">
        <f>Global!FA24</f>
        <v/>
      </c>
      <c r="G24" s="31" t="str">
        <f>Global!FB24</f>
        <v/>
      </c>
      <c r="H24" s="31" t="str">
        <f>Global!FC24</f>
        <v/>
      </c>
      <c r="I24" s="31" t="str">
        <f>Global!FD24</f>
        <v/>
      </c>
      <c r="J24" s="31" t="str">
        <f>Global!FE24</f>
        <v/>
      </c>
      <c r="K24" s="31" t="str">
        <f>Global!FF24</f>
        <v/>
      </c>
      <c r="L24" s="31" t="str">
        <f>Global!FG24</f>
        <v/>
      </c>
      <c r="M24" s="31" t="str">
        <f>Global!FH24</f>
        <v/>
      </c>
      <c r="N24" s="31" t="str">
        <f>Global!FI24</f>
        <v/>
      </c>
      <c r="O24" s="31" t="str">
        <f>Global!FJ24</f>
        <v/>
      </c>
      <c r="P24" s="31" t="str">
        <f>Global!FK24</f>
        <v/>
      </c>
      <c r="Q24" s="31" t="str">
        <f>Global!FL24</f>
        <v/>
      </c>
      <c r="R24" s="31" t="str">
        <f>Global!FM24</f>
        <v/>
      </c>
      <c r="S24" s="31" t="str">
        <f>Global!FN24</f>
        <v/>
      </c>
      <c r="T24" s="31" t="str">
        <f>Global!FO24</f>
        <v/>
      </c>
      <c r="U24" s="31" t="str">
        <f>Global!FP24</f>
        <v/>
      </c>
      <c r="V24" s="31" t="str">
        <f>Global!FQ24</f>
        <v/>
      </c>
      <c r="W24" s="31" t="str">
        <f>Global!FR24</f>
        <v/>
      </c>
      <c r="X24" s="31" t="str">
        <f>Global!FS24</f>
        <v/>
      </c>
      <c r="Y24" s="31" t="str">
        <f>Global!FT24</f>
        <v/>
      </c>
      <c r="Z24" s="31" t="str">
        <f>Global!FU24</f>
        <v/>
      </c>
      <c r="AA24" s="31" t="str">
        <f>Global!FV24</f>
        <v/>
      </c>
      <c r="AB24" s="31" t="str">
        <f>Global!FW24</f>
        <v/>
      </c>
      <c r="AC24" s="31" t="str">
        <f>Global!FX24</f>
        <v/>
      </c>
      <c r="AD24" s="31" t="str">
        <f>Global!FY24</f>
        <v>C</v>
      </c>
      <c r="AE24" s="31" t="str">
        <f>Global!FZ24</f>
        <v>C</v>
      </c>
      <c r="AF24" s="31" t="str">
        <f>Global!GA24</f>
        <v>C</v>
      </c>
      <c r="AG24" s="31" t="str">
        <f>Global!GB24</f>
        <v>C</v>
      </c>
      <c r="AH24" s="31" t="str">
        <f>Global!GC24</f>
        <v>C</v>
      </c>
      <c r="AI24" s="31" t="str">
        <f>Global!GD24</f>
        <v/>
      </c>
      <c r="AJ24" s="19"/>
      <c r="AK24" s="108">
        <f>COUNTIF(Juin[[#This Row],[1]:[30]],"RTT")+(COUNTIF(Juin[[#This Row],[1]:[31]],"dRTT")/2)</f>
        <v>0</v>
      </c>
      <c r="AL24" s="109">
        <f>COUNTIF(Juin[[#This Row],[1]:[30]],"C")+(COUNTIF(Juin[[#This Row],[1]:[30]],"DC")/2)</f>
        <v>5</v>
      </c>
      <c r="AM24" s="22">
        <f>COUNTIF(Juin[[#This Row],[1]:[30]],"M")</f>
        <v>0</v>
      </c>
      <c r="AN24" s="22">
        <f>COUNTIF(Juin[[#This Row],[1]:[30]],"AT")</f>
        <v>0</v>
      </c>
      <c r="AO24" s="84">
        <f t="shared" si="0"/>
        <v>0.82191780821917804</v>
      </c>
    </row>
    <row r="25" spans="1:41" ht="30" customHeight="1" x14ac:dyDescent="0.2">
      <c r="A25" s="15" t="s">
        <v>81</v>
      </c>
      <c r="B25" s="22" t="s">
        <v>180</v>
      </c>
      <c r="C25" s="22" t="s">
        <v>157</v>
      </c>
      <c r="D25" s="22" t="s">
        <v>181</v>
      </c>
      <c r="E25" s="44">
        <v>0</v>
      </c>
      <c r="F25" s="47" t="str">
        <f>Global!FA25</f>
        <v>M</v>
      </c>
      <c r="G25" s="31" t="str">
        <f>Global!FB25</f>
        <v>M</v>
      </c>
      <c r="H25" s="31" t="str">
        <f>Global!FC25</f>
        <v>M</v>
      </c>
      <c r="I25" s="31" t="str">
        <f>Global!FD25</f>
        <v>M</v>
      </c>
      <c r="J25" s="31" t="str">
        <f>Global!FE25</f>
        <v>M</v>
      </c>
      <c r="K25" s="31" t="str">
        <f>Global!FF25</f>
        <v>M</v>
      </c>
      <c r="L25" s="31" t="str">
        <f>Global!FG25</f>
        <v>M</v>
      </c>
      <c r="M25" s="31" t="str">
        <f>Global!FH25</f>
        <v>M</v>
      </c>
      <c r="N25" s="31" t="str">
        <f>Global!FI25</f>
        <v>M</v>
      </c>
      <c r="O25" s="31" t="str">
        <f>Global!FJ25</f>
        <v>M</v>
      </c>
      <c r="P25" s="31" t="str">
        <f>Global!FK25</f>
        <v>M</v>
      </c>
      <c r="Q25" s="31" t="str">
        <f>Global!FL25</f>
        <v>M</v>
      </c>
      <c r="R25" s="31" t="str">
        <f>Global!FM25</f>
        <v>M</v>
      </c>
      <c r="S25" s="31" t="str">
        <f>Global!FN25</f>
        <v>M</v>
      </c>
      <c r="T25" s="31" t="str">
        <f>Global!FO25</f>
        <v>M</v>
      </c>
      <c r="U25" s="31" t="str">
        <f>Global!FP25</f>
        <v>M</v>
      </c>
      <c r="V25" s="31" t="str">
        <f>Global!FQ25</f>
        <v>M</v>
      </c>
      <c r="W25" s="31" t="str">
        <f>Global!FR25</f>
        <v>M</v>
      </c>
      <c r="X25" s="31" t="str">
        <f>Global!FS25</f>
        <v>M</v>
      </c>
      <c r="Y25" s="31" t="str">
        <f>Global!FT25</f>
        <v>M</v>
      </c>
      <c r="Z25" s="31" t="str">
        <f>Global!FU25</f>
        <v>M</v>
      </c>
      <c r="AA25" s="31" t="str">
        <f>Global!FV25</f>
        <v>M</v>
      </c>
      <c r="AB25" s="31" t="str">
        <f>Global!FW25</f>
        <v>M</v>
      </c>
      <c r="AC25" s="31" t="str">
        <f>Global!FX25</f>
        <v>M</v>
      </c>
      <c r="AD25" s="31" t="str">
        <f>Global!FY25</f>
        <v/>
      </c>
      <c r="AE25" s="31" t="str">
        <f>Global!FZ25</f>
        <v/>
      </c>
      <c r="AF25" s="31" t="str">
        <f>Global!GA25</f>
        <v/>
      </c>
      <c r="AG25" s="31" t="str">
        <f>Global!GB25</f>
        <v/>
      </c>
      <c r="AH25" s="31" t="str">
        <f>Global!GC25</f>
        <v/>
      </c>
      <c r="AI25" s="31" t="str">
        <f>Global!GD25</f>
        <v/>
      </c>
      <c r="AJ25" s="19"/>
      <c r="AK25" s="108">
        <f>COUNTIF(Juin[[#This Row],[1]:[30]],"RTT")+(COUNTIF(Juin[[#This Row],[1]:[31]],"dRTT")/2)</f>
        <v>0</v>
      </c>
      <c r="AL25" s="109">
        <f>COUNTIF(Juin[[#This Row],[1]:[30]],"C")+(COUNTIF(Juin[[#This Row],[1]:[30]],"DC")/2)</f>
        <v>0</v>
      </c>
      <c r="AM25" s="22">
        <f>COUNTIF(Juin[[#This Row],[1]:[30]],"M")</f>
        <v>24</v>
      </c>
      <c r="AN25" s="22">
        <f>COUNTIF(Juin[[#This Row],[1]:[30]],"AT")</f>
        <v>0</v>
      </c>
      <c r="AO25" s="84">
        <f t="shared" si="0"/>
        <v>0.16438356164383564</v>
      </c>
    </row>
    <row r="26" spans="1:41" ht="30" customHeight="1" x14ac:dyDescent="0.2">
      <c r="A26" s="15" t="s">
        <v>82</v>
      </c>
      <c r="B26" s="22" t="s">
        <v>182</v>
      </c>
      <c r="C26" s="22" t="s">
        <v>183</v>
      </c>
      <c r="D26" s="22" t="s">
        <v>184</v>
      </c>
      <c r="E26" s="44">
        <v>0</v>
      </c>
      <c r="F26" s="47" t="str">
        <f>Global!FA26</f>
        <v/>
      </c>
      <c r="G26" s="31" t="str">
        <f>Global!FB26</f>
        <v/>
      </c>
      <c r="H26" s="31" t="str">
        <f>Global!FC26</f>
        <v/>
      </c>
      <c r="I26" s="31" t="str">
        <f>Global!FD26</f>
        <v/>
      </c>
      <c r="J26" s="31" t="str">
        <f>Global!FE26</f>
        <v/>
      </c>
      <c r="K26" s="31" t="str">
        <f>Global!FF26</f>
        <v/>
      </c>
      <c r="L26" s="31" t="str">
        <f>Global!FG26</f>
        <v/>
      </c>
      <c r="M26" s="31" t="str">
        <f>Global!FH26</f>
        <v/>
      </c>
      <c r="N26" s="31" t="str">
        <f>Global!FI26</f>
        <v/>
      </c>
      <c r="O26" s="31" t="str">
        <f>Global!FJ26</f>
        <v/>
      </c>
      <c r="P26" s="31" t="str">
        <f>Global!FK26</f>
        <v/>
      </c>
      <c r="Q26" s="31" t="str">
        <f>Global!FL26</f>
        <v/>
      </c>
      <c r="R26" s="31" t="str">
        <f>Global!FM26</f>
        <v/>
      </c>
      <c r="S26" s="31" t="str">
        <f>Global!FN26</f>
        <v/>
      </c>
      <c r="T26" s="31" t="str">
        <f>Global!FO26</f>
        <v/>
      </c>
      <c r="U26" s="31" t="str">
        <f>Global!FP26</f>
        <v/>
      </c>
      <c r="V26" s="31" t="str">
        <f>Global!FQ26</f>
        <v/>
      </c>
      <c r="W26" s="31" t="str">
        <f>Global!FR26</f>
        <v/>
      </c>
      <c r="X26" s="31" t="str">
        <f>Global!FS26</f>
        <v/>
      </c>
      <c r="Y26" s="31" t="str">
        <f>Global!FT26</f>
        <v/>
      </c>
      <c r="Z26" s="31" t="str">
        <f>Global!FU26</f>
        <v/>
      </c>
      <c r="AA26" s="31" t="str">
        <f>Global!FV26</f>
        <v/>
      </c>
      <c r="AB26" s="31" t="str">
        <f>Global!FW26</f>
        <v/>
      </c>
      <c r="AC26" s="31" t="str">
        <f>Global!FX26</f>
        <v/>
      </c>
      <c r="AD26" s="31" t="str">
        <f>Global!FY26</f>
        <v/>
      </c>
      <c r="AE26" s="31" t="str">
        <f>Global!FZ26</f>
        <v/>
      </c>
      <c r="AF26" s="31" t="str">
        <f>Global!GA26</f>
        <v/>
      </c>
      <c r="AG26" s="31" t="str">
        <f>Global!GB26</f>
        <v/>
      </c>
      <c r="AH26" s="31" t="str">
        <f>Global!GC26</f>
        <v/>
      </c>
      <c r="AI26" s="31" t="str">
        <f>Global!GD26</f>
        <v/>
      </c>
      <c r="AJ26" s="19"/>
      <c r="AK26" s="108">
        <f>COUNTIF(Juin[[#This Row],[1]:[30]],"RTT")+(COUNTIF(Juin[[#This Row],[1]:[31]],"dRTT")/2)</f>
        <v>0</v>
      </c>
      <c r="AL26" s="109">
        <f>COUNTIF(Juin[[#This Row],[1]:[30]],"C")+(COUNTIF(Juin[[#This Row],[1]:[30]],"DC")/2)</f>
        <v>0</v>
      </c>
      <c r="AM26" s="22">
        <f>COUNTIF(Juin[[#This Row],[1]:[30]],"M")</f>
        <v>0</v>
      </c>
      <c r="AN26" s="22">
        <f>COUNTIF(Juin[[#This Row],[1]:[30]],"AT")</f>
        <v>0</v>
      </c>
      <c r="AO26" s="84">
        <f t="shared" si="0"/>
        <v>0.82191780821917804</v>
      </c>
    </row>
    <row r="27" spans="1:41" ht="30" customHeight="1" x14ac:dyDescent="0.2">
      <c r="A27" s="15" t="s">
        <v>83</v>
      </c>
      <c r="B27" s="22" t="s">
        <v>185</v>
      </c>
      <c r="C27" s="22" t="s">
        <v>186</v>
      </c>
      <c r="D27" s="22" t="s">
        <v>187</v>
      </c>
      <c r="E27" s="44">
        <v>0</v>
      </c>
      <c r="F27" s="47" t="str">
        <f>Global!FA27</f>
        <v/>
      </c>
      <c r="G27" s="31" t="str">
        <f>Global!FB27</f>
        <v/>
      </c>
      <c r="H27" s="31" t="str">
        <f>Global!FC27</f>
        <v/>
      </c>
      <c r="I27" s="31" t="str">
        <f>Global!FD27</f>
        <v/>
      </c>
      <c r="J27" s="31" t="str">
        <f>Global!FE27</f>
        <v/>
      </c>
      <c r="K27" s="31" t="str">
        <f>Global!FF27</f>
        <v/>
      </c>
      <c r="L27" s="31" t="str">
        <f>Global!FG27</f>
        <v/>
      </c>
      <c r="M27" s="31" t="str">
        <f>Global!FH27</f>
        <v/>
      </c>
      <c r="N27" s="31" t="str">
        <f>Global!FI27</f>
        <v/>
      </c>
      <c r="O27" s="31" t="str">
        <f>Global!FJ27</f>
        <v/>
      </c>
      <c r="P27" s="31" t="str">
        <f>Global!FK27</f>
        <v/>
      </c>
      <c r="Q27" s="31" t="str">
        <f>Global!FL27</f>
        <v/>
      </c>
      <c r="R27" s="31" t="str">
        <f>Global!FM27</f>
        <v/>
      </c>
      <c r="S27" s="31" t="str">
        <f>Global!FN27</f>
        <v/>
      </c>
      <c r="T27" s="31" t="str">
        <f>Global!FO27</f>
        <v/>
      </c>
      <c r="U27" s="31" t="str">
        <f>Global!FP27</f>
        <v/>
      </c>
      <c r="V27" s="31" t="str">
        <f>Global!FQ27</f>
        <v/>
      </c>
      <c r="W27" s="31" t="str">
        <f>Global!FR27</f>
        <v/>
      </c>
      <c r="X27" s="31" t="str">
        <f>Global!FS27</f>
        <v/>
      </c>
      <c r="Y27" s="31" t="str">
        <f>Global!FT27</f>
        <v/>
      </c>
      <c r="Z27" s="31" t="str">
        <f>Global!FU27</f>
        <v/>
      </c>
      <c r="AA27" s="31" t="str">
        <f>Global!FV27</f>
        <v/>
      </c>
      <c r="AB27" s="31" t="str">
        <f>Global!FW27</f>
        <v/>
      </c>
      <c r="AC27" s="31" t="str">
        <f>Global!FX27</f>
        <v/>
      </c>
      <c r="AD27" s="31" t="str">
        <f>Global!FY27</f>
        <v/>
      </c>
      <c r="AE27" s="31" t="str">
        <f>Global!FZ27</f>
        <v/>
      </c>
      <c r="AF27" s="31" t="str">
        <f>Global!GA27</f>
        <v/>
      </c>
      <c r="AG27" s="31" t="str">
        <f>Global!GB27</f>
        <v/>
      </c>
      <c r="AH27" s="31" t="str">
        <f>Global!GC27</f>
        <v/>
      </c>
      <c r="AI27" s="31" t="str">
        <f>Global!GD27</f>
        <v/>
      </c>
      <c r="AJ27" s="19"/>
      <c r="AK27" s="108">
        <f>COUNTIF(Juin[[#This Row],[1]:[30]],"RTT")+(COUNTIF(Juin[[#This Row],[1]:[31]],"dRTT")/2)</f>
        <v>0</v>
      </c>
      <c r="AL27" s="109">
        <f>COUNTIF(Juin[[#This Row],[1]:[30]],"C")+(COUNTIF(Juin[[#This Row],[1]:[30]],"DC")/2)</f>
        <v>0</v>
      </c>
      <c r="AM27" s="22">
        <f>COUNTIF(Juin[[#This Row],[1]:[30]],"M")</f>
        <v>0</v>
      </c>
      <c r="AN27" s="22">
        <f>COUNTIF(Juin[[#This Row],[1]:[30]],"AT")</f>
        <v>0</v>
      </c>
      <c r="AO27" s="84">
        <f t="shared" si="0"/>
        <v>0.82191780821917804</v>
      </c>
    </row>
    <row r="28" spans="1:41" ht="30" customHeight="1" x14ac:dyDescent="0.2">
      <c r="A28" s="15" t="s">
        <v>84</v>
      </c>
      <c r="B28" s="22" t="s">
        <v>188</v>
      </c>
      <c r="C28" s="22" t="s">
        <v>189</v>
      </c>
      <c r="D28" s="22" t="s">
        <v>190</v>
      </c>
      <c r="E28" s="44">
        <v>0</v>
      </c>
      <c r="F28" s="47" t="str">
        <f>Global!FA28</f>
        <v/>
      </c>
      <c r="G28" s="31" t="str">
        <f>Global!FB28</f>
        <v/>
      </c>
      <c r="H28" s="31" t="str">
        <f>Global!FC28</f>
        <v/>
      </c>
      <c r="I28" s="31" t="str">
        <f>Global!FD28</f>
        <v/>
      </c>
      <c r="J28" s="31" t="str">
        <f>Global!FE28</f>
        <v/>
      </c>
      <c r="K28" s="31" t="str">
        <f>Global!FF28</f>
        <v/>
      </c>
      <c r="L28" s="31" t="str">
        <f>Global!FG28</f>
        <v/>
      </c>
      <c r="M28" s="31" t="str">
        <f>Global!FH28</f>
        <v/>
      </c>
      <c r="N28" s="31" t="str">
        <f>Global!FI28</f>
        <v/>
      </c>
      <c r="O28" s="31" t="str">
        <f>Global!FJ28</f>
        <v/>
      </c>
      <c r="P28" s="31" t="str">
        <f>Global!FK28</f>
        <v/>
      </c>
      <c r="Q28" s="31" t="str">
        <f>Global!FL28</f>
        <v/>
      </c>
      <c r="R28" s="31" t="str">
        <f>Global!FM28</f>
        <v/>
      </c>
      <c r="S28" s="31" t="str">
        <f>Global!FN28</f>
        <v/>
      </c>
      <c r="T28" s="31" t="str">
        <f>Global!FO28</f>
        <v/>
      </c>
      <c r="U28" s="31" t="str">
        <f>Global!FP28</f>
        <v/>
      </c>
      <c r="V28" s="31" t="str">
        <f>Global!FQ28</f>
        <v/>
      </c>
      <c r="W28" s="31" t="str">
        <f>Global!FR28</f>
        <v/>
      </c>
      <c r="X28" s="31" t="str">
        <f>Global!FS28</f>
        <v/>
      </c>
      <c r="Y28" s="31" t="str">
        <f>Global!FT28</f>
        <v/>
      </c>
      <c r="Z28" s="31" t="str">
        <f>Global!FU28</f>
        <v/>
      </c>
      <c r="AA28" s="31" t="str">
        <f>Global!FV28</f>
        <v/>
      </c>
      <c r="AB28" s="31" t="str">
        <f>Global!FW28</f>
        <v/>
      </c>
      <c r="AC28" s="31" t="str">
        <f>Global!FX28</f>
        <v/>
      </c>
      <c r="AD28" s="31" t="str">
        <f>Global!FY28</f>
        <v/>
      </c>
      <c r="AE28" s="31" t="str">
        <f>Global!FZ28</f>
        <v/>
      </c>
      <c r="AF28" s="31" t="str">
        <f>Global!GA28</f>
        <v/>
      </c>
      <c r="AG28" s="31" t="str">
        <f>Global!GB28</f>
        <v/>
      </c>
      <c r="AH28" s="31" t="str">
        <f>Global!GC28</f>
        <v/>
      </c>
      <c r="AI28" s="31" t="str">
        <f>Global!GD28</f>
        <v/>
      </c>
      <c r="AJ28" s="19"/>
      <c r="AK28" s="108">
        <f>COUNTIF(Juin[[#This Row],[1]:[30]],"RTT")+(COUNTIF(Juin[[#This Row],[1]:[31]],"dRTT")/2)</f>
        <v>0</v>
      </c>
      <c r="AL28" s="109">
        <f>COUNTIF(Juin[[#This Row],[1]:[30]],"C")+(COUNTIF(Juin[[#This Row],[1]:[30]],"DC")/2)</f>
        <v>0</v>
      </c>
      <c r="AM28" s="22">
        <f>COUNTIF(Juin[[#This Row],[1]:[30]],"M")</f>
        <v>0</v>
      </c>
      <c r="AN28" s="22">
        <f>COUNTIF(Juin[[#This Row],[1]:[30]],"AT")</f>
        <v>0</v>
      </c>
      <c r="AO28" s="84">
        <f t="shared" si="0"/>
        <v>0.82191780821917804</v>
      </c>
    </row>
    <row r="29" spans="1:41" ht="30" customHeight="1" x14ac:dyDescent="0.2">
      <c r="A29" s="15" t="s">
        <v>85</v>
      </c>
      <c r="B29" s="22" t="s">
        <v>191</v>
      </c>
      <c r="C29" s="22" t="s">
        <v>192</v>
      </c>
      <c r="D29" s="22" t="s">
        <v>193</v>
      </c>
      <c r="E29" s="44">
        <v>0</v>
      </c>
      <c r="F29" s="47" t="str">
        <f>Global!FA29</f>
        <v/>
      </c>
      <c r="G29" s="31" t="str">
        <f>Global!FB29</f>
        <v/>
      </c>
      <c r="H29" s="31" t="str">
        <f>Global!FC29</f>
        <v/>
      </c>
      <c r="I29" s="31" t="str">
        <f>Global!FD29</f>
        <v/>
      </c>
      <c r="J29" s="31" t="str">
        <f>Global!FE29</f>
        <v/>
      </c>
      <c r="K29" s="31" t="str">
        <f>Global!FF29</f>
        <v/>
      </c>
      <c r="L29" s="31" t="str">
        <f>Global!FG29</f>
        <v/>
      </c>
      <c r="M29" s="31" t="str">
        <f>Global!FH29</f>
        <v/>
      </c>
      <c r="N29" s="31" t="str">
        <f>Global!FI29</f>
        <v/>
      </c>
      <c r="O29" s="31" t="str">
        <f>Global!FJ29</f>
        <v/>
      </c>
      <c r="P29" s="31" t="str">
        <f>Global!FK29</f>
        <v/>
      </c>
      <c r="Q29" s="31" t="str">
        <f>Global!FL29</f>
        <v/>
      </c>
      <c r="R29" s="31" t="str">
        <f>Global!FM29</f>
        <v/>
      </c>
      <c r="S29" s="31" t="str">
        <f>Global!FN29</f>
        <v/>
      </c>
      <c r="T29" s="31" t="str">
        <f>Global!FO29</f>
        <v/>
      </c>
      <c r="U29" s="31" t="str">
        <f>Global!FP29</f>
        <v/>
      </c>
      <c r="V29" s="31" t="str">
        <f>Global!FQ29</f>
        <v/>
      </c>
      <c r="W29" s="31" t="str">
        <f>Global!FR29</f>
        <v/>
      </c>
      <c r="X29" s="31" t="str">
        <f>Global!FS29</f>
        <v/>
      </c>
      <c r="Y29" s="31" t="str">
        <f>Global!FT29</f>
        <v/>
      </c>
      <c r="Z29" s="31" t="str">
        <f>Global!FU29</f>
        <v/>
      </c>
      <c r="AA29" s="31" t="str">
        <f>Global!FV29</f>
        <v/>
      </c>
      <c r="AB29" s="31" t="str">
        <f>Global!FW29</f>
        <v/>
      </c>
      <c r="AC29" s="31" t="str">
        <f>Global!FX29</f>
        <v/>
      </c>
      <c r="AD29" s="31" t="str">
        <f>Global!FY29</f>
        <v/>
      </c>
      <c r="AE29" s="31" t="str">
        <f>Global!FZ29</f>
        <v/>
      </c>
      <c r="AF29" s="31" t="str">
        <f>Global!GA29</f>
        <v/>
      </c>
      <c r="AG29" s="31" t="str">
        <f>Global!GB29</f>
        <v/>
      </c>
      <c r="AH29" s="31" t="str">
        <f>Global!GC29</f>
        <v/>
      </c>
      <c r="AI29" s="31" t="str">
        <f>Global!GD29</f>
        <v/>
      </c>
      <c r="AJ29" s="19"/>
      <c r="AK29" s="108">
        <f>COUNTIF(Juin[[#This Row],[1]:[30]],"RTT")+(COUNTIF(Juin[[#This Row],[1]:[31]],"dRTT")/2)</f>
        <v>0</v>
      </c>
      <c r="AL29" s="109">
        <f>COUNTIF(Juin[[#This Row],[1]:[30]],"C")+(COUNTIF(Juin[[#This Row],[1]:[30]],"DC")/2)</f>
        <v>0</v>
      </c>
      <c r="AM29" s="22">
        <f>COUNTIF(Juin[[#This Row],[1]:[30]],"M")</f>
        <v>0</v>
      </c>
      <c r="AN29" s="22">
        <f>COUNTIF(Juin[[#This Row],[1]:[30]],"AT")</f>
        <v>0</v>
      </c>
      <c r="AO29" s="84">
        <f t="shared" si="0"/>
        <v>0.82191780821917804</v>
      </c>
    </row>
    <row r="30" spans="1:41" ht="30" customHeight="1" x14ac:dyDescent="0.2">
      <c r="A30" s="15" t="s">
        <v>86</v>
      </c>
      <c r="B30" s="22" t="s">
        <v>194</v>
      </c>
      <c r="C30" s="22" t="s">
        <v>192</v>
      </c>
      <c r="D30" s="22" t="s">
        <v>195</v>
      </c>
      <c r="E30" s="44" t="s">
        <v>162</v>
      </c>
      <c r="F30" s="47" t="str">
        <f>Global!FA30</f>
        <v/>
      </c>
      <c r="G30" s="31" t="str">
        <f>Global!FB30</f>
        <v/>
      </c>
      <c r="H30" s="31" t="str">
        <f>Global!FC30</f>
        <v/>
      </c>
      <c r="I30" s="31" t="str">
        <f>Global!FD30</f>
        <v/>
      </c>
      <c r="J30" s="31" t="str">
        <f>Global!FE30</f>
        <v/>
      </c>
      <c r="K30" s="31" t="str">
        <f>Global!FF30</f>
        <v/>
      </c>
      <c r="L30" s="31" t="str">
        <f>Global!FG30</f>
        <v/>
      </c>
      <c r="M30" s="31" t="str">
        <f>Global!FH30</f>
        <v/>
      </c>
      <c r="N30" s="31" t="str">
        <f>Global!FI30</f>
        <v/>
      </c>
      <c r="O30" s="31" t="str">
        <f>Global!FJ30</f>
        <v/>
      </c>
      <c r="P30" s="31" t="str">
        <f>Global!FK30</f>
        <v/>
      </c>
      <c r="Q30" s="31" t="str">
        <f>Global!FL30</f>
        <v/>
      </c>
      <c r="R30" s="31" t="str">
        <f>Global!FM30</f>
        <v/>
      </c>
      <c r="S30" s="31" t="str">
        <f>Global!FN30</f>
        <v/>
      </c>
      <c r="T30" s="31" t="str">
        <f>Global!FO30</f>
        <v/>
      </c>
      <c r="U30" s="31" t="str">
        <f>Global!FP30</f>
        <v/>
      </c>
      <c r="V30" s="31" t="str">
        <f>Global!FQ30</f>
        <v/>
      </c>
      <c r="W30" s="31" t="str">
        <f>Global!FR30</f>
        <v/>
      </c>
      <c r="X30" s="31" t="str">
        <f>Global!FS30</f>
        <v/>
      </c>
      <c r="Y30" s="31" t="str">
        <f>Global!FT30</f>
        <v/>
      </c>
      <c r="Z30" s="31" t="str">
        <f>Global!FU30</f>
        <v/>
      </c>
      <c r="AA30" s="31" t="str">
        <f>Global!FV30</f>
        <v/>
      </c>
      <c r="AB30" s="31" t="str">
        <f>Global!FW30</f>
        <v/>
      </c>
      <c r="AC30" s="31" t="str">
        <f>Global!FX30</f>
        <v/>
      </c>
      <c r="AD30" s="31" t="str">
        <f>Global!FY30</f>
        <v/>
      </c>
      <c r="AE30" s="31" t="str">
        <f>Global!FZ30</f>
        <v/>
      </c>
      <c r="AF30" s="31" t="str">
        <f>Global!GA30</f>
        <v/>
      </c>
      <c r="AG30" s="31" t="str">
        <f>Global!GB30</f>
        <v/>
      </c>
      <c r="AH30" s="31" t="str">
        <f>Global!GC30</f>
        <v/>
      </c>
      <c r="AI30" s="31" t="str">
        <f>Global!GD30</f>
        <v/>
      </c>
      <c r="AJ30" s="19"/>
      <c r="AK30" s="108">
        <f>COUNTIF(Juin[[#This Row],[1]:[30]],"RTT")+(COUNTIF(Juin[[#This Row],[1]:[31]],"dRTT")/2)</f>
        <v>0</v>
      </c>
      <c r="AL30" s="109">
        <f>COUNTIF(Juin[[#This Row],[1]:[30]],"C")+(COUNTIF(Juin[[#This Row],[1]:[30]],"DC")/2)</f>
        <v>0</v>
      </c>
      <c r="AM30" s="22">
        <f>COUNTIF(Juin[[#This Row],[1]:[30]],"M")</f>
        <v>0</v>
      </c>
      <c r="AN30" s="22">
        <f>COUNTIF(Juin[[#This Row],[1]:[30]],"AT")</f>
        <v>0</v>
      </c>
      <c r="AO30" s="84">
        <f t="shared" si="0"/>
        <v>0.82191780821917804</v>
      </c>
    </row>
    <row r="31" spans="1:41" ht="30" customHeight="1" x14ac:dyDescent="0.2">
      <c r="A31" s="15" t="s">
        <v>87</v>
      </c>
      <c r="B31" s="22" t="s">
        <v>196</v>
      </c>
      <c r="C31" s="22" t="s">
        <v>197</v>
      </c>
      <c r="D31" s="22" t="s">
        <v>198</v>
      </c>
      <c r="E31" s="44" t="s">
        <v>162</v>
      </c>
      <c r="F31" s="47" t="str">
        <f>Global!FA31</f>
        <v/>
      </c>
      <c r="G31" s="31" t="str">
        <f>Global!FB31</f>
        <v/>
      </c>
      <c r="H31" s="31" t="str">
        <f>Global!FC31</f>
        <v/>
      </c>
      <c r="I31" s="31" t="str">
        <f>Global!FD31</f>
        <v/>
      </c>
      <c r="J31" s="31" t="str">
        <f>Global!FE31</f>
        <v/>
      </c>
      <c r="K31" s="31" t="str">
        <f>Global!FF31</f>
        <v/>
      </c>
      <c r="L31" s="31" t="str">
        <f>Global!FG31</f>
        <v/>
      </c>
      <c r="M31" s="31" t="str">
        <f>Global!FH31</f>
        <v/>
      </c>
      <c r="N31" s="31" t="str">
        <f>Global!FI31</f>
        <v/>
      </c>
      <c r="O31" s="31" t="str">
        <f>Global!FJ31</f>
        <v/>
      </c>
      <c r="P31" s="31" t="str">
        <f>Global!FK31</f>
        <v/>
      </c>
      <c r="Q31" s="31" t="str">
        <f>Global!FL31</f>
        <v/>
      </c>
      <c r="R31" s="31" t="str">
        <f>Global!FM31</f>
        <v/>
      </c>
      <c r="S31" s="31" t="str">
        <f>Global!FN31</f>
        <v/>
      </c>
      <c r="T31" s="31" t="str">
        <f>Global!FO31</f>
        <v/>
      </c>
      <c r="U31" s="31" t="str">
        <f>Global!FP31</f>
        <v/>
      </c>
      <c r="V31" s="31" t="str">
        <f>Global!FQ31</f>
        <v/>
      </c>
      <c r="W31" s="31" t="str">
        <f>Global!FR31</f>
        <v/>
      </c>
      <c r="X31" s="31" t="str">
        <f>Global!FS31</f>
        <v/>
      </c>
      <c r="Y31" s="31" t="str">
        <f>Global!FT31</f>
        <v/>
      </c>
      <c r="Z31" s="31" t="str">
        <f>Global!FU31</f>
        <v/>
      </c>
      <c r="AA31" s="31" t="str">
        <f>Global!FV31</f>
        <v/>
      </c>
      <c r="AB31" s="31" t="str">
        <f>Global!FW31</f>
        <v/>
      </c>
      <c r="AC31" s="31" t="str">
        <f>Global!FX31</f>
        <v/>
      </c>
      <c r="AD31" s="31" t="str">
        <f>Global!FY31</f>
        <v/>
      </c>
      <c r="AE31" s="31" t="str">
        <f>Global!FZ31</f>
        <v/>
      </c>
      <c r="AF31" s="31" t="str">
        <f>Global!GA31</f>
        <v/>
      </c>
      <c r="AG31" s="31" t="str">
        <f>Global!GB31</f>
        <v/>
      </c>
      <c r="AH31" s="31" t="str">
        <f>Global!GC31</f>
        <v/>
      </c>
      <c r="AI31" s="31" t="str">
        <f>Global!GD31</f>
        <v/>
      </c>
      <c r="AJ31" s="19"/>
      <c r="AK31" s="108">
        <f>COUNTIF(Juin[[#This Row],[1]:[30]],"RTT")+(COUNTIF(Juin[[#This Row],[1]:[31]],"dRTT")/2)</f>
        <v>0</v>
      </c>
      <c r="AL31" s="109">
        <f>COUNTIF(Juin[[#This Row],[1]:[30]],"C")+(COUNTIF(Juin[[#This Row],[1]:[30]],"DC")/2)</f>
        <v>0</v>
      </c>
      <c r="AM31" s="22">
        <f>COUNTIF(Juin[[#This Row],[1]:[30]],"M")</f>
        <v>0</v>
      </c>
      <c r="AN31" s="22">
        <f>COUNTIF(Juin[[#This Row],[1]:[30]],"AT")</f>
        <v>0</v>
      </c>
      <c r="AO31" s="84">
        <f t="shared" si="0"/>
        <v>0.82191780821917804</v>
      </c>
    </row>
    <row r="32" spans="1:41" ht="30" customHeight="1" x14ac:dyDescent="0.2">
      <c r="A32" s="15" t="s">
        <v>88</v>
      </c>
      <c r="B32" s="22" t="s">
        <v>199</v>
      </c>
      <c r="C32" s="22" t="s">
        <v>200</v>
      </c>
      <c r="D32" s="22" t="s">
        <v>201</v>
      </c>
      <c r="E32" s="44">
        <v>0</v>
      </c>
      <c r="F32" s="47" t="str">
        <f>Global!FA32</f>
        <v>C</v>
      </c>
      <c r="G32" s="31" t="str">
        <f>Global!FB32</f>
        <v/>
      </c>
      <c r="H32" s="31" t="str">
        <f>Global!FC32</f>
        <v/>
      </c>
      <c r="I32" s="31" t="str">
        <f>Global!FD32</f>
        <v/>
      </c>
      <c r="J32" s="31" t="str">
        <f>Global!FE32</f>
        <v/>
      </c>
      <c r="K32" s="31" t="str">
        <f>Global!FF32</f>
        <v/>
      </c>
      <c r="L32" s="31" t="str">
        <f>Global!FG32</f>
        <v/>
      </c>
      <c r="M32" s="31" t="str">
        <f>Global!FH32</f>
        <v/>
      </c>
      <c r="N32" s="31" t="str">
        <f>Global!FI32</f>
        <v/>
      </c>
      <c r="O32" s="31" t="str">
        <f>Global!FJ32</f>
        <v/>
      </c>
      <c r="P32" s="31" t="str">
        <f>Global!FK32</f>
        <v/>
      </c>
      <c r="Q32" s="31" t="str">
        <f>Global!FL32</f>
        <v/>
      </c>
      <c r="R32" s="31" t="str">
        <f>Global!FM32</f>
        <v/>
      </c>
      <c r="S32" s="31" t="str">
        <f>Global!FN32</f>
        <v/>
      </c>
      <c r="T32" s="31" t="str">
        <f>Global!FO32</f>
        <v/>
      </c>
      <c r="U32" s="31" t="str">
        <f>Global!FP32</f>
        <v/>
      </c>
      <c r="V32" s="31" t="str">
        <f>Global!FQ32</f>
        <v/>
      </c>
      <c r="W32" s="31" t="str">
        <f>Global!FR32</f>
        <v/>
      </c>
      <c r="X32" s="31" t="str">
        <f>Global!FS32</f>
        <v/>
      </c>
      <c r="Y32" s="31" t="str">
        <f>Global!FT32</f>
        <v/>
      </c>
      <c r="Z32" s="31" t="str">
        <f>Global!FU32</f>
        <v/>
      </c>
      <c r="AA32" s="31" t="str">
        <f>Global!FV32</f>
        <v/>
      </c>
      <c r="AB32" s="31" t="str">
        <f>Global!FW32</f>
        <v/>
      </c>
      <c r="AC32" s="31" t="str">
        <f>Global!FX32</f>
        <v/>
      </c>
      <c r="AD32" s="31" t="str">
        <f>Global!FY32</f>
        <v/>
      </c>
      <c r="AE32" s="31" t="str">
        <f>Global!FZ32</f>
        <v/>
      </c>
      <c r="AF32" s="31" t="str">
        <f>Global!GA32</f>
        <v/>
      </c>
      <c r="AG32" s="31" t="str">
        <f>Global!GB32</f>
        <v/>
      </c>
      <c r="AH32" s="31" t="str">
        <f>Global!GC32</f>
        <v/>
      </c>
      <c r="AI32" s="31" t="str">
        <f>Global!GD32</f>
        <v/>
      </c>
      <c r="AJ32" s="19"/>
      <c r="AK32" s="108">
        <f>COUNTIF(Juin[[#This Row],[1]:[30]],"RTT")+(COUNTIF(Juin[[#This Row],[1]:[31]],"dRTT")/2)</f>
        <v>0</v>
      </c>
      <c r="AL32" s="109">
        <f>COUNTIF(Juin[[#This Row],[1]:[30]],"C")+(COUNTIF(Juin[[#This Row],[1]:[30]],"DC")/2)</f>
        <v>1</v>
      </c>
      <c r="AM32" s="22">
        <f>COUNTIF(Juin[[#This Row],[1]:[30]],"M")</f>
        <v>0</v>
      </c>
      <c r="AN32" s="22">
        <f>COUNTIF(Juin[[#This Row],[1]:[30]],"AT")</f>
        <v>0</v>
      </c>
      <c r="AO32" s="84">
        <f t="shared" si="0"/>
        <v>0.82191780821917804</v>
      </c>
    </row>
    <row r="33" spans="1:41" ht="30" customHeight="1" x14ac:dyDescent="0.2">
      <c r="A33" s="13" t="s">
        <v>89</v>
      </c>
      <c r="B33" s="22" t="s">
        <v>202</v>
      </c>
      <c r="C33" s="22" t="s">
        <v>172</v>
      </c>
      <c r="D33" s="22" t="s">
        <v>203</v>
      </c>
      <c r="E33" s="44">
        <v>0</v>
      </c>
      <c r="F33" s="47" t="str">
        <f>Global!FA33</f>
        <v/>
      </c>
      <c r="G33" s="31" t="str">
        <f>Global!FB33</f>
        <v/>
      </c>
      <c r="H33" s="31" t="str">
        <f>Global!FC33</f>
        <v/>
      </c>
      <c r="I33" s="31" t="str">
        <f>Global!FD33</f>
        <v/>
      </c>
      <c r="J33" s="31" t="str">
        <f>Global!FE33</f>
        <v/>
      </c>
      <c r="K33" s="31" t="str">
        <f>Global!FF33</f>
        <v/>
      </c>
      <c r="L33" s="31" t="str">
        <f>Global!FG33</f>
        <v/>
      </c>
      <c r="M33" s="31" t="str">
        <f>Global!FH33</f>
        <v/>
      </c>
      <c r="N33" s="31" t="str">
        <f>Global!FI33</f>
        <v/>
      </c>
      <c r="O33" s="31" t="str">
        <f>Global!FJ33</f>
        <v/>
      </c>
      <c r="P33" s="31" t="str">
        <f>Global!FK33</f>
        <v/>
      </c>
      <c r="Q33" s="31" t="str">
        <f>Global!FL33</f>
        <v/>
      </c>
      <c r="R33" s="31" t="str">
        <f>Global!FM33</f>
        <v/>
      </c>
      <c r="S33" s="31" t="str">
        <f>Global!FN33</f>
        <v/>
      </c>
      <c r="T33" s="31" t="str">
        <f>Global!FO33</f>
        <v/>
      </c>
      <c r="U33" s="31" t="str">
        <f>Global!FP33</f>
        <v/>
      </c>
      <c r="V33" s="31" t="str">
        <f>Global!FQ33</f>
        <v/>
      </c>
      <c r="W33" s="31" t="str">
        <f>Global!FR33</f>
        <v/>
      </c>
      <c r="X33" s="31" t="str">
        <f>Global!FS33</f>
        <v/>
      </c>
      <c r="Y33" s="31" t="str">
        <f>Global!FT33</f>
        <v/>
      </c>
      <c r="Z33" s="31" t="str">
        <f>Global!FU33</f>
        <v/>
      </c>
      <c r="AA33" s="31" t="str">
        <f>Global!FV33</f>
        <v/>
      </c>
      <c r="AB33" s="31" t="str">
        <f>Global!FW33</f>
        <v/>
      </c>
      <c r="AC33" s="31" t="str">
        <f>Global!FX33</f>
        <v/>
      </c>
      <c r="AD33" s="31" t="str">
        <f>Global!FY33</f>
        <v/>
      </c>
      <c r="AE33" s="31" t="str">
        <f>Global!FZ33</f>
        <v/>
      </c>
      <c r="AF33" s="31" t="str">
        <f>Global!GA33</f>
        <v/>
      </c>
      <c r="AG33" s="31" t="str">
        <f>Global!GB33</f>
        <v/>
      </c>
      <c r="AH33" s="31" t="str">
        <f>Global!GC33</f>
        <v/>
      </c>
      <c r="AI33" s="31" t="str">
        <f>Global!GD33</f>
        <v/>
      </c>
      <c r="AJ33" s="19"/>
      <c r="AK33" s="108">
        <f>COUNTIF(Juin[[#This Row],[1]:[30]],"RTT")+(COUNTIF(Juin[[#This Row],[1]:[31]],"dRTT")/2)</f>
        <v>0</v>
      </c>
      <c r="AL33" s="109">
        <f>COUNTIF(Juin[[#This Row],[1]:[30]],"C")+(COUNTIF(Juin[[#This Row],[1]:[30]],"DC")/2)</f>
        <v>0</v>
      </c>
      <c r="AM33" s="22">
        <f>COUNTIF(Juin[[#This Row],[1]:[30]],"M")</f>
        <v>0</v>
      </c>
      <c r="AN33" s="22">
        <f>COUNTIF(Juin[[#This Row],[1]:[30]],"AT")</f>
        <v>0</v>
      </c>
      <c r="AO33" s="84">
        <f t="shared" si="0"/>
        <v>0.82191780821917804</v>
      </c>
    </row>
    <row r="34" spans="1:41" ht="30" customHeight="1" x14ac:dyDescent="0.2">
      <c r="A34" s="13" t="s">
        <v>90</v>
      </c>
      <c r="B34" s="22" t="s">
        <v>204</v>
      </c>
      <c r="C34" s="22" t="s">
        <v>205</v>
      </c>
      <c r="D34" s="22" t="s">
        <v>206</v>
      </c>
      <c r="E34" s="44" t="s">
        <v>162</v>
      </c>
      <c r="F34" s="47" t="str">
        <f>Global!FA34</f>
        <v/>
      </c>
      <c r="G34" s="31" t="str">
        <f>Global!FB34</f>
        <v/>
      </c>
      <c r="H34" s="31" t="str">
        <f>Global!FC34</f>
        <v/>
      </c>
      <c r="I34" s="31" t="str">
        <f>Global!FD34</f>
        <v/>
      </c>
      <c r="J34" s="31" t="str">
        <f>Global!FE34</f>
        <v/>
      </c>
      <c r="K34" s="31" t="str">
        <f>Global!FF34</f>
        <v/>
      </c>
      <c r="L34" s="31" t="str">
        <f>Global!FG34</f>
        <v/>
      </c>
      <c r="M34" s="31" t="str">
        <f>Global!FH34</f>
        <v/>
      </c>
      <c r="N34" s="31" t="str">
        <f>Global!FI34</f>
        <v/>
      </c>
      <c r="O34" s="31" t="str">
        <f>Global!FJ34</f>
        <v/>
      </c>
      <c r="P34" s="31" t="str">
        <f>Global!FK34</f>
        <v/>
      </c>
      <c r="Q34" s="31" t="str">
        <f>Global!FL34</f>
        <v/>
      </c>
      <c r="R34" s="31" t="str">
        <f>Global!FM34</f>
        <v/>
      </c>
      <c r="S34" s="31" t="str">
        <f>Global!FN34</f>
        <v/>
      </c>
      <c r="T34" s="31" t="str">
        <f>Global!FO34</f>
        <v/>
      </c>
      <c r="U34" s="31" t="str">
        <f>Global!FP34</f>
        <v/>
      </c>
      <c r="V34" s="31" t="str">
        <f>Global!FQ34</f>
        <v/>
      </c>
      <c r="W34" s="31" t="str">
        <f>Global!FR34</f>
        <v/>
      </c>
      <c r="X34" s="31" t="str">
        <f>Global!FS34</f>
        <v/>
      </c>
      <c r="Y34" s="31" t="str">
        <f>Global!FT34</f>
        <v/>
      </c>
      <c r="Z34" s="31" t="str">
        <f>Global!FU34</f>
        <v/>
      </c>
      <c r="AA34" s="31" t="str">
        <f>Global!FV34</f>
        <v/>
      </c>
      <c r="AB34" s="31" t="str">
        <f>Global!FW34</f>
        <v/>
      </c>
      <c r="AC34" s="31" t="str">
        <f>Global!FX34</f>
        <v/>
      </c>
      <c r="AD34" s="31" t="str">
        <f>Global!FY34</f>
        <v/>
      </c>
      <c r="AE34" s="31" t="str">
        <f>Global!FZ34</f>
        <v/>
      </c>
      <c r="AF34" s="31" t="str">
        <f>Global!GA34</f>
        <v/>
      </c>
      <c r="AG34" s="31" t="str">
        <f>Global!GB34</f>
        <v/>
      </c>
      <c r="AH34" s="31" t="str">
        <f>Global!GC34</f>
        <v/>
      </c>
      <c r="AI34" s="31" t="str">
        <f>Global!GD34</f>
        <v/>
      </c>
      <c r="AJ34" s="19"/>
      <c r="AK34" s="108">
        <f>COUNTIF(Juin[[#This Row],[1]:[30]],"RTT")+(COUNTIF(Juin[[#This Row],[1]:[31]],"dRTT")/2)</f>
        <v>0</v>
      </c>
      <c r="AL34" s="109">
        <f>COUNTIF(Juin[[#This Row],[1]:[30]],"C")+(COUNTIF(Juin[[#This Row],[1]:[30]],"DC")/2)</f>
        <v>0</v>
      </c>
      <c r="AM34" s="22">
        <f>COUNTIF(Juin[[#This Row],[1]:[30]],"M")</f>
        <v>0</v>
      </c>
      <c r="AN34" s="22">
        <f>COUNTIF(Juin[[#This Row],[1]:[30]],"AT")</f>
        <v>0</v>
      </c>
      <c r="AO34" s="84">
        <f t="shared" si="0"/>
        <v>0.82191780821917804</v>
      </c>
    </row>
    <row r="35" spans="1:41" ht="30" customHeight="1" x14ac:dyDescent="0.2">
      <c r="A35" s="13" t="s">
        <v>91</v>
      </c>
      <c r="B35" s="22" t="s">
        <v>207</v>
      </c>
      <c r="C35" s="22" t="s">
        <v>208</v>
      </c>
      <c r="D35" s="22" t="s">
        <v>209</v>
      </c>
      <c r="E35" s="44" t="s">
        <v>162</v>
      </c>
      <c r="F35" s="47" t="str">
        <f>Global!FA35</f>
        <v/>
      </c>
      <c r="G35" s="31" t="str">
        <f>Global!FB35</f>
        <v/>
      </c>
      <c r="H35" s="31" t="str">
        <f>Global!FC35</f>
        <v/>
      </c>
      <c r="I35" s="31" t="str">
        <f>Global!FD35</f>
        <v/>
      </c>
      <c r="J35" s="31" t="str">
        <f>Global!FE35</f>
        <v/>
      </c>
      <c r="K35" s="31" t="str">
        <f>Global!FF35</f>
        <v/>
      </c>
      <c r="L35" s="31" t="str">
        <f>Global!FG35</f>
        <v/>
      </c>
      <c r="M35" s="31" t="str">
        <f>Global!FH35</f>
        <v/>
      </c>
      <c r="N35" s="31" t="str">
        <f>Global!FI35</f>
        <v/>
      </c>
      <c r="O35" s="31" t="str">
        <f>Global!FJ35</f>
        <v/>
      </c>
      <c r="P35" s="31" t="str">
        <f>Global!FK35</f>
        <v/>
      </c>
      <c r="Q35" s="31" t="str">
        <f>Global!FL35</f>
        <v/>
      </c>
      <c r="R35" s="31" t="str">
        <f>Global!FM35</f>
        <v/>
      </c>
      <c r="S35" s="31" t="str">
        <f>Global!FN35</f>
        <v/>
      </c>
      <c r="T35" s="31" t="str">
        <f>Global!FO35</f>
        <v/>
      </c>
      <c r="U35" s="31" t="str">
        <f>Global!FP35</f>
        <v/>
      </c>
      <c r="V35" s="31" t="str">
        <f>Global!FQ35</f>
        <v/>
      </c>
      <c r="W35" s="31" t="str">
        <f>Global!FR35</f>
        <v/>
      </c>
      <c r="X35" s="31" t="str">
        <f>Global!FS35</f>
        <v/>
      </c>
      <c r="Y35" s="31" t="str">
        <f>Global!FT35</f>
        <v/>
      </c>
      <c r="Z35" s="31" t="str">
        <f>Global!FU35</f>
        <v/>
      </c>
      <c r="AA35" s="31" t="str">
        <f>Global!FV35</f>
        <v/>
      </c>
      <c r="AB35" s="31" t="str">
        <f>Global!FW35</f>
        <v/>
      </c>
      <c r="AC35" s="31" t="str">
        <f>Global!FX35</f>
        <v/>
      </c>
      <c r="AD35" s="31" t="str">
        <f>Global!FY35</f>
        <v/>
      </c>
      <c r="AE35" s="31" t="str">
        <f>Global!FZ35</f>
        <v/>
      </c>
      <c r="AF35" s="31" t="str">
        <f>Global!GA35</f>
        <v/>
      </c>
      <c r="AG35" s="31" t="str">
        <f>Global!GB35</f>
        <v/>
      </c>
      <c r="AH35" s="31" t="str">
        <f>Global!GC35</f>
        <v/>
      </c>
      <c r="AI35" s="31" t="str">
        <f>Global!GD35</f>
        <v/>
      </c>
      <c r="AJ35" s="19"/>
      <c r="AK35" s="108">
        <f>COUNTIF(Juin[[#This Row],[1]:[30]],"RTT")+(COUNTIF(Juin[[#This Row],[1]:[31]],"dRTT")/2)</f>
        <v>0</v>
      </c>
      <c r="AL35" s="109">
        <f>COUNTIF(Juin[[#This Row],[1]:[30]],"C")+(COUNTIF(Juin[[#This Row],[1]:[30]],"DC")/2)</f>
        <v>0</v>
      </c>
      <c r="AM35" s="22">
        <f>COUNTIF(Juin[[#This Row],[1]:[30]],"M")</f>
        <v>0</v>
      </c>
      <c r="AN35" s="22">
        <f>COUNTIF(Juin[[#This Row],[1]:[30]],"AT")</f>
        <v>0</v>
      </c>
      <c r="AO35" s="84">
        <f t="shared" si="0"/>
        <v>0.82191780821917804</v>
      </c>
    </row>
    <row r="36" spans="1:41" ht="30" customHeight="1" x14ac:dyDescent="0.2">
      <c r="A36" s="13" t="s">
        <v>92</v>
      </c>
      <c r="B36" s="22" t="s">
        <v>210</v>
      </c>
      <c r="C36" s="22" t="s">
        <v>211</v>
      </c>
      <c r="D36" s="22" t="s">
        <v>212</v>
      </c>
      <c r="E36" s="44">
        <v>0</v>
      </c>
      <c r="F36" s="47" t="str">
        <f>Global!FA36</f>
        <v>RTT</v>
      </c>
      <c r="G36" s="31" t="str">
        <f>Global!FB36</f>
        <v/>
      </c>
      <c r="H36" s="31" t="str">
        <f>Global!FC36</f>
        <v/>
      </c>
      <c r="I36" s="31" t="str">
        <f>Global!FD36</f>
        <v/>
      </c>
      <c r="J36" s="31" t="str">
        <f>Global!FE36</f>
        <v/>
      </c>
      <c r="K36" s="31" t="str">
        <f>Global!FF36</f>
        <v/>
      </c>
      <c r="L36" s="31" t="str">
        <f>Global!FG36</f>
        <v/>
      </c>
      <c r="M36" s="31" t="str">
        <f>Global!FH36</f>
        <v/>
      </c>
      <c r="N36" s="31" t="str">
        <f>Global!FI36</f>
        <v/>
      </c>
      <c r="O36" s="31" t="str">
        <f>Global!FJ36</f>
        <v/>
      </c>
      <c r="P36" s="31" t="str">
        <f>Global!FK36</f>
        <v/>
      </c>
      <c r="Q36" s="31" t="str">
        <f>Global!FL36</f>
        <v/>
      </c>
      <c r="R36" s="31" t="str">
        <f>Global!FM36</f>
        <v/>
      </c>
      <c r="S36" s="31" t="str">
        <f>Global!FN36</f>
        <v/>
      </c>
      <c r="T36" s="31" t="str">
        <f>Global!FO36</f>
        <v/>
      </c>
      <c r="U36" s="31" t="str">
        <f>Global!FP36</f>
        <v/>
      </c>
      <c r="V36" s="31" t="str">
        <f>Global!FQ36</f>
        <v/>
      </c>
      <c r="W36" s="31" t="str">
        <f>Global!FR36</f>
        <v/>
      </c>
      <c r="X36" s="31" t="str">
        <f>Global!FS36</f>
        <v/>
      </c>
      <c r="Y36" s="31" t="str">
        <f>Global!FT36</f>
        <v/>
      </c>
      <c r="Z36" s="31" t="str">
        <f>Global!FU36</f>
        <v/>
      </c>
      <c r="AA36" s="31" t="str">
        <f>Global!FV36</f>
        <v/>
      </c>
      <c r="AB36" s="31" t="str">
        <f>Global!FW36</f>
        <v/>
      </c>
      <c r="AC36" s="31" t="str">
        <f>Global!FX36</f>
        <v/>
      </c>
      <c r="AD36" s="31" t="str">
        <f>Global!FY36</f>
        <v/>
      </c>
      <c r="AE36" s="31" t="str">
        <f>Global!FZ36</f>
        <v/>
      </c>
      <c r="AF36" s="31" t="str">
        <f>Global!GA36</f>
        <v/>
      </c>
      <c r="AG36" s="31" t="str">
        <f>Global!GB36</f>
        <v/>
      </c>
      <c r="AH36" s="31" t="str">
        <f>Global!GC36</f>
        <v/>
      </c>
      <c r="AI36" s="31" t="str">
        <f>Global!GD36</f>
        <v/>
      </c>
      <c r="AJ36" s="19"/>
      <c r="AK36" s="108">
        <f>COUNTIF(Juin[[#This Row],[1]:[30]],"RTT")+(COUNTIF(Juin[[#This Row],[1]:[31]],"dRTT")/2)</f>
        <v>1</v>
      </c>
      <c r="AL36" s="109">
        <f>COUNTIF(Juin[[#This Row],[1]:[30]],"C")+(COUNTIF(Juin[[#This Row],[1]:[30]],"DC")/2)</f>
        <v>0</v>
      </c>
      <c r="AM36" s="22">
        <f>COUNTIF(Juin[[#This Row],[1]:[30]],"M")</f>
        <v>0</v>
      </c>
      <c r="AN36" s="22">
        <f>COUNTIF(Juin[[#This Row],[1]:[30]],"AT")</f>
        <v>0</v>
      </c>
      <c r="AO36" s="84">
        <f t="shared" si="0"/>
        <v>0.82191780821917804</v>
      </c>
    </row>
    <row r="37" spans="1:41" ht="30" customHeight="1" x14ac:dyDescent="0.2">
      <c r="A37" s="13" t="s">
        <v>93</v>
      </c>
      <c r="B37" s="22" t="s">
        <v>213</v>
      </c>
      <c r="C37" s="22" t="s">
        <v>148</v>
      </c>
      <c r="D37" s="22" t="s">
        <v>214</v>
      </c>
      <c r="E37" s="44">
        <v>0</v>
      </c>
      <c r="F37" s="47" t="str">
        <f>Global!FA37</f>
        <v/>
      </c>
      <c r="G37" s="31" t="str">
        <f>Global!FB37</f>
        <v/>
      </c>
      <c r="H37" s="31" t="str">
        <f>Global!FC37</f>
        <v/>
      </c>
      <c r="I37" s="31" t="str">
        <f>Global!FD37</f>
        <v/>
      </c>
      <c r="J37" s="31" t="str">
        <f>Global!FE37</f>
        <v/>
      </c>
      <c r="K37" s="31" t="str">
        <f>Global!FF37</f>
        <v/>
      </c>
      <c r="L37" s="31" t="str">
        <f>Global!FG37</f>
        <v/>
      </c>
      <c r="M37" s="31" t="str">
        <f>Global!FH37</f>
        <v/>
      </c>
      <c r="N37" s="31" t="str">
        <f>Global!FI37</f>
        <v/>
      </c>
      <c r="O37" s="31" t="str">
        <f>Global!FJ37</f>
        <v/>
      </c>
      <c r="P37" s="31" t="str">
        <f>Global!FK37</f>
        <v/>
      </c>
      <c r="Q37" s="31" t="str">
        <f>Global!FL37</f>
        <v/>
      </c>
      <c r="R37" s="31" t="str">
        <f>Global!FM37</f>
        <v/>
      </c>
      <c r="S37" s="31" t="str">
        <f>Global!FN37</f>
        <v/>
      </c>
      <c r="T37" s="31" t="str">
        <f>Global!FO37</f>
        <v/>
      </c>
      <c r="U37" s="31" t="str">
        <f>Global!FP37</f>
        <v/>
      </c>
      <c r="V37" s="31" t="str">
        <f>Global!FQ37</f>
        <v/>
      </c>
      <c r="W37" s="31" t="str">
        <f>Global!FR37</f>
        <v/>
      </c>
      <c r="X37" s="31" t="str">
        <f>Global!FS37</f>
        <v/>
      </c>
      <c r="Y37" s="31" t="str">
        <f>Global!FT37</f>
        <v/>
      </c>
      <c r="Z37" s="31" t="str">
        <f>Global!FU37</f>
        <v/>
      </c>
      <c r="AA37" s="31" t="str">
        <f>Global!FV37</f>
        <v/>
      </c>
      <c r="AB37" s="31" t="str">
        <f>Global!FW37</f>
        <v/>
      </c>
      <c r="AC37" s="31" t="str">
        <f>Global!FX37</f>
        <v/>
      </c>
      <c r="AD37" s="31" t="str">
        <f>Global!FY37</f>
        <v/>
      </c>
      <c r="AE37" s="31" t="str">
        <f>Global!FZ37</f>
        <v/>
      </c>
      <c r="AF37" s="31" t="str">
        <f>Global!GA37</f>
        <v/>
      </c>
      <c r="AG37" s="31" t="str">
        <f>Global!GB37</f>
        <v/>
      </c>
      <c r="AH37" s="31" t="str">
        <f>Global!GC37</f>
        <v/>
      </c>
      <c r="AI37" s="31" t="str">
        <f>Global!GD37</f>
        <v/>
      </c>
      <c r="AJ37" s="19"/>
      <c r="AK37" s="108">
        <f>COUNTIF(Juin[[#This Row],[1]:[30]],"RTT")+(COUNTIF(Juin[[#This Row],[1]:[31]],"dRTT")/2)</f>
        <v>0</v>
      </c>
      <c r="AL37" s="109">
        <f>COUNTIF(Juin[[#This Row],[1]:[30]],"C")+(COUNTIF(Juin[[#This Row],[1]:[30]],"DC")/2)</f>
        <v>0</v>
      </c>
      <c r="AM37" s="22">
        <f>COUNTIF(Juin[[#This Row],[1]:[30]],"M")</f>
        <v>0</v>
      </c>
      <c r="AN37" s="22">
        <f>COUNTIF(Juin[[#This Row],[1]:[30]],"AT")</f>
        <v>0</v>
      </c>
      <c r="AO37" s="84">
        <f t="shared" si="0"/>
        <v>0.82191780821917804</v>
      </c>
    </row>
    <row r="38" spans="1:41" ht="30" customHeight="1" x14ac:dyDescent="0.2">
      <c r="A38" s="13" t="s">
        <v>94</v>
      </c>
      <c r="B38" s="22" t="s">
        <v>215</v>
      </c>
      <c r="C38" s="22" t="s">
        <v>216</v>
      </c>
      <c r="D38" s="22" t="s">
        <v>217</v>
      </c>
      <c r="E38" s="44">
        <v>0</v>
      </c>
      <c r="F38" s="47" t="str">
        <f>Global!FA38</f>
        <v/>
      </c>
      <c r="G38" s="31" t="str">
        <f>Global!FB38</f>
        <v/>
      </c>
      <c r="H38" s="31" t="str">
        <f>Global!FC38</f>
        <v/>
      </c>
      <c r="I38" s="31" t="str">
        <f>Global!FD38</f>
        <v/>
      </c>
      <c r="J38" s="31" t="str">
        <f>Global!FE38</f>
        <v/>
      </c>
      <c r="K38" s="31" t="str">
        <f>Global!FF38</f>
        <v/>
      </c>
      <c r="L38" s="31" t="str">
        <f>Global!FG38</f>
        <v/>
      </c>
      <c r="M38" s="31" t="str">
        <f>Global!FH38</f>
        <v/>
      </c>
      <c r="N38" s="31" t="str">
        <f>Global!FI38</f>
        <v/>
      </c>
      <c r="O38" s="31" t="str">
        <f>Global!FJ38</f>
        <v/>
      </c>
      <c r="P38" s="31" t="str">
        <f>Global!FK38</f>
        <v/>
      </c>
      <c r="Q38" s="31" t="str">
        <f>Global!FL38</f>
        <v/>
      </c>
      <c r="R38" s="31" t="str">
        <f>Global!FM38</f>
        <v/>
      </c>
      <c r="S38" s="31" t="str">
        <f>Global!FN38</f>
        <v/>
      </c>
      <c r="T38" s="31" t="str">
        <f>Global!FO38</f>
        <v/>
      </c>
      <c r="U38" s="31" t="str">
        <f>Global!FP38</f>
        <v/>
      </c>
      <c r="V38" s="31" t="str">
        <f>Global!FQ38</f>
        <v/>
      </c>
      <c r="W38" s="31" t="str">
        <f>Global!FR38</f>
        <v/>
      </c>
      <c r="X38" s="31" t="str">
        <f>Global!FS38</f>
        <v/>
      </c>
      <c r="Y38" s="31" t="str">
        <f>Global!FT38</f>
        <v/>
      </c>
      <c r="Z38" s="31" t="str">
        <f>Global!FU38</f>
        <v/>
      </c>
      <c r="AA38" s="31" t="str">
        <f>Global!FV38</f>
        <v/>
      </c>
      <c r="AB38" s="31" t="str">
        <f>Global!FW38</f>
        <v/>
      </c>
      <c r="AC38" s="31" t="str">
        <f>Global!FX38</f>
        <v/>
      </c>
      <c r="AD38" s="31" t="str">
        <f>Global!FY38</f>
        <v/>
      </c>
      <c r="AE38" s="31" t="str">
        <f>Global!FZ38</f>
        <v/>
      </c>
      <c r="AF38" s="31" t="str">
        <f>Global!GA38</f>
        <v/>
      </c>
      <c r="AG38" s="31" t="str">
        <f>Global!GB38</f>
        <v/>
      </c>
      <c r="AH38" s="31" t="str">
        <f>Global!GC38</f>
        <v/>
      </c>
      <c r="AI38" s="31" t="str">
        <f>Global!GD38</f>
        <v/>
      </c>
      <c r="AJ38" s="19"/>
      <c r="AK38" s="108">
        <f>COUNTIF(Juin[[#This Row],[1]:[30]],"RTT")+(COUNTIF(Juin[[#This Row],[1]:[31]],"dRTT")/2)</f>
        <v>0</v>
      </c>
      <c r="AL38" s="109">
        <f>COUNTIF(Juin[[#This Row],[1]:[30]],"C")+(COUNTIF(Juin[[#This Row],[1]:[30]],"DC")/2)</f>
        <v>0</v>
      </c>
      <c r="AM38" s="22">
        <f>COUNTIF(Juin[[#This Row],[1]:[30]],"M")</f>
        <v>0</v>
      </c>
      <c r="AN38" s="22">
        <f>COUNTIF(Juin[[#This Row],[1]:[30]],"AT")</f>
        <v>0</v>
      </c>
      <c r="AO38" s="84">
        <f t="shared" si="0"/>
        <v>0.82191780821917804</v>
      </c>
    </row>
    <row r="39" spans="1:41" ht="30" customHeight="1" x14ac:dyDescent="0.2">
      <c r="A39" s="16" t="s">
        <v>95</v>
      </c>
      <c r="B39" s="22" t="s">
        <v>218</v>
      </c>
      <c r="C39" s="22" t="s">
        <v>219</v>
      </c>
      <c r="D39" s="22" t="s">
        <v>220</v>
      </c>
      <c r="E39" s="44">
        <v>0</v>
      </c>
      <c r="F39" s="47" t="str">
        <f>Global!FA39</f>
        <v/>
      </c>
      <c r="G39" s="31" t="str">
        <f>Global!FB39</f>
        <v/>
      </c>
      <c r="H39" s="31" t="str">
        <f>Global!FC39</f>
        <v/>
      </c>
      <c r="I39" s="31" t="str">
        <f>Global!FD39</f>
        <v/>
      </c>
      <c r="J39" s="31" t="str">
        <f>Global!FE39</f>
        <v/>
      </c>
      <c r="K39" s="31" t="str">
        <f>Global!FF39</f>
        <v/>
      </c>
      <c r="L39" s="31" t="str">
        <f>Global!FG39</f>
        <v/>
      </c>
      <c r="M39" s="31" t="str">
        <f>Global!FH39</f>
        <v/>
      </c>
      <c r="N39" s="31" t="str">
        <f>Global!FI39</f>
        <v/>
      </c>
      <c r="O39" s="31" t="str">
        <f>Global!FJ39</f>
        <v/>
      </c>
      <c r="P39" s="31" t="str">
        <f>Global!FK39</f>
        <v/>
      </c>
      <c r="Q39" s="31" t="str">
        <f>Global!FL39</f>
        <v/>
      </c>
      <c r="R39" s="31" t="str">
        <f>Global!FM39</f>
        <v/>
      </c>
      <c r="S39" s="31" t="str">
        <f>Global!FN39</f>
        <v/>
      </c>
      <c r="T39" s="31" t="str">
        <f>Global!FO39</f>
        <v/>
      </c>
      <c r="U39" s="31" t="str">
        <f>Global!FP39</f>
        <v/>
      </c>
      <c r="V39" s="31" t="str">
        <f>Global!FQ39</f>
        <v/>
      </c>
      <c r="W39" s="31" t="str">
        <f>Global!FR39</f>
        <v/>
      </c>
      <c r="X39" s="31" t="str">
        <f>Global!FS39</f>
        <v/>
      </c>
      <c r="Y39" s="31" t="str">
        <f>Global!FT39</f>
        <v/>
      </c>
      <c r="Z39" s="31" t="str">
        <f>Global!FU39</f>
        <v/>
      </c>
      <c r="AA39" s="31" t="str">
        <f>Global!FV39</f>
        <v/>
      </c>
      <c r="AB39" s="31" t="str">
        <f>Global!FW39</f>
        <v/>
      </c>
      <c r="AC39" s="31" t="str">
        <f>Global!FX39</f>
        <v/>
      </c>
      <c r="AD39" s="31" t="str">
        <f>Global!FY39</f>
        <v/>
      </c>
      <c r="AE39" s="31" t="str">
        <f>Global!FZ39</f>
        <v/>
      </c>
      <c r="AF39" s="31" t="str">
        <f>Global!GA39</f>
        <v/>
      </c>
      <c r="AG39" s="31" t="str">
        <f>Global!GB39</f>
        <v/>
      </c>
      <c r="AH39" s="31" t="str">
        <f>Global!GC39</f>
        <v/>
      </c>
      <c r="AI39" s="31" t="str">
        <f>Global!GD39</f>
        <v/>
      </c>
      <c r="AJ39" s="19"/>
      <c r="AK39" s="108">
        <f>COUNTIF(Juin[[#This Row],[1]:[30]],"RTT")+(COUNTIF(Juin[[#This Row],[1]:[31]],"dRTT")/2)</f>
        <v>0</v>
      </c>
      <c r="AL39" s="109">
        <f>COUNTIF(Juin[[#This Row],[1]:[30]],"C")+(COUNTIF(Juin[[#This Row],[1]:[30]],"DC")/2)</f>
        <v>0</v>
      </c>
      <c r="AM39" s="22">
        <f>COUNTIF(Juin[[#This Row],[1]:[30]],"M")</f>
        <v>0</v>
      </c>
      <c r="AN39" s="22">
        <f>COUNTIF(Juin[[#This Row],[1]:[30]],"AT")</f>
        <v>0</v>
      </c>
      <c r="AO39" s="84">
        <f t="shared" si="0"/>
        <v>0.82191780821917804</v>
      </c>
    </row>
    <row r="40" spans="1:41" ht="30" customHeight="1" x14ac:dyDescent="0.2">
      <c r="A40" s="15" t="s">
        <v>96</v>
      </c>
      <c r="B40" s="22" t="s">
        <v>221</v>
      </c>
      <c r="C40" s="22" t="s">
        <v>222</v>
      </c>
      <c r="D40" s="22" t="s">
        <v>223</v>
      </c>
      <c r="E40" s="44">
        <v>0</v>
      </c>
      <c r="F40" s="47" t="str">
        <f>Global!FA40</f>
        <v/>
      </c>
      <c r="G40" s="31" t="str">
        <f>Global!FB40</f>
        <v/>
      </c>
      <c r="H40" s="31" t="str">
        <f>Global!FC40</f>
        <v/>
      </c>
      <c r="I40" s="31" t="str">
        <f>Global!FD40</f>
        <v/>
      </c>
      <c r="J40" s="31" t="str">
        <f>Global!FE40</f>
        <v/>
      </c>
      <c r="K40" s="31" t="str">
        <f>Global!FF40</f>
        <v/>
      </c>
      <c r="L40" s="31" t="str">
        <f>Global!FG40</f>
        <v/>
      </c>
      <c r="M40" s="31" t="str">
        <f>Global!FH40</f>
        <v/>
      </c>
      <c r="N40" s="31" t="str">
        <f>Global!FI40</f>
        <v/>
      </c>
      <c r="O40" s="31" t="str">
        <f>Global!FJ40</f>
        <v/>
      </c>
      <c r="P40" s="31" t="str">
        <f>Global!FK40</f>
        <v/>
      </c>
      <c r="Q40" s="31" t="str">
        <f>Global!FL40</f>
        <v/>
      </c>
      <c r="R40" s="31" t="str">
        <f>Global!FM40</f>
        <v/>
      </c>
      <c r="S40" s="31" t="str">
        <f>Global!FN40</f>
        <v/>
      </c>
      <c r="T40" s="31" t="str">
        <f>Global!FO40</f>
        <v/>
      </c>
      <c r="U40" s="31" t="str">
        <f>Global!FP40</f>
        <v/>
      </c>
      <c r="V40" s="31" t="str">
        <f>Global!FQ40</f>
        <v/>
      </c>
      <c r="W40" s="31" t="str">
        <f>Global!FR40</f>
        <v/>
      </c>
      <c r="X40" s="31" t="str">
        <f>Global!FS40</f>
        <v/>
      </c>
      <c r="Y40" s="31" t="str">
        <f>Global!FT40</f>
        <v/>
      </c>
      <c r="Z40" s="31" t="str">
        <f>Global!FU40</f>
        <v/>
      </c>
      <c r="AA40" s="31" t="str">
        <f>Global!FV40</f>
        <v/>
      </c>
      <c r="AB40" s="31" t="str">
        <f>Global!FW40</f>
        <v/>
      </c>
      <c r="AC40" s="31" t="str">
        <f>Global!FX40</f>
        <v/>
      </c>
      <c r="AD40" s="31" t="str">
        <f>Global!FY40</f>
        <v/>
      </c>
      <c r="AE40" s="31" t="str">
        <f>Global!FZ40</f>
        <v/>
      </c>
      <c r="AF40" s="31" t="str">
        <f>Global!GA40</f>
        <v/>
      </c>
      <c r="AG40" s="31" t="str">
        <f>Global!GB40</f>
        <v/>
      </c>
      <c r="AH40" s="31" t="str">
        <f>Global!GC40</f>
        <v/>
      </c>
      <c r="AI40" s="31" t="str">
        <f>Global!GD40</f>
        <v/>
      </c>
      <c r="AJ40" s="19"/>
      <c r="AK40" s="108">
        <f>COUNTIF(Juin[[#This Row],[1]:[30]],"RTT")+(COUNTIF(Juin[[#This Row],[1]:[31]],"dRTT")/2)</f>
        <v>0</v>
      </c>
      <c r="AL40" s="109">
        <f>COUNTIF(Juin[[#This Row],[1]:[30]],"C")+(COUNTIF(Juin[[#This Row],[1]:[30]],"DC")/2)</f>
        <v>0</v>
      </c>
      <c r="AM40" s="22">
        <f>COUNTIF(Juin[[#This Row],[1]:[30]],"M")</f>
        <v>0</v>
      </c>
      <c r="AN40" s="22">
        <f>COUNTIF(Juin[[#This Row],[1]:[30]],"AT")</f>
        <v>0</v>
      </c>
      <c r="AO40" s="84">
        <f t="shared" si="0"/>
        <v>0.82191780821917804</v>
      </c>
    </row>
    <row r="41" spans="1:41" ht="30" customHeight="1" x14ac:dyDescent="0.2">
      <c r="A41" s="15" t="s">
        <v>97</v>
      </c>
      <c r="B41" s="22" t="s">
        <v>224</v>
      </c>
      <c r="C41" s="22" t="s">
        <v>225</v>
      </c>
      <c r="D41" s="22" t="s">
        <v>226</v>
      </c>
      <c r="E41" s="44">
        <v>0</v>
      </c>
      <c r="F41" s="47" t="str">
        <f>Global!FA41</f>
        <v/>
      </c>
      <c r="G41" s="31" t="str">
        <f>Global!FB41</f>
        <v/>
      </c>
      <c r="H41" s="31" t="str">
        <f>Global!FC41</f>
        <v/>
      </c>
      <c r="I41" s="31" t="str">
        <f>Global!FD41</f>
        <v/>
      </c>
      <c r="J41" s="31" t="str">
        <f>Global!FE41</f>
        <v/>
      </c>
      <c r="K41" s="31" t="str">
        <f>Global!FF41</f>
        <v/>
      </c>
      <c r="L41" s="31" t="str">
        <f>Global!FG41</f>
        <v/>
      </c>
      <c r="M41" s="31" t="str">
        <f>Global!FH41</f>
        <v/>
      </c>
      <c r="N41" s="31" t="str">
        <f>Global!FI41</f>
        <v/>
      </c>
      <c r="O41" s="31" t="str">
        <f>Global!FJ41</f>
        <v/>
      </c>
      <c r="P41" s="31" t="str">
        <f>Global!FK41</f>
        <v/>
      </c>
      <c r="Q41" s="31" t="str">
        <f>Global!FL41</f>
        <v/>
      </c>
      <c r="R41" s="31" t="str">
        <f>Global!FM41</f>
        <v/>
      </c>
      <c r="S41" s="31" t="str">
        <f>Global!FN41</f>
        <v/>
      </c>
      <c r="T41" s="31" t="str">
        <f>Global!FO41</f>
        <v/>
      </c>
      <c r="U41" s="31" t="str">
        <f>Global!FP41</f>
        <v/>
      </c>
      <c r="V41" s="31" t="str">
        <f>Global!FQ41</f>
        <v/>
      </c>
      <c r="W41" s="31" t="str">
        <f>Global!FR41</f>
        <v/>
      </c>
      <c r="X41" s="31" t="str">
        <f>Global!FS41</f>
        <v/>
      </c>
      <c r="Y41" s="31" t="str">
        <f>Global!FT41</f>
        <v/>
      </c>
      <c r="Z41" s="31" t="str">
        <f>Global!FU41</f>
        <v/>
      </c>
      <c r="AA41" s="31" t="str">
        <f>Global!FV41</f>
        <v/>
      </c>
      <c r="AB41" s="31" t="str">
        <f>Global!FW41</f>
        <v/>
      </c>
      <c r="AC41" s="31" t="str">
        <f>Global!FX41</f>
        <v/>
      </c>
      <c r="AD41" s="31" t="str">
        <f>Global!FY41</f>
        <v/>
      </c>
      <c r="AE41" s="31" t="str">
        <f>Global!FZ41</f>
        <v/>
      </c>
      <c r="AF41" s="31" t="str">
        <f>Global!GA41</f>
        <v/>
      </c>
      <c r="AG41" s="31" t="str">
        <f>Global!GB41</f>
        <v/>
      </c>
      <c r="AH41" s="31" t="str">
        <f>Global!GC41</f>
        <v/>
      </c>
      <c r="AI41" s="31" t="str">
        <f>Global!GD41</f>
        <v/>
      </c>
      <c r="AJ41" s="19"/>
      <c r="AK41" s="108">
        <f>COUNTIF(Juin[[#This Row],[1]:[30]],"RTT")+(COUNTIF(Juin[[#This Row],[1]:[31]],"dRTT")/2)</f>
        <v>0</v>
      </c>
      <c r="AL41" s="109">
        <f>COUNTIF(Juin[[#This Row],[1]:[30]],"C")+(COUNTIF(Juin[[#This Row],[1]:[30]],"DC")/2)</f>
        <v>0</v>
      </c>
      <c r="AM41" s="22">
        <f>COUNTIF(Juin[[#This Row],[1]:[30]],"M")</f>
        <v>0</v>
      </c>
      <c r="AN41" s="22">
        <f>COUNTIF(Juin[[#This Row],[1]:[30]],"AT")</f>
        <v>0</v>
      </c>
      <c r="AO41" s="84">
        <f t="shared" si="0"/>
        <v>0.82191780821917804</v>
      </c>
    </row>
    <row r="42" spans="1:41" ht="30" customHeight="1" x14ac:dyDescent="0.2">
      <c r="A42" s="13" t="s">
        <v>98</v>
      </c>
      <c r="B42" s="22" t="s">
        <v>227</v>
      </c>
      <c r="C42" s="22" t="s">
        <v>228</v>
      </c>
      <c r="D42" s="22" t="s">
        <v>229</v>
      </c>
      <c r="E42" s="44">
        <v>0</v>
      </c>
      <c r="F42" s="47" t="str">
        <f>Global!FA42</f>
        <v/>
      </c>
      <c r="G42" s="31" t="str">
        <f>Global!FB42</f>
        <v/>
      </c>
      <c r="H42" s="31" t="str">
        <f>Global!FC42</f>
        <v/>
      </c>
      <c r="I42" s="31" t="str">
        <f>Global!FD42</f>
        <v/>
      </c>
      <c r="J42" s="31" t="str">
        <f>Global!FE42</f>
        <v/>
      </c>
      <c r="K42" s="31" t="str">
        <f>Global!FF42</f>
        <v/>
      </c>
      <c r="L42" s="31" t="str">
        <f>Global!FG42</f>
        <v/>
      </c>
      <c r="M42" s="31" t="str">
        <f>Global!FH42</f>
        <v/>
      </c>
      <c r="N42" s="31" t="str">
        <f>Global!FI42</f>
        <v/>
      </c>
      <c r="O42" s="31" t="str">
        <f>Global!FJ42</f>
        <v/>
      </c>
      <c r="P42" s="31" t="str">
        <f>Global!FK42</f>
        <v/>
      </c>
      <c r="Q42" s="31" t="str">
        <f>Global!FL42</f>
        <v/>
      </c>
      <c r="R42" s="31" t="str">
        <f>Global!FM42</f>
        <v/>
      </c>
      <c r="S42" s="31" t="str">
        <f>Global!FN42</f>
        <v/>
      </c>
      <c r="T42" s="31" t="str">
        <f>Global!FO42</f>
        <v/>
      </c>
      <c r="U42" s="31" t="str">
        <f>Global!FP42</f>
        <v/>
      </c>
      <c r="V42" s="31" t="str">
        <f>Global!FQ42</f>
        <v/>
      </c>
      <c r="W42" s="31" t="str">
        <f>Global!FR42</f>
        <v>C</v>
      </c>
      <c r="X42" s="31" t="str">
        <f>Global!FS42</f>
        <v>C</v>
      </c>
      <c r="Y42" s="31" t="str">
        <f>Global!FT42</f>
        <v>C</v>
      </c>
      <c r="Z42" s="31" t="str">
        <f>Global!FU42</f>
        <v>C</v>
      </c>
      <c r="AA42" s="31" t="str">
        <f>Global!FV42</f>
        <v>C</v>
      </c>
      <c r="AB42" s="31" t="str">
        <f>Global!FW42</f>
        <v/>
      </c>
      <c r="AC42" s="31" t="str">
        <f>Global!FX42</f>
        <v/>
      </c>
      <c r="AD42" s="31" t="str">
        <f>Global!FY42</f>
        <v>C</v>
      </c>
      <c r="AE42" s="31" t="str">
        <f>Global!FZ42</f>
        <v>C</v>
      </c>
      <c r="AF42" s="31" t="str">
        <f>Global!GA42</f>
        <v>C</v>
      </c>
      <c r="AG42" s="31" t="str">
        <f>Global!GB42</f>
        <v>C</v>
      </c>
      <c r="AH42" s="31" t="str">
        <f>Global!GC42</f>
        <v>C</v>
      </c>
      <c r="AI42" s="31" t="str">
        <f>Global!GD42</f>
        <v/>
      </c>
      <c r="AJ42" s="19"/>
      <c r="AK42" s="108">
        <f>COUNTIF(Juin[[#This Row],[1]:[30]],"RTT")+(COUNTIF(Juin[[#This Row],[1]:[31]],"dRTT")/2)</f>
        <v>0</v>
      </c>
      <c r="AL42" s="109">
        <f>COUNTIF(Juin[[#This Row],[1]:[30]],"C")+(COUNTIF(Juin[[#This Row],[1]:[30]],"DC")/2)</f>
        <v>10</v>
      </c>
      <c r="AM42" s="22">
        <f>COUNTIF(Juin[[#This Row],[1]:[30]],"M")</f>
        <v>0</v>
      </c>
      <c r="AN42" s="22">
        <f>COUNTIF(Juin[[#This Row],[1]:[30]],"AT")</f>
        <v>0</v>
      </c>
      <c r="AO42" s="84">
        <f t="shared" si="0"/>
        <v>0.82191780821917804</v>
      </c>
    </row>
    <row r="43" spans="1:41" ht="30" customHeight="1" x14ac:dyDescent="0.2">
      <c r="A43" s="15" t="s">
        <v>99</v>
      </c>
      <c r="B43" s="22" t="s">
        <v>230</v>
      </c>
      <c r="C43" s="22" t="s">
        <v>231</v>
      </c>
      <c r="D43" s="22" t="s">
        <v>232</v>
      </c>
      <c r="E43" s="44">
        <v>0</v>
      </c>
      <c r="F43" s="47" t="str">
        <f>Global!FA43</f>
        <v>C</v>
      </c>
      <c r="G43" s="31" t="str">
        <f>Global!FB43</f>
        <v/>
      </c>
      <c r="H43" s="31" t="str">
        <f>Global!FC43</f>
        <v/>
      </c>
      <c r="I43" s="31" t="str">
        <f>Global!FD43</f>
        <v/>
      </c>
      <c r="J43" s="31" t="str">
        <f>Global!FE43</f>
        <v/>
      </c>
      <c r="K43" s="31" t="str">
        <f>Global!FF43</f>
        <v/>
      </c>
      <c r="L43" s="31" t="str">
        <f>Global!FG43</f>
        <v/>
      </c>
      <c r="M43" s="31" t="str">
        <f>Global!FH43</f>
        <v/>
      </c>
      <c r="N43" s="31" t="str">
        <f>Global!FI43</f>
        <v/>
      </c>
      <c r="O43" s="31" t="str">
        <f>Global!FJ43</f>
        <v/>
      </c>
      <c r="P43" s="31" t="str">
        <f>Global!FK43</f>
        <v/>
      </c>
      <c r="Q43" s="31" t="str">
        <f>Global!FL43</f>
        <v/>
      </c>
      <c r="R43" s="31" t="str">
        <f>Global!FM43</f>
        <v/>
      </c>
      <c r="S43" s="31" t="str">
        <f>Global!FN43</f>
        <v/>
      </c>
      <c r="T43" s="31" t="str">
        <f>Global!FO43</f>
        <v/>
      </c>
      <c r="U43" s="31" t="str">
        <f>Global!FP43</f>
        <v/>
      </c>
      <c r="V43" s="31" t="str">
        <f>Global!FQ43</f>
        <v/>
      </c>
      <c r="W43" s="31" t="str">
        <f>Global!FR43</f>
        <v/>
      </c>
      <c r="X43" s="31" t="str">
        <f>Global!FS43</f>
        <v/>
      </c>
      <c r="Y43" s="31" t="str">
        <f>Global!FT43</f>
        <v/>
      </c>
      <c r="Z43" s="31" t="str">
        <f>Global!FU43</f>
        <v/>
      </c>
      <c r="AA43" s="31" t="str">
        <f>Global!FV43</f>
        <v/>
      </c>
      <c r="AB43" s="31" t="str">
        <f>Global!FW43</f>
        <v/>
      </c>
      <c r="AC43" s="31" t="str">
        <f>Global!FX43</f>
        <v/>
      </c>
      <c r="AD43" s="31" t="str">
        <f>Global!FY43</f>
        <v/>
      </c>
      <c r="AE43" s="31" t="str">
        <f>Global!FZ43</f>
        <v/>
      </c>
      <c r="AF43" s="31" t="str">
        <f>Global!GA43</f>
        <v/>
      </c>
      <c r="AG43" s="31" t="str">
        <f>Global!GB43</f>
        <v/>
      </c>
      <c r="AH43" s="31" t="str">
        <f>Global!GC43</f>
        <v/>
      </c>
      <c r="AI43" s="31" t="str">
        <f>Global!GD43</f>
        <v/>
      </c>
      <c r="AJ43" s="19"/>
      <c r="AK43" s="108">
        <f>COUNTIF(Juin[[#This Row],[1]:[30]],"RTT")+(COUNTIF(Juin[[#This Row],[1]:[31]],"dRTT")/2)</f>
        <v>0</v>
      </c>
      <c r="AL43" s="109">
        <f>COUNTIF(Juin[[#This Row],[1]:[30]],"C")+(COUNTIF(Juin[[#This Row],[1]:[30]],"DC")/2)</f>
        <v>1</v>
      </c>
      <c r="AM43" s="22">
        <f>COUNTIF(Juin[[#This Row],[1]:[30]],"M")</f>
        <v>0</v>
      </c>
      <c r="AN43" s="22">
        <f>COUNTIF(Juin[[#This Row],[1]:[30]],"AT")</f>
        <v>0</v>
      </c>
      <c r="AO43" s="84">
        <f t="shared" si="0"/>
        <v>0.82191780821917804</v>
      </c>
    </row>
    <row r="44" spans="1:41" ht="30" customHeight="1" x14ac:dyDescent="0.2">
      <c r="A44" s="15" t="s">
        <v>100</v>
      </c>
      <c r="B44" s="22" t="s">
        <v>233</v>
      </c>
      <c r="C44" s="22" t="s">
        <v>234</v>
      </c>
      <c r="D44" s="22" t="s">
        <v>235</v>
      </c>
      <c r="E44" s="44">
        <v>0</v>
      </c>
      <c r="F44" s="47" t="str">
        <f>Global!FA44</f>
        <v>M</v>
      </c>
      <c r="G44" s="31" t="str">
        <f>Global!FB44</f>
        <v>M</v>
      </c>
      <c r="H44" s="31" t="str">
        <f>Global!FC44</f>
        <v>M</v>
      </c>
      <c r="I44" s="31" t="str">
        <f>Global!FD44</f>
        <v>M</v>
      </c>
      <c r="J44" s="31" t="str">
        <f>Global!FE44</f>
        <v>M</v>
      </c>
      <c r="K44" s="31" t="str">
        <f>Global!FF44</f>
        <v>M</v>
      </c>
      <c r="L44" s="31" t="str">
        <f>Global!FG44</f>
        <v>M</v>
      </c>
      <c r="M44" s="31" t="str">
        <f>Global!FH44</f>
        <v>M</v>
      </c>
      <c r="N44" s="31" t="str">
        <f>Global!FI44</f>
        <v>M</v>
      </c>
      <c r="O44" s="31" t="str">
        <f>Global!FJ44</f>
        <v>M</v>
      </c>
      <c r="P44" s="31" t="str">
        <f>Global!FK44</f>
        <v>M</v>
      </c>
      <c r="Q44" s="31" t="str">
        <f>Global!FL44</f>
        <v>M</v>
      </c>
      <c r="R44" s="31" t="str">
        <f>Global!FM44</f>
        <v>M</v>
      </c>
      <c r="S44" s="31" t="str">
        <f>Global!FN44</f>
        <v>M</v>
      </c>
      <c r="T44" s="31" t="str">
        <f>Global!FO44</f>
        <v>M</v>
      </c>
      <c r="U44" s="31" t="str">
        <f>Global!FP44</f>
        <v>M</v>
      </c>
      <c r="V44" s="31" t="str">
        <f>Global!FQ44</f>
        <v>M</v>
      </c>
      <c r="W44" s="31" t="str">
        <f>Global!FR44</f>
        <v>M</v>
      </c>
      <c r="X44" s="31" t="str">
        <f>Global!FS44</f>
        <v>M</v>
      </c>
      <c r="Y44" s="31" t="str">
        <f>Global!FT44</f>
        <v>M</v>
      </c>
      <c r="Z44" s="31" t="str">
        <f>Global!FU44</f>
        <v>M</v>
      </c>
      <c r="AA44" s="31" t="str">
        <f>Global!FV44</f>
        <v>M</v>
      </c>
      <c r="AB44" s="31" t="str">
        <f>Global!FW44</f>
        <v>M</v>
      </c>
      <c r="AC44" s="31" t="str">
        <f>Global!FX44</f>
        <v>M</v>
      </c>
      <c r="AD44" s="31" t="str">
        <f>Global!FY44</f>
        <v>M</v>
      </c>
      <c r="AE44" s="31" t="str">
        <f>Global!FZ44</f>
        <v>M</v>
      </c>
      <c r="AF44" s="31" t="str">
        <f>Global!GA44</f>
        <v>M</v>
      </c>
      <c r="AG44" s="31" t="str">
        <f>Global!GB44</f>
        <v>M</v>
      </c>
      <c r="AH44" s="31" t="str">
        <f>Global!GC44</f>
        <v>M</v>
      </c>
      <c r="AI44" s="31" t="str">
        <f>Global!GD44</f>
        <v/>
      </c>
      <c r="AJ44" s="19"/>
      <c r="AK44" s="108">
        <f>COUNTIF(Juin[[#This Row],[1]:[30]],"RTT")+(COUNTIF(Juin[[#This Row],[1]:[31]],"dRTT")/2)</f>
        <v>0</v>
      </c>
      <c r="AL44" s="109">
        <f>COUNTIF(Juin[[#This Row],[1]:[30]],"C")+(COUNTIF(Juin[[#This Row],[1]:[30]],"DC")/2)</f>
        <v>0</v>
      </c>
      <c r="AM44" s="22">
        <f>COUNTIF(Juin[[#This Row],[1]:[30]],"M")</f>
        <v>29</v>
      </c>
      <c r="AN44" s="22">
        <f>COUNTIF(Juin[[#This Row],[1]:[30]],"AT")</f>
        <v>0</v>
      </c>
      <c r="AO44" s="84">
        <f t="shared" si="0"/>
        <v>2.7397260273972601E-2</v>
      </c>
    </row>
    <row r="45" spans="1:41" ht="30" customHeight="1" x14ac:dyDescent="0.2">
      <c r="A45" s="15" t="s">
        <v>101</v>
      </c>
      <c r="B45" s="22" t="s">
        <v>236</v>
      </c>
      <c r="C45" s="22" t="s">
        <v>237</v>
      </c>
      <c r="D45" s="22" t="s">
        <v>238</v>
      </c>
      <c r="E45" s="44">
        <v>0</v>
      </c>
      <c r="F45" s="47" t="str">
        <f>Global!FA45</f>
        <v>RTT</v>
      </c>
      <c r="G45" s="31" t="str">
        <f>Global!FB45</f>
        <v/>
      </c>
      <c r="H45" s="31" t="str">
        <f>Global!FC45</f>
        <v/>
      </c>
      <c r="I45" s="31" t="str">
        <f>Global!FD45</f>
        <v/>
      </c>
      <c r="J45" s="31" t="str">
        <f>Global!FE45</f>
        <v/>
      </c>
      <c r="K45" s="31" t="str">
        <f>Global!FF45</f>
        <v/>
      </c>
      <c r="L45" s="31" t="str">
        <f>Global!FG45</f>
        <v/>
      </c>
      <c r="M45" s="31" t="str">
        <f>Global!FH45</f>
        <v/>
      </c>
      <c r="N45" s="31" t="str">
        <f>Global!FI45</f>
        <v/>
      </c>
      <c r="O45" s="31" t="str">
        <f>Global!FJ45</f>
        <v/>
      </c>
      <c r="P45" s="31" t="str">
        <f>Global!FK45</f>
        <v/>
      </c>
      <c r="Q45" s="31" t="str">
        <f>Global!FL45</f>
        <v/>
      </c>
      <c r="R45" s="31" t="str">
        <f>Global!FM45</f>
        <v/>
      </c>
      <c r="S45" s="31" t="str">
        <f>Global!FN45</f>
        <v/>
      </c>
      <c r="T45" s="31" t="str">
        <f>Global!FO45</f>
        <v/>
      </c>
      <c r="U45" s="31" t="str">
        <f>Global!FP45</f>
        <v/>
      </c>
      <c r="V45" s="31" t="str">
        <f>Global!FQ45</f>
        <v/>
      </c>
      <c r="W45" s="31" t="str">
        <f>Global!FR45</f>
        <v/>
      </c>
      <c r="X45" s="31" t="str">
        <f>Global!FS45</f>
        <v/>
      </c>
      <c r="Y45" s="31" t="str">
        <f>Global!FT45</f>
        <v/>
      </c>
      <c r="Z45" s="31" t="str">
        <f>Global!FU45</f>
        <v/>
      </c>
      <c r="AA45" s="31" t="str">
        <f>Global!FV45</f>
        <v/>
      </c>
      <c r="AB45" s="31" t="str">
        <f>Global!FW45</f>
        <v/>
      </c>
      <c r="AC45" s="31" t="str">
        <f>Global!FX45</f>
        <v/>
      </c>
      <c r="AD45" s="31" t="str">
        <f>Global!FY45</f>
        <v/>
      </c>
      <c r="AE45" s="31" t="str">
        <f>Global!FZ45</f>
        <v/>
      </c>
      <c r="AF45" s="31" t="str">
        <f>Global!GA45</f>
        <v/>
      </c>
      <c r="AG45" s="31" t="str">
        <f>Global!GB45</f>
        <v/>
      </c>
      <c r="AH45" s="31" t="str">
        <f>Global!GC45</f>
        <v/>
      </c>
      <c r="AI45" s="31" t="str">
        <f>Global!GD45</f>
        <v/>
      </c>
      <c r="AJ45" s="19"/>
      <c r="AK45" s="108">
        <f>COUNTIF(Juin[[#This Row],[1]:[30]],"RTT")+(COUNTIF(Juin[[#This Row],[1]:[31]],"dRTT")/2)</f>
        <v>1</v>
      </c>
      <c r="AL45" s="109">
        <f>COUNTIF(Juin[[#This Row],[1]:[30]],"C")+(COUNTIF(Juin[[#This Row],[1]:[30]],"DC")/2)</f>
        <v>0</v>
      </c>
      <c r="AM45" s="22">
        <f>COUNTIF(Juin[[#This Row],[1]:[30]],"M")</f>
        <v>0</v>
      </c>
      <c r="AN45" s="22">
        <f>COUNTIF(Juin[[#This Row],[1]:[30]],"AT")</f>
        <v>0</v>
      </c>
      <c r="AO45" s="84">
        <f t="shared" si="0"/>
        <v>0.82191780821917804</v>
      </c>
    </row>
    <row r="46" spans="1:41" ht="30" customHeight="1" x14ac:dyDescent="0.2">
      <c r="A46" s="17" t="s">
        <v>102</v>
      </c>
      <c r="B46" s="17" t="s">
        <v>239</v>
      </c>
      <c r="C46" s="17" t="s">
        <v>240</v>
      </c>
      <c r="D46" s="17" t="s">
        <v>241</v>
      </c>
      <c r="E46" s="23">
        <v>0</v>
      </c>
      <c r="F46" s="47" t="str">
        <f>Global!FA46</f>
        <v/>
      </c>
      <c r="G46" s="31" t="str">
        <f>Global!FB46</f>
        <v/>
      </c>
      <c r="H46" s="31" t="str">
        <f>Global!FC46</f>
        <v/>
      </c>
      <c r="I46" s="31" t="str">
        <f>Global!FD46</f>
        <v/>
      </c>
      <c r="J46" s="31" t="str">
        <f>Global!FE46</f>
        <v/>
      </c>
      <c r="K46" s="31" t="str">
        <f>Global!FF46</f>
        <v/>
      </c>
      <c r="L46" s="31" t="str">
        <f>Global!FG46</f>
        <v>C</v>
      </c>
      <c r="M46" s="31" t="str">
        <f>Global!FH46</f>
        <v/>
      </c>
      <c r="N46" s="31" t="str">
        <f>Global!FI46</f>
        <v/>
      </c>
      <c r="O46" s="31" t="str">
        <f>Global!FJ46</f>
        <v/>
      </c>
      <c r="P46" s="31" t="str">
        <f>Global!FK46</f>
        <v/>
      </c>
      <c r="Q46" s="31" t="str">
        <f>Global!FL46</f>
        <v/>
      </c>
      <c r="R46" s="31" t="str">
        <f>Global!FM46</f>
        <v/>
      </c>
      <c r="S46" s="31" t="str">
        <f>Global!FN46</f>
        <v/>
      </c>
      <c r="T46" s="31" t="str">
        <f>Global!FO46</f>
        <v/>
      </c>
      <c r="U46" s="31" t="str">
        <f>Global!FP46</f>
        <v/>
      </c>
      <c r="V46" s="31" t="str">
        <f>Global!FQ46</f>
        <v/>
      </c>
      <c r="W46" s="31" t="str">
        <f>Global!FR46</f>
        <v/>
      </c>
      <c r="X46" s="31" t="str">
        <f>Global!FS46</f>
        <v/>
      </c>
      <c r="Y46" s="31" t="str">
        <f>Global!FT46</f>
        <v/>
      </c>
      <c r="Z46" s="31" t="str">
        <f>Global!FU46</f>
        <v/>
      </c>
      <c r="AA46" s="31" t="str">
        <f>Global!FV46</f>
        <v/>
      </c>
      <c r="AB46" s="31" t="str">
        <f>Global!FW46</f>
        <v/>
      </c>
      <c r="AC46" s="31" t="str">
        <f>Global!FX46</f>
        <v/>
      </c>
      <c r="AD46" s="31" t="str">
        <f>Global!FY46</f>
        <v/>
      </c>
      <c r="AE46" s="31" t="str">
        <f>Global!FZ46</f>
        <v/>
      </c>
      <c r="AF46" s="31" t="str">
        <f>Global!GA46</f>
        <v/>
      </c>
      <c r="AG46" s="31" t="str">
        <f>Global!GB46</f>
        <v/>
      </c>
      <c r="AH46" s="31" t="str">
        <f>Global!GC46</f>
        <v/>
      </c>
      <c r="AI46" s="31" t="str">
        <f>Global!GD46</f>
        <v/>
      </c>
      <c r="AJ46" s="19"/>
      <c r="AK46" s="108">
        <f>COUNTIF(Juin[[#This Row],[1]:[30]],"RTT")+(COUNTIF(Juin[[#This Row],[1]:[31]],"dRTT")/2)</f>
        <v>0</v>
      </c>
      <c r="AL46" s="109">
        <f>COUNTIF(Juin[[#This Row],[1]:[30]],"C")+(COUNTIF(Juin[[#This Row],[1]:[30]],"DC")/2)</f>
        <v>1</v>
      </c>
      <c r="AM46" s="22">
        <f>COUNTIF(Juin[[#This Row],[1]:[30]],"M")</f>
        <v>0</v>
      </c>
      <c r="AN46" s="22">
        <f>COUNTIF(Juin[[#This Row],[1]:[30]],"AT")</f>
        <v>0</v>
      </c>
      <c r="AO46" s="84">
        <f t="shared" si="0"/>
        <v>0.82191780821917804</v>
      </c>
    </row>
    <row r="47" spans="1:41" ht="30" customHeight="1" x14ac:dyDescent="0.2">
      <c r="A47" s="17" t="s">
        <v>103</v>
      </c>
      <c r="B47" s="17" t="s">
        <v>242</v>
      </c>
      <c r="C47" s="17" t="s">
        <v>243</v>
      </c>
      <c r="D47" s="17" t="s">
        <v>244</v>
      </c>
      <c r="E47" s="23">
        <v>0</v>
      </c>
      <c r="F47" s="47" t="str">
        <f>Global!FA47</f>
        <v/>
      </c>
      <c r="G47" s="31" t="str">
        <f>Global!FB47</f>
        <v/>
      </c>
      <c r="H47" s="31" t="str">
        <f>Global!FC47</f>
        <v/>
      </c>
      <c r="I47" s="31" t="str">
        <f>Global!FD47</f>
        <v/>
      </c>
      <c r="J47" s="31" t="str">
        <f>Global!FE47</f>
        <v>C</v>
      </c>
      <c r="K47" s="31" t="str">
        <f>Global!FF47</f>
        <v/>
      </c>
      <c r="L47" s="31" t="str">
        <f>Global!FG47</f>
        <v/>
      </c>
      <c r="M47" s="31" t="str">
        <f>Global!FH47</f>
        <v/>
      </c>
      <c r="N47" s="31" t="str">
        <f>Global!FI47</f>
        <v/>
      </c>
      <c r="O47" s="31" t="str">
        <f>Global!FJ47</f>
        <v/>
      </c>
      <c r="P47" s="31" t="str">
        <f>Global!FK47</f>
        <v/>
      </c>
      <c r="Q47" s="31" t="str">
        <f>Global!FL47</f>
        <v>C</v>
      </c>
      <c r="R47" s="31" t="str">
        <f>Global!FM47</f>
        <v/>
      </c>
      <c r="S47" s="31" t="str">
        <f>Global!FN47</f>
        <v/>
      </c>
      <c r="T47" s="31" t="str">
        <f>Global!FO47</f>
        <v/>
      </c>
      <c r="U47" s="31" t="str">
        <f>Global!FP47</f>
        <v/>
      </c>
      <c r="V47" s="31" t="str">
        <f>Global!FQ47</f>
        <v/>
      </c>
      <c r="W47" s="31" t="str">
        <f>Global!FR47</f>
        <v/>
      </c>
      <c r="X47" s="31" t="str">
        <f>Global!FS47</f>
        <v>C</v>
      </c>
      <c r="Y47" s="31" t="str">
        <f>Global!FT47</f>
        <v/>
      </c>
      <c r="Z47" s="31" t="str">
        <f>Global!FU47</f>
        <v/>
      </c>
      <c r="AA47" s="31" t="str">
        <f>Global!FV47</f>
        <v/>
      </c>
      <c r="AB47" s="31" t="str">
        <f>Global!FW47</f>
        <v/>
      </c>
      <c r="AC47" s="31" t="str">
        <f>Global!FX47</f>
        <v/>
      </c>
      <c r="AD47" s="31" t="str">
        <f>Global!FY47</f>
        <v/>
      </c>
      <c r="AE47" s="31" t="str">
        <f>Global!FZ47</f>
        <v/>
      </c>
      <c r="AF47" s="31" t="str">
        <f>Global!GA47</f>
        <v/>
      </c>
      <c r="AG47" s="31" t="str">
        <f>Global!GB47</f>
        <v/>
      </c>
      <c r="AH47" s="31" t="str">
        <f>Global!GC47</f>
        <v/>
      </c>
      <c r="AI47" s="31" t="str">
        <f>Global!GD47</f>
        <v/>
      </c>
      <c r="AJ47" s="19"/>
      <c r="AK47" s="108">
        <f>COUNTIF(Juin[[#This Row],[1]:[30]],"RTT")+(COUNTIF(Juin[[#This Row],[1]:[31]],"dRTT")/2)</f>
        <v>0</v>
      </c>
      <c r="AL47" s="109">
        <f>COUNTIF(Juin[[#This Row],[1]:[30]],"C")+(COUNTIF(Juin[[#This Row],[1]:[30]],"DC")/2)</f>
        <v>3</v>
      </c>
      <c r="AM47" s="22">
        <f>COUNTIF(Juin[[#This Row],[1]:[30]],"M")</f>
        <v>0</v>
      </c>
      <c r="AN47" s="22">
        <f>COUNTIF(Juin[[#This Row],[1]:[30]],"AT")</f>
        <v>0</v>
      </c>
      <c r="AO47" s="84">
        <f t="shared" si="0"/>
        <v>0.82191780821917804</v>
      </c>
    </row>
    <row r="48" spans="1:41" ht="30" customHeight="1" x14ac:dyDescent="0.2">
      <c r="A48" s="17" t="s">
        <v>104</v>
      </c>
      <c r="B48" s="17" t="s">
        <v>245</v>
      </c>
      <c r="C48" s="17" t="s">
        <v>246</v>
      </c>
      <c r="D48" s="17" t="s">
        <v>247</v>
      </c>
      <c r="E48" s="23">
        <v>0</v>
      </c>
      <c r="F48" s="47" t="str">
        <f>Global!FA48</f>
        <v/>
      </c>
      <c r="G48" s="31" t="str">
        <f>Global!FB48</f>
        <v/>
      </c>
      <c r="H48" s="31" t="str">
        <f>Global!FC48</f>
        <v/>
      </c>
      <c r="I48" s="31" t="str">
        <f>Global!FD48</f>
        <v/>
      </c>
      <c r="J48" s="31" t="str">
        <f>Global!FE48</f>
        <v/>
      </c>
      <c r="K48" s="31" t="str">
        <f>Global!FF48</f>
        <v/>
      </c>
      <c r="L48" s="31" t="str">
        <f>Global!FG48</f>
        <v/>
      </c>
      <c r="M48" s="31" t="str">
        <f>Global!FH48</f>
        <v>C</v>
      </c>
      <c r="N48" s="31" t="str">
        <f>Global!FI48</f>
        <v/>
      </c>
      <c r="O48" s="31" t="str">
        <f>Global!FJ48</f>
        <v/>
      </c>
      <c r="P48" s="31" t="str">
        <f>Global!FK48</f>
        <v/>
      </c>
      <c r="Q48" s="31" t="str">
        <f>Global!FL48</f>
        <v/>
      </c>
      <c r="R48" s="31" t="str">
        <f>Global!FM48</f>
        <v/>
      </c>
      <c r="S48" s="31" t="str">
        <f>Global!FN48</f>
        <v/>
      </c>
      <c r="T48" s="31" t="str">
        <f>Global!FO48</f>
        <v/>
      </c>
      <c r="U48" s="31" t="str">
        <f>Global!FP48</f>
        <v/>
      </c>
      <c r="V48" s="31" t="str">
        <f>Global!FQ48</f>
        <v/>
      </c>
      <c r="W48" s="31" t="str">
        <f>Global!FR48</f>
        <v/>
      </c>
      <c r="X48" s="31" t="str">
        <f>Global!FS48</f>
        <v/>
      </c>
      <c r="Y48" s="31" t="str">
        <f>Global!FT48</f>
        <v/>
      </c>
      <c r="Z48" s="31" t="str">
        <f>Global!FU48</f>
        <v/>
      </c>
      <c r="AA48" s="31" t="str">
        <f>Global!FV48</f>
        <v/>
      </c>
      <c r="AB48" s="31" t="str">
        <f>Global!FW48</f>
        <v/>
      </c>
      <c r="AC48" s="31" t="str">
        <f>Global!FX48</f>
        <v/>
      </c>
      <c r="AD48" s="31" t="str">
        <f>Global!FY48</f>
        <v>C</v>
      </c>
      <c r="AE48" s="31" t="str">
        <f>Global!FZ48</f>
        <v>C</v>
      </c>
      <c r="AF48" s="31" t="str">
        <f>Global!GA48</f>
        <v>C</v>
      </c>
      <c r="AG48" s="31" t="str">
        <f>Global!GB48</f>
        <v>C</v>
      </c>
      <c r="AH48" s="31" t="str">
        <f>Global!GC48</f>
        <v>C</v>
      </c>
      <c r="AI48" s="31" t="str">
        <f>Global!GD48</f>
        <v/>
      </c>
      <c r="AJ48" s="19"/>
      <c r="AK48" s="108">
        <f>COUNTIF(Juin[[#This Row],[1]:[30]],"RTT")+(COUNTIF(Juin[[#This Row],[1]:[31]],"dRTT")/2)</f>
        <v>0</v>
      </c>
      <c r="AL48" s="109">
        <f>COUNTIF(Juin[[#This Row],[1]:[30]],"C")+(COUNTIF(Juin[[#This Row],[1]:[30]],"DC")/2)</f>
        <v>6</v>
      </c>
      <c r="AM48" s="22">
        <f>COUNTIF(Juin[[#This Row],[1]:[30]],"M")</f>
        <v>0</v>
      </c>
      <c r="AN48" s="22">
        <f>COUNTIF(Juin[[#This Row],[1]:[30]],"AT")</f>
        <v>0</v>
      </c>
      <c r="AO48" s="84">
        <f t="shared" si="0"/>
        <v>0.82191780821917804</v>
      </c>
    </row>
    <row r="49" spans="1:41" ht="30" customHeight="1" x14ac:dyDescent="0.2">
      <c r="A49" s="17" t="s">
        <v>105</v>
      </c>
      <c r="B49" s="17" t="s">
        <v>248</v>
      </c>
      <c r="C49" s="17" t="s">
        <v>249</v>
      </c>
      <c r="D49" s="17" t="s">
        <v>250</v>
      </c>
      <c r="E49" s="23">
        <v>0</v>
      </c>
      <c r="F49" s="47" t="str">
        <f>Global!FA49</f>
        <v>C</v>
      </c>
      <c r="G49" s="31" t="str">
        <f>Global!FB49</f>
        <v/>
      </c>
      <c r="H49" s="31" t="str">
        <f>Global!FC49</f>
        <v/>
      </c>
      <c r="I49" s="31" t="str">
        <f>Global!FD49</f>
        <v>C</v>
      </c>
      <c r="J49" s="31" t="str">
        <f>Global!FE49</f>
        <v>C</v>
      </c>
      <c r="K49" s="31" t="str">
        <f>Global!FF49</f>
        <v>C</v>
      </c>
      <c r="L49" s="31" t="str">
        <f>Global!FG49</f>
        <v>C</v>
      </c>
      <c r="M49" s="31" t="str">
        <f>Global!FH49</f>
        <v>C</v>
      </c>
      <c r="N49" s="31" t="str">
        <f>Global!FI49</f>
        <v/>
      </c>
      <c r="O49" s="31" t="str">
        <f>Global!FJ49</f>
        <v/>
      </c>
      <c r="P49" s="31" t="str">
        <f>Global!FK49</f>
        <v>C</v>
      </c>
      <c r="Q49" s="31" t="str">
        <f>Global!FL49</f>
        <v>C</v>
      </c>
      <c r="R49" s="31" t="str">
        <f>Global!FM49</f>
        <v>C</v>
      </c>
      <c r="S49" s="31" t="str">
        <f>Global!FN49</f>
        <v>C</v>
      </c>
      <c r="T49" s="31" t="str">
        <f>Global!FO49</f>
        <v>C</v>
      </c>
      <c r="U49" s="31" t="str">
        <f>Global!FP49</f>
        <v/>
      </c>
      <c r="V49" s="31" t="str">
        <f>Global!FQ49</f>
        <v/>
      </c>
      <c r="W49" s="31" t="str">
        <f>Global!FR49</f>
        <v/>
      </c>
      <c r="X49" s="31" t="str">
        <f>Global!FS49</f>
        <v/>
      </c>
      <c r="Y49" s="31" t="str">
        <f>Global!FT49</f>
        <v/>
      </c>
      <c r="Z49" s="31" t="str">
        <f>Global!FU49</f>
        <v/>
      </c>
      <c r="AA49" s="31" t="str">
        <f>Global!FV49</f>
        <v/>
      </c>
      <c r="AB49" s="31" t="str">
        <f>Global!FW49</f>
        <v/>
      </c>
      <c r="AC49" s="31" t="str">
        <f>Global!FX49</f>
        <v/>
      </c>
      <c r="AD49" s="31" t="str">
        <f>Global!FY49</f>
        <v/>
      </c>
      <c r="AE49" s="31" t="str">
        <f>Global!FZ49</f>
        <v/>
      </c>
      <c r="AF49" s="31" t="str">
        <f>Global!GA49</f>
        <v/>
      </c>
      <c r="AG49" s="31" t="str">
        <f>Global!GB49</f>
        <v/>
      </c>
      <c r="AH49" s="31" t="str">
        <f>Global!GC49</f>
        <v/>
      </c>
      <c r="AI49" s="31" t="str">
        <f>Global!GD49</f>
        <v/>
      </c>
      <c r="AJ49" s="19"/>
      <c r="AK49" s="108">
        <f>COUNTIF(Juin[[#This Row],[1]:[30]],"RTT")+(COUNTIF(Juin[[#This Row],[1]:[31]],"dRTT")/2)</f>
        <v>0</v>
      </c>
      <c r="AL49" s="109">
        <f>COUNTIF(Juin[[#This Row],[1]:[30]],"C")+(COUNTIF(Juin[[#This Row],[1]:[30]],"DC")/2)</f>
        <v>11</v>
      </c>
      <c r="AM49" s="22">
        <f>COUNTIF(Juin[[#This Row],[1]:[30]],"M")</f>
        <v>0</v>
      </c>
      <c r="AN49" s="22">
        <f>COUNTIF(Juin[[#This Row],[1]:[30]],"AT")</f>
        <v>0</v>
      </c>
      <c r="AO49" s="84">
        <f t="shared" si="0"/>
        <v>0.82191780821917804</v>
      </c>
    </row>
    <row r="50" spans="1:41" ht="30" customHeight="1" x14ac:dyDescent="0.2">
      <c r="A50" s="17" t="s">
        <v>106</v>
      </c>
      <c r="B50" s="17" t="s">
        <v>251</v>
      </c>
      <c r="C50" s="17" t="s">
        <v>252</v>
      </c>
      <c r="D50" s="17" t="s">
        <v>253</v>
      </c>
      <c r="E50" s="23">
        <v>0</v>
      </c>
      <c r="F50" s="47" t="str">
        <f>Global!FA50</f>
        <v/>
      </c>
      <c r="G50" s="31" t="str">
        <f>Global!FB50</f>
        <v/>
      </c>
      <c r="H50" s="31" t="str">
        <f>Global!FC50</f>
        <v/>
      </c>
      <c r="I50" s="31" t="str">
        <f>Global!FD50</f>
        <v/>
      </c>
      <c r="J50" s="31" t="str">
        <f>Global!FE50</f>
        <v/>
      </c>
      <c r="K50" s="31" t="str">
        <f>Global!FF50</f>
        <v/>
      </c>
      <c r="L50" s="31" t="str">
        <f>Global!FG50</f>
        <v/>
      </c>
      <c r="M50" s="31" t="str">
        <f>Global!FH50</f>
        <v/>
      </c>
      <c r="N50" s="31" t="str">
        <f>Global!FI50</f>
        <v/>
      </c>
      <c r="O50" s="31" t="str">
        <f>Global!FJ50</f>
        <v/>
      </c>
      <c r="P50" s="31" t="str">
        <f>Global!FK50</f>
        <v>C</v>
      </c>
      <c r="Q50" s="31" t="str">
        <f>Global!FL50</f>
        <v/>
      </c>
      <c r="R50" s="31" t="str">
        <f>Global!FM50</f>
        <v/>
      </c>
      <c r="S50" s="31" t="str">
        <f>Global!FN50</f>
        <v/>
      </c>
      <c r="T50" s="31" t="str">
        <f>Global!FO50</f>
        <v/>
      </c>
      <c r="U50" s="31" t="str">
        <f>Global!FP50</f>
        <v/>
      </c>
      <c r="V50" s="31" t="str">
        <f>Global!FQ50</f>
        <v/>
      </c>
      <c r="W50" s="31" t="str">
        <f>Global!FR50</f>
        <v/>
      </c>
      <c r="X50" s="31" t="str">
        <f>Global!FS50</f>
        <v/>
      </c>
      <c r="Y50" s="31" t="str">
        <f>Global!FT50</f>
        <v/>
      </c>
      <c r="Z50" s="31" t="str">
        <f>Global!FU50</f>
        <v/>
      </c>
      <c r="AA50" s="31" t="str">
        <f>Global!FV50</f>
        <v/>
      </c>
      <c r="AB50" s="31" t="str">
        <f>Global!FW50</f>
        <v/>
      </c>
      <c r="AC50" s="31" t="str">
        <f>Global!FX50</f>
        <v/>
      </c>
      <c r="AD50" s="31" t="str">
        <f>Global!FY50</f>
        <v/>
      </c>
      <c r="AE50" s="31" t="str">
        <f>Global!FZ50</f>
        <v/>
      </c>
      <c r="AF50" s="31" t="str">
        <f>Global!GA50</f>
        <v/>
      </c>
      <c r="AG50" s="31" t="str">
        <f>Global!GB50</f>
        <v/>
      </c>
      <c r="AH50" s="31" t="str">
        <f>Global!GC50</f>
        <v/>
      </c>
      <c r="AI50" s="31" t="str">
        <f>Global!GD50</f>
        <v/>
      </c>
      <c r="AJ50" s="19"/>
      <c r="AK50" s="108">
        <f>COUNTIF(Juin[[#This Row],[1]:[30]],"RTT")+(COUNTIF(Juin[[#This Row],[1]:[31]],"dRTT")/2)</f>
        <v>0</v>
      </c>
      <c r="AL50" s="109">
        <f>COUNTIF(Juin[[#This Row],[1]:[30]],"C")+(COUNTIF(Juin[[#This Row],[1]:[30]],"DC")/2)</f>
        <v>1</v>
      </c>
      <c r="AM50" s="22">
        <f>COUNTIF(Juin[[#This Row],[1]:[30]],"M")</f>
        <v>0</v>
      </c>
      <c r="AN50" s="22">
        <f>COUNTIF(Juin[[#This Row],[1]:[30]],"AT")</f>
        <v>0</v>
      </c>
      <c r="AO50" s="84">
        <f t="shared" si="0"/>
        <v>0.82191780821917804</v>
      </c>
    </row>
    <row r="51" spans="1:41" ht="30" customHeight="1" x14ac:dyDescent="0.2">
      <c r="A51" s="17" t="s">
        <v>107</v>
      </c>
      <c r="B51" s="17" t="s">
        <v>254</v>
      </c>
      <c r="C51" s="17" t="s">
        <v>255</v>
      </c>
      <c r="D51" s="17" t="s">
        <v>256</v>
      </c>
      <c r="E51" s="23">
        <v>0</v>
      </c>
      <c r="F51" s="47" t="str">
        <f>Global!FA51</f>
        <v/>
      </c>
      <c r="G51" s="31" t="str">
        <f>Global!FB51</f>
        <v/>
      </c>
      <c r="H51" s="31" t="str">
        <f>Global!FC51</f>
        <v/>
      </c>
      <c r="I51" s="31" t="str">
        <f>Global!FD51</f>
        <v/>
      </c>
      <c r="J51" s="31" t="str">
        <f>Global!FE51</f>
        <v/>
      </c>
      <c r="K51" s="31" t="str">
        <f>Global!FF51</f>
        <v/>
      </c>
      <c r="L51" s="31" t="str">
        <f>Global!FG51</f>
        <v/>
      </c>
      <c r="M51" s="31" t="str">
        <f>Global!FH51</f>
        <v/>
      </c>
      <c r="N51" s="31" t="str">
        <f>Global!FI51</f>
        <v/>
      </c>
      <c r="O51" s="31" t="str">
        <f>Global!FJ51</f>
        <v/>
      </c>
      <c r="P51" s="31" t="str">
        <f>Global!FK51</f>
        <v/>
      </c>
      <c r="Q51" s="31" t="str">
        <f>Global!FL51</f>
        <v/>
      </c>
      <c r="R51" s="31" t="str">
        <f>Global!FM51</f>
        <v/>
      </c>
      <c r="S51" s="31" t="str">
        <f>Global!FN51</f>
        <v/>
      </c>
      <c r="T51" s="31" t="str">
        <f>Global!FO51</f>
        <v/>
      </c>
      <c r="U51" s="31" t="str">
        <f>Global!FP51</f>
        <v/>
      </c>
      <c r="V51" s="31" t="str">
        <f>Global!FQ51</f>
        <v/>
      </c>
      <c r="W51" s="31" t="str">
        <f>Global!FR51</f>
        <v/>
      </c>
      <c r="X51" s="31" t="str">
        <f>Global!FS51</f>
        <v/>
      </c>
      <c r="Y51" s="31" t="str">
        <f>Global!FT51</f>
        <v/>
      </c>
      <c r="Z51" s="31" t="str">
        <f>Global!FU51</f>
        <v/>
      </c>
      <c r="AA51" s="31" t="str">
        <f>Global!FV51</f>
        <v/>
      </c>
      <c r="AB51" s="31" t="str">
        <f>Global!FW51</f>
        <v/>
      </c>
      <c r="AC51" s="31" t="str">
        <f>Global!FX51</f>
        <v/>
      </c>
      <c r="AD51" s="31" t="str">
        <f>Global!FY51</f>
        <v/>
      </c>
      <c r="AE51" s="31" t="str">
        <f>Global!FZ51</f>
        <v/>
      </c>
      <c r="AF51" s="31" t="str">
        <f>Global!GA51</f>
        <v/>
      </c>
      <c r="AG51" s="31" t="str">
        <f>Global!GB51</f>
        <v/>
      </c>
      <c r="AH51" s="31" t="str">
        <f>Global!GC51</f>
        <v/>
      </c>
      <c r="AI51" s="31" t="str">
        <f>Global!GD51</f>
        <v/>
      </c>
      <c r="AJ51" s="19"/>
      <c r="AK51" s="108">
        <f>COUNTIF(Juin[[#This Row],[1]:[30]],"RTT")+(COUNTIF(Juin[[#This Row],[1]:[31]],"dRTT")/2)</f>
        <v>0</v>
      </c>
      <c r="AL51" s="109">
        <f>COUNTIF(Juin[[#This Row],[1]:[30]],"C")+(COUNTIF(Juin[[#This Row],[1]:[30]],"DC")/2)</f>
        <v>0</v>
      </c>
      <c r="AM51" s="22">
        <f>COUNTIF(Juin[[#This Row],[1]:[30]],"M")</f>
        <v>0</v>
      </c>
      <c r="AN51" s="22">
        <f>COUNTIF(Juin[[#This Row],[1]:[30]],"AT")</f>
        <v>0</v>
      </c>
      <c r="AO51" s="84">
        <f t="shared" si="0"/>
        <v>0.82191780821917804</v>
      </c>
    </row>
    <row r="52" spans="1:41" ht="30" customHeight="1" x14ac:dyDescent="0.2">
      <c r="A52" s="17" t="s">
        <v>108</v>
      </c>
      <c r="B52" s="17" t="s">
        <v>257</v>
      </c>
      <c r="C52" s="17" t="s">
        <v>258</v>
      </c>
      <c r="D52" s="17" t="s">
        <v>259</v>
      </c>
      <c r="E52" s="23">
        <v>0</v>
      </c>
      <c r="F52" s="47" t="str">
        <f>Global!FA52</f>
        <v/>
      </c>
      <c r="G52" s="31" t="str">
        <f>Global!FB52</f>
        <v/>
      </c>
      <c r="H52" s="31" t="str">
        <f>Global!FC52</f>
        <v/>
      </c>
      <c r="I52" s="31" t="str">
        <f>Global!FD52</f>
        <v/>
      </c>
      <c r="J52" s="31" t="str">
        <f>Global!FE52</f>
        <v/>
      </c>
      <c r="K52" s="31" t="str">
        <f>Global!FF52</f>
        <v/>
      </c>
      <c r="L52" s="31" t="str">
        <f>Global!FG52</f>
        <v/>
      </c>
      <c r="M52" s="31" t="str">
        <f>Global!FH52</f>
        <v/>
      </c>
      <c r="N52" s="31" t="str">
        <f>Global!FI52</f>
        <v/>
      </c>
      <c r="O52" s="31" t="str">
        <f>Global!FJ52</f>
        <v/>
      </c>
      <c r="P52" s="31" t="str">
        <f>Global!FK52</f>
        <v/>
      </c>
      <c r="Q52" s="31" t="str">
        <f>Global!FL52</f>
        <v/>
      </c>
      <c r="R52" s="31" t="str">
        <f>Global!FM52</f>
        <v/>
      </c>
      <c r="S52" s="31" t="str">
        <f>Global!FN52</f>
        <v/>
      </c>
      <c r="T52" s="31" t="str">
        <f>Global!FO52</f>
        <v/>
      </c>
      <c r="U52" s="31" t="str">
        <f>Global!FP52</f>
        <v/>
      </c>
      <c r="V52" s="31" t="str">
        <f>Global!FQ52</f>
        <v/>
      </c>
      <c r="W52" s="31" t="str">
        <f>Global!FR52</f>
        <v/>
      </c>
      <c r="X52" s="31" t="str">
        <f>Global!FS52</f>
        <v/>
      </c>
      <c r="Y52" s="31" t="str">
        <f>Global!FT52</f>
        <v/>
      </c>
      <c r="Z52" s="31" t="str">
        <f>Global!FU52</f>
        <v/>
      </c>
      <c r="AA52" s="31" t="str">
        <f>Global!FV52</f>
        <v/>
      </c>
      <c r="AB52" s="31" t="str">
        <f>Global!FW52</f>
        <v/>
      </c>
      <c r="AC52" s="31" t="str">
        <f>Global!FX52</f>
        <v/>
      </c>
      <c r="AD52" s="31" t="str">
        <f>Global!FY52</f>
        <v/>
      </c>
      <c r="AE52" s="31" t="str">
        <f>Global!FZ52</f>
        <v/>
      </c>
      <c r="AF52" s="31" t="str">
        <f>Global!GA52</f>
        <v/>
      </c>
      <c r="AG52" s="31" t="str">
        <f>Global!GB52</f>
        <v/>
      </c>
      <c r="AH52" s="31" t="str">
        <f>Global!GC52</f>
        <v/>
      </c>
      <c r="AI52" s="31" t="str">
        <f>Global!GD52</f>
        <v/>
      </c>
      <c r="AJ52" s="19"/>
      <c r="AK52" s="108">
        <f>COUNTIF(Juin[[#This Row],[1]:[30]],"RTT")+(COUNTIF(Juin[[#This Row],[1]:[31]],"dRTT")/2)</f>
        <v>0</v>
      </c>
      <c r="AL52" s="109">
        <f>COUNTIF(Juin[[#This Row],[1]:[30]],"C")+(COUNTIF(Juin[[#This Row],[1]:[30]],"DC")/2)</f>
        <v>0</v>
      </c>
      <c r="AM52" s="22">
        <f>COUNTIF(Juin[[#This Row],[1]:[30]],"M")</f>
        <v>0</v>
      </c>
      <c r="AN52" s="22">
        <f>COUNTIF(Juin[[#This Row],[1]:[30]],"AT")</f>
        <v>0</v>
      </c>
      <c r="AO52" s="84">
        <f t="shared" si="0"/>
        <v>0.82191780821917804</v>
      </c>
    </row>
    <row r="53" spans="1:41" ht="30" customHeight="1" x14ac:dyDescent="0.2">
      <c r="A53" s="17" t="s">
        <v>109</v>
      </c>
      <c r="B53" s="17" t="s">
        <v>260</v>
      </c>
      <c r="C53" s="17" t="s">
        <v>261</v>
      </c>
      <c r="D53" s="17" t="s">
        <v>262</v>
      </c>
      <c r="E53" s="23">
        <v>0</v>
      </c>
      <c r="F53" s="47" t="str">
        <f>Global!FA53</f>
        <v/>
      </c>
      <c r="G53" s="31" t="str">
        <f>Global!FB53</f>
        <v/>
      </c>
      <c r="H53" s="31" t="str">
        <f>Global!FC53</f>
        <v/>
      </c>
      <c r="I53" s="31" t="str">
        <f>Global!FD53</f>
        <v/>
      </c>
      <c r="J53" s="31" t="str">
        <f>Global!FE53</f>
        <v/>
      </c>
      <c r="K53" s="31" t="str">
        <f>Global!FF53</f>
        <v/>
      </c>
      <c r="L53" s="31" t="str">
        <f>Global!FG53</f>
        <v/>
      </c>
      <c r="M53" s="31" t="str">
        <f>Global!FH53</f>
        <v/>
      </c>
      <c r="N53" s="31" t="str">
        <f>Global!FI53</f>
        <v/>
      </c>
      <c r="O53" s="31" t="str">
        <f>Global!FJ53</f>
        <v/>
      </c>
      <c r="P53" s="31" t="str">
        <f>Global!FK53</f>
        <v/>
      </c>
      <c r="Q53" s="31" t="str">
        <f>Global!FL53</f>
        <v/>
      </c>
      <c r="R53" s="31" t="str">
        <f>Global!FM53</f>
        <v/>
      </c>
      <c r="S53" s="31" t="str">
        <f>Global!FN53</f>
        <v/>
      </c>
      <c r="T53" s="31" t="str">
        <f>Global!FO53</f>
        <v/>
      </c>
      <c r="U53" s="31" t="str">
        <f>Global!FP53</f>
        <v/>
      </c>
      <c r="V53" s="31" t="str">
        <f>Global!FQ53</f>
        <v/>
      </c>
      <c r="W53" s="31" t="str">
        <f>Global!FR53</f>
        <v/>
      </c>
      <c r="X53" s="31" t="str">
        <f>Global!FS53</f>
        <v/>
      </c>
      <c r="Y53" s="31" t="str">
        <f>Global!FT53</f>
        <v/>
      </c>
      <c r="Z53" s="31" t="str">
        <f>Global!FU53</f>
        <v/>
      </c>
      <c r="AA53" s="31" t="str">
        <f>Global!FV53</f>
        <v/>
      </c>
      <c r="AB53" s="31" t="str">
        <f>Global!FW53</f>
        <v/>
      </c>
      <c r="AC53" s="31" t="str">
        <f>Global!FX53</f>
        <v/>
      </c>
      <c r="AD53" s="31" t="str">
        <f>Global!FY53</f>
        <v/>
      </c>
      <c r="AE53" s="31" t="str">
        <f>Global!FZ53</f>
        <v/>
      </c>
      <c r="AF53" s="31" t="str">
        <f>Global!GA53</f>
        <v/>
      </c>
      <c r="AG53" s="31" t="str">
        <f>Global!GB53</f>
        <v/>
      </c>
      <c r="AH53" s="31" t="str">
        <f>Global!GC53</f>
        <v/>
      </c>
      <c r="AI53" s="31" t="str">
        <f>Global!GD53</f>
        <v/>
      </c>
      <c r="AJ53" s="19"/>
      <c r="AK53" s="108">
        <f>COUNTIF(Juin[[#This Row],[1]:[30]],"RTT")+(COUNTIF(Juin[[#This Row],[1]:[31]],"dRTT")/2)</f>
        <v>0</v>
      </c>
      <c r="AL53" s="109">
        <f>COUNTIF(Juin[[#This Row],[1]:[30]],"C")+(COUNTIF(Juin[[#This Row],[1]:[30]],"DC")/2)</f>
        <v>0</v>
      </c>
      <c r="AM53" s="22">
        <f>COUNTIF(Juin[[#This Row],[1]:[30]],"M")</f>
        <v>0</v>
      </c>
      <c r="AN53" s="22">
        <f>COUNTIF(Juin[[#This Row],[1]:[30]],"AT")</f>
        <v>0</v>
      </c>
      <c r="AO53" s="84">
        <f t="shared" si="0"/>
        <v>0.82191780821917804</v>
      </c>
    </row>
    <row r="54" spans="1:41" ht="30" customHeight="1" x14ac:dyDescent="0.2">
      <c r="A54" s="18" t="s">
        <v>110</v>
      </c>
      <c r="B54" s="18" t="s">
        <v>263</v>
      </c>
      <c r="C54" s="18" t="s">
        <v>264</v>
      </c>
      <c r="D54" s="18" t="s">
        <v>265</v>
      </c>
      <c r="E54" s="24">
        <v>0</v>
      </c>
      <c r="F54" s="47" t="str">
        <f>Global!FA54</f>
        <v/>
      </c>
      <c r="G54" s="31" t="str">
        <f>Global!FB54</f>
        <v/>
      </c>
      <c r="H54" s="31" t="str">
        <f>Global!FC54</f>
        <v/>
      </c>
      <c r="I54" s="31" t="str">
        <f>Global!FD54</f>
        <v/>
      </c>
      <c r="J54" s="31" t="str">
        <f>Global!FE54</f>
        <v/>
      </c>
      <c r="K54" s="31" t="str">
        <f>Global!FF54</f>
        <v/>
      </c>
      <c r="L54" s="31" t="str">
        <f>Global!FG54</f>
        <v/>
      </c>
      <c r="M54" s="31" t="str">
        <f>Global!FH54</f>
        <v/>
      </c>
      <c r="N54" s="31" t="str">
        <f>Global!FI54</f>
        <v/>
      </c>
      <c r="O54" s="31" t="str">
        <f>Global!FJ54</f>
        <v/>
      </c>
      <c r="P54" s="31" t="str">
        <f>Global!FK54</f>
        <v/>
      </c>
      <c r="Q54" s="31" t="str">
        <f>Global!FL54</f>
        <v/>
      </c>
      <c r="R54" s="31" t="str">
        <f>Global!FM54</f>
        <v/>
      </c>
      <c r="S54" s="31" t="str">
        <f>Global!FN54</f>
        <v/>
      </c>
      <c r="T54" s="31" t="str">
        <f>Global!FO54</f>
        <v/>
      </c>
      <c r="U54" s="31" t="str">
        <f>Global!FP54</f>
        <v/>
      </c>
      <c r="V54" s="31" t="str">
        <f>Global!FQ54</f>
        <v/>
      </c>
      <c r="W54" s="31" t="str">
        <f>Global!FR54</f>
        <v/>
      </c>
      <c r="X54" s="31" t="str">
        <f>Global!FS54</f>
        <v/>
      </c>
      <c r="Y54" s="31" t="str">
        <f>Global!FT54</f>
        <v/>
      </c>
      <c r="Z54" s="31" t="str">
        <f>Global!FU54</f>
        <v/>
      </c>
      <c r="AA54" s="31" t="str">
        <f>Global!FV54</f>
        <v/>
      </c>
      <c r="AB54" s="31" t="str">
        <f>Global!FW54</f>
        <v/>
      </c>
      <c r="AC54" s="31" t="str">
        <f>Global!FX54</f>
        <v/>
      </c>
      <c r="AD54" s="31" t="str">
        <f>Global!FY54</f>
        <v>C</v>
      </c>
      <c r="AE54" s="31" t="str">
        <f>Global!FZ54</f>
        <v>C</v>
      </c>
      <c r="AF54" s="31" t="str">
        <f>Global!GA54</f>
        <v>C</v>
      </c>
      <c r="AG54" s="31" t="str">
        <f>Global!GB54</f>
        <v>C</v>
      </c>
      <c r="AH54" s="31" t="str">
        <f>Global!GC54</f>
        <v>C</v>
      </c>
      <c r="AI54" s="31" t="str">
        <f>Global!GD54</f>
        <v/>
      </c>
      <c r="AJ54" s="19"/>
      <c r="AK54" s="108">
        <f>COUNTIF(Juin[[#This Row],[1]:[30]],"RTT")+(COUNTIF(Juin[[#This Row],[1]:[31]],"dRTT")/2)</f>
        <v>0</v>
      </c>
      <c r="AL54" s="109">
        <f>COUNTIF(Juin[[#This Row],[1]:[30]],"C")+(COUNTIF(Juin[[#This Row],[1]:[30]],"DC")/2)</f>
        <v>5</v>
      </c>
      <c r="AM54" s="22">
        <f>COUNTIF(Juin[[#This Row],[1]:[30]],"M")</f>
        <v>0</v>
      </c>
      <c r="AN54" s="22">
        <f>COUNTIF(Juin[[#This Row],[1]:[30]],"AT")</f>
        <v>0</v>
      </c>
      <c r="AO54" s="84">
        <f t="shared" si="0"/>
        <v>0.82191780821917804</v>
      </c>
    </row>
    <row r="55" spans="1:41" ht="30" customHeight="1" x14ac:dyDescent="0.2">
      <c r="A55" s="17" t="s">
        <v>111</v>
      </c>
      <c r="B55" s="17" t="s">
        <v>266</v>
      </c>
      <c r="C55" s="17" t="s">
        <v>267</v>
      </c>
      <c r="D55" s="17" t="s">
        <v>268</v>
      </c>
      <c r="E55" s="23">
        <v>0</v>
      </c>
      <c r="F55" s="47" t="str">
        <f>Global!FA55</f>
        <v>M</v>
      </c>
      <c r="G55" s="31" t="str">
        <f>Global!FB55</f>
        <v>M</v>
      </c>
      <c r="H55" s="31" t="str">
        <f>Global!FC55</f>
        <v>M</v>
      </c>
      <c r="I55" s="31" t="str">
        <f>Global!FD55</f>
        <v>M</v>
      </c>
      <c r="J55" s="31" t="str">
        <f>Global!FE55</f>
        <v>M</v>
      </c>
      <c r="K55" s="31" t="str">
        <f>Global!FF55</f>
        <v>M</v>
      </c>
      <c r="L55" s="31" t="str">
        <f>Global!FG55</f>
        <v>M</v>
      </c>
      <c r="M55" s="31" t="str">
        <f>Global!FH55</f>
        <v>M</v>
      </c>
      <c r="N55" s="31" t="str">
        <f>Global!FI55</f>
        <v>M</v>
      </c>
      <c r="O55" s="31" t="str">
        <f>Global!FJ55</f>
        <v>M</v>
      </c>
      <c r="P55" s="31" t="str">
        <f>Global!FK55</f>
        <v>M</v>
      </c>
      <c r="Q55" s="31" t="str">
        <f>Global!FL55</f>
        <v>M</v>
      </c>
      <c r="R55" s="31" t="str">
        <f>Global!FM55</f>
        <v>M</v>
      </c>
      <c r="S55" s="31" t="str">
        <f>Global!FN55</f>
        <v>M</v>
      </c>
      <c r="T55" s="31" t="str">
        <f>Global!FO55</f>
        <v>M</v>
      </c>
      <c r="U55" s="31" t="str">
        <f>Global!FP55</f>
        <v>M</v>
      </c>
      <c r="V55" s="31" t="str">
        <f>Global!FQ55</f>
        <v>M</v>
      </c>
      <c r="W55" s="31" t="str">
        <f>Global!FR55</f>
        <v>M</v>
      </c>
      <c r="X55" s="31" t="str">
        <f>Global!FS55</f>
        <v>M</v>
      </c>
      <c r="Y55" s="31" t="str">
        <f>Global!FT55</f>
        <v>M</v>
      </c>
      <c r="Z55" s="31" t="str">
        <f>Global!FU55</f>
        <v>M</v>
      </c>
      <c r="AA55" s="31" t="str">
        <f>Global!FV55</f>
        <v>M</v>
      </c>
      <c r="AB55" s="31" t="str">
        <f>Global!FW55</f>
        <v>M</v>
      </c>
      <c r="AC55" s="31" t="str">
        <f>Global!FX55</f>
        <v>M</v>
      </c>
      <c r="AD55" s="31" t="str">
        <f>Global!FY55</f>
        <v>M</v>
      </c>
      <c r="AE55" s="31" t="str">
        <f>Global!FZ55</f>
        <v>M</v>
      </c>
      <c r="AF55" s="31" t="str">
        <f>Global!GA55</f>
        <v>M</v>
      </c>
      <c r="AG55" s="31" t="str">
        <f>Global!GB55</f>
        <v>M</v>
      </c>
      <c r="AH55" s="31" t="str">
        <f>Global!GC55</f>
        <v>M</v>
      </c>
      <c r="AI55" s="31" t="str">
        <f>Global!GD55</f>
        <v>M</v>
      </c>
      <c r="AJ55" s="19"/>
      <c r="AK55" s="108">
        <f>COUNTIF(Juin[[#This Row],[1]:[30]],"RTT")+(COUNTIF(Juin[[#This Row],[1]:[31]],"dRTT")/2)</f>
        <v>0</v>
      </c>
      <c r="AL55" s="109">
        <f>COUNTIF(Juin[[#This Row],[1]:[30]],"C")+(COUNTIF(Juin[[#This Row],[1]:[30]],"DC")/2)</f>
        <v>0</v>
      </c>
      <c r="AM55" s="22">
        <f>COUNTIF(Juin[[#This Row],[1]:[30]],"M")</f>
        <v>30</v>
      </c>
      <c r="AN55" s="22">
        <f>COUNTIF(Juin[[#This Row],[1]:[30]],"AT")</f>
        <v>0</v>
      </c>
      <c r="AO55" s="84">
        <f t="shared" si="0"/>
        <v>0</v>
      </c>
    </row>
    <row r="56" spans="1:41" ht="30" customHeight="1" thickBot="1" x14ac:dyDescent="0.25">
      <c r="A56" s="17" t="s">
        <v>112</v>
      </c>
      <c r="B56" s="17" t="s">
        <v>269</v>
      </c>
      <c r="C56" s="17" t="s">
        <v>270</v>
      </c>
      <c r="D56" s="17" t="s">
        <v>271</v>
      </c>
      <c r="E56" s="23">
        <v>0</v>
      </c>
      <c r="F56" s="49" t="str">
        <f>Global!FA56</f>
        <v>C</v>
      </c>
      <c r="G56" s="50" t="str">
        <f>Global!FB56</f>
        <v/>
      </c>
      <c r="H56" s="50" t="str">
        <f>Global!FC56</f>
        <v/>
      </c>
      <c r="I56" s="50" t="str">
        <f>Global!FD56</f>
        <v/>
      </c>
      <c r="J56" s="50" t="str">
        <f>Global!FE56</f>
        <v/>
      </c>
      <c r="K56" s="50" t="str">
        <f>Global!FF56</f>
        <v/>
      </c>
      <c r="L56" s="50" t="str">
        <f>Global!FG56</f>
        <v/>
      </c>
      <c r="M56" s="50" t="str">
        <f>Global!FH56</f>
        <v/>
      </c>
      <c r="N56" s="50" t="str">
        <f>Global!FI56</f>
        <v/>
      </c>
      <c r="O56" s="50" t="str">
        <f>Global!FJ56</f>
        <v/>
      </c>
      <c r="P56" s="50" t="str">
        <f>Global!FK56</f>
        <v/>
      </c>
      <c r="Q56" s="50" t="str">
        <f>Global!FL56</f>
        <v/>
      </c>
      <c r="R56" s="50" t="str">
        <f>Global!FM56</f>
        <v/>
      </c>
      <c r="S56" s="50" t="str">
        <f>Global!FN56</f>
        <v/>
      </c>
      <c r="T56" s="50" t="str">
        <f>Global!FO56</f>
        <v/>
      </c>
      <c r="U56" s="50" t="str">
        <f>Global!FP56</f>
        <v/>
      </c>
      <c r="V56" s="50" t="str">
        <f>Global!FQ56</f>
        <v/>
      </c>
      <c r="W56" s="50" t="str">
        <f>Global!FR56</f>
        <v/>
      </c>
      <c r="X56" s="50" t="str">
        <f>Global!FS56</f>
        <v/>
      </c>
      <c r="Y56" s="50" t="str">
        <f>Global!FT56</f>
        <v/>
      </c>
      <c r="Z56" s="50" t="str">
        <f>Global!FU56</f>
        <v/>
      </c>
      <c r="AA56" s="50" t="str">
        <f>Global!FV56</f>
        <v/>
      </c>
      <c r="AB56" s="50" t="str">
        <f>Global!FW56</f>
        <v/>
      </c>
      <c r="AC56" s="50" t="str">
        <f>Global!FX56</f>
        <v/>
      </c>
      <c r="AD56" s="50" t="str">
        <f>Global!FY56</f>
        <v/>
      </c>
      <c r="AE56" s="50" t="str">
        <f>Global!FZ56</f>
        <v/>
      </c>
      <c r="AF56" s="50" t="str">
        <f>Global!GA56</f>
        <v/>
      </c>
      <c r="AG56" s="50" t="str">
        <f>Global!GB56</f>
        <v/>
      </c>
      <c r="AH56" s="50" t="str">
        <f>Global!GC56</f>
        <v/>
      </c>
      <c r="AI56" s="50" t="str">
        <f>Global!GD56</f>
        <v/>
      </c>
      <c r="AJ56" s="19"/>
      <c r="AK56" s="108">
        <f>COUNTIF(Juin[[#This Row],[1]:[30]],"RTT")+(COUNTIF(Juin[[#This Row],[1]:[31]],"dRTT")/2)</f>
        <v>0</v>
      </c>
      <c r="AL56" s="109">
        <f>COUNTIF(Juin[[#This Row],[1]:[30]],"C")+(COUNTIF(Juin[[#This Row],[1]:[30]],"DC")/2)</f>
        <v>1</v>
      </c>
      <c r="AM56" s="22">
        <f>COUNTIF(Juin[[#This Row],[1]:[30]],"M")</f>
        <v>0</v>
      </c>
      <c r="AN56" s="22">
        <f>COUNTIF(Juin[[#This Row],[1]:[30]],"AT")</f>
        <v>0</v>
      </c>
      <c r="AO56" s="84">
        <f t="shared" si="0"/>
        <v>0.82191780821917804</v>
      </c>
    </row>
    <row r="57" spans="1:41" x14ac:dyDescent="0.2">
      <c r="A57" s="1"/>
    </row>
  </sheetData>
  <mergeCells count="6">
    <mergeCell ref="F5:AJ5"/>
    <mergeCell ref="G3:H3"/>
    <mergeCell ref="J3:K3"/>
    <mergeCell ref="U3:V3"/>
    <mergeCell ref="AC3:AD3"/>
    <mergeCell ref="AH3:AI3"/>
  </mergeCells>
  <conditionalFormatting sqref="AJ8:AJ56">
    <cfRule type="expression" dxfId="114" priority="16">
      <formula>AJ8=""</formula>
    </cfRule>
  </conditionalFormatting>
  <conditionalFormatting sqref="AJ8:AJ56">
    <cfRule type="expression" dxfId="113" priority="17">
      <formula>AJ8=CléPersonnalisée2</formula>
    </cfRule>
    <cfRule type="expression" dxfId="112" priority="18">
      <formula>AJ8=CléPersonnalisée1</formula>
    </cfRule>
    <cfRule type="expression" dxfId="111" priority="19">
      <formula>AJ8=CléMaladie</formula>
    </cfRule>
    <cfRule type="expression" dxfId="110" priority="20">
      <formula>AJ8=CléPersonnel</formula>
    </cfRule>
    <cfRule type="expression" dxfId="109" priority="21">
      <formula>AJ8=CléCongé</formula>
    </cfRule>
  </conditionalFormatting>
  <conditionalFormatting sqref="F8:AI56">
    <cfRule type="expression" dxfId="108" priority="4">
      <formula>F8=CléPersonnalisée4</formula>
    </cfRule>
    <cfRule type="expression" dxfId="107" priority="5">
      <formula>F8=CléPersonnalisée5</formula>
    </cfRule>
    <cfRule type="expression" dxfId="106" priority="6">
      <formula>F8=CléPersonnalisée3</formula>
    </cfRule>
    <cfRule type="expression" dxfId="105" priority="7">
      <formula>F8=CléPersonnalisée2</formula>
    </cfRule>
    <cfRule type="expression" dxfId="104" priority="8">
      <formula>F8=CléPersonnalisée1</formula>
    </cfRule>
    <cfRule type="expression" dxfId="103" priority="9">
      <formula>F8=CléMaladie</formula>
    </cfRule>
    <cfRule type="expression" dxfId="102" priority="10">
      <formula>F8=CléPersonnel</formula>
    </cfRule>
    <cfRule type="expression" dxfId="101" priority="11" stopIfTrue="1">
      <formula>F8=CléCongé</formula>
    </cfRule>
    <cfRule type="expression" dxfId="100" priority="12" stopIfTrue="1">
      <formula>F8=CléDemiCongés</formula>
    </cfRule>
    <cfRule type="expression" dxfId="99" priority="13">
      <formula>F8=""</formula>
    </cfRule>
  </conditionalFormatting>
  <conditionalFormatting sqref="F6:AI56">
    <cfRule type="expression" dxfId="98" priority="2" stopIfTrue="1">
      <formula>WEEKDAY(F$1)=7</formula>
    </cfRule>
    <cfRule type="expression" dxfId="97"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7CC3F73F-C38D-B145-978A-4A7D1A8B041D}">
            <xm:f>F$1=VLOOKUP(F$1,JFériés!$D$1:$D$11,1,FALSE)</xm:f>
            <x14:dxf>
              <font>
                <color theme="1"/>
              </font>
              <fill>
                <patternFill>
                  <bgColor theme="5" tint="0.59996337778862885"/>
                </patternFill>
              </fill>
            </x14:dxf>
          </x14:cfRule>
          <xm:sqref>F6:AI56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9" enableFormatConditionsCalculation="0">
    <tabColor rgb="FF000000"/>
    <pageSetUpPr fitToPage="1"/>
  </sheetPr>
  <dimension ref="A1:AO57"/>
  <sheetViews>
    <sheetView showGridLines="0" topLeftCell="A42"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DATE(AnnéeCalendrier,7,1)</f>
        <v>43282</v>
      </c>
      <c r="G1" s="62">
        <f>DATE(AnnéeCalendrier,7,2)</f>
        <v>43283</v>
      </c>
      <c r="H1" s="62">
        <f>DATE(AnnéeCalendrier,7,3)</f>
        <v>43284</v>
      </c>
      <c r="I1" s="62">
        <f>DATE(AnnéeCalendrier,7,4)</f>
        <v>43285</v>
      </c>
      <c r="J1" s="62">
        <f>DATE(AnnéeCalendrier,7,5)</f>
        <v>43286</v>
      </c>
      <c r="K1" s="62">
        <f>DATE(AnnéeCalendrier,7,6)</f>
        <v>43287</v>
      </c>
      <c r="L1" s="62">
        <f>DATE(AnnéeCalendrier,7,7)</f>
        <v>43288</v>
      </c>
      <c r="M1" s="62">
        <f>DATE(AnnéeCalendrier,7,8)</f>
        <v>43289</v>
      </c>
      <c r="N1" s="62">
        <f>DATE(AnnéeCalendrier,7,9)</f>
        <v>43290</v>
      </c>
      <c r="O1" s="62">
        <f>DATE(AnnéeCalendrier,7,10)</f>
        <v>43291</v>
      </c>
      <c r="P1" s="62">
        <f>DATE(AnnéeCalendrier,7,11)</f>
        <v>43292</v>
      </c>
      <c r="Q1" s="62">
        <f>DATE(AnnéeCalendrier,7,12)</f>
        <v>43293</v>
      </c>
      <c r="R1" s="62">
        <f>DATE(AnnéeCalendrier,7,13)</f>
        <v>43294</v>
      </c>
      <c r="S1" s="62">
        <f>DATE(AnnéeCalendrier,7,14)</f>
        <v>43295</v>
      </c>
      <c r="T1" s="62">
        <f>DATE(AnnéeCalendrier,7,15)</f>
        <v>43296</v>
      </c>
      <c r="U1" s="62">
        <f>DATE(AnnéeCalendrier,7,16)</f>
        <v>43297</v>
      </c>
      <c r="V1" s="62">
        <f>DATE(AnnéeCalendrier,7,17)</f>
        <v>43298</v>
      </c>
      <c r="W1" s="62">
        <f>DATE(AnnéeCalendrier,7,18)</f>
        <v>43299</v>
      </c>
      <c r="X1" s="62">
        <f>DATE(AnnéeCalendrier,7,19)</f>
        <v>43300</v>
      </c>
      <c r="Y1" s="62">
        <f>DATE(AnnéeCalendrier,7,20)</f>
        <v>43301</v>
      </c>
      <c r="Z1" s="62">
        <f>DATE(AnnéeCalendrier,7,21)</f>
        <v>43302</v>
      </c>
      <c r="AA1" s="62">
        <f>DATE(AnnéeCalendrier,7,22)</f>
        <v>43303</v>
      </c>
      <c r="AB1" s="62">
        <f>DATE(AnnéeCalendrier,7,23)</f>
        <v>43304</v>
      </c>
      <c r="AC1" s="62">
        <f>DATE(AnnéeCalendrier,7,24)</f>
        <v>43305</v>
      </c>
      <c r="AD1" s="62">
        <f>DATE(AnnéeCalendrier,7,25)</f>
        <v>43306</v>
      </c>
      <c r="AE1" s="62">
        <f>DATE(AnnéeCalendrier,7,26)</f>
        <v>43307</v>
      </c>
      <c r="AF1" s="62">
        <f>DATE(AnnéeCalendrier,7,27)</f>
        <v>43308</v>
      </c>
      <c r="AG1" s="62">
        <f>DATE(AnnéeCalendrier,7,28)</f>
        <v>43309</v>
      </c>
      <c r="AH1" s="62">
        <f>DATE(AnnéeCalendrier,7,29)</f>
        <v>43310</v>
      </c>
      <c r="AI1" s="62">
        <f>DATE(AnnéeCalendrier,7,30)</f>
        <v>43311</v>
      </c>
      <c r="AJ1" s="62">
        <f>DATE(AnnéeCalendrier,7,31)</f>
        <v>43312</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51</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45" t="str">
        <f>TEXT(WEEKDAY(DATE(AnnéeCalendrier,7,1),1),"jjj")</f>
        <v>dim</v>
      </c>
      <c r="G6" s="35" t="str">
        <f>TEXT(WEEKDAY(DATE(AnnéeCalendrier,7,2),1),"jjj")</f>
        <v>lun</v>
      </c>
      <c r="H6" s="35" t="str">
        <f>TEXT(WEEKDAY(DATE(AnnéeCalendrier,7,3),1),"jjj")</f>
        <v>mar</v>
      </c>
      <c r="I6" s="35" t="str">
        <f>TEXT(WEEKDAY(DATE(AnnéeCalendrier,7,4),1),"jjj")</f>
        <v>mer</v>
      </c>
      <c r="J6" s="35" t="str">
        <f>TEXT(WEEKDAY(DATE(AnnéeCalendrier,7,5),1),"jjj")</f>
        <v>jeu</v>
      </c>
      <c r="K6" s="35" t="str">
        <f>TEXT(WEEKDAY(DATE(AnnéeCalendrier,7,6),1),"jjj")</f>
        <v>ven</v>
      </c>
      <c r="L6" s="35" t="str">
        <f>TEXT(WEEKDAY(DATE(AnnéeCalendrier,7,7),1),"jjj")</f>
        <v>sam</v>
      </c>
      <c r="M6" s="35" t="str">
        <f>TEXT(WEEKDAY(DATE(AnnéeCalendrier,7,8),1),"jjj")</f>
        <v>dim</v>
      </c>
      <c r="N6" s="35" t="str">
        <f>TEXT(WEEKDAY(DATE(AnnéeCalendrier,7,9),1),"jjj")</f>
        <v>lun</v>
      </c>
      <c r="O6" s="35" t="str">
        <f>TEXT(WEEKDAY(DATE(AnnéeCalendrier,7,10),1),"jjj")</f>
        <v>mar</v>
      </c>
      <c r="P6" s="35" t="str">
        <f>TEXT(WEEKDAY(DATE(AnnéeCalendrier,7,11),1),"jjj")</f>
        <v>mer</v>
      </c>
      <c r="Q6" s="35" t="str">
        <f>TEXT(WEEKDAY(DATE(AnnéeCalendrier,7,12),1),"jjj")</f>
        <v>jeu</v>
      </c>
      <c r="R6" s="35" t="str">
        <f>TEXT(WEEKDAY(DATE(AnnéeCalendrier,7,13),1),"jjj")</f>
        <v>ven</v>
      </c>
      <c r="S6" s="35" t="str">
        <f>TEXT(WEEKDAY(DATE(AnnéeCalendrier,7,14),1),"jjj")</f>
        <v>sam</v>
      </c>
      <c r="T6" s="35" t="str">
        <f>TEXT(WEEKDAY(DATE(AnnéeCalendrier,7,15),1),"jjj")</f>
        <v>dim</v>
      </c>
      <c r="U6" s="35" t="str">
        <f>TEXT(WEEKDAY(DATE(AnnéeCalendrier,7,16),1),"jjj")</f>
        <v>lun</v>
      </c>
      <c r="V6" s="35" t="str">
        <f>TEXT(WEEKDAY(DATE(AnnéeCalendrier,7,17),1),"jjj")</f>
        <v>mar</v>
      </c>
      <c r="W6" s="35" t="str">
        <f>TEXT(WEEKDAY(DATE(AnnéeCalendrier,7,18),1),"jjj")</f>
        <v>mer</v>
      </c>
      <c r="X6" s="35" t="str">
        <f>TEXT(WEEKDAY(DATE(AnnéeCalendrier,7,19),1),"jjj")</f>
        <v>jeu</v>
      </c>
      <c r="Y6" s="35" t="str">
        <f>TEXT(WEEKDAY(DATE(AnnéeCalendrier,7,20),1),"jjj")</f>
        <v>ven</v>
      </c>
      <c r="Z6" s="35" t="str">
        <f>TEXT(WEEKDAY(DATE(AnnéeCalendrier,7,21),1),"jjj")</f>
        <v>sam</v>
      </c>
      <c r="AA6" s="35" t="str">
        <f>TEXT(WEEKDAY(DATE(AnnéeCalendrier,7,22),1),"jjj")</f>
        <v>dim</v>
      </c>
      <c r="AB6" s="35" t="str">
        <f>TEXT(WEEKDAY(DATE(AnnéeCalendrier,7,23),1),"jjj")</f>
        <v>lun</v>
      </c>
      <c r="AC6" s="35" t="str">
        <f>TEXT(WEEKDAY(DATE(AnnéeCalendrier,7,24),1),"jjj")</f>
        <v>mar</v>
      </c>
      <c r="AD6" s="35" t="str">
        <f>TEXT(WEEKDAY(DATE(AnnéeCalendrier,7,25),1),"jjj")</f>
        <v>mer</v>
      </c>
      <c r="AE6" s="35" t="str">
        <f>TEXT(WEEKDAY(DATE(AnnéeCalendrier,7,26),1),"jjj")</f>
        <v>jeu</v>
      </c>
      <c r="AF6" s="35" t="str">
        <f>TEXT(WEEKDAY(DATE(AnnéeCalendrier,7,27),1),"jjj")</f>
        <v>ven</v>
      </c>
      <c r="AG6" s="35" t="str">
        <f>TEXT(WEEKDAY(DATE(AnnéeCalendrier,7,28),1),"jjj")</f>
        <v>sam</v>
      </c>
      <c r="AH6" s="35" t="str">
        <f>TEXT(WEEKDAY(DATE(AnnéeCalendrier,7,29),1),"jjj")</f>
        <v>dim</v>
      </c>
      <c r="AI6" s="35" t="str">
        <f>TEXT(WEEKDAY(DATE(AnnéeCalendrier,7,30),1),"jjj")</f>
        <v>lun</v>
      </c>
      <c r="AJ6" s="46" t="str">
        <f>TEXT(WEEKDAY(DATE(AnnéeCalendrier,7,31),1),"jjj")</f>
        <v>mar</v>
      </c>
      <c r="AK6" s="10"/>
    </row>
    <row r="7" spans="1:41" ht="15" customHeight="1" thickBot="1" x14ac:dyDescent="0.25">
      <c r="A7" s="36" t="s">
        <v>63</v>
      </c>
      <c r="B7" s="36" t="s">
        <v>128</v>
      </c>
      <c r="C7" s="36" t="s">
        <v>129</v>
      </c>
      <c r="D7" s="36" t="s">
        <v>13</v>
      </c>
      <c r="E7" s="43" t="s">
        <v>113</v>
      </c>
      <c r="F7" s="76" t="s">
        <v>14</v>
      </c>
      <c r="G7" s="75" t="s">
        <v>15</v>
      </c>
      <c r="H7" s="75" t="s">
        <v>16</v>
      </c>
      <c r="I7" s="75" t="s">
        <v>17</v>
      </c>
      <c r="J7" s="75" t="s">
        <v>18</v>
      </c>
      <c r="K7" s="75" t="s">
        <v>19</v>
      </c>
      <c r="L7" s="75" t="s">
        <v>20</v>
      </c>
      <c r="M7" s="75" t="s">
        <v>21</v>
      </c>
      <c r="N7" s="75" t="s">
        <v>22</v>
      </c>
      <c r="O7" s="75" t="s">
        <v>23</v>
      </c>
      <c r="P7" s="75" t="s">
        <v>24</v>
      </c>
      <c r="Q7" s="75" t="s">
        <v>25</v>
      </c>
      <c r="R7" s="75" t="s">
        <v>26</v>
      </c>
      <c r="S7" s="75" t="s">
        <v>27</v>
      </c>
      <c r="T7" s="75" t="s">
        <v>28</v>
      </c>
      <c r="U7" s="75" t="s">
        <v>29</v>
      </c>
      <c r="V7" s="75" t="s">
        <v>30</v>
      </c>
      <c r="W7" s="75" t="s">
        <v>31</v>
      </c>
      <c r="X7" s="75" t="s">
        <v>32</v>
      </c>
      <c r="Y7" s="75" t="s">
        <v>33</v>
      </c>
      <c r="Z7" s="75" t="s">
        <v>34</v>
      </c>
      <c r="AA7" s="75" t="s">
        <v>35</v>
      </c>
      <c r="AB7" s="75" t="s">
        <v>36</v>
      </c>
      <c r="AC7" s="75" t="s">
        <v>37</v>
      </c>
      <c r="AD7" s="75" t="s">
        <v>38</v>
      </c>
      <c r="AE7" s="75" t="s">
        <v>39</v>
      </c>
      <c r="AF7" s="75" t="s">
        <v>40</v>
      </c>
      <c r="AG7" s="75" t="s">
        <v>41</v>
      </c>
      <c r="AH7" s="75" t="s">
        <v>42</v>
      </c>
      <c r="AI7" s="75" t="s">
        <v>43</v>
      </c>
      <c r="AJ7" s="77"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Global!GE8</f>
        <v/>
      </c>
      <c r="G8" s="79" t="str">
        <f>Global!GF8</f>
        <v>C</v>
      </c>
      <c r="H8" s="79" t="str">
        <f>Global!GG8</f>
        <v>C</v>
      </c>
      <c r="I8" s="79" t="str">
        <f>Global!GH8</f>
        <v>C</v>
      </c>
      <c r="J8" s="79" t="str">
        <f>Global!GI8</f>
        <v>C</v>
      </c>
      <c r="K8" s="79" t="str">
        <f>Global!GJ8</f>
        <v>C</v>
      </c>
      <c r="L8" s="79" t="str">
        <f>Global!GK8</f>
        <v/>
      </c>
      <c r="M8" s="79" t="str">
        <f>Global!GL8</f>
        <v/>
      </c>
      <c r="N8" s="79" t="str">
        <f>Global!GM8</f>
        <v>C</v>
      </c>
      <c r="O8" s="79" t="str">
        <f>Global!GN8</f>
        <v>C</v>
      </c>
      <c r="P8" s="79" t="str">
        <f>Global!GO8</f>
        <v>C</v>
      </c>
      <c r="Q8" s="79" t="str">
        <f>Global!GP8</f>
        <v>C</v>
      </c>
      <c r="R8" s="79" t="str">
        <f>Global!GQ8</f>
        <v>C</v>
      </c>
      <c r="S8" s="79" t="str">
        <f>Global!GR8</f>
        <v/>
      </c>
      <c r="T8" s="79" t="str">
        <f>Global!GS8</f>
        <v/>
      </c>
      <c r="U8" s="79" t="str">
        <f>Global!GT8</f>
        <v/>
      </c>
      <c r="V8" s="79" t="str">
        <f>Global!GU8</f>
        <v/>
      </c>
      <c r="W8" s="79" t="str">
        <f>Global!GV8</f>
        <v/>
      </c>
      <c r="X8" s="79" t="str">
        <f>Global!GW8</f>
        <v/>
      </c>
      <c r="Y8" s="79" t="str">
        <f>Global!GX8</f>
        <v/>
      </c>
      <c r="Z8" s="79" t="str">
        <f>Global!GY8</f>
        <v/>
      </c>
      <c r="AA8" s="79" t="str">
        <f>Global!GZ8</f>
        <v/>
      </c>
      <c r="AB8" s="79" t="str">
        <f>Global!HA8</f>
        <v/>
      </c>
      <c r="AC8" s="79" t="str">
        <f>Global!HB8</f>
        <v/>
      </c>
      <c r="AD8" s="79" t="str">
        <f>Global!HC8</f>
        <v/>
      </c>
      <c r="AE8" s="79" t="str">
        <f>Global!HD8</f>
        <v/>
      </c>
      <c r="AF8" s="79" t="str">
        <f>Global!HE8</f>
        <v/>
      </c>
      <c r="AG8" s="79" t="str">
        <f>Global!HF8</f>
        <v/>
      </c>
      <c r="AH8" s="79" t="str">
        <f>Global!HG8</f>
        <v/>
      </c>
      <c r="AI8" s="79" t="str">
        <f>Global!HH8</f>
        <v/>
      </c>
      <c r="AJ8" s="80" t="str">
        <f>Global!HI8</f>
        <v/>
      </c>
      <c r="AK8" s="108">
        <f>COUNTIF(Juillet[[#This Row],[1]:[31]],"RTT")+(COUNTIF(Juillet[[#This Row],[1]:[31]],"dRTT")/2)</f>
        <v>0</v>
      </c>
      <c r="AL8" s="109">
        <f>COUNTIF(Juillet[[#This Row],[1]:[31]],"C")+(COUNTIF(Juillet[[#This Row],[1]:[31]],"DC")/2)</f>
        <v>10</v>
      </c>
      <c r="AM8" s="22">
        <f>COUNTIF(Juillet[[#This Row],[1]:[31]],"M")</f>
        <v>0</v>
      </c>
      <c r="AN8" s="22">
        <f>COUNTIF(Juillet[[#This Row],[1]:[31]],"AT")</f>
        <v>0</v>
      </c>
      <c r="AO8" s="84">
        <f>IF(AND(Juillet[[#This Row],[Maladie]]=0,Juillet[[#This Row],[AT]]=0),((10*(_xlfn.DAYS("31/07/2018","01/07/2018")+1))/365),((_xlfn.DAYS("31/07/2018","01/07/2018")+1-(Juillet[[#This Row],[Maladie]]+Juillet[[#This Row],[AT]]))*((10*(_xlfn.DAYS("31/07/2018","01/07/2018")+1))/365))/(_xlfn.DAYS("31/07/2018","01/07/2018")+1))</f>
        <v>0.84931506849315064</v>
      </c>
    </row>
    <row r="9" spans="1:41" ht="30" customHeight="1" x14ac:dyDescent="0.2">
      <c r="A9" s="13" t="s">
        <v>65</v>
      </c>
      <c r="B9" s="22" t="s">
        <v>130</v>
      </c>
      <c r="C9" s="22" t="s">
        <v>133</v>
      </c>
      <c r="D9" s="22" t="s">
        <v>134</v>
      </c>
      <c r="E9" s="44">
        <v>0</v>
      </c>
      <c r="F9" s="47" t="str">
        <f>Global!GE9</f>
        <v/>
      </c>
      <c r="G9" s="31" t="str">
        <f>Global!GF9</f>
        <v/>
      </c>
      <c r="H9" s="31" t="str">
        <f>Global!GG9</f>
        <v/>
      </c>
      <c r="I9" s="31" t="str">
        <f>Global!GH9</f>
        <v/>
      </c>
      <c r="J9" s="31" t="str">
        <f>Global!GI9</f>
        <v/>
      </c>
      <c r="K9" s="31" t="str">
        <f>Global!GJ9</f>
        <v/>
      </c>
      <c r="L9" s="31" t="str">
        <f>Global!GK9</f>
        <v/>
      </c>
      <c r="M9" s="31" t="str">
        <f>Global!GL9</f>
        <v/>
      </c>
      <c r="N9" s="31" t="str">
        <f>Global!GM9</f>
        <v/>
      </c>
      <c r="O9" s="31" t="str">
        <f>Global!GN9</f>
        <v/>
      </c>
      <c r="P9" s="31" t="str">
        <f>Global!GO9</f>
        <v/>
      </c>
      <c r="Q9" s="31" t="str">
        <f>Global!GP9</f>
        <v/>
      </c>
      <c r="R9" s="31" t="str">
        <f>Global!GQ9</f>
        <v/>
      </c>
      <c r="S9" s="31" t="str">
        <f>Global!GR9</f>
        <v/>
      </c>
      <c r="T9" s="31" t="str">
        <f>Global!GS9</f>
        <v/>
      </c>
      <c r="U9" s="31" t="str">
        <f>Global!GT9</f>
        <v/>
      </c>
      <c r="V9" s="31" t="str">
        <f>Global!GU9</f>
        <v/>
      </c>
      <c r="W9" s="31" t="str">
        <f>Global!GV9</f>
        <v/>
      </c>
      <c r="X9" s="31" t="str">
        <f>Global!GW9</f>
        <v/>
      </c>
      <c r="Y9" s="31" t="str">
        <f>Global!GX9</f>
        <v/>
      </c>
      <c r="Z9" s="31" t="str">
        <f>Global!GY9</f>
        <v/>
      </c>
      <c r="AA9" s="31" t="str">
        <f>Global!GZ9</f>
        <v/>
      </c>
      <c r="AB9" s="31" t="str">
        <f>Global!HA9</f>
        <v/>
      </c>
      <c r="AC9" s="31" t="str">
        <f>Global!HB9</f>
        <v/>
      </c>
      <c r="AD9" s="31" t="str">
        <f>Global!HC9</f>
        <v/>
      </c>
      <c r="AE9" s="31" t="str">
        <f>Global!HD9</f>
        <v/>
      </c>
      <c r="AF9" s="31" t="str">
        <f>Global!HE9</f>
        <v/>
      </c>
      <c r="AG9" s="31" t="str">
        <f>Global!HF9</f>
        <v/>
      </c>
      <c r="AH9" s="31" t="str">
        <f>Global!HG9</f>
        <v/>
      </c>
      <c r="AI9" s="31" t="str">
        <f>Global!HH9</f>
        <v/>
      </c>
      <c r="AJ9" s="48" t="str">
        <f>Global!HI9</f>
        <v/>
      </c>
      <c r="AK9" s="108">
        <f>COUNTIF(Juillet[[#This Row],[1]:[31]],"RTT")+(COUNTIF(Juillet[[#This Row],[1]:[31]],"dRTT")/2)</f>
        <v>0</v>
      </c>
      <c r="AL9" s="109">
        <f>COUNTIF(Juillet[[#This Row],[1]:[31]],"C")+(COUNTIF(Juillet[[#This Row],[1]:[31]],"DC")/2)</f>
        <v>0</v>
      </c>
      <c r="AM9" s="22">
        <f>COUNTIF(Juillet[[#This Row],[1]:[31]],"M")</f>
        <v>0</v>
      </c>
      <c r="AN9" s="22">
        <f>COUNTIF(Juillet[[#This Row],[1]:[31]],"AT")</f>
        <v>0</v>
      </c>
      <c r="AO9" s="84">
        <f>IF(AND(Juillet[[#This Row],[Maladie]]=0,Juillet[[#This Row],[AT]]=0),((10*(_xlfn.DAYS("31/07/2018","01/07/2018")+1))/365),((_xlfn.DAYS("31/07/2018","01/07/2018")+1-(Juillet[[#This Row],[Maladie]]+Juillet[[#This Row],[AT]]))*((10*(_xlfn.DAYS("31/07/2018","01/07/2018")+1))/365))/(_xlfn.DAYS("31/07/2018","01/07/2018")+1))</f>
        <v>0.84931506849315064</v>
      </c>
    </row>
    <row r="10" spans="1:41" ht="30" customHeight="1" x14ac:dyDescent="0.2">
      <c r="A10" s="14" t="s">
        <v>66</v>
      </c>
      <c r="B10" s="22" t="s">
        <v>135</v>
      </c>
      <c r="C10" s="22" t="s">
        <v>136</v>
      </c>
      <c r="D10" s="22" t="s">
        <v>137</v>
      </c>
      <c r="E10" s="44">
        <v>0</v>
      </c>
      <c r="F10" s="47" t="str">
        <f>Global!GE10</f>
        <v/>
      </c>
      <c r="G10" s="31" t="str">
        <f>Global!GF10</f>
        <v/>
      </c>
      <c r="H10" s="31" t="str">
        <f>Global!GG10</f>
        <v/>
      </c>
      <c r="I10" s="31" t="str">
        <f>Global!GH10</f>
        <v/>
      </c>
      <c r="J10" s="31" t="str">
        <f>Global!GI10</f>
        <v/>
      </c>
      <c r="K10" s="31" t="str">
        <f>Global!GJ10</f>
        <v/>
      </c>
      <c r="L10" s="31" t="str">
        <f>Global!GK10</f>
        <v/>
      </c>
      <c r="M10" s="31" t="str">
        <f>Global!GL10</f>
        <v/>
      </c>
      <c r="N10" s="31" t="str">
        <f>Global!GM10</f>
        <v/>
      </c>
      <c r="O10" s="31" t="str">
        <f>Global!GN10</f>
        <v/>
      </c>
      <c r="P10" s="31" t="str">
        <f>Global!GO10</f>
        <v/>
      </c>
      <c r="Q10" s="31" t="str">
        <f>Global!GP10</f>
        <v/>
      </c>
      <c r="R10" s="31" t="str">
        <f>Global!GQ10</f>
        <v/>
      </c>
      <c r="S10" s="31" t="str">
        <f>Global!GR10</f>
        <v/>
      </c>
      <c r="T10" s="31" t="str">
        <f>Global!GS10</f>
        <v/>
      </c>
      <c r="U10" s="31" t="str">
        <f>Global!GT10</f>
        <v>C</v>
      </c>
      <c r="V10" s="31" t="str">
        <f>Global!GU10</f>
        <v>C</v>
      </c>
      <c r="W10" s="31" t="str">
        <f>Global!GV10</f>
        <v>C</v>
      </c>
      <c r="X10" s="31" t="str">
        <f>Global!GW10</f>
        <v>C</v>
      </c>
      <c r="Y10" s="31" t="str">
        <f>Global!GX10</f>
        <v>C</v>
      </c>
      <c r="Z10" s="31" t="str">
        <f>Global!GY10</f>
        <v/>
      </c>
      <c r="AA10" s="31" t="str">
        <f>Global!GZ10</f>
        <v/>
      </c>
      <c r="AB10" s="31" t="str">
        <f>Global!HA10</f>
        <v>C</v>
      </c>
      <c r="AC10" s="31" t="str">
        <f>Global!HB10</f>
        <v>C</v>
      </c>
      <c r="AD10" s="31" t="str">
        <f>Global!HC10</f>
        <v>C</v>
      </c>
      <c r="AE10" s="31" t="str">
        <f>Global!HD10</f>
        <v>C</v>
      </c>
      <c r="AF10" s="31" t="str">
        <f>Global!HE10</f>
        <v>C</v>
      </c>
      <c r="AG10" s="31" t="str">
        <f>Global!HF10</f>
        <v/>
      </c>
      <c r="AH10" s="31" t="str">
        <f>Global!HG10</f>
        <v/>
      </c>
      <c r="AI10" s="31" t="str">
        <f>Global!HH10</f>
        <v/>
      </c>
      <c r="AJ10" s="48" t="str">
        <f>Global!HI10</f>
        <v/>
      </c>
      <c r="AK10" s="108">
        <f>COUNTIF(Juillet[[#This Row],[1]:[31]],"RTT")+(COUNTIF(Juillet[[#This Row],[1]:[31]],"dRTT")/2)</f>
        <v>0</v>
      </c>
      <c r="AL10" s="109">
        <f>COUNTIF(Juillet[[#This Row],[1]:[31]],"C")+(COUNTIF(Juillet[[#This Row],[1]:[31]],"DC")/2)</f>
        <v>10</v>
      </c>
      <c r="AM10" s="22">
        <f>COUNTIF(Juillet[[#This Row],[1]:[31]],"M")</f>
        <v>0</v>
      </c>
      <c r="AN10" s="22">
        <f>COUNTIF(Juillet[[#This Row],[1]:[31]],"AT")</f>
        <v>0</v>
      </c>
      <c r="AO10" s="84">
        <f>IF(AND(Juillet[[#This Row],[Maladie]]=0,Juillet[[#This Row],[AT]]=0),((10*(_xlfn.DAYS("31/07/2018","01/07/2018")+1))/365),((_xlfn.DAYS("31/07/2018","01/07/2018")+1-(Juillet[[#This Row],[Maladie]]+Juillet[[#This Row],[AT]]))*((10*(_xlfn.DAYS("31/07/2018","01/07/2018")+1))/365))/(_xlfn.DAYS("31/07/2018","01/07/2018")+1))</f>
        <v>0.84931506849315064</v>
      </c>
    </row>
    <row r="11" spans="1:41" ht="30" customHeight="1" x14ac:dyDescent="0.2">
      <c r="A11" s="15" t="s">
        <v>67</v>
      </c>
      <c r="B11" s="22" t="s">
        <v>138</v>
      </c>
      <c r="C11" s="22" t="s">
        <v>139</v>
      </c>
      <c r="D11" s="22" t="s">
        <v>140</v>
      </c>
      <c r="E11" s="44">
        <v>0</v>
      </c>
      <c r="F11" s="47" t="str">
        <f>Global!GE11</f>
        <v/>
      </c>
      <c r="G11" s="31" t="str">
        <f>Global!GF11</f>
        <v/>
      </c>
      <c r="H11" s="31" t="str">
        <f>Global!GG11</f>
        <v/>
      </c>
      <c r="I11" s="31" t="str">
        <f>Global!GH11</f>
        <v/>
      </c>
      <c r="J11" s="31" t="str">
        <f>Global!GI11</f>
        <v/>
      </c>
      <c r="K11" s="31" t="str">
        <f>Global!GJ11</f>
        <v/>
      </c>
      <c r="L11" s="31" t="str">
        <f>Global!GK11</f>
        <v/>
      </c>
      <c r="M11" s="31" t="str">
        <f>Global!GL11</f>
        <v/>
      </c>
      <c r="N11" s="31" t="str">
        <f>Global!GM11</f>
        <v/>
      </c>
      <c r="O11" s="31" t="str">
        <f>Global!GN11</f>
        <v/>
      </c>
      <c r="P11" s="31" t="str">
        <f>Global!GO11</f>
        <v/>
      </c>
      <c r="Q11" s="31" t="str">
        <f>Global!GP11</f>
        <v/>
      </c>
      <c r="R11" s="31" t="str">
        <f>Global!GQ11</f>
        <v/>
      </c>
      <c r="S11" s="31" t="str">
        <f>Global!GR11</f>
        <v/>
      </c>
      <c r="T11" s="31" t="str">
        <f>Global!GS11</f>
        <v/>
      </c>
      <c r="U11" s="31" t="str">
        <f>Global!GT11</f>
        <v/>
      </c>
      <c r="V11" s="31" t="str">
        <f>Global!GU11</f>
        <v/>
      </c>
      <c r="W11" s="31" t="str">
        <f>Global!GV11</f>
        <v/>
      </c>
      <c r="X11" s="31" t="str">
        <f>Global!GW11</f>
        <v/>
      </c>
      <c r="Y11" s="31" t="str">
        <f>Global!GX11</f>
        <v/>
      </c>
      <c r="Z11" s="31" t="str">
        <f>Global!GY11</f>
        <v/>
      </c>
      <c r="AA11" s="31" t="str">
        <f>Global!GZ11</f>
        <v/>
      </c>
      <c r="AB11" s="31" t="str">
        <f>Global!HA11</f>
        <v/>
      </c>
      <c r="AC11" s="31" t="str">
        <f>Global!HB11</f>
        <v/>
      </c>
      <c r="AD11" s="31" t="str">
        <f>Global!HC11</f>
        <v/>
      </c>
      <c r="AE11" s="31" t="str">
        <f>Global!HD11</f>
        <v/>
      </c>
      <c r="AF11" s="31" t="str">
        <f>Global!HE11</f>
        <v/>
      </c>
      <c r="AG11" s="31" t="str">
        <f>Global!HF11</f>
        <v/>
      </c>
      <c r="AH11" s="31" t="str">
        <f>Global!HG11</f>
        <v/>
      </c>
      <c r="AI11" s="31" t="str">
        <f>Global!HH11</f>
        <v>C</v>
      </c>
      <c r="AJ11" s="48" t="str">
        <f>Global!HI11</f>
        <v>C</v>
      </c>
      <c r="AK11" s="108">
        <f>COUNTIF(Juillet[[#This Row],[1]:[31]],"RTT")+(COUNTIF(Juillet[[#This Row],[1]:[31]],"dRTT")/2)</f>
        <v>0</v>
      </c>
      <c r="AL11" s="109">
        <f>COUNTIF(Juillet[[#This Row],[1]:[31]],"C")+(COUNTIF(Juillet[[#This Row],[1]:[31]],"DC")/2)</f>
        <v>2</v>
      </c>
      <c r="AM11" s="22">
        <f>COUNTIF(Juillet[[#This Row],[1]:[31]],"M")</f>
        <v>0</v>
      </c>
      <c r="AN11" s="22">
        <f>COUNTIF(Juillet[[#This Row],[1]:[31]],"AT")</f>
        <v>0</v>
      </c>
      <c r="AO11" s="84">
        <f>IF(AND(Juillet[[#This Row],[Maladie]]=0,Juillet[[#This Row],[AT]]=0),((10*(_xlfn.DAYS("31/07/2018","01/07/2018")+1))/365),((_xlfn.DAYS("31/07/2018","01/07/2018")+1-(Juillet[[#This Row],[Maladie]]+Juillet[[#This Row],[AT]]))*((10*(_xlfn.DAYS("31/07/2018","01/07/2018")+1))/365))/(_xlfn.DAYS("31/07/2018","01/07/2018")+1))</f>
        <v>0.84931506849315064</v>
      </c>
    </row>
    <row r="12" spans="1:41" ht="30" customHeight="1" x14ac:dyDescent="0.2">
      <c r="A12" s="15" t="s">
        <v>68</v>
      </c>
      <c r="B12" s="22" t="s">
        <v>141</v>
      </c>
      <c r="C12" s="22" t="s">
        <v>142</v>
      </c>
      <c r="D12" s="22" t="s">
        <v>143</v>
      </c>
      <c r="E12" s="44">
        <v>0</v>
      </c>
      <c r="F12" s="47" t="str">
        <f>Global!GE12</f>
        <v/>
      </c>
      <c r="G12" s="31" t="str">
        <f>Global!GF12</f>
        <v/>
      </c>
      <c r="H12" s="31" t="str">
        <f>Global!GG12</f>
        <v/>
      </c>
      <c r="I12" s="31" t="str">
        <f>Global!GH12</f>
        <v/>
      </c>
      <c r="J12" s="31" t="str">
        <f>Global!GI12</f>
        <v/>
      </c>
      <c r="K12" s="31" t="str">
        <f>Global!GJ12</f>
        <v/>
      </c>
      <c r="L12" s="31" t="str">
        <f>Global!GK12</f>
        <v/>
      </c>
      <c r="M12" s="31" t="str">
        <f>Global!GL12</f>
        <v/>
      </c>
      <c r="N12" s="31" t="str">
        <f>Global!GM12</f>
        <v/>
      </c>
      <c r="O12" s="31" t="str">
        <f>Global!GN12</f>
        <v/>
      </c>
      <c r="P12" s="31" t="str">
        <f>Global!GO12</f>
        <v/>
      </c>
      <c r="Q12" s="31" t="str">
        <f>Global!GP12</f>
        <v/>
      </c>
      <c r="R12" s="31" t="str">
        <f>Global!GQ12</f>
        <v/>
      </c>
      <c r="S12" s="31" t="str">
        <f>Global!GR12</f>
        <v/>
      </c>
      <c r="T12" s="31" t="str">
        <f>Global!GS12</f>
        <v/>
      </c>
      <c r="U12" s="31" t="str">
        <f>Global!GT12</f>
        <v/>
      </c>
      <c r="V12" s="31" t="str">
        <f>Global!GU12</f>
        <v/>
      </c>
      <c r="W12" s="31" t="str">
        <f>Global!GV12</f>
        <v/>
      </c>
      <c r="X12" s="31" t="str">
        <f>Global!GW12</f>
        <v/>
      </c>
      <c r="Y12" s="31" t="str">
        <f>Global!GX12</f>
        <v/>
      </c>
      <c r="Z12" s="31" t="str">
        <f>Global!GY12</f>
        <v/>
      </c>
      <c r="AA12" s="31" t="str">
        <f>Global!GZ12</f>
        <v/>
      </c>
      <c r="AB12" s="31" t="str">
        <f>Global!HA12</f>
        <v/>
      </c>
      <c r="AC12" s="31" t="str">
        <f>Global!HB12</f>
        <v/>
      </c>
      <c r="AD12" s="31" t="str">
        <f>Global!HC12</f>
        <v/>
      </c>
      <c r="AE12" s="31" t="str">
        <f>Global!HD12</f>
        <v/>
      </c>
      <c r="AF12" s="31" t="str">
        <f>Global!HE12</f>
        <v/>
      </c>
      <c r="AG12" s="31" t="str">
        <f>Global!HF12</f>
        <v/>
      </c>
      <c r="AH12" s="31" t="str">
        <f>Global!HG12</f>
        <v/>
      </c>
      <c r="AI12" s="31" t="str">
        <f>Global!HH12</f>
        <v/>
      </c>
      <c r="AJ12" s="48" t="str">
        <f>Global!HI12</f>
        <v/>
      </c>
      <c r="AK12" s="108">
        <f>COUNTIF(Juillet[[#This Row],[1]:[31]],"RTT")+(COUNTIF(Juillet[[#This Row],[1]:[31]],"dRTT")/2)</f>
        <v>0</v>
      </c>
      <c r="AL12" s="109">
        <f>COUNTIF(Juillet[[#This Row],[1]:[31]],"C")+(COUNTIF(Juillet[[#This Row],[1]:[31]],"DC")/2)</f>
        <v>0</v>
      </c>
      <c r="AM12" s="22">
        <f>COUNTIF(Juillet[[#This Row],[1]:[31]],"M")</f>
        <v>0</v>
      </c>
      <c r="AN12" s="22">
        <f>COUNTIF(Juillet[[#This Row],[1]:[31]],"AT")</f>
        <v>0</v>
      </c>
      <c r="AO12" s="84">
        <f>IF(AND(Juillet[[#This Row],[Maladie]]=0,Juillet[[#This Row],[AT]]=0),((10*(_xlfn.DAYS("31/07/2018","01/07/2018")+1))/365),((_xlfn.DAYS("31/07/2018","01/07/2018")+1-(Juillet[[#This Row],[Maladie]]+Juillet[[#This Row],[AT]]))*((10*(_xlfn.DAYS("31/07/2018","01/07/2018")+1))/365))/(_xlfn.DAYS("31/07/2018","01/07/2018")+1))</f>
        <v>0.84931506849315064</v>
      </c>
    </row>
    <row r="13" spans="1:41" ht="30" customHeight="1" x14ac:dyDescent="0.2">
      <c r="A13" s="13" t="s">
        <v>69</v>
      </c>
      <c r="B13" s="22" t="s">
        <v>144</v>
      </c>
      <c r="C13" s="22" t="s">
        <v>145</v>
      </c>
      <c r="D13" s="22" t="s">
        <v>146</v>
      </c>
      <c r="E13" s="44">
        <v>0</v>
      </c>
      <c r="F13" s="47" t="str">
        <f>Global!GE13</f>
        <v/>
      </c>
      <c r="G13" s="31" t="str">
        <f>Global!GF13</f>
        <v/>
      </c>
      <c r="H13" s="31" t="str">
        <f>Global!GG13</f>
        <v/>
      </c>
      <c r="I13" s="31" t="str">
        <f>Global!GH13</f>
        <v/>
      </c>
      <c r="J13" s="31" t="str">
        <f>Global!GI13</f>
        <v/>
      </c>
      <c r="K13" s="31" t="str">
        <f>Global!GJ13</f>
        <v/>
      </c>
      <c r="L13" s="31" t="str">
        <f>Global!GK13</f>
        <v/>
      </c>
      <c r="M13" s="31" t="str">
        <f>Global!GL13</f>
        <v/>
      </c>
      <c r="N13" s="31" t="str">
        <f>Global!GM13</f>
        <v/>
      </c>
      <c r="O13" s="31" t="str">
        <f>Global!GN13</f>
        <v/>
      </c>
      <c r="P13" s="31" t="str">
        <f>Global!GO13</f>
        <v/>
      </c>
      <c r="Q13" s="31" t="str">
        <f>Global!GP13</f>
        <v/>
      </c>
      <c r="R13" s="31" t="str">
        <f>Global!GQ13</f>
        <v/>
      </c>
      <c r="S13" s="31" t="str">
        <f>Global!GR13</f>
        <v/>
      </c>
      <c r="T13" s="31" t="str">
        <f>Global!GS13</f>
        <v/>
      </c>
      <c r="U13" s="31" t="str">
        <f>Global!GT13</f>
        <v/>
      </c>
      <c r="V13" s="31" t="str">
        <f>Global!GU13</f>
        <v/>
      </c>
      <c r="W13" s="31" t="str">
        <f>Global!GV13</f>
        <v/>
      </c>
      <c r="X13" s="31" t="str">
        <f>Global!GW13</f>
        <v/>
      </c>
      <c r="Y13" s="31" t="str">
        <f>Global!GX13</f>
        <v/>
      </c>
      <c r="Z13" s="31" t="str">
        <f>Global!GY13</f>
        <v/>
      </c>
      <c r="AA13" s="31" t="str">
        <f>Global!GZ13</f>
        <v/>
      </c>
      <c r="AB13" s="31" t="str">
        <f>Global!HA13</f>
        <v/>
      </c>
      <c r="AC13" s="31" t="str">
        <f>Global!HB13</f>
        <v/>
      </c>
      <c r="AD13" s="31" t="str">
        <f>Global!HC13</f>
        <v/>
      </c>
      <c r="AE13" s="31" t="str">
        <f>Global!HD13</f>
        <v/>
      </c>
      <c r="AF13" s="31" t="str">
        <f>Global!HE13</f>
        <v/>
      </c>
      <c r="AG13" s="31" t="str">
        <f>Global!HF13</f>
        <v/>
      </c>
      <c r="AH13" s="31" t="str">
        <f>Global!HG13</f>
        <v/>
      </c>
      <c r="AI13" s="31" t="str">
        <f>Global!HH13</f>
        <v/>
      </c>
      <c r="AJ13" s="48" t="str">
        <f>Global!HI13</f>
        <v/>
      </c>
      <c r="AK13" s="108">
        <f>COUNTIF(Juillet[[#This Row],[1]:[31]],"RTT")+(COUNTIF(Juillet[[#This Row],[1]:[31]],"dRTT")/2)</f>
        <v>0</v>
      </c>
      <c r="AL13" s="109">
        <f>COUNTIF(Juillet[[#This Row],[1]:[31]],"C")+(COUNTIF(Juillet[[#This Row],[1]:[31]],"DC")/2)</f>
        <v>0</v>
      </c>
      <c r="AM13" s="22">
        <f>COUNTIF(Juillet[[#This Row],[1]:[31]],"M")</f>
        <v>0</v>
      </c>
      <c r="AN13" s="22">
        <f>COUNTIF(Juillet[[#This Row],[1]:[31]],"AT")</f>
        <v>0</v>
      </c>
      <c r="AO13" s="84">
        <f>IF(AND(Juillet[[#This Row],[Maladie]]=0,Juillet[[#This Row],[AT]]=0),((10*(_xlfn.DAYS("31/07/2018","01/07/2018")+1))/365),((_xlfn.DAYS("31/07/2018","01/07/2018")+1-(Juillet[[#This Row],[Maladie]]+Juillet[[#This Row],[AT]]))*((10*(_xlfn.DAYS("31/07/2018","01/07/2018")+1))/365))/(_xlfn.DAYS("31/07/2018","01/07/2018")+1))</f>
        <v>0.84931506849315064</v>
      </c>
    </row>
    <row r="14" spans="1:41" ht="30" customHeight="1" x14ac:dyDescent="0.2">
      <c r="A14" s="15" t="s">
        <v>70</v>
      </c>
      <c r="B14" s="22" t="s">
        <v>147</v>
      </c>
      <c r="C14" s="22" t="s">
        <v>148</v>
      </c>
      <c r="D14" s="22" t="s">
        <v>149</v>
      </c>
      <c r="E14" s="44">
        <v>0</v>
      </c>
      <c r="F14" s="47" t="str">
        <f>Global!GE14</f>
        <v/>
      </c>
      <c r="G14" s="31" t="str">
        <f>Global!GF14</f>
        <v/>
      </c>
      <c r="H14" s="31" t="str">
        <f>Global!GG14</f>
        <v/>
      </c>
      <c r="I14" s="31" t="str">
        <f>Global!GH14</f>
        <v/>
      </c>
      <c r="J14" s="31" t="str">
        <f>Global!GI14</f>
        <v/>
      </c>
      <c r="K14" s="31" t="str">
        <f>Global!GJ14</f>
        <v/>
      </c>
      <c r="L14" s="31" t="str">
        <f>Global!GK14</f>
        <v/>
      </c>
      <c r="M14" s="31" t="str">
        <f>Global!GL14</f>
        <v/>
      </c>
      <c r="N14" s="31" t="str">
        <f>Global!GM14</f>
        <v>C</v>
      </c>
      <c r="O14" s="31" t="str">
        <f>Global!GN14</f>
        <v>C</v>
      </c>
      <c r="P14" s="31" t="str">
        <f>Global!GO14</f>
        <v>C</v>
      </c>
      <c r="Q14" s="31" t="str">
        <f>Global!GP14</f>
        <v>C</v>
      </c>
      <c r="R14" s="31" t="str">
        <f>Global!GQ14</f>
        <v>C</v>
      </c>
      <c r="S14" s="31" t="str">
        <f>Global!GR14</f>
        <v/>
      </c>
      <c r="T14" s="31" t="str">
        <f>Global!GS14</f>
        <v/>
      </c>
      <c r="U14" s="31" t="str">
        <f>Global!GT14</f>
        <v/>
      </c>
      <c r="V14" s="31" t="str">
        <f>Global!GU14</f>
        <v/>
      </c>
      <c r="W14" s="31" t="str">
        <f>Global!GV14</f>
        <v/>
      </c>
      <c r="X14" s="31" t="str">
        <f>Global!GW14</f>
        <v/>
      </c>
      <c r="Y14" s="31" t="str">
        <f>Global!GX14</f>
        <v/>
      </c>
      <c r="Z14" s="31" t="str">
        <f>Global!GY14</f>
        <v/>
      </c>
      <c r="AA14" s="31" t="str">
        <f>Global!GZ14</f>
        <v/>
      </c>
      <c r="AB14" s="31" t="str">
        <f>Global!HA14</f>
        <v/>
      </c>
      <c r="AC14" s="31" t="str">
        <f>Global!HB14</f>
        <v/>
      </c>
      <c r="AD14" s="31" t="str">
        <f>Global!HC14</f>
        <v/>
      </c>
      <c r="AE14" s="31" t="str">
        <f>Global!HD14</f>
        <v/>
      </c>
      <c r="AF14" s="31" t="str">
        <f>Global!HE14</f>
        <v/>
      </c>
      <c r="AG14" s="31" t="str">
        <f>Global!HF14</f>
        <v/>
      </c>
      <c r="AH14" s="31" t="str">
        <f>Global!HG14</f>
        <v/>
      </c>
      <c r="AI14" s="31" t="str">
        <f>Global!HH14</f>
        <v>C</v>
      </c>
      <c r="AJ14" s="48" t="str">
        <f>Global!HI14</f>
        <v>C</v>
      </c>
      <c r="AK14" s="108">
        <f>COUNTIF(Juillet[[#This Row],[1]:[31]],"RTT")+(COUNTIF(Juillet[[#This Row],[1]:[31]],"dRTT")/2)</f>
        <v>0</v>
      </c>
      <c r="AL14" s="109">
        <f>COUNTIF(Juillet[[#This Row],[1]:[31]],"C")+(COUNTIF(Juillet[[#This Row],[1]:[31]],"DC")/2)</f>
        <v>7</v>
      </c>
      <c r="AM14" s="22">
        <f>COUNTIF(Juillet[[#This Row],[1]:[31]],"M")</f>
        <v>0</v>
      </c>
      <c r="AN14" s="22">
        <f>COUNTIF(Juillet[[#This Row],[1]:[31]],"AT")</f>
        <v>0</v>
      </c>
      <c r="AO14" s="84">
        <f>IF(AND(Juillet[[#This Row],[Maladie]]=0,Juillet[[#This Row],[AT]]=0),((10*(_xlfn.DAYS("31/07/2018","01/07/2018")+1))/365),((_xlfn.DAYS("31/07/2018","01/07/2018")+1-(Juillet[[#This Row],[Maladie]]+Juillet[[#This Row],[AT]]))*((10*(_xlfn.DAYS("31/07/2018","01/07/2018")+1))/365))/(_xlfn.DAYS("31/07/2018","01/07/2018")+1))</f>
        <v>0.84931506849315064</v>
      </c>
    </row>
    <row r="15" spans="1:41" ht="30" customHeight="1" x14ac:dyDescent="0.2">
      <c r="A15" s="15" t="s">
        <v>71</v>
      </c>
      <c r="B15" s="22" t="s">
        <v>150</v>
      </c>
      <c r="C15" s="22" t="s">
        <v>151</v>
      </c>
      <c r="D15" s="22" t="s">
        <v>152</v>
      </c>
      <c r="E15" s="44">
        <v>0</v>
      </c>
      <c r="F15" s="47" t="str">
        <f>Global!GE15</f>
        <v/>
      </c>
      <c r="G15" s="31" t="str">
        <f>Global!GF15</f>
        <v>C</v>
      </c>
      <c r="H15" s="31" t="str">
        <f>Global!GG15</f>
        <v>C</v>
      </c>
      <c r="I15" s="31" t="str">
        <f>Global!GH15</f>
        <v>C</v>
      </c>
      <c r="J15" s="31" t="str">
        <f>Global!GI15</f>
        <v>C</v>
      </c>
      <c r="K15" s="31" t="str">
        <f>Global!GJ15</f>
        <v>C</v>
      </c>
      <c r="L15" s="31" t="str">
        <f>Global!GK15</f>
        <v/>
      </c>
      <c r="M15" s="31" t="str">
        <f>Global!GL15</f>
        <v/>
      </c>
      <c r="N15" s="31" t="str">
        <f>Global!GM15</f>
        <v>C</v>
      </c>
      <c r="O15" s="31" t="str">
        <f>Global!GN15</f>
        <v>C</v>
      </c>
      <c r="P15" s="31" t="str">
        <f>Global!GO15</f>
        <v>C</v>
      </c>
      <c r="Q15" s="31" t="str">
        <f>Global!GP15</f>
        <v>C</v>
      </c>
      <c r="R15" s="31" t="str">
        <f>Global!GQ15</f>
        <v>C</v>
      </c>
      <c r="S15" s="31" t="str">
        <f>Global!GR15</f>
        <v/>
      </c>
      <c r="T15" s="31" t="str">
        <f>Global!GS15</f>
        <v/>
      </c>
      <c r="U15" s="31" t="str">
        <f>Global!GT15</f>
        <v/>
      </c>
      <c r="V15" s="31" t="str">
        <f>Global!GU15</f>
        <v/>
      </c>
      <c r="W15" s="31" t="str">
        <f>Global!GV15</f>
        <v/>
      </c>
      <c r="X15" s="31" t="str">
        <f>Global!GW15</f>
        <v/>
      </c>
      <c r="Y15" s="31" t="str">
        <f>Global!GX15</f>
        <v/>
      </c>
      <c r="Z15" s="31" t="str">
        <f>Global!GY15</f>
        <v/>
      </c>
      <c r="AA15" s="31" t="str">
        <f>Global!GZ15</f>
        <v/>
      </c>
      <c r="AB15" s="31" t="str">
        <f>Global!HA15</f>
        <v/>
      </c>
      <c r="AC15" s="31" t="str">
        <f>Global!HB15</f>
        <v/>
      </c>
      <c r="AD15" s="31" t="str">
        <f>Global!HC15</f>
        <v/>
      </c>
      <c r="AE15" s="31" t="str">
        <f>Global!HD15</f>
        <v/>
      </c>
      <c r="AF15" s="31" t="str">
        <f>Global!HE15</f>
        <v/>
      </c>
      <c r="AG15" s="31" t="str">
        <f>Global!HF15</f>
        <v/>
      </c>
      <c r="AH15" s="31" t="str">
        <f>Global!HG15</f>
        <v/>
      </c>
      <c r="AI15" s="31" t="str">
        <f>Global!HH15</f>
        <v/>
      </c>
      <c r="AJ15" s="48" t="str">
        <f>Global!HI15</f>
        <v/>
      </c>
      <c r="AK15" s="108">
        <f>COUNTIF(Juillet[[#This Row],[1]:[31]],"RTT")+(COUNTIF(Juillet[[#This Row],[1]:[31]],"dRTT")/2)</f>
        <v>0</v>
      </c>
      <c r="AL15" s="109">
        <f>COUNTIF(Juillet[[#This Row],[1]:[31]],"C")+(COUNTIF(Juillet[[#This Row],[1]:[31]],"DC")/2)</f>
        <v>10</v>
      </c>
      <c r="AM15" s="22">
        <f>COUNTIF(Juillet[[#This Row],[1]:[31]],"M")</f>
        <v>0</v>
      </c>
      <c r="AN15" s="22">
        <f>COUNTIF(Juillet[[#This Row],[1]:[31]],"AT")</f>
        <v>0</v>
      </c>
      <c r="AO15" s="84">
        <f>IF(AND(Juillet[[#This Row],[Maladie]]=0,Juillet[[#This Row],[AT]]=0),((10*(_xlfn.DAYS("31/07/2018","01/07/2018")+1))/365),((_xlfn.DAYS("31/07/2018","01/07/2018")+1-(Juillet[[#This Row],[Maladie]]+Juillet[[#This Row],[AT]]))*((10*(_xlfn.DAYS("31/07/2018","01/07/2018")+1))/365))/(_xlfn.DAYS("31/07/2018","01/07/2018")+1))</f>
        <v>0.84931506849315064</v>
      </c>
    </row>
    <row r="16" spans="1:41" ht="30" customHeight="1" x14ac:dyDescent="0.2">
      <c r="A16" s="15" t="s">
        <v>72</v>
      </c>
      <c r="B16" s="22" t="s">
        <v>153</v>
      </c>
      <c r="C16" s="22" t="s">
        <v>154</v>
      </c>
      <c r="D16" s="22" t="s">
        <v>155</v>
      </c>
      <c r="E16" s="44">
        <v>0</v>
      </c>
      <c r="F16" s="47" t="str">
        <f>Global!GE16</f>
        <v/>
      </c>
      <c r="G16" s="31" t="str">
        <f>Global!GF16</f>
        <v/>
      </c>
      <c r="H16" s="31" t="str">
        <f>Global!GG16</f>
        <v/>
      </c>
      <c r="I16" s="31" t="str">
        <f>Global!GH16</f>
        <v/>
      </c>
      <c r="J16" s="31" t="str">
        <f>Global!GI16</f>
        <v/>
      </c>
      <c r="K16" s="31" t="str">
        <f>Global!GJ16</f>
        <v/>
      </c>
      <c r="L16" s="31" t="str">
        <f>Global!GK16</f>
        <v/>
      </c>
      <c r="M16" s="31" t="str">
        <f>Global!GL16</f>
        <v/>
      </c>
      <c r="N16" s="31" t="str">
        <f>Global!GM16</f>
        <v/>
      </c>
      <c r="O16" s="31" t="str">
        <f>Global!GN16</f>
        <v/>
      </c>
      <c r="P16" s="31" t="str">
        <f>Global!GO16</f>
        <v/>
      </c>
      <c r="Q16" s="31" t="str">
        <f>Global!GP16</f>
        <v/>
      </c>
      <c r="R16" s="31" t="str">
        <f>Global!GQ16</f>
        <v/>
      </c>
      <c r="S16" s="31" t="str">
        <f>Global!GR16</f>
        <v/>
      </c>
      <c r="T16" s="31" t="str">
        <f>Global!GS16</f>
        <v/>
      </c>
      <c r="U16" s="31" t="str">
        <f>Global!GT16</f>
        <v/>
      </c>
      <c r="V16" s="31" t="str">
        <f>Global!GU16</f>
        <v/>
      </c>
      <c r="W16" s="31" t="str">
        <f>Global!GV16</f>
        <v/>
      </c>
      <c r="X16" s="31" t="str">
        <f>Global!GW16</f>
        <v/>
      </c>
      <c r="Y16" s="31" t="str">
        <f>Global!GX16</f>
        <v/>
      </c>
      <c r="Z16" s="31" t="str">
        <f>Global!GY16</f>
        <v/>
      </c>
      <c r="AA16" s="31" t="str">
        <f>Global!GZ16</f>
        <v/>
      </c>
      <c r="AB16" s="31" t="str">
        <f>Global!HA16</f>
        <v/>
      </c>
      <c r="AC16" s="31" t="str">
        <f>Global!HB16</f>
        <v/>
      </c>
      <c r="AD16" s="31" t="str">
        <f>Global!HC16</f>
        <v/>
      </c>
      <c r="AE16" s="31" t="str">
        <f>Global!HD16</f>
        <v/>
      </c>
      <c r="AF16" s="31" t="str">
        <f>Global!HE16</f>
        <v/>
      </c>
      <c r="AG16" s="31" t="str">
        <f>Global!HF16</f>
        <v/>
      </c>
      <c r="AH16" s="31" t="str">
        <f>Global!HG16</f>
        <v/>
      </c>
      <c r="AI16" s="31" t="str">
        <f>Global!HH16</f>
        <v/>
      </c>
      <c r="AJ16" s="48" t="str">
        <f>Global!HI16</f>
        <v/>
      </c>
      <c r="AK16" s="108">
        <f>COUNTIF(Juillet[[#This Row],[1]:[31]],"RTT")+(COUNTIF(Juillet[[#This Row],[1]:[31]],"dRTT")/2)</f>
        <v>0</v>
      </c>
      <c r="AL16" s="109">
        <f>COUNTIF(Juillet[[#This Row],[1]:[31]],"C")+(COUNTIF(Juillet[[#This Row],[1]:[31]],"DC")/2)</f>
        <v>0</v>
      </c>
      <c r="AM16" s="22">
        <f>COUNTIF(Juillet[[#This Row],[1]:[31]],"M")</f>
        <v>0</v>
      </c>
      <c r="AN16" s="22">
        <f>COUNTIF(Juillet[[#This Row],[1]:[31]],"AT")</f>
        <v>0</v>
      </c>
      <c r="AO16" s="84">
        <f>IF(AND(Juillet[[#This Row],[Maladie]]=0,Juillet[[#This Row],[AT]]=0),((10*(_xlfn.DAYS("31/07/2018","01/07/2018")+1))/365),((_xlfn.DAYS("31/07/2018","01/07/2018")+1-(Juillet[[#This Row],[Maladie]]+Juillet[[#This Row],[AT]]))*((10*(_xlfn.DAYS("31/07/2018","01/07/2018")+1))/365))/(_xlfn.DAYS("31/07/2018","01/07/2018")+1))</f>
        <v>0.84931506849315064</v>
      </c>
    </row>
    <row r="17" spans="1:41" ht="30" customHeight="1" x14ac:dyDescent="0.2">
      <c r="A17" s="15" t="s">
        <v>73</v>
      </c>
      <c r="B17" s="22" t="s">
        <v>156</v>
      </c>
      <c r="C17" s="22" t="s">
        <v>157</v>
      </c>
      <c r="D17" s="22" t="s">
        <v>158</v>
      </c>
      <c r="E17" s="44">
        <v>0</v>
      </c>
      <c r="F17" s="47" t="str">
        <f>Global!GE17</f>
        <v/>
      </c>
      <c r="G17" s="31" t="str">
        <f>Global!GF17</f>
        <v/>
      </c>
      <c r="H17" s="31" t="str">
        <f>Global!GG17</f>
        <v/>
      </c>
      <c r="I17" s="31" t="str">
        <f>Global!GH17</f>
        <v/>
      </c>
      <c r="J17" s="31" t="str">
        <f>Global!GI17</f>
        <v/>
      </c>
      <c r="K17" s="31" t="str">
        <f>Global!GJ17</f>
        <v/>
      </c>
      <c r="L17" s="31" t="str">
        <f>Global!GK17</f>
        <v/>
      </c>
      <c r="M17" s="31" t="str">
        <f>Global!GL17</f>
        <v/>
      </c>
      <c r="N17" s="31" t="str">
        <f>Global!GM17</f>
        <v/>
      </c>
      <c r="O17" s="31" t="str">
        <f>Global!GN17</f>
        <v/>
      </c>
      <c r="P17" s="31" t="str">
        <f>Global!GO17</f>
        <v/>
      </c>
      <c r="Q17" s="31" t="str">
        <f>Global!GP17</f>
        <v/>
      </c>
      <c r="R17" s="31" t="str">
        <f>Global!GQ17</f>
        <v/>
      </c>
      <c r="S17" s="31" t="str">
        <f>Global!GR17</f>
        <v/>
      </c>
      <c r="T17" s="31" t="str">
        <f>Global!GS17</f>
        <v/>
      </c>
      <c r="U17" s="31" t="str">
        <f>Global!GT17</f>
        <v/>
      </c>
      <c r="V17" s="31" t="str">
        <f>Global!GU17</f>
        <v/>
      </c>
      <c r="W17" s="31" t="str">
        <f>Global!GV17</f>
        <v/>
      </c>
      <c r="X17" s="31" t="str">
        <f>Global!GW17</f>
        <v/>
      </c>
      <c r="Y17" s="31" t="str">
        <f>Global!GX17</f>
        <v/>
      </c>
      <c r="Z17" s="31" t="str">
        <f>Global!GY17</f>
        <v/>
      </c>
      <c r="AA17" s="31" t="str">
        <f>Global!GZ17</f>
        <v/>
      </c>
      <c r="AB17" s="31" t="str">
        <f>Global!HA17</f>
        <v/>
      </c>
      <c r="AC17" s="31" t="str">
        <f>Global!HB17</f>
        <v/>
      </c>
      <c r="AD17" s="31" t="str">
        <f>Global!HC17</f>
        <v/>
      </c>
      <c r="AE17" s="31" t="str">
        <f>Global!HD17</f>
        <v/>
      </c>
      <c r="AF17" s="31" t="str">
        <f>Global!HE17</f>
        <v/>
      </c>
      <c r="AG17" s="31" t="str">
        <f>Global!HF17</f>
        <v/>
      </c>
      <c r="AH17" s="31" t="str">
        <f>Global!HG17</f>
        <v/>
      </c>
      <c r="AI17" s="31" t="str">
        <f>Global!HH17</f>
        <v/>
      </c>
      <c r="AJ17" s="48" t="str">
        <f>Global!HI17</f>
        <v/>
      </c>
      <c r="AK17" s="108">
        <f>COUNTIF(Juillet[[#This Row],[1]:[31]],"RTT")+(COUNTIF(Juillet[[#This Row],[1]:[31]],"dRTT")/2)</f>
        <v>0</v>
      </c>
      <c r="AL17" s="109">
        <f>COUNTIF(Juillet[[#This Row],[1]:[31]],"C")+(COUNTIF(Juillet[[#This Row],[1]:[31]],"DC")/2)</f>
        <v>0</v>
      </c>
      <c r="AM17" s="22">
        <f>COUNTIF(Juillet[[#This Row],[1]:[31]],"M")</f>
        <v>0</v>
      </c>
      <c r="AN17" s="22">
        <f>COUNTIF(Juillet[[#This Row],[1]:[31]],"AT")</f>
        <v>0</v>
      </c>
      <c r="AO17" s="84">
        <f>IF(AND(Juillet[[#This Row],[Maladie]]=0,Juillet[[#This Row],[AT]]=0),((10*(_xlfn.DAYS("31/07/2018","01/07/2018")+1))/365),((_xlfn.DAYS("31/07/2018","01/07/2018")+1-(Juillet[[#This Row],[Maladie]]+Juillet[[#This Row],[AT]]))*((10*(_xlfn.DAYS("31/07/2018","01/07/2018")+1))/365))/(_xlfn.DAYS("31/07/2018","01/07/2018")+1))</f>
        <v>0.84931506849315064</v>
      </c>
    </row>
    <row r="18" spans="1:41" ht="30" customHeight="1" x14ac:dyDescent="0.2">
      <c r="A18" s="15" t="s">
        <v>74</v>
      </c>
      <c r="B18" s="22" t="s">
        <v>159</v>
      </c>
      <c r="C18" s="22" t="s">
        <v>160</v>
      </c>
      <c r="D18" s="22" t="s">
        <v>161</v>
      </c>
      <c r="E18" s="44" t="s">
        <v>162</v>
      </c>
      <c r="F18" s="47" t="str">
        <f>Global!GE18</f>
        <v/>
      </c>
      <c r="G18" s="31" t="str">
        <f>Global!GF18</f>
        <v/>
      </c>
      <c r="H18" s="31" t="str">
        <f>Global!GG18</f>
        <v/>
      </c>
      <c r="I18" s="31" t="str">
        <f>Global!GH18</f>
        <v/>
      </c>
      <c r="J18" s="31" t="str">
        <f>Global!GI18</f>
        <v/>
      </c>
      <c r="K18" s="31" t="str">
        <f>Global!GJ18</f>
        <v/>
      </c>
      <c r="L18" s="31" t="str">
        <f>Global!GK18</f>
        <v/>
      </c>
      <c r="M18" s="31" t="str">
        <f>Global!GL18</f>
        <v/>
      </c>
      <c r="N18" s="31" t="str">
        <f>Global!GM18</f>
        <v/>
      </c>
      <c r="O18" s="31" t="str">
        <f>Global!GN18</f>
        <v/>
      </c>
      <c r="P18" s="31" t="str">
        <f>Global!GO18</f>
        <v/>
      </c>
      <c r="Q18" s="31" t="str">
        <f>Global!GP18</f>
        <v/>
      </c>
      <c r="R18" s="31" t="str">
        <f>Global!GQ18</f>
        <v/>
      </c>
      <c r="S18" s="31" t="str">
        <f>Global!GR18</f>
        <v/>
      </c>
      <c r="T18" s="31" t="str">
        <f>Global!GS18</f>
        <v/>
      </c>
      <c r="U18" s="31" t="str">
        <f>Global!GT18</f>
        <v/>
      </c>
      <c r="V18" s="31" t="str">
        <f>Global!GU18</f>
        <v/>
      </c>
      <c r="W18" s="31" t="str">
        <f>Global!GV18</f>
        <v/>
      </c>
      <c r="X18" s="31" t="str">
        <f>Global!GW18</f>
        <v/>
      </c>
      <c r="Y18" s="31" t="str">
        <f>Global!GX18</f>
        <v/>
      </c>
      <c r="Z18" s="31" t="str">
        <f>Global!GY18</f>
        <v/>
      </c>
      <c r="AA18" s="31" t="str">
        <f>Global!GZ18</f>
        <v/>
      </c>
      <c r="AB18" s="31" t="str">
        <f>Global!HA18</f>
        <v/>
      </c>
      <c r="AC18" s="31" t="str">
        <f>Global!HB18</f>
        <v/>
      </c>
      <c r="AD18" s="31" t="str">
        <f>Global!HC18</f>
        <v/>
      </c>
      <c r="AE18" s="31" t="str">
        <f>Global!HD18</f>
        <v/>
      </c>
      <c r="AF18" s="31" t="str">
        <f>Global!HE18</f>
        <v/>
      </c>
      <c r="AG18" s="31" t="str">
        <f>Global!HF18</f>
        <v/>
      </c>
      <c r="AH18" s="31" t="str">
        <f>Global!HG18</f>
        <v/>
      </c>
      <c r="AI18" s="31" t="str">
        <f>Global!HH18</f>
        <v/>
      </c>
      <c r="AJ18" s="48" t="str">
        <f>Global!HI18</f>
        <v/>
      </c>
      <c r="AK18" s="108">
        <f>COUNTIF(Juillet[[#This Row],[1]:[31]],"RTT")+(COUNTIF(Juillet[[#This Row],[1]:[31]],"dRTT")/2)</f>
        <v>0</v>
      </c>
      <c r="AL18" s="109">
        <f>COUNTIF(Juillet[[#This Row],[1]:[31]],"C")+(COUNTIF(Juillet[[#This Row],[1]:[31]],"DC")/2)</f>
        <v>0</v>
      </c>
      <c r="AM18" s="22">
        <f>COUNTIF(Juillet[[#This Row],[1]:[31]],"M")</f>
        <v>0</v>
      </c>
      <c r="AN18" s="22">
        <f>COUNTIF(Juillet[[#This Row],[1]:[31]],"AT")</f>
        <v>0</v>
      </c>
      <c r="AO18" s="84">
        <f>IF(AND(Juillet[[#This Row],[Maladie]]=0,Juillet[[#This Row],[AT]]=0),((10*(_xlfn.DAYS("31/07/2018","01/07/2018")+1))/365),((_xlfn.DAYS("31/07/2018","01/07/2018")+1-(Juillet[[#This Row],[Maladie]]+Juillet[[#This Row],[AT]]))*((10*(_xlfn.DAYS("31/07/2018","01/07/2018")+1))/365))/(_xlfn.DAYS("31/07/2018","01/07/2018")+1))</f>
        <v>0.84931506849315064</v>
      </c>
    </row>
    <row r="19" spans="1:41" ht="30" customHeight="1" x14ac:dyDescent="0.2">
      <c r="A19" s="15" t="s">
        <v>75</v>
      </c>
      <c r="B19" s="22" t="s">
        <v>163</v>
      </c>
      <c r="C19" s="22" t="s">
        <v>164</v>
      </c>
      <c r="D19" s="22" t="s">
        <v>165</v>
      </c>
      <c r="E19" s="44">
        <v>0</v>
      </c>
      <c r="F19" s="47" t="str">
        <f>Global!GE19</f>
        <v/>
      </c>
      <c r="G19" s="31" t="str">
        <f>Global!GF19</f>
        <v/>
      </c>
      <c r="H19" s="31" t="str">
        <f>Global!GG19</f>
        <v/>
      </c>
      <c r="I19" s="31" t="str">
        <f>Global!GH19</f>
        <v/>
      </c>
      <c r="J19" s="31" t="str">
        <f>Global!GI19</f>
        <v/>
      </c>
      <c r="K19" s="31" t="str">
        <f>Global!GJ19</f>
        <v/>
      </c>
      <c r="L19" s="31" t="str">
        <f>Global!GK19</f>
        <v/>
      </c>
      <c r="M19" s="31" t="str">
        <f>Global!GL19</f>
        <v/>
      </c>
      <c r="N19" s="31" t="str">
        <f>Global!GM19</f>
        <v/>
      </c>
      <c r="O19" s="31" t="str">
        <f>Global!GN19</f>
        <v/>
      </c>
      <c r="P19" s="31" t="str">
        <f>Global!GO19</f>
        <v/>
      </c>
      <c r="Q19" s="31" t="str">
        <f>Global!GP19</f>
        <v/>
      </c>
      <c r="R19" s="31" t="str">
        <f>Global!GQ19</f>
        <v/>
      </c>
      <c r="S19" s="31" t="str">
        <f>Global!GR19</f>
        <v/>
      </c>
      <c r="T19" s="31" t="str">
        <f>Global!GS19</f>
        <v/>
      </c>
      <c r="U19" s="31" t="str">
        <f>Global!GT19</f>
        <v/>
      </c>
      <c r="V19" s="31" t="str">
        <f>Global!GU19</f>
        <v/>
      </c>
      <c r="W19" s="31" t="str">
        <f>Global!GV19</f>
        <v/>
      </c>
      <c r="X19" s="31" t="str">
        <f>Global!GW19</f>
        <v/>
      </c>
      <c r="Y19" s="31" t="str">
        <f>Global!GX19</f>
        <v/>
      </c>
      <c r="Z19" s="31" t="str">
        <f>Global!GY19</f>
        <v/>
      </c>
      <c r="AA19" s="31" t="str">
        <f>Global!GZ19</f>
        <v/>
      </c>
      <c r="AB19" s="31" t="str">
        <f>Global!HA19</f>
        <v/>
      </c>
      <c r="AC19" s="31" t="str">
        <f>Global!HB19</f>
        <v/>
      </c>
      <c r="AD19" s="31" t="str">
        <f>Global!HC19</f>
        <v/>
      </c>
      <c r="AE19" s="31" t="str">
        <f>Global!HD19</f>
        <v/>
      </c>
      <c r="AF19" s="31" t="str">
        <f>Global!HE19</f>
        <v/>
      </c>
      <c r="AG19" s="31" t="str">
        <f>Global!HF19</f>
        <v/>
      </c>
      <c r="AH19" s="31" t="str">
        <f>Global!HG19</f>
        <v/>
      </c>
      <c r="AI19" s="31" t="str">
        <f>Global!HH19</f>
        <v/>
      </c>
      <c r="AJ19" s="48" t="str">
        <f>Global!HI19</f>
        <v/>
      </c>
      <c r="AK19" s="108">
        <f>COUNTIF(Juillet[[#This Row],[1]:[31]],"RTT")+(COUNTIF(Juillet[[#This Row],[1]:[31]],"dRTT")/2)</f>
        <v>0</v>
      </c>
      <c r="AL19" s="109">
        <f>COUNTIF(Juillet[[#This Row],[1]:[31]],"C")+(COUNTIF(Juillet[[#This Row],[1]:[31]],"DC")/2)</f>
        <v>0</v>
      </c>
      <c r="AM19" s="22">
        <f>COUNTIF(Juillet[[#This Row],[1]:[31]],"M")</f>
        <v>0</v>
      </c>
      <c r="AN19" s="22">
        <f>COUNTIF(Juillet[[#This Row],[1]:[31]],"AT")</f>
        <v>0</v>
      </c>
      <c r="AO19" s="84">
        <f>IF(AND(Juillet[[#This Row],[Maladie]]=0,Juillet[[#This Row],[AT]]=0),((10*(_xlfn.DAYS("31/07/2018","01/07/2018")+1))/365),((_xlfn.DAYS("31/07/2018","01/07/2018")+1-(Juillet[[#This Row],[Maladie]]+Juillet[[#This Row],[AT]]))*((10*(_xlfn.DAYS("31/07/2018","01/07/2018")+1))/365))/(_xlfn.DAYS("31/07/2018","01/07/2018")+1))</f>
        <v>0.84931506849315064</v>
      </c>
    </row>
    <row r="20" spans="1:41" ht="30" customHeight="1" x14ac:dyDescent="0.2">
      <c r="A20" s="15" t="s">
        <v>76</v>
      </c>
      <c r="B20" s="22" t="s">
        <v>166</v>
      </c>
      <c r="C20" s="22" t="s">
        <v>151</v>
      </c>
      <c r="D20" s="22" t="s">
        <v>167</v>
      </c>
      <c r="E20" s="44">
        <v>0</v>
      </c>
      <c r="F20" s="47" t="str">
        <f>Global!GE20</f>
        <v/>
      </c>
      <c r="G20" s="31" t="str">
        <f>Global!GF20</f>
        <v/>
      </c>
      <c r="H20" s="31" t="str">
        <f>Global!GG20</f>
        <v/>
      </c>
      <c r="I20" s="31" t="str">
        <f>Global!GH20</f>
        <v/>
      </c>
      <c r="J20" s="31" t="str">
        <f>Global!GI20</f>
        <v/>
      </c>
      <c r="K20" s="31" t="str">
        <f>Global!GJ20</f>
        <v/>
      </c>
      <c r="L20" s="31" t="str">
        <f>Global!GK20</f>
        <v/>
      </c>
      <c r="M20" s="31" t="str">
        <f>Global!GL20</f>
        <v/>
      </c>
      <c r="N20" s="31" t="str">
        <f>Global!GM20</f>
        <v/>
      </c>
      <c r="O20" s="31" t="str">
        <f>Global!GN20</f>
        <v/>
      </c>
      <c r="P20" s="31" t="str">
        <f>Global!GO20</f>
        <v/>
      </c>
      <c r="Q20" s="31" t="str">
        <f>Global!GP20</f>
        <v/>
      </c>
      <c r="R20" s="31" t="str">
        <f>Global!GQ20</f>
        <v/>
      </c>
      <c r="S20" s="31" t="str">
        <f>Global!GR20</f>
        <v/>
      </c>
      <c r="T20" s="31" t="str">
        <f>Global!GS20</f>
        <v/>
      </c>
      <c r="U20" s="31" t="str">
        <f>Global!GT20</f>
        <v/>
      </c>
      <c r="V20" s="31" t="str">
        <f>Global!GU20</f>
        <v/>
      </c>
      <c r="W20" s="31" t="str">
        <f>Global!GV20</f>
        <v/>
      </c>
      <c r="X20" s="31" t="str">
        <f>Global!GW20</f>
        <v/>
      </c>
      <c r="Y20" s="31" t="str">
        <f>Global!GX20</f>
        <v/>
      </c>
      <c r="Z20" s="31" t="str">
        <f>Global!GY20</f>
        <v/>
      </c>
      <c r="AA20" s="31" t="str">
        <f>Global!GZ20</f>
        <v/>
      </c>
      <c r="AB20" s="31" t="str">
        <f>Global!HA20</f>
        <v/>
      </c>
      <c r="AC20" s="31" t="str">
        <f>Global!HB20</f>
        <v/>
      </c>
      <c r="AD20" s="31" t="str">
        <f>Global!HC20</f>
        <v/>
      </c>
      <c r="AE20" s="31" t="str">
        <f>Global!HD20</f>
        <v/>
      </c>
      <c r="AF20" s="31" t="str">
        <f>Global!HE20</f>
        <v/>
      </c>
      <c r="AG20" s="31" t="str">
        <f>Global!HF20</f>
        <v/>
      </c>
      <c r="AH20" s="31" t="str">
        <f>Global!HG20</f>
        <v/>
      </c>
      <c r="AI20" s="31" t="str">
        <f>Global!HH20</f>
        <v>C</v>
      </c>
      <c r="AJ20" s="48" t="str">
        <f>Global!HI20</f>
        <v>C</v>
      </c>
      <c r="AK20" s="108">
        <f>COUNTIF(Juillet[[#This Row],[1]:[31]],"RTT")+(COUNTIF(Juillet[[#This Row],[1]:[31]],"dRTT")/2)</f>
        <v>0</v>
      </c>
      <c r="AL20" s="109">
        <f>COUNTIF(Juillet[[#This Row],[1]:[31]],"C")+(COUNTIF(Juillet[[#This Row],[1]:[31]],"DC")/2)</f>
        <v>2</v>
      </c>
      <c r="AM20" s="22">
        <f>COUNTIF(Juillet[[#This Row],[1]:[31]],"M")</f>
        <v>0</v>
      </c>
      <c r="AN20" s="22">
        <f>COUNTIF(Juillet[[#This Row],[1]:[31]],"AT")</f>
        <v>0</v>
      </c>
      <c r="AO20" s="84">
        <f>IF(AND(Juillet[[#This Row],[Maladie]]=0,Juillet[[#This Row],[AT]]=0),((10*(_xlfn.DAYS("31/07/2018","01/07/2018")+1))/365),((_xlfn.DAYS("31/07/2018","01/07/2018")+1-(Juillet[[#This Row],[Maladie]]+Juillet[[#This Row],[AT]]))*((10*(_xlfn.DAYS("31/07/2018","01/07/2018")+1))/365))/(_xlfn.DAYS("31/07/2018","01/07/2018")+1))</f>
        <v>0.84931506849315064</v>
      </c>
    </row>
    <row r="21" spans="1:41" ht="30" customHeight="1" x14ac:dyDescent="0.2">
      <c r="A21" s="15" t="s">
        <v>77</v>
      </c>
      <c r="B21" s="22" t="s">
        <v>168</v>
      </c>
      <c r="C21" s="22" t="s">
        <v>169</v>
      </c>
      <c r="D21" s="22" t="s">
        <v>170</v>
      </c>
      <c r="E21" s="44">
        <v>0</v>
      </c>
      <c r="F21" s="47" t="str">
        <f>Global!GE21</f>
        <v/>
      </c>
      <c r="G21" s="31" t="str">
        <f>Global!GF21</f>
        <v/>
      </c>
      <c r="H21" s="31" t="str">
        <f>Global!GG21</f>
        <v/>
      </c>
      <c r="I21" s="31" t="str">
        <f>Global!GH21</f>
        <v/>
      </c>
      <c r="J21" s="31" t="str">
        <f>Global!GI21</f>
        <v/>
      </c>
      <c r="K21" s="31" t="str">
        <f>Global!GJ21</f>
        <v/>
      </c>
      <c r="L21" s="31" t="str">
        <f>Global!GK21</f>
        <v/>
      </c>
      <c r="M21" s="31" t="str">
        <f>Global!GL21</f>
        <v/>
      </c>
      <c r="N21" s="31" t="str">
        <f>Global!GM21</f>
        <v/>
      </c>
      <c r="O21" s="31" t="str">
        <f>Global!GN21</f>
        <v/>
      </c>
      <c r="P21" s="31" t="str">
        <f>Global!GO21</f>
        <v/>
      </c>
      <c r="Q21" s="31" t="str">
        <f>Global!GP21</f>
        <v/>
      </c>
      <c r="R21" s="31" t="str">
        <f>Global!GQ21</f>
        <v/>
      </c>
      <c r="S21" s="31" t="str">
        <f>Global!GR21</f>
        <v/>
      </c>
      <c r="T21" s="31" t="str">
        <f>Global!GS21</f>
        <v/>
      </c>
      <c r="U21" s="31" t="str">
        <f>Global!GT21</f>
        <v/>
      </c>
      <c r="V21" s="31" t="str">
        <f>Global!GU21</f>
        <v/>
      </c>
      <c r="W21" s="31" t="str">
        <f>Global!GV21</f>
        <v/>
      </c>
      <c r="X21" s="31" t="str">
        <f>Global!GW21</f>
        <v/>
      </c>
      <c r="Y21" s="31" t="str">
        <f>Global!GX21</f>
        <v/>
      </c>
      <c r="Z21" s="31" t="str">
        <f>Global!GY21</f>
        <v/>
      </c>
      <c r="AA21" s="31" t="str">
        <f>Global!GZ21</f>
        <v/>
      </c>
      <c r="AB21" s="31" t="str">
        <f>Global!HA21</f>
        <v/>
      </c>
      <c r="AC21" s="31" t="str">
        <f>Global!HB21</f>
        <v/>
      </c>
      <c r="AD21" s="31" t="str">
        <f>Global!HC21</f>
        <v/>
      </c>
      <c r="AE21" s="31" t="str">
        <f>Global!HD21</f>
        <v/>
      </c>
      <c r="AF21" s="31" t="str">
        <f>Global!HE21</f>
        <v/>
      </c>
      <c r="AG21" s="31" t="str">
        <f>Global!HF21</f>
        <v/>
      </c>
      <c r="AH21" s="31" t="str">
        <f>Global!HG21</f>
        <v/>
      </c>
      <c r="AI21" s="31" t="str">
        <f>Global!HH21</f>
        <v>C</v>
      </c>
      <c r="AJ21" s="48" t="str">
        <f>Global!HI21</f>
        <v>C</v>
      </c>
      <c r="AK21" s="108">
        <f>COUNTIF(Juillet[[#This Row],[1]:[31]],"RTT")+(COUNTIF(Juillet[[#This Row],[1]:[31]],"dRTT")/2)</f>
        <v>0</v>
      </c>
      <c r="AL21" s="109">
        <f>COUNTIF(Juillet[[#This Row],[1]:[31]],"C")+(COUNTIF(Juillet[[#This Row],[1]:[31]],"DC")/2)</f>
        <v>2</v>
      </c>
      <c r="AM21" s="22">
        <f>COUNTIF(Juillet[[#This Row],[1]:[31]],"M")</f>
        <v>0</v>
      </c>
      <c r="AN21" s="22">
        <f>COUNTIF(Juillet[[#This Row],[1]:[31]],"AT")</f>
        <v>0</v>
      </c>
      <c r="AO21" s="84">
        <f>IF(AND(Juillet[[#This Row],[Maladie]]=0,Juillet[[#This Row],[AT]]=0),((10*(_xlfn.DAYS("31/07/2018","01/07/2018")+1))/365),((_xlfn.DAYS("31/07/2018","01/07/2018")+1-(Juillet[[#This Row],[Maladie]]+Juillet[[#This Row],[AT]]))*((10*(_xlfn.DAYS("31/07/2018","01/07/2018")+1))/365))/(_xlfn.DAYS("31/07/2018","01/07/2018")+1))</f>
        <v>0.84931506849315064</v>
      </c>
    </row>
    <row r="22" spans="1:41" ht="30" customHeight="1" x14ac:dyDescent="0.2">
      <c r="A22" s="13" t="s">
        <v>78</v>
      </c>
      <c r="B22" s="22" t="s">
        <v>171</v>
      </c>
      <c r="C22" s="22" t="s">
        <v>172</v>
      </c>
      <c r="D22" s="22" t="s">
        <v>173</v>
      </c>
      <c r="E22" s="44">
        <v>0</v>
      </c>
      <c r="F22" s="47" t="str">
        <f>Global!GE22</f>
        <v/>
      </c>
      <c r="G22" s="31" t="str">
        <f>Global!GF22</f>
        <v/>
      </c>
      <c r="H22" s="31" t="str">
        <f>Global!GG22</f>
        <v/>
      </c>
      <c r="I22" s="31" t="str">
        <f>Global!GH22</f>
        <v/>
      </c>
      <c r="J22" s="31" t="str">
        <f>Global!GI22</f>
        <v/>
      </c>
      <c r="K22" s="31" t="str">
        <f>Global!GJ22</f>
        <v/>
      </c>
      <c r="L22" s="31" t="str">
        <f>Global!GK22</f>
        <v/>
      </c>
      <c r="M22" s="31" t="str">
        <f>Global!GL22</f>
        <v/>
      </c>
      <c r="N22" s="31" t="str">
        <f>Global!GM22</f>
        <v/>
      </c>
      <c r="O22" s="31" t="str">
        <f>Global!GN22</f>
        <v/>
      </c>
      <c r="P22" s="31" t="str">
        <f>Global!GO22</f>
        <v/>
      </c>
      <c r="Q22" s="31" t="str">
        <f>Global!GP22</f>
        <v/>
      </c>
      <c r="R22" s="31" t="str">
        <f>Global!GQ22</f>
        <v/>
      </c>
      <c r="S22" s="31" t="str">
        <f>Global!GR22</f>
        <v/>
      </c>
      <c r="T22" s="31" t="str">
        <f>Global!GS22</f>
        <v/>
      </c>
      <c r="U22" s="31" t="str">
        <f>Global!GT22</f>
        <v/>
      </c>
      <c r="V22" s="31" t="str">
        <f>Global!GU22</f>
        <v/>
      </c>
      <c r="W22" s="31" t="str">
        <f>Global!GV22</f>
        <v/>
      </c>
      <c r="X22" s="31" t="str">
        <f>Global!GW22</f>
        <v/>
      </c>
      <c r="Y22" s="31" t="str">
        <f>Global!GX22</f>
        <v/>
      </c>
      <c r="Z22" s="31" t="str">
        <f>Global!GY22</f>
        <v/>
      </c>
      <c r="AA22" s="31" t="str">
        <f>Global!GZ22</f>
        <v/>
      </c>
      <c r="AB22" s="31" t="str">
        <f>Global!HA22</f>
        <v/>
      </c>
      <c r="AC22" s="31" t="str">
        <f>Global!HB22</f>
        <v/>
      </c>
      <c r="AD22" s="31" t="str">
        <f>Global!HC22</f>
        <v/>
      </c>
      <c r="AE22" s="31" t="str">
        <f>Global!HD22</f>
        <v/>
      </c>
      <c r="AF22" s="31" t="str">
        <f>Global!HE22</f>
        <v/>
      </c>
      <c r="AG22" s="31" t="str">
        <f>Global!HF22</f>
        <v/>
      </c>
      <c r="AH22" s="31" t="str">
        <f>Global!HG22</f>
        <v/>
      </c>
      <c r="AI22" s="31" t="str">
        <f>Global!HH22</f>
        <v/>
      </c>
      <c r="AJ22" s="48" t="str">
        <f>Global!HI22</f>
        <v/>
      </c>
      <c r="AK22" s="108">
        <f>COUNTIF(Juillet[[#This Row],[1]:[31]],"RTT")+(COUNTIF(Juillet[[#This Row],[1]:[31]],"dRTT")/2)</f>
        <v>0</v>
      </c>
      <c r="AL22" s="109">
        <f>COUNTIF(Juillet[[#This Row],[1]:[31]],"C")+(COUNTIF(Juillet[[#This Row],[1]:[31]],"DC")/2)</f>
        <v>0</v>
      </c>
      <c r="AM22" s="22">
        <f>COUNTIF(Juillet[[#This Row],[1]:[31]],"M")</f>
        <v>0</v>
      </c>
      <c r="AN22" s="22">
        <f>COUNTIF(Juillet[[#This Row],[1]:[31]],"AT")</f>
        <v>0</v>
      </c>
      <c r="AO22" s="84">
        <f>IF(AND(Juillet[[#This Row],[Maladie]]=0,Juillet[[#This Row],[AT]]=0),((10*(_xlfn.DAYS("31/07/2018","01/07/2018")+1))/365),((_xlfn.DAYS("31/07/2018","01/07/2018")+1-(Juillet[[#This Row],[Maladie]]+Juillet[[#This Row],[AT]]))*((10*(_xlfn.DAYS("31/07/2018","01/07/2018")+1))/365))/(_xlfn.DAYS("31/07/2018","01/07/2018")+1))</f>
        <v>0.84931506849315064</v>
      </c>
    </row>
    <row r="23" spans="1:41" ht="30" customHeight="1" x14ac:dyDescent="0.2">
      <c r="A23" s="13" t="s">
        <v>79</v>
      </c>
      <c r="B23" s="22" t="s">
        <v>174</v>
      </c>
      <c r="C23" s="22" t="s">
        <v>175</v>
      </c>
      <c r="D23" s="22" t="s">
        <v>176</v>
      </c>
      <c r="E23" s="44">
        <v>0</v>
      </c>
      <c r="F23" s="47" t="str">
        <f>Global!GE23</f>
        <v/>
      </c>
      <c r="G23" s="31" t="str">
        <f>Global!GF23</f>
        <v/>
      </c>
      <c r="H23" s="31" t="str">
        <f>Global!GG23</f>
        <v/>
      </c>
      <c r="I23" s="31" t="str">
        <f>Global!GH23</f>
        <v/>
      </c>
      <c r="J23" s="31" t="str">
        <f>Global!GI23</f>
        <v/>
      </c>
      <c r="K23" s="31" t="str">
        <f>Global!GJ23</f>
        <v/>
      </c>
      <c r="L23" s="31" t="str">
        <f>Global!GK23</f>
        <v/>
      </c>
      <c r="M23" s="31" t="str">
        <f>Global!GL23</f>
        <v/>
      </c>
      <c r="N23" s="31" t="str">
        <f>Global!GM23</f>
        <v/>
      </c>
      <c r="O23" s="31" t="str">
        <f>Global!GN23</f>
        <v/>
      </c>
      <c r="P23" s="31" t="str">
        <f>Global!GO23</f>
        <v/>
      </c>
      <c r="Q23" s="31" t="str">
        <f>Global!GP23</f>
        <v/>
      </c>
      <c r="R23" s="31" t="str">
        <f>Global!GQ23</f>
        <v/>
      </c>
      <c r="S23" s="31" t="str">
        <f>Global!GR23</f>
        <v/>
      </c>
      <c r="T23" s="31" t="str">
        <f>Global!GS23</f>
        <v/>
      </c>
      <c r="U23" s="31" t="str">
        <f>Global!GT23</f>
        <v/>
      </c>
      <c r="V23" s="31" t="str">
        <f>Global!GU23</f>
        <v/>
      </c>
      <c r="W23" s="31" t="str">
        <f>Global!GV23</f>
        <v/>
      </c>
      <c r="X23" s="31" t="str">
        <f>Global!GW23</f>
        <v/>
      </c>
      <c r="Y23" s="31" t="str">
        <f>Global!GX23</f>
        <v/>
      </c>
      <c r="Z23" s="31" t="str">
        <f>Global!GY23</f>
        <v/>
      </c>
      <c r="AA23" s="31" t="str">
        <f>Global!GZ23</f>
        <v/>
      </c>
      <c r="AB23" s="31" t="str">
        <f>Global!HA23</f>
        <v/>
      </c>
      <c r="AC23" s="31" t="str">
        <f>Global!HB23</f>
        <v/>
      </c>
      <c r="AD23" s="31" t="str">
        <f>Global!HC23</f>
        <v/>
      </c>
      <c r="AE23" s="31" t="str">
        <f>Global!HD23</f>
        <v/>
      </c>
      <c r="AF23" s="31" t="str">
        <f>Global!HE23</f>
        <v/>
      </c>
      <c r="AG23" s="31" t="str">
        <f>Global!HF23</f>
        <v/>
      </c>
      <c r="AH23" s="31" t="str">
        <f>Global!HG23</f>
        <v/>
      </c>
      <c r="AI23" s="31" t="str">
        <f>Global!HH23</f>
        <v/>
      </c>
      <c r="AJ23" s="48" t="str">
        <f>Global!HI23</f>
        <v/>
      </c>
      <c r="AK23" s="108">
        <f>COUNTIF(Juillet[[#This Row],[1]:[31]],"RTT")+(COUNTIF(Juillet[[#This Row],[1]:[31]],"dRTT")/2)</f>
        <v>0</v>
      </c>
      <c r="AL23" s="109">
        <f>COUNTIF(Juillet[[#This Row],[1]:[31]],"C")+(COUNTIF(Juillet[[#This Row],[1]:[31]],"DC")/2)</f>
        <v>0</v>
      </c>
      <c r="AM23" s="22">
        <f>COUNTIF(Juillet[[#This Row],[1]:[31]],"M")</f>
        <v>0</v>
      </c>
      <c r="AN23" s="22">
        <f>COUNTIF(Juillet[[#This Row],[1]:[31]],"AT")</f>
        <v>0</v>
      </c>
      <c r="AO23" s="84">
        <f>IF(AND(Juillet[[#This Row],[Maladie]]=0,Juillet[[#This Row],[AT]]=0),((10*(_xlfn.DAYS("31/07/2018","01/07/2018")+1))/365),((_xlfn.DAYS("31/07/2018","01/07/2018")+1-(Juillet[[#This Row],[Maladie]]+Juillet[[#This Row],[AT]]))*((10*(_xlfn.DAYS("31/07/2018","01/07/2018")+1))/365))/(_xlfn.DAYS("31/07/2018","01/07/2018")+1))</f>
        <v>0.84931506849315064</v>
      </c>
    </row>
    <row r="24" spans="1:41" ht="30" customHeight="1" x14ac:dyDescent="0.2">
      <c r="A24" s="15" t="s">
        <v>80</v>
      </c>
      <c r="B24" s="22" t="s">
        <v>177</v>
      </c>
      <c r="C24" s="22" t="s">
        <v>178</v>
      </c>
      <c r="D24" s="22" t="s">
        <v>179</v>
      </c>
      <c r="E24" s="44">
        <v>0</v>
      </c>
      <c r="F24" s="47" t="str">
        <f>Global!GE24</f>
        <v/>
      </c>
      <c r="G24" s="31" t="str">
        <f>Global!GF24</f>
        <v/>
      </c>
      <c r="H24" s="31" t="str">
        <f>Global!GG24</f>
        <v/>
      </c>
      <c r="I24" s="31" t="str">
        <f>Global!GH24</f>
        <v/>
      </c>
      <c r="J24" s="31" t="str">
        <f>Global!GI24</f>
        <v/>
      </c>
      <c r="K24" s="31" t="str">
        <f>Global!GJ24</f>
        <v/>
      </c>
      <c r="L24" s="31" t="str">
        <f>Global!GK24</f>
        <v/>
      </c>
      <c r="M24" s="31" t="str">
        <f>Global!GL24</f>
        <v/>
      </c>
      <c r="N24" s="31" t="str">
        <f>Global!GM24</f>
        <v/>
      </c>
      <c r="O24" s="31" t="str">
        <f>Global!GN24</f>
        <v/>
      </c>
      <c r="P24" s="31" t="str">
        <f>Global!GO24</f>
        <v/>
      </c>
      <c r="Q24" s="31" t="str">
        <f>Global!GP24</f>
        <v/>
      </c>
      <c r="R24" s="31" t="str">
        <f>Global!GQ24</f>
        <v/>
      </c>
      <c r="S24" s="31" t="str">
        <f>Global!GR24</f>
        <v/>
      </c>
      <c r="T24" s="31" t="str">
        <f>Global!GS24</f>
        <v/>
      </c>
      <c r="U24" s="31" t="str">
        <f>Global!GT24</f>
        <v/>
      </c>
      <c r="V24" s="31" t="str">
        <f>Global!GU24</f>
        <v/>
      </c>
      <c r="W24" s="31" t="str">
        <f>Global!GV24</f>
        <v/>
      </c>
      <c r="X24" s="31" t="str">
        <f>Global!GW24</f>
        <v/>
      </c>
      <c r="Y24" s="31" t="str">
        <f>Global!GX24</f>
        <v/>
      </c>
      <c r="Z24" s="31" t="str">
        <f>Global!GY24</f>
        <v/>
      </c>
      <c r="AA24" s="31" t="str">
        <f>Global!GZ24</f>
        <v/>
      </c>
      <c r="AB24" s="31" t="str">
        <f>Global!HA24</f>
        <v/>
      </c>
      <c r="AC24" s="31" t="str">
        <f>Global!HB24</f>
        <v/>
      </c>
      <c r="AD24" s="31" t="str">
        <f>Global!HC24</f>
        <v/>
      </c>
      <c r="AE24" s="31" t="str">
        <f>Global!HD24</f>
        <v/>
      </c>
      <c r="AF24" s="31" t="str">
        <f>Global!HE24</f>
        <v/>
      </c>
      <c r="AG24" s="31" t="str">
        <f>Global!HF24</f>
        <v/>
      </c>
      <c r="AH24" s="31" t="str">
        <f>Global!HG24</f>
        <v/>
      </c>
      <c r="AI24" s="31" t="str">
        <f>Global!HH24</f>
        <v/>
      </c>
      <c r="AJ24" s="48" t="str">
        <f>Global!HI24</f>
        <v/>
      </c>
      <c r="AK24" s="108">
        <f>COUNTIF(Juillet[[#This Row],[1]:[31]],"RTT")+(COUNTIF(Juillet[[#This Row],[1]:[31]],"dRTT")/2)</f>
        <v>0</v>
      </c>
      <c r="AL24" s="109">
        <f>COUNTIF(Juillet[[#This Row],[1]:[31]],"C")+(COUNTIF(Juillet[[#This Row],[1]:[31]],"DC")/2)</f>
        <v>0</v>
      </c>
      <c r="AM24" s="22">
        <f>COUNTIF(Juillet[[#This Row],[1]:[31]],"M")</f>
        <v>0</v>
      </c>
      <c r="AN24" s="22">
        <f>COUNTIF(Juillet[[#This Row],[1]:[31]],"AT")</f>
        <v>0</v>
      </c>
      <c r="AO24" s="84">
        <f>IF(AND(Juillet[[#This Row],[Maladie]]=0,Juillet[[#This Row],[AT]]=0),((10*(_xlfn.DAYS("31/07/2018","01/07/2018")+1))/365),((_xlfn.DAYS("31/07/2018","01/07/2018")+1-(Juillet[[#This Row],[Maladie]]+Juillet[[#This Row],[AT]]))*((10*(_xlfn.DAYS("31/07/2018","01/07/2018")+1))/365))/(_xlfn.DAYS("31/07/2018","01/07/2018")+1))</f>
        <v>0.84931506849315064</v>
      </c>
    </row>
    <row r="25" spans="1:41" ht="30" customHeight="1" x14ac:dyDescent="0.2">
      <c r="A25" s="15" t="s">
        <v>81</v>
      </c>
      <c r="B25" s="22" t="s">
        <v>180</v>
      </c>
      <c r="C25" s="22" t="s">
        <v>157</v>
      </c>
      <c r="D25" s="22" t="s">
        <v>181</v>
      </c>
      <c r="E25" s="44">
        <v>0</v>
      </c>
      <c r="F25" s="47" t="str">
        <f>Global!GE25</f>
        <v/>
      </c>
      <c r="G25" s="31" t="str">
        <f>Global!GF25</f>
        <v/>
      </c>
      <c r="H25" s="31" t="str">
        <f>Global!GG25</f>
        <v/>
      </c>
      <c r="I25" s="31" t="str">
        <f>Global!GH25</f>
        <v/>
      </c>
      <c r="J25" s="31" t="str">
        <f>Global!GI25</f>
        <v/>
      </c>
      <c r="K25" s="31" t="str">
        <f>Global!GJ25</f>
        <v/>
      </c>
      <c r="L25" s="31" t="str">
        <f>Global!GK25</f>
        <v/>
      </c>
      <c r="M25" s="31" t="str">
        <f>Global!GL25</f>
        <v/>
      </c>
      <c r="N25" s="31" t="str">
        <f>Global!GM25</f>
        <v/>
      </c>
      <c r="O25" s="31" t="str">
        <f>Global!GN25</f>
        <v/>
      </c>
      <c r="P25" s="31" t="str">
        <f>Global!GO25</f>
        <v/>
      </c>
      <c r="Q25" s="31" t="str">
        <f>Global!GP25</f>
        <v/>
      </c>
      <c r="R25" s="31" t="str">
        <f>Global!GQ25</f>
        <v/>
      </c>
      <c r="S25" s="31" t="str">
        <f>Global!GR25</f>
        <v/>
      </c>
      <c r="T25" s="31" t="str">
        <f>Global!GS25</f>
        <v/>
      </c>
      <c r="U25" s="31" t="str">
        <f>Global!GT25</f>
        <v/>
      </c>
      <c r="V25" s="31" t="str">
        <f>Global!GU25</f>
        <v/>
      </c>
      <c r="W25" s="31" t="str">
        <f>Global!GV25</f>
        <v/>
      </c>
      <c r="X25" s="31" t="str">
        <f>Global!GW25</f>
        <v/>
      </c>
      <c r="Y25" s="31" t="str">
        <f>Global!GX25</f>
        <v/>
      </c>
      <c r="Z25" s="31" t="str">
        <f>Global!GY25</f>
        <v/>
      </c>
      <c r="AA25" s="31" t="str">
        <f>Global!GZ25</f>
        <v/>
      </c>
      <c r="AB25" s="31" t="str">
        <f>Global!HA25</f>
        <v/>
      </c>
      <c r="AC25" s="31" t="str">
        <f>Global!HB25</f>
        <v/>
      </c>
      <c r="AD25" s="31" t="str">
        <f>Global!HC25</f>
        <v/>
      </c>
      <c r="AE25" s="31" t="str">
        <f>Global!HD25</f>
        <v/>
      </c>
      <c r="AF25" s="31" t="str">
        <f>Global!HE25</f>
        <v/>
      </c>
      <c r="AG25" s="31" t="str">
        <f>Global!HF25</f>
        <v/>
      </c>
      <c r="AH25" s="31" t="str">
        <f>Global!HG25</f>
        <v/>
      </c>
      <c r="AI25" s="31" t="str">
        <f>Global!HH25</f>
        <v/>
      </c>
      <c r="AJ25" s="48" t="str">
        <f>Global!HI25</f>
        <v/>
      </c>
      <c r="AK25" s="108">
        <f>COUNTIF(Juillet[[#This Row],[1]:[31]],"RTT")+(COUNTIF(Juillet[[#This Row],[1]:[31]],"dRTT")/2)</f>
        <v>0</v>
      </c>
      <c r="AL25" s="109">
        <f>COUNTIF(Juillet[[#This Row],[1]:[31]],"C")+(COUNTIF(Juillet[[#This Row],[1]:[31]],"DC")/2)</f>
        <v>0</v>
      </c>
      <c r="AM25" s="22">
        <f>COUNTIF(Juillet[[#This Row],[1]:[31]],"M")</f>
        <v>0</v>
      </c>
      <c r="AN25" s="22">
        <f>COUNTIF(Juillet[[#This Row],[1]:[31]],"AT")</f>
        <v>0</v>
      </c>
      <c r="AO25" s="84">
        <f>IF(AND(Juillet[[#This Row],[Maladie]]=0,Juillet[[#This Row],[AT]]=0),((10*(_xlfn.DAYS("31/07/2018","01/07/2018")+1))/365),((_xlfn.DAYS("31/07/2018","01/07/2018")+1-(Juillet[[#This Row],[Maladie]]+Juillet[[#This Row],[AT]]))*((10*(_xlfn.DAYS("31/07/2018","01/07/2018")+1))/365))/(_xlfn.DAYS("31/07/2018","01/07/2018")+1))</f>
        <v>0.84931506849315064</v>
      </c>
    </row>
    <row r="26" spans="1:41" ht="30" customHeight="1" x14ac:dyDescent="0.2">
      <c r="A26" s="15" t="s">
        <v>82</v>
      </c>
      <c r="B26" s="22" t="s">
        <v>182</v>
      </c>
      <c r="C26" s="22" t="s">
        <v>183</v>
      </c>
      <c r="D26" s="22" t="s">
        <v>184</v>
      </c>
      <c r="E26" s="44">
        <v>0</v>
      </c>
      <c r="F26" s="47" t="str">
        <f>Global!GE26</f>
        <v/>
      </c>
      <c r="G26" s="31" t="str">
        <f>Global!GF26</f>
        <v/>
      </c>
      <c r="H26" s="31" t="str">
        <f>Global!GG26</f>
        <v/>
      </c>
      <c r="I26" s="31" t="str">
        <f>Global!GH26</f>
        <v/>
      </c>
      <c r="J26" s="31" t="str">
        <f>Global!GI26</f>
        <v/>
      </c>
      <c r="K26" s="31" t="str">
        <f>Global!GJ26</f>
        <v/>
      </c>
      <c r="L26" s="31" t="str">
        <f>Global!GK26</f>
        <v/>
      </c>
      <c r="M26" s="31" t="str">
        <f>Global!GL26</f>
        <v/>
      </c>
      <c r="N26" s="31" t="str">
        <f>Global!GM26</f>
        <v/>
      </c>
      <c r="O26" s="31" t="str">
        <f>Global!GN26</f>
        <v/>
      </c>
      <c r="P26" s="31" t="str">
        <f>Global!GO26</f>
        <v/>
      </c>
      <c r="Q26" s="31" t="str">
        <f>Global!GP26</f>
        <v/>
      </c>
      <c r="R26" s="31" t="str">
        <f>Global!GQ26</f>
        <v/>
      </c>
      <c r="S26" s="31" t="str">
        <f>Global!GR26</f>
        <v/>
      </c>
      <c r="T26" s="31" t="str">
        <f>Global!GS26</f>
        <v/>
      </c>
      <c r="U26" s="31" t="str">
        <f>Global!GT26</f>
        <v/>
      </c>
      <c r="V26" s="31" t="str">
        <f>Global!GU26</f>
        <v/>
      </c>
      <c r="W26" s="31" t="str">
        <f>Global!GV26</f>
        <v/>
      </c>
      <c r="X26" s="31" t="str">
        <f>Global!GW26</f>
        <v/>
      </c>
      <c r="Y26" s="31" t="str">
        <f>Global!GX26</f>
        <v/>
      </c>
      <c r="Z26" s="31" t="str">
        <f>Global!GY26</f>
        <v/>
      </c>
      <c r="AA26" s="31" t="str">
        <f>Global!GZ26</f>
        <v/>
      </c>
      <c r="AB26" s="31" t="str">
        <f>Global!HA26</f>
        <v/>
      </c>
      <c r="AC26" s="31" t="str">
        <f>Global!HB26</f>
        <v/>
      </c>
      <c r="AD26" s="31" t="str">
        <f>Global!HC26</f>
        <v/>
      </c>
      <c r="AE26" s="31" t="str">
        <f>Global!HD26</f>
        <v/>
      </c>
      <c r="AF26" s="31" t="str">
        <f>Global!HE26</f>
        <v/>
      </c>
      <c r="AG26" s="31" t="str">
        <f>Global!HF26</f>
        <v/>
      </c>
      <c r="AH26" s="31" t="str">
        <f>Global!HG26</f>
        <v/>
      </c>
      <c r="AI26" s="31" t="str">
        <f>Global!HH26</f>
        <v/>
      </c>
      <c r="AJ26" s="48" t="str">
        <f>Global!HI26</f>
        <v/>
      </c>
      <c r="AK26" s="108">
        <f>COUNTIF(Juillet[[#This Row],[1]:[31]],"RTT")+(COUNTIF(Juillet[[#This Row],[1]:[31]],"dRTT")/2)</f>
        <v>0</v>
      </c>
      <c r="AL26" s="109">
        <f>COUNTIF(Juillet[[#This Row],[1]:[31]],"C")+(COUNTIF(Juillet[[#This Row],[1]:[31]],"DC")/2)</f>
        <v>0</v>
      </c>
      <c r="AM26" s="22">
        <f>COUNTIF(Juillet[[#This Row],[1]:[31]],"M")</f>
        <v>0</v>
      </c>
      <c r="AN26" s="22">
        <f>COUNTIF(Juillet[[#This Row],[1]:[31]],"AT")</f>
        <v>0</v>
      </c>
      <c r="AO26" s="84">
        <f>IF(AND(Juillet[[#This Row],[Maladie]]=0,Juillet[[#This Row],[AT]]=0),((10*(_xlfn.DAYS("31/07/2018","01/07/2018")+1))/365),((_xlfn.DAYS("31/07/2018","01/07/2018")+1-(Juillet[[#This Row],[Maladie]]+Juillet[[#This Row],[AT]]))*((10*(_xlfn.DAYS("31/07/2018","01/07/2018")+1))/365))/(_xlfn.DAYS("31/07/2018","01/07/2018")+1))</f>
        <v>0.84931506849315064</v>
      </c>
    </row>
    <row r="27" spans="1:41" ht="30" customHeight="1" x14ac:dyDescent="0.2">
      <c r="A27" s="15" t="s">
        <v>83</v>
      </c>
      <c r="B27" s="22" t="s">
        <v>185</v>
      </c>
      <c r="C27" s="22" t="s">
        <v>186</v>
      </c>
      <c r="D27" s="22" t="s">
        <v>187</v>
      </c>
      <c r="E27" s="44">
        <v>0</v>
      </c>
      <c r="F27" s="47" t="str">
        <f>Global!GE27</f>
        <v/>
      </c>
      <c r="G27" s="31" t="str">
        <f>Global!GF27</f>
        <v/>
      </c>
      <c r="H27" s="31" t="str">
        <f>Global!GG27</f>
        <v/>
      </c>
      <c r="I27" s="31" t="str">
        <f>Global!GH27</f>
        <v/>
      </c>
      <c r="J27" s="31" t="str">
        <f>Global!GI27</f>
        <v/>
      </c>
      <c r="K27" s="31" t="str">
        <f>Global!GJ27</f>
        <v/>
      </c>
      <c r="L27" s="31" t="str">
        <f>Global!GK27</f>
        <v/>
      </c>
      <c r="M27" s="31" t="str">
        <f>Global!GL27</f>
        <v/>
      </c>
      <c r="N27" s="31" t="str">
        <f>Global!GM27</f>
        <v>C</v>
      </c>
      <c r="O27" s="31" t="str">
        <f>Global!GN27</f>
        <v>C</v>
      </c>
      <c r="P27" s="31" t="str">
        <f>Global!GO27</f>
        <v>C</v>
      </c>
      <c r="Q27" s="31" t="str">
        <f>Global!GP27</f>
        <v>C</v>
      </c>
      <c r="R27" s="31" t="str">
        <f>Global!GQ27</f>
        <v>C</v>
      </c>
      <c r="S27" s="31" t="str">
        <f>Global!GR27</f>
        <v/>
      </c>
      <c r="T27" s="31" t="str">
        <f>Global!GS27</f>
        <v/>
      </c>
      <c r="U27" s="31" t="str">
        <f>Global!GT27</f>
        <v>C</v>
      </c>
      <c r="V27" s="31" t="str">
        <f>Global!GU27</f>
        <v>C</v>
      </c>
      <c r="W27" s="31" t="str">
        <f>Global!GV27</f>
        <v>C</v>
      </c>
      <c r="X27" s="31" t="str">
        <f>Global!GW27</f>
        <v>C</v>
      </c>
      <c r="Y27" s="31" t="str">
        <f>Global!GX27</f>
        <v>C</v>
      </c>
      <c r="Z27" s="31" t="str">
        <f>Global!GY27</f>
        <v/>
      </c>
      <c r="AA27" s="31" t="str">
        <f>Global!GZ27</f>
        <v/>
      </c>
      <c r="AB27" s="31" t="str">
        <f>Global!HA27</f>
        <v>C</v>
      </c>
      <c r="AC27" s="31" t="str">
        <f>Global!HB27</f>
        <v>C</v>
      </c>
      <c r="AD27" s="31" t="str">
        <f>Global!HC27</f>
        <v>C</v>
      </c>
      <c r="AE27" s="31" t="str">
        <f>Global!HD27</f>
        <v>C</v>
      </c>
      <c r="AF27" s="31" t="str">
        <f>Global!HE27</f>
        <v>C</v>
      </c>
      <c r="AG27" s="31" t="str">
        <f>Global!HF27</f>
        <v/>
      </c>
      <c r="AH27" s="31" t="str">
        <f>Global!HG27</f>
        <v/>
      </c>
      <c r="AI27" s="31" t="str">
        <f>Global!HH27</f>
        <v/>
      </c>
      <c r="AJ27" s="48" t="str">
        <f>Global!HI27</f>
        <v/>
      </c>
      <c r="AK27" s="108">
        <f>COUNTIF(Juillet[[#This Row],[1]:[31]],"RTT")+(COUNTIF(Juillet[[#This Row],[1]:[31]],"dRTT")/2)</f>
        <v>0</v>
      </c>
      <c r="AL27" s="109">
        <f>COUNTIF(Juillet[[#This Row],[1]:[31]],"C")+(COUNTIF(Juillet[[#This Row],[1]:[31]],"DC")/2)</f>
        <v>15</v>
      </c>
      <c r="AM27" s="22">
        <f>COUNTIF(Juillet[[#This Row],[1]:[31]],"M")</f>
        <v>0</v>
      </c>
      <c r="AN27" s="22">
        <f>COUNTIF(Juillet[[#This Row],[1]:[31]],"AT")</f>
        <v>0</v>
      </c>
      <c r="AO27" s="84">
        <f>IF(AND(Juillet[[#This Row],[Maladie]]=0,Juillet[[#This Row],[AT]]=0),((10*(_xlfn.DAYS("31/07/2018","01/07/2018")+1))/365),((_xlfn.DAYS("31/07/2018","01/07/2018")+1-(Juillet[[#This Row],[Maladie]]+Juillet[[#This Row],[AT]]))*((10*(_xlfn.DAYS("31/07/2018","01/07/2018")+1))/365))/(_xlfn.DAYS("31/07/2018","01/07/2018")+1))</f>
        <v>0.84931506849315064</v>
      </c>
    </row>
    <row r="28" spans="1:41" ht="30" customHeight="1" x14ac:dyDescent="0.2">
      <c r="A28" s="15" t="s">
        <v>84</v>
      </c>
      <c r="B28" s="22" t="s">
        <v>188</v>
      </c>
      <c r="C28" s="22" t="s">
        <v>189</v>
      </c>
      <c r="D28" s="22" t="s">
        <v>190</v>
      </c>
      <c r="E28" s="44">
        <v>0</v>
      </c>
      <c r="F28" s="47" t="str">
        <f>Global!GE28</f>
        <v/>
      </c>
      <c r="G28" s="31" t="str">
        <f>Global!GF28</f>
        <v/>
      </c>
      <c r="H28" s="31" t="str">
        <f>Global!GG28</f>
        <v/>
      </c>
      <c r="I28" s="31" t="str">
        <f>Global!GH28</f>
        <v/>
      </c>
      <c r="J28" s="31" t="str">
        <f>Global!GI28</f>
        <v/>
      </c>
      <c r="K28" s="31" t="str">
        <f>Global!GJ28</f>
        <v/>
      </c>
      <c r="L28" s="31" t="str">
        <f>Global!GK28</f>
        <v/>
      </c>
      <c r="M28" s="31" t="str">
        <f>Global!GL28</f>
        <v/>
      </c>
      <c r="N28" s="31" t="str">
        <f>Global!GM28</f>
        <v/>
      </c>
      <c r="O28" s="31" t="str">
        <f>Global!GN28</f>
        <v/>
      </c>
      <c r="P28" s="31" t="str">
        <f>Global!GO28</f>
        <v/>
      </c>
      <c r="Q28" s="31" t="str">
        <f>Global!GP28</f>
        <v/>
      </c>
      <c r="R28" s="31" t="str">
        <f>Global!GQ28</f>
        <v/>
      </c>
      <c r="S28" s="31" t="str">
        <f>Global!GR28</f>
        <v/>
      </c>
      <c r="T28" s="31" t="str">
        <f>Global!GS28</f>
        <v/>
      </c>
      <c r="U28" s="31" t="str">
        <f>Global!GT28</f>
        <v/>
      </c>
      <c r="V28" s="31" t="str">
        <f>Global!GU28</f>
        <v/>
      </c>
      <c r="W28" s="31" t="str">
        <f>Global!GV28</f>
        <v/>
      </c>
      <c r="X28" s="31" t="str">
        <f>Global!GW28</f>
        <v/>
      </c>
      <c r="Y28" s="31" t="str">
        <f>Global!GX28</f>
        <v/>
      </c>
      <c r="Z28" s="31" t="str">
        <f>Global!GY28</f>
        <v/>
      </c>
      <c r="AA28" s="31" t="str">
        <f>Global!GZ28</f>
        <v/>
      </c>
      <c r="AB28" s="31" t="str">
        <f>Global!HA28</f>
        <v/>
      </c>
      <c r="AC28" s="31" t="str">
        <f>Global!HB28</f>
        <v/>
      </c>
      <c r="AD28" s="31" t="str">
        <f>Global!HC28</f>
        <v/>
      </c>
      <c r="AE28" s="31" t="str">
        <f>Global!HD28</f>
        <v/>
      </c>
      <c r="AF28" s="31" t="str">
        <f>Global!HE28</f>
        <v/>
      </c>
      <c r="AG28" s="31" t="str">
        <f>Global!HF28</f>
        <v/>
      </c>
      <c r="AH28" s="31" t="str">
        <f>Global!HG28</f>
        <v/>
      </c>
      <c r="AI28" s="31" t="str">
        <f>Global!HH28</f>
        <v/>
      </c>
      <c r="AJ28" s="48" t="str">
        <f>Global!HI28</f>
        <v/>
      </c>
      <c r="AK28" s="108">
        <f>COUNTIF(Juillet[[#This Row],[1]:[31]],"RTT")+(COUNTIF(Juillet[[#This Row],[1]:[31]],"dRTT")/2)</f>
        <v>0</v>
      </c>
      <c r="AL28" s="109">
        <f>COUNTIF(Juillet[[#This Row],[1]:[31]],"C")+(COUNTIF(Juillet[[#This Row],[1]:[31]],"DC")/2)</f>
        <v>0</v>
      </c>
      <c r="AM28" s="22">
        <f>COUNTIF(Juillet[[#This Row],[1]:[31]],"M")</f>
        <v>0</v>
      </c>
      <c r="AN28" s="22">
        <f>COUNTIF(Juillet[[#This Row],[1]:[31]],"AT")</f>
        <v>0</v>
      </c>
      <c r="AO28" s="84">
        <f>IF(AND(Juillet[[#This Row],[Maladie]]=0,Juillet[[#This Row],[AT]]=0),((10*(_xlfn.DAYS("31/07/2018","01/07/2018")+1))/365),((_xlfn.DAYS("31/07/2018","01/07/2018")+1-(Juillet[[#This Row],[Maladie]]+Juillet[[#This Row],[AT]]))*((10*(_xlfn.DAYS("31/07/2018","01/07/2018")+1))/365))/(_xlfn.DAYS("31/07/2018","01/07/2018")+1))</f>
        <v>0.84931506849315064</v>
      </c>
    </row>
    <row r="29" spans="1:41" ht="30" customHeight="1" x14ac:dyDescent="0.2">
      <c r="A29" s="15" t="s">
        <v>85</v>
      </c>
      <c r="B29" s="22" t="s">
        <v>191</v>
      </c>
      <c r="C29" s="22" t="s">
        <v>192</v>
      </c>
      <c r="D29" s="22" t="s">
        <v>193</v>
      </c>
      <c r="E29" s="44">
        <v>0</v>
      </c>
      <c r="F29" s="47" t="str">
        <f>Global!GE29</f>
        <v/>
      </c>
      <c r="G29" s="31" t="str">
        <f>Global!GF29</f>
        <v/>
      </c>
      <c r="H29" s="31" t="str">
        <f>Global!GG29</f>
        <v/>
      </c>
      <c r="I29" s="31" t="str">
        <f>Global!GH29</f>
        <v/>
      </c>
      <c r="J29" s="31" t="str">
        <f>Global!GI29</f>
        <v/>
      </c>
      <c r="K29" s="31" t="str">
        <f>Global!GJ29</f>
        <v/>
      </c>
      <c r="L29" s="31" t="str">
        <f>Global!GK29</f>
        <v/>
      </c>
      <c r="M29" s="31" t="str">
        <f>Global!GL29</f>
        <v/>
      </c>
      <c r="N29" s="31" t="str">
        <f>Global!GM29</f>
        <v/>
      </c>
      <c r="O29" s="31" t="str">
        <f>Global!GN29</f>
        <v/>
      </c>
      <c r="P29" s="31" t="str">
        <f>Global!GO29</f>
        <v/>
      </c>
      <c r="Q29" s="31" t="str">
        <f>Global!GP29</f>
        <v/>
      </c>
      <c r="R29" s="31" t="str">
        <f>Global!GQ29</f>
        <v/>
      </c>
      <c r="S29" s="31" t="str">
        <f>Global!GR29</f>
        <v/>
      </c>
      <c r="T29" s="31" t="str">
        <f>Global!GS29</f>
        <v/>
      </c>
      <c r="U29" s="31" t="str">
        <f>Global!GT29</f>
        <v/>
      </c>
      <c r="V29" s="31" t="str">
        <f>Global!GU29</f>
        <v/>
      </c>
      <c r="W29" s="31" t="str">
        <f>Global!GV29</f>
        <v/>
      </c>
      <c r="X29" s="31" t="str">
        <f>Global!GW29</f>
        <v/>
      </c>
      <c r="Y29" s="31" t="str">
        <f>Global!GX29</f>
        <v/>
      </c>
      <c r="Z29" s="31" t="str">
        <f>Global!GY29</f>
        <v/>
      </c>
      <c r="AA29" s="31" t="str">
        <f>Global!GZ29</f>
        <v/>
      </c>
      <c r="AB29" s="31" t="str">
        <f>Global!HA29</f>
        <v/>
      </c>
      <c r="AC29" s="31" t="str">
        <f>Global!HB29</f>
        <v/>
      </c>
      <c r="AD29" s="31" t="str">
        <f>Global!HC29</f>
        <v/>
      </c>
      <c r="AE29" s="31" t="str">
        <f>Global!HD29</f>
        <v/>
      </c>
      <c r="AF29" s="31" t="str">
        <f>Global!HE29</f>
        <v/>
      </c>
      <c r="AG29" s="31" t="str">
        <f>Global!HF29</f>
        <v/>
      </c>
      <c r="AH29" s="31" t="str">
        <f>Global!HG29</f>
        <v/>
      </c>
      <c r="AI29" s="31" t="str">
        <f>Global!HH29</f>
        <v/>
      </c>
      <c r="AJ29" s="48" t="str">
        <f>Global!HI29</f>
        <v/>
      </c>
      <c r="AK29" s="108">
        <f>COUNTIF(Juillet[[#This Row],[1]:[31]],"RTT")+(COUNTIF(Juillet[[#This Row],[1]:[31]],"dRTT")/2)</f>
        <v>0</v>
      </c>
      <c r="AL29" s="109">
        <f>COUNTIF(Juillet[[#This Row],[1]:[31]],"C")+(COUNTIF(Juillet[[#This Row],[1]:[31]],"DC")/2)</f>
        <v>0</v>
      </c>
      <c r="AM29" s="22">
        <f>COUNTIF(Juillet[[#This Row],[1]:[31]],"M")</f>
        <v>0</v>
      </c>
      <c r="AN29" s="22">
        <f>COUNTIF(Juillet[[#This Row],[1]:[31]],"AT")</f>
        <v>0</v>
      </c>
      <c r="AO29" s="84">
        <f>IF(AND(Juillet[[#This Row],[Maladie]]=0,Juillet[[#This Row],[AT]]=0),((10*(_xlfn.DAYS("31/07/2018","01/07/2018")+1))/365),((_xlfn.DAYS("31/07/2018","01/07/2018")+1-(Juillet[[#This Row],[Maladie]]+Juillet[[#This Row],[AT]]))*((10*(_xlfn.DAYS("31/07/2018","01/07/2018")+1))/365))/(_xlfn.DAYS("31/07/2018","01/07/2018")+1))</f>
        <v>0.84931506849315064</v>
      </c>
    </row>
    <row r="30" spans="1:41" ht="30" customHeight="1" x14ac:dyDescent="0.2">
      <c r="A30" s="15" t="s">
        <v>86</v>
      </c>
      <c r="B30" s="22" t="s">
        <v>194</v>
      </c>
      <c r="C30" s="22" t="s">
        <v>192</v>
      </c>
      <c r="D30" s="22" t="s">
        <v>195</v>
      </c>
      <c r="E30" s="44" t="s">
        <v>162</v>
      </c>
      <c r="F30" s="47" t="str">
        <f>Global!GE30</f>
        <v/>
      </c>
      <c r="G30" s="31" t="str">
        <f>Global!GF30</f>
        <v/>
      </c>
      <c r="H30" s="31" t="str">
        <f>Global!GG30</f>
        <v/>
      </c>
      <c r="I30" s="31" t="str">
        <f>Global!GH30</f>
        <v/>
      </c>
      <c r="J30" s="31" t="str">
        <f>Global!GI30</f>
        <v/>
      </c>
      <c r="K30" s="31" t="str">
        <f>Global!GJ30</f>
        <v/>
      </c>
      <c r="L30" s="31" t="str">
        <f>Global!GK30</f>
        <v/>
      </c>
      <c r="M30" s="31" t="str">
        <f>Global!GL30</f>
        <v/>
      </c>
      <c r="N30" s="31" t="str">
        <f>Global!GM30</f>
        <v/>
      </c>
      <c r="O30" s="31" t="str">
        <f>Global!GN30</f>
        <v/>
      </c>
      <c r="P30" s="31" t="str">
        <f>Global!GO30</f>
        <v/>
      </c>
      <c r="Q30" s="31" t="str">
        <f>Global!GP30</f>
        <v/>
      </c>
      <c r="R30" s="31" t="str">
        <f>Global!GQ30</f>
        <v/>
      </c>
      <c r="S30" s="31" t="str">
        <f>Global!GR30</f>
        <v/>
      </c>
      <c r="T30" s="31" t="str">
        <f>Global!GS30</f>
        <v/>
      </c>
      <c r="U30" s="31" t="str">
        <f>Global!GT30</f>
        <v/>
      </c>
      <c r="V30" s="31" t="str">
        <f>Global!GU30</f>
        <v/>
      </c>
      <c r="W30" s="31" t="str">
        <f>Global!GV30</f>
        <v/>
      </c>
      <c r="X30" s="31" t="str">
        <f>Global!GW30</f>
        <v/>
      </c>
      <c r="Y30" s="31" t="str">
        <f>Global!GX30</f>
        <v/>
      </c>
      <c r="Z30" s="31" t="str">
        <f>Global!GY30</f>
        <v/>
      </c>
      <c r="AA30" s="31" t="str">
        <f>Global!GZ30</f>
        <v/>
      </c>
      <c r="AB30" s="31" t="str">
        <f>Global!HA30</f>
        <v/>
      </c>
      <c r="AC30" s="31" t="str">
        <f>Global!HB30</f>
        <v/>
      </c>
      <c r="AD30" s="31" t="str">
        <f>Global!HC30</f>
        <v/>
      </c>
      <c r="AE30" s="31" t="str">
        <f>Global!HD30</f>
        <v/>
      </c>
      <c r="AF30" s="31" t="str">
        <f>Global!HE30</f>
        <v/>
      </c>
      <c r="AG30" s="31" t="str">
        <f>Global!HF30</f>
        <v/>
      </c>
      <c r="AH30" s="31" t="str">
        <f>Global!HG30</f>
        <v/>
      </c>
      <c r="AI30" s="31" t="str">
        <f>Global!HH30</f>
        <v/>
      </c>
      <c r="AJ30" s="48" t="str">
        <f>Global!HI30</f>
        <v/>
      </c>
      <c r="AK30" s="108">
        <f>COUNTIF(Juillet[[#This Row],[1]:[31]],"RTT")+(COUNTIF(Juillet[[#This Row],[1]:[31]],"dRTT")/2)</f>
        <v>0</v>
      </c>
      <c r="AL30" s="109">
        <f>COUNTIF(Juillet[[#This Row],[1]:[31]],"C")+(COUNTIF(Juillet[[#This Row],[1]:[31]],"DC")/2)</f>
        <v>0</v>
      </c>
      <c r="AM30" s="22">
        <f>COUNTIF(Juillet[[#This Row],[1]:[31]],"M")</f>
        <v>0</v>
      </c>
      <c r="AN30" s="22">
        <f>COUNTIF(Juillet[[#This Row],[1]:[31]],"AT")</f>
        <v>0</v>
      </c>
      <c r="AO30" s="84">
        <f>IF(AND(Juillet[[#This Row],[Maladie]]=0,Juillet[[#This Row],[AT]]=0),((10*(_xlfn.DAYS("31/07/2018","01/07/2018")+1))/365),((_xlfn.DAYS("31/07/2018","01/07/2018")+1-(Juillet[[#This Row],[Maladie]]+Juillet[[#This Row],[AT]]))*((10*(_xlfn.DAYS("31/07/2018","01/07/2018")+1))/365))/(_xlfn.DAYS("31/07/2018","01/07/2018")+1))</f>
        <v>0.84931506849315064</v>
      </c>
    </row>
    <row r="31" spans="1:41" ht="30" customHeight="1" x14ac:dyDescent="0.2">
      <c r="A31" s="15" t="s">
        <v>87</v>
      </c>
      <c r="B31" s="22" t="s">
        <v>196</v>
      </c>
      <c r="C31" s="22" t="s">
        <v>197</v>
      </c>
      <c r="D31" s="22" t="s">
        <v>198</v>
      </c>
      <c r="E31" s="44" t="s">
        <v>162</v>
      </c>
      <c r="F31" s="47" t="str">
        <f>Global!GE31</f>
        <v/>
      </c>
      <c r="G31" s="31" t="str">
        <f>Global!GF31</f>
        <v/>
      </c>
      <c r="H31" s="31" t="str">
        <f>Global!GG31</f>
        <v/>
      </c>
      <c r="I31" s="31" t="str">
        <f>Global!GH31</f>
        <v/>
      </c>
      <c r="J31" s="31" t="str">
        <f>Global!GI31</f>
        <v/>
      </c>
      <c r="K31" s="31" t="str">
        <f>Global!GJ31</f>
        <v/>
      </c>
      <c r="L31" s="31" t="str">
        <f>Global!GK31</f>
        <v/>
      </c>
      <c r="M31" s="31" t="str">
        <f>Global!GL31</f>
        <v/>
      </c>
      <c r="N31" s="31" t="str">
        <f>Global!GM31</f>
        <v/>
      </c>
      <c r="O31" s="31" t="str">
        <f>Global!GN31</f>
        <v/>
      </c>
      <c r="P31" s="31" t="str">
        <f>Global!GO31</f>
        <v/>
      </c>
      <c r="Q31" s="31" t="str">
        <f>Global!GP31</f>
        <v/>
      </c>
      <c r="R31" s="31" t="str">
        <f>Global!GQ31</f>
        <v/>
      </c>
      <c r="S31" s="31" t="str">
        <f>Global!GR31</f>
        <v/>
      </c>
      <c r="T31" s="31" t="str">
        <f>Global!GS31</f>
        <v/>
      </c>
      <c r="U31" s="31" t="str">
        <f>Global!GT31</f>
        <v/>
      </c>
      <c r="V31" s="31" t="str">
        <f>Global!GU31</f>
        <v/>
      </c>
      <c r="W31" s="31" t="str">
        <f>Global!GV31</f>
        <v/>
      </c>
      <c r="X31" s="31" t="str">
        <f>Global!GW31</f>
        <v/>
      </c>
      <c r="Y31" s="31" t="str">
        <f>Global!GX31</f>
        <v/>
      </c>
      <c r="Z31" s="31" t="str">
        <f>Global!GY31</f>
        <v/>
      </c>
      <c r="AA31" s="31" t="str">
        <f>Global!GZ31</f>
        <v/>
      </c>
      <c r="AB31" s="31" t="str">
        <f>Global!HA31</f>
        <v/>
      </c>
      <c r="AC31" s="31" t="str">
        <f>Global!HB31</f>
        <v/>
      </c>
      <c r="AD31" s="31" t="str">
        <f>Global!HC31</f>
        <v/>
      </c>
      <c r="AE31" s="31" t="str">
        <f>Global!HD31</f>
        <v/>
      </c>
      <c r="AF31" s="31" t="str">
        <f>Global!HE31</f>
        <v/>
      </c>
      <c r="AG31" s="31" t="str">
        <f>Global!HF31</f>
        <v/>
      </c>
      <c r="AH31" s="31" t="str">
        <f>Global!HG31</f>
        <v/>
      </c>
      <c r="AI31" s="31" t="str">
        <f>Global!HH31</f>
        <v/>
      </c>
      <c r="AJ31" s="48" t="str">
        <f>Global!HI31</f>
        <v/>
      </c>
      <c r="AK31" s="108">
        <f>COUNTIF(Juillet[[#This Row],[1]:[31]],"RTT")+(COUNTIF(Juillet[[#This Row],[1]:[31]],"dRTT")/2)</f>
        <v>0</v>
      </c>
      <c r="AL31" s="109">
        <f>COUNTIF(Juillet[[#This Row],[1]:[31]],"C")+(COUNTIF(Juillet[[#This Row],[1]:[31]],"DC")/2)</f>
        <v>0</v>
      </c>
      <c r="AM31" s="22">
        <f>COUNTIF(Juillet[[#This Row],[1]:[31]],"M")</f>
        <v>0</v>
      </c>
      <c r="AN31" s="22">
        <f>COUNTIF(Juillet[[#This Row],[1]:[31]],"AT")</f>
        <v>0</v>
      </c>
      <c r="AO31" s="84">
        <f>IF(AND(Juillet[[#This Row],[Maladie]]=0,Juillet[[#This Row],[AT]]=0),((10*(_xlfn.DAYS("31/07/2018","01/07/2018")+1))/365),((_xlfn.DAYS("31/07/2018","01/07/2018")+1-(Juillet[[#This Row],[Maladie]]+Juillet[[#This Row],[AT]]))*((10*(_xlfn.DAYS("31/07/2018","01/07/2018")+1))/365))/(_xlfn.DAYS("31/07/2018","01/07/2018")+1))</f>
        <v>0.84931506849315064</v>
      </c>
    </row>
    <row r="32" spans="1:41" ht="30" customHeight="1" x14ac:dyDescent="0.2">
      <c r="A32" s="15" t="s">
        <v>88</v>
      </c>
      <c r="B32" s="22" t="s">
        <v>199</v>
      </c>
      <c r="C32" s="22" t="s">
        <v>200</v>
      </c>
      <c r="D32" s="22" t="s">
        <v>201</v>
      </c>
      <c r="E32" s="44">
        <v>0</v>
      </c>
      <c r="F32" s="47" t="str">
        <f>Global!GE32</f>
        <v/>
      </c>
      <c r="G32" s="31" t="str">
        <f>Global!GF32</f>
        <v/>
      </c>
      <c r="H32" s="31" t="str">
        <f>Global!GG32</f>
        <v/>
      </c>
      <c r="I32" s="31" t="str">
        <f>Global!GH32</f>
        <v/>
      </c>
      <c r="J32" s="31" t="str">
        <f>Global!GI32</f>
        <v/>
      </c>
      <c r="K32" s="31" t="str">
        <f>Global!GJ32</f>
        <v/>
      </c>
      <c r="L32" s="31" t="str">
        <f>Global!GK32</f>
        <v/>
      </c>
      <c r="M32" s="31" t="str">
        <f>Global!GL32</f>
        <v/>
      </c>
      <c r="N32" s="31" t="str">
        <f>Global!GM32</f>
        <v/>
      </c>
      <c r="O32" s="31" t="str">
        <f>Global!GN32</f>
        <v/>
      </c>
      <c r="P32" s="31" t="str">
        <f>Global!GO32</f>
        <v/>
      </c>
      <c r="Q32" s="31" t="str">
        <f>Global!GP32</f>
        <v/>
      </c>
      <c r="R32" s="31" t="str">
        <f>Global!GQ32</f>
        <v/>
      </c>
      <c r="S32" s="31" t="str">
        <f>Global!GR32</f>
        <v/>
      </c>
      <c r="T32" s="31" t="str">
        <f>Global!GS32</f>
        <v/>
      </c>
      <c r="U32" s="31" t="str">
        <f>Global!GT32</f>
        <v>C</v>
      </c>
      <c r="V32" s="31" t="str">
        <f>Global!GU32</f>
        <v>C</v>
      </c>
      <c r="W32" s="31" t="str">
        <f>Global!GV32</f>
        <v>C</v>
      </c>
      <c r="X32" s="31" t="str">
        <f>Global!GW32</f>
        <v>C</v>
      </c>
      <c r="Y32" s="31" t="str">
        <f>Global!GX32</f>
        <v>C</v>
      </c>
      <c r="Z32" s="31" t="str">
        <f>Global!GY32</f>
        <v/>
      </c>
      <c r="AA32" s="31" t="str">
        <f>Global!GZ32</f>
        <v/>
      </c>
      <c r="AB32" s="31" t="str">
        <f>Global!HA32</f>
        <v>C</v>
      </c>
      <c r="AC32" s="31" t="str">
        <f>Global!HB32</f>
        <v>C</v>
      </c>
      <c r="AD32" s="31" t="str">
        <f>Global!HC32</f>
        <v>C</v>
      </c>
      <c r="AE32" s="31" t="str">
        <f>Global!HD32</f>
        <v>C</v>
      </c>
      <c r="AF32" s="31" t="str">
        <f>Global!HE32</f>
        <v>C</v>
      </c>
      <c r="AG32" s="31" t="str">
        <f>Global!HF32</f>
        <v/>
      </c>
      <c r="AH32" s="31" t="str">
        <f>Global!HG32</f>
        <v/>
      </c>
      <c r="AI32" s="31" t="str">
        <f>Global!HH32</f>
        <v>C</v>
      </c>
      <c r="AJ32" s="48" t="str">
        <f>Global!HI32</f>
        <v>C</v>
      </c>
      <c r="AK32" s="108">
        <f>COUNTIF(Juillet[[#This Row],[1]:[31]],"RTT")+(COUNTIF(Juillet[[#This Row],[1]:[31]],"dRTT")/2)</f>
        <v>0</v>
      </c>
      <c r="AL32" s="109">
        <f>COUNTIF(Juillet[[#This Row],[1]:[31]],"C")+(COUNTIF(Juillet[[#This Row],[1]:[31]],"DC")/2)</f>
        <v>12</v>
      </c>
      <c r="AM32" s="22">
        <f>COUNTIF(Juillet[[#This Row],[1]:[31]],"M")</f>
        <v>0</v>
      </c>
      <c r="AN32" s="22">
        <f>COUNTIF(Juillet[[#This Row],[1]:[31]],"AT")</f>
        <v>0</v>
      </c>
      <c r="AO32" s="84">
        <f>IF(AND(Juillet[[#This Row],[Maladie]]=0,Juillet[[#This Row],[AT]]=0),((10*(_xlfn.DAYS("31/07/2018","01/07/2018")+1))/365),((_xlfn.DAYS("31/07/2018","01/07/2018")+1-(Juillet[[#This Row],[Maladie]]+Juillet[[#This Row],[AT]]))*((10*(_xlfn.DAYS("31/07/2018","01/07/2018")+1))/365))/(_xlfn.DAYS("31/07/2018","01/07/2018")+1))</f>
        <v>0.84931506849315064</v>
      </c>
    </row>
    <row r="33" spans="1:41" ht="30" customHeight="1" x14ac:dyDescent="0.2">
      <c r="A33" s="13" t="s">
        <v>89</v>
      </c>
      <c r="B33" s="22" t="s">
        <v>202</v>
      </c>
      <c r="C33" s="22" t="s">
        <v>172</v>
      </c>
      <c r="D33" s="22" t="s">
        <v>203</v>
      </c>
      <c r="E33" s="44">
        <v>0</v>
      </c>
      <c r="F33" s="47" t="str">
        <f>Global!GE33</f>
        <v/>
      </c>
      <c r="G33" s="31" t="str">
        <f>Global!GF33</f>
        <v/>
      </c>
      <c r="H33" s="31" t="str">
        <f>Global!GG33</f>
        <v/>
      </c>
      <c r="I33" s="31" t="str">
        <f>Global!GH33</f>
        <v/>
      </c>
      <c r="J33" s="31" t="str">
        <f>Global!GI33</f>
        <v/>
      </c>
      <c r="K33" s="31" t="str">
        <f>Global!GJ33</f>
        <v/>
      </c>
      <c r="L33" s="31" t="str">
        <f>Global!GK33</f>
        <v/>
      </c>
      <c r="M33" s="31" t="str">
        <f>Global!GL33</f>
        <v/>
      </c>
      <c r="N33" s="31" t="str">
        <f>Global!GM33</f>
        <v/>
      </c>
      <c r="O33" s="31" t="str">
        <f>Global!GN33</f>
        <v/>
      </c>
      <c r="P33" s="31" t="str">
        <f>Global!GO33</f>
        <v/>
      </c>
      <c r="Q33" s="31" t="str">
        <f>Global!GP33</f>
        <v/>
      </c>
      <c r="R33" s="31" t="str">
        <f>Global!GQ33</f>
        <v/>
      </c>
      <c r="S33" s="31" t="str">
        <f>Global!GR33</f>
        <v/>
      </c>
      <c r="T33" s="31" t="str">
        <f>Global!GS33</f>
        <v/>
      </c>
      <c r="U33" s="31" t="str">
        <f>Global!GT33</f>
        <v/>
      </c>
      <c r="V33" s="31" t="str">
        <f>Global!GU33</f>
        <v/>
      </c>
      <c r="W33" s="31" t="str">
        <f>Global!GV33</f>
        <v/>
      </c>
      <c r="X33" s="31" t="str">
        <f>Global!GW33</f>
        <v/>
      </c>
      <c r="Y33" s="31" t="str">
        <f>Global!GX33</f>
        <v/>
      </c>
      <c r="Z33" s="31" t="str">
        <f>Global!GY33</f>
        <v/>
      </c>
      <c r="AA33" s="31" t="str">
        <f>Global!GZ33</f>
        <v/>
      </c>
      <c r="AB33" s="31" t="str">
        <f>Global!HA33</f>
        <v/>
      </c>
      <c r="AC33" s="31" t="str">
        <f>Global!HB33</f>
        <v/>
      </c>
      <c r="AD33" s="31" t="str">
        <f>Global!HC33</f>
        <v/>
      </c>
      <c r="AE33" s="31" t="str">
        <f>Global!HD33</f>
        <v/>
      </c>
      <c r="AF33" s="31" t="str">
        <f>Global!HE33</f>
        <v/>
      </c>
      <c r="AG33" s="31" t="str">
        <f>Global!HF33</f>
        <v/>
      </c>
      <c r="AH33" s="31" t="str">
        <f>Global!HG33</f>
        <v/>
      </c>
      <c r="AI33" s="31" t="str">
        <f>Global!HH33</f>
        <v/>
      </c>
      <c r="AJ33" s="48" t="str">
        <f>Global!HI33</f>
        <v/>
      </c>
      <c r="AK33" s="108">
        <f>COUNTIF(Juillet[[#This Row],[1]:[31]],"RTT")+(COUNTIF(Juillet[[#This Row],[1]:[31]],"dRTT")/2)</f>
        <v>0</v>
      </c>
      <c r="AL33" s="109">
        <f>COUNTIF(Juillet[[#This Row],[1]:[31]],"C")+(COUNTIF(Juillet[[#This Row],[1]:[31]],"DC")/2)</f>
        <v>0</v>
      </c>
      <c r="AM33" s="22">
        <f>COUNTIF(Juillet[[#This Row],[1]:[31]],"M")</f>
        <v>0</v>
      </c>
      <c r="AN33" s="22">
        <f>COUNTIF(Juillet[[#This Row],[1]:[31]],"AT")</f>
        <v>0</v>
      </c>
      <c r="AO33" s="84">
        <f>IF(AND(Juillet[[#This Row],[Maladie]]=0,Juillet[[#This Row],[AT]]=0),((10*(_xlfn.DAYS("31/07/2018","01/07/2018")+1))/365),((_xlfn.DAYS("31/07/2018","01/07/2018")+1-(Juillet[[#This Row],[Maladie]]+Juillet[[#This Row],[AT]]))*((10*(_xlfn.DAYS("31/07/2018","01/07/2018")+1))/365))/(_xlfn.DAYS("31/07/2018","01/07/2018")+1))</f>
        <v>0.84931506849315064</v>
      </c>
    </row>
    <row r="34" spans="1:41" ht="30" customHeight="1" x14ac:dyDescent="0.2">
      <c r="A34" s="13" t="s">
        <v>90</v>
      </c>
      <c r="B34" s="22" t="s">
        <v>204</v>
      </c>
      <c r="C34" s="22" t="s">
        <v>205</v>
      </c>
      <c r="D34" s="22" t="s">
        <v>206</v>
      </c>
      <c r="E34" s="44" t="s">
        <v>162</v>
      </c>
      <c r="F34" s="47" t="str">
        <f>Global!GE34</f>
        <v/>
      </c>
      <c r="G34" s="31" t="str">
        <f>Global!GF34</f>
        <v/>
      </c>
      <c r="H34" s="31" t="str">
        <f>Global!GG34</f>
        <v/>
      </c>
      <c r="I34" s="31" t="str">
        <f>Global!GH34</f>
        <v/>
      </c>
      <c r="J34" s="31" t="str">
        <f>Global!GI34</f>
        <v/>
      </c>
      <c r="K34" s="31" t="str">
        <f>Global!GJ34</f>
        <v/>
      </c>
      <c r="L34" s="31" t="str">
        <f>Global!GK34</f>
        <v/>
      </c>
      <c r="M34" s="31" t="str">
        <f>Global!GL34</f>
        <v/>
      </c>
      <c r="N34" s="31" t="str">
        <f>Global!GM34</f>
        <v/>
      </c>
      <c r="O34" s="31" t="str">
        <f>Global!GN34</f>
        <v/>
      </c>
      <c r="P34" s="31" t="str">
        <f>Global!GO34</f>
        <v/>
      </c>
      <c r="Q34" s="31" t="str">
        <f>Global!GP34</f>
        <v/>
      </c>
      <c r="R34" s="31" t="str">
        <f>Global!GQ34</f>
        <v/>
      </c>
      <c r="S34" s="31" t="str">
        <f>Global!GR34</f>
        <v/>
      </c>
      <c r="T34" s="31" t="str">
        <f>Global!GS34</f>
        <v/>
      </c>
      <c r="U34" s="31" t="str">
        <f>Global!GT34</f>
        <v/>
      </c>
      <c r="V34" s="31" t="str">
        <f>Global!GU34</f>
        <v/>
      </c>
      <c r="W34" s="31" t="str">
        <f>Global!GV34</f>
        <v/>
      </c>
      <c r="X34" s="31" t="str">
        <f>Global!GW34</f>
        <v/>
      </c>
      <c r="Y34" s="31" t="str">
        <f>Global!GX34</f>
        <v/>
      </c>
      <c r="Z34" s="31" t="str">
        <f>Global!GY34</f>
        <v/>
      </c>
      <c r="AA34" s="31" t="str">
        <f>Global!GZ34</f>
        <v/>
      </c>
      <c r="AB34" s="31" t="str">
        <f>Global!HA34</f>
        <v/>
      </c>
      <c r="AC34" s="31" t="str">
        <f>Global!HB34</f>
        <v/>
      </c>
      <c r="AD34" s="31" t="str">
        <f>Global!HC34</f>
        <v/>
      </c>
      <c r="AE34" s="31" t="str">
        <f>Global!HD34</f>
        <v/>
      </c>
      <c r="AF34" s="31" t="str">
        <f>Global!HE34</f>
        <v/>
      </c>
      <c r="AG34" s="31" t="str">
        <f>Global!HF34</f>
        <v/>
      </c>
      <c r="AH34" s="31" t="str">
        <f>Global!HG34</f>
        <v/>
      </c>
      <c r="AI34" s="31" t="str">
        <f>Global!HH34</f>
        <v/>
      </c>
      <c r="AJ34" s="48" t="str">
        <f>Global!HI34</f>
        <v/>
      </c>
      <c r="AK34" s="108">
        <f>COUNTIF(Juillet[[#This Row],[1]:[31]],"RTT")+(COUNTIF(Juillet[[#This Row],[1]:[31]],"dRTT")/2)</f>
        <v>0</v>
      </c>
      <c r="AL34" s="109">
        <f>COUNTIF(Juillet[[#This Row],[1]:[31]],"C")+(COUNTIF(Juillet[[#This Row],[1]:[31]],"DC")/2)</f>
        <v>0</v>
      </c>
      <c r="AM34" s="22">
        <f>COUNTIF(Juillet[[#This Row],[1]:[31]],"M")</f>
        <v>0</v>
      </c>
      <c r="AN34" s="22">
        <f>COUNTIF(Juillet[[#This Row],[1]:[31]],"AT")</f>
        <v>0</v>
      </c>
      <c r="AO34" s="84">
        <f>IF(AND(Juillet[[#This Row],[Maladie]]=0,Juillet[[#This Row],[AT]]=0),((10*(_xlfn.DAYS("31/07/2018","01/07/2018")+1))/365),((_xlfn.DAYS("31/07/2018","01/07/2018")+1-(Juillet[[#This Row],[Maladie]]+Juillet[[#This Row],[AT]]))*((10*(_xlfn.DAYS("31/07/2018","01/07/2018")+1))/365))/(_xlfn.DAYS("31/07/2018","01/07/2018")+1))</f>
        <v>0.84931506849315064</v>
      </c>
    </row>
    <row r="35" spans="1:41" ht="30" customHeight="1" x14ac:dyDescent="0.2">
      <c r="A35" s="13" t="s">
        <v>91</v>
      </c>
      <c r="B35" s="22" t="s">
        <v>207</v>
      </c>
      <c r="C35" s="22" t="s">
        <v>208</v>
      </c>
      <c r="D35" s="22" t="s">
        <v>209</v>
      </c>
      <c r="E35" s="44" t="s">
        <v>162</v>
      </c>
      <c r="F35" s="47" t="str">
        <f>Global!GE35</f>
        <v/>
      </c>
      <c r="G35" s="31" t="str">
        <f>Global!GF35</f>
        <v/>
      </c>
      <c r="H35" s="31" t="str">
        <f>Global!GG35</f>
        <v/>
      </c>
      <c r="I35" s="31" t="str">
        <f>Global!GH35</f>
        <v/>
      </c>
      <c r="J35" s="31" t="str">
        <f>Global!GI35</f>
        <v/>
      </c>
      <c r="K35" s="31" t="str">
        <f>Global!GJ35</f>
        <v/>
      </c>
      <c r="L35" s="31" t="str">
        <f>Global!GK35</f>
        <v/>
      </c>
      <c r="M35" s="31" t="str">
        <f>Global!GL35</f>
        <v/>
      </c>
      <c r="N35" s="31" t="str">
        <f>Global!GM35</f>
        <v/>
      </c>
      <c r="O35" s="31" t="str">
        <f>Global!GN35</f>
        <v/>
      </c>
      <c r="P35" s="31" t="str">
        <f>Global!GO35</f>
        <v/>
      </c>
      <c r="Q35" s="31" t="str">
        <f>Global!GP35</f>
        <v/>
      </c>
      <c r="R35" s="31" t="str">
        <f>Global!GQ35</f>
        <v/>
      </c>
      <c r="S35" s="31" t="str">
        <f>Global!GR35</f>
        <v/>
      </c>
      <c r="T35" s="31" t="str">
        <f>Global!GS35</f>
        <v/>
      </c>
      <c r="U35" s="31" t="str">
        <f>Global!GT35</f>
        <v/>
      </c>
      <c r="V35" s="31" t="str">
        <f>Global!GU35</f>
        <v/>
      </c>
      <c r="W35" s="31" t="str">
        <f>Global!GV35</f>
        <v/>
      </c>
      <c r="X35" s="31" t="str">
        <f>Global!GW35</f>
        <v/>
      </c>
      <c r="Y35" s="31" t="str">
        <f>Global!GX35</f>
        <v/>
      </c>
      <c r="Z35" s="31" t="str">
        <f>Global!GY35</f>
        <v/>
      </c>
      <c r="AA35" s="31" t="str">
        <f>Global!GZ35</f>
        <v/>
      </c>
      <c r="AB35" s="31" t="str">
        <f>Global!HA35</f>
        <v/>
      </c>
      <c r="AC35" s="31" t="str">
        <f>Global!HB35</f>
        <v/>
      </c>
      <c r="AD35" s="31" t="str">
        <f>Global!HC35</f>
        <v/>
      </c>
      <c r="AE35" s="31" t="str">
        <f>Global!HD35</f>
        <v/>
      </c>
      <c r="AF35" s="31" t="str">
        <f>Global!HE35</f>
        <v/>
      </c>
      <c r="AG35" s="31" t="str">
        <f>Global!HF35</f>
        <v/>
      </c>
      <c r="AH35" s="31" t="str">
        <f>Global!HG35</f>
        <v/>
      </c>
      <c r="AI35" s="31" t="str">
        <f>Global!HH35</f>
        <v/>
      </c>
      <c r="AJ35" s="48" t="str">
        <f>Global!HI35</f>
        <v/>
      </c>
      <c r="AK35" s="108">
        <f>COUNTIF(Juillet[[#This Row],[1]:[31]],"RTT")+(COUNTIF(Juillet[[#This Row],[1]:[31]],"dRTT")/2)</f>
        <v>0</v>
      </c>
      <c r="AL35" s="109">
        <f>COUNTIF(Juillet[[#This Row],[1]:[31]],"C")+(COUNTIF(Juillet[[#This Row],[1]:[31]],"DC")/2)</f>
        <v>0</v>
      </c>
      <c r="AM35" s="22">
        <f>COUNTIF(Juillet[[#This Row],[1]:[31]],"M")</f>
        <v>0</v>
      </c>
      <c r="AN35" s="22">
        <f>COUNTIF(Juillet[[#This Row],[1]:[31]],"AT")</f>
        <v>0</v>
      </c>
      <c r="AO35" s="84">
        <f>IF(AND(Juillet[[#This Row],[Maladie]]=0,Juillet[[#This Row],[AT]]=0),((10*(_xlfn.DAYS("31/07/2018","01/07/2018")+1))/365),((_xlfn.DAYS("31/07/2018","01/07/2018")+1-(Juillet[[#This Row],[Maladie]]+Juillet[[#This Row],[AT]]))*((10*(_xlfn.DAYS("31/07/2018","01/07/2018")+1))/365))/(_xlfn.DAYS("31/07/2018","01/07/2018")+1))</f>
        <v>0.84931506849315064</v>
      </c>
    </row>
    <row r="36" spans="1:41" ht="30" customHeight="1" x14ac:dyDescent="0.2">
      <c r="A36" s="13" t="s">
        <v>92</v>
      </c>
      <c r="B36" s="22" t="s">
        <v>210</v>
      </c>
      <c r="C36" s="22" t="s">
        <v>211</v>
      </c>
      <c r="D36" s="22" t="s">
        <v>212</v>
      </c>
      <c r="E36" s="44">
        <v>0</v>
      </c>
      <c r="F36" s="47" t="str">
        <f>Global!GE36</f>
        <v/>
      </c>
      <c r="G36" s="31" t="str">
        <f>Global!GF36</f>
        <v/>
      </c>
      <c r="H36" s="31" t="str">
        <f>Global!GG36</f>
        <v/>
      </c>
      <c r="I36" s="31" t="str">
        <f>Global!GH36</f>
        <v/>
      </c>
      <c r="J36" s="31" t="str">
        <f>Global!GI36</f>
        <v/>
      </c>
      <c r="K36" s="31" t="str">
        <f>Global!GJ36</f>
        <v/>
      </c>
      <c r="L36" s="31" t="str">
        <f>Global!GK36</f>
        <v/>
      </c>
      <c r="M36" s="31" t="str">
        <f>Global!GL36</f>
        <v/>
      </c>
      <c r="N36" s="31" t="str">
        <f>Global!GM36</f>
        <v/>
      </c>
      <c r="O36" s="31" t="str">
        <f>Global!GN36</f>
        <v/>
      </c>
      <c r="P36" s="31" t="str">
        <f>Global!GO36</f>
        <v/>
      </c>
      <c r="Q36" s="31" t="str">
        <f>Global!GP36</f>
        <v/>
      </c>
      <c r="R36" s="31" t="str">
        <f>Global!GQ36</f>
        <v/>
      </c>
      <c r="S36" s="31" t="str">
        <f>Global!GR36</f>
        <v/>
      </c>
      <c r="T36" s="31" t="str">
        <f>Global!GS36</f>
        <v/>
      </c>
      <c r="U36" s="31" t="str">
        <f>Global!GT36</f>
        <v>C</v>
      </c>
      <c r="V36" s="31" t="str">
        <f>Global!GU36</f>
        <v>C</v>
      </c>
      <c r="W36" s="31" t="str">
        <f>Global!GV36</f>
        <v>C</v>
      </c>
      <c r="X36" s="31" t="str">
        <f>Global!GW36</f>
        <v>C</v>
      </c>
      <c r="Y36" s="31" t="str">
        <f>Global!GX36</f>
        <v>C</v>
      </c>
      <c r="Z36" s="31" t="str">
        <f>Global!GY36</f>
        <v/>
      </c>
      <c r="AA36" s="31" t="str">
        <f>Global!GZ36</f>
        <v/>
      </c>
      <c r="AB36" s="31" t="str">
        <f>Global!HA36</f>
        <v>C</v>
      </c>
      <c r="AC36" s="31" t="str">
        <f>Global!HB36</f>
        <v>C</v>
      </c>
      <c r="AD36" s="31" t="str">
        <f>Global!HC36</f>
        <v>C</v>
      </c>
      <c r="AE36" s="31" t="str">
        <f>Global!HD36</f>
        <v>C</v>
      </c>
      <c r="AF36" s="31" t="str">
        <f>Global!HE36</f>
        <v>C</v>
      </c>
      <c r="AG36" s="31" t="str">
        <f>Global!HF36</f>
        <v/>
      </c>
      <c r="AH36" s="31" t="str">
        <f>Global!HG36</f>
        <v/>
      </c>
      <c r="AI36" s="31" t="str">
        <f>Global!HH36</f>
        <v/>
      </c>
      <c r="AJ36" s="48" t="str">
        <f>Global!HI36</f>
        <v/>
      </c>
      <c r="AK36" s="108">
        <f>COUNTIF(Juillet[[#This Row],[1]:[31]],"RTT")+(COUNTIF(Juillet[[#This Row],[1]:[31]],"dRTT")/2)</f>
        <v>0</v>
      </c>
      <c r="AL36" s="109">
        <f>COUNTIF(Juillet[[#This Row],[1]:[31]],"C")+(COUNTIF(Juillet[[#This Row],[1]:[31]],"DC")/2)</f>
        <v>10</v>
      </c>
      <c r="AM36" s="22">
        <f>COUNTIF(Juillet[[#This Row],[1]:[31]],"M")</f>
        <v>0</v>
      </c>
      <c r="AN36" s="22">
        <f>COUNTIF(Juillet[[#This Row],[1]:[31]],"AT")</f>
        <v>0</v>
      </c>
      <c r="AO36" s="84">
        <f>IF(AND(Juillet[[#This Row],[Maladie]]=0,Juillet[[#This Row],[AT]]=0),((10*(_xlfn.DAYS("31/07/2018","01/07/2018")+1))/365),((_xlfn.DAYS("31/07/2018","01/07/2018")+1-(Juillet[[#This Row],[Maladie]]+Juillet[[#This Row],[AT]]))*((10*(_xlfn.DAYS("31/07/2018","01/07/2018")+1))/365))/(_xlfn.DAYS("31/07/2018","01/07/2018")+1))</f>
        <v>0.84931506849315064</v>
      </c>
    </row>
    <row r="37" spans="1:41" ht="30" customHeight="1" x14ac:dyDescent="0.2">
      <c r="A37" s="13" t="s">
        <v>93</v>
      </c>
      <c r="B37" s="22" t="s">
        <v>213</v>
      </c>
      <c r="C37" s="22" t="s">
        <v>148</v>
      </c>
      <c r="D37" s="22" t="s">
        <v>214</v>
      </c>
      <c r="E37" s="44">
        <v>0</v>
      </c>
      <c r="F37" s="47" t="str">
        <f>Global!GE37</f>
        <v/>
      </c>
      <c r="G37" s="31" t="str">
        <f>Global!GF37</f>
        <v/>
      </c>
      <c r="H37" s="31" t="str">
        <f>Global!GG37</f>
        <v/>
      </c>
      <c r="I37" s="31" t="str">
        <f>Global!GH37</f>
        <v/>
      </c>
      <c r="J37" s="31" t="str">
        <f>Global!GI37</f>
        <v/>
      </c>
      <c r="K37" s="31" t="str">
        <f>Global!GJ37</f>
        <v/>
      </c>
      <c r="L37" s="31" t="str">
        <f>Global!GK37</f>
        <v/>
      </c>
      <c r="M37" s="31" t="str">
        <f>Global!GL37</f>
        <v/>
      </c>
      <c r="N37" s="31" t="str">
        <f>Global!GM37</f>
        <v/>
      </c>
      <c r="O37" s="31" t="str">
        <f>Global!GN37</f>
        <v/>
      </c>
      <c r="P37" s="31" t="str">
        <f>Global!GO37</f>
        <v/>
      </c>
      <c r="Q37" s="31" t="str">
        <f>Global!GP37</f>
        <v/>
      </c>
      <c r="R37" s="31" t="str">
        <f>Global!GQ37</f>
        <v/>
      </c>
      <c r="S37" s="31" t="str">
        <f>Global!GR37</f>
        <v/>
      </c>
      <c r="T37" s="31" t="str">
        <f>Global!GS37</f>
        <v/>
      </c>
      <c r="U37" s="31" t="str">
        <f>Global!GT37</f>
        <v/>
      </c>
      <c r="V37" s="31" t="str">
        <f>Global!GU37</f>
        <v/>
      </c>
      <c r="W37" s="31" t="str">
        <f>Global!GV37</f>
        <v/>
      </c>
      <c r="X37" s="31" t="str">
        <f>Global!GW37</f>
        <v/>
      </c>
      <c r="Y37" s="31" t="str">
        <f>Global!GX37</f>
        <v/>
      </c>
      <c r="Z37" s="31" t="str">
        <f>Global!GY37</f>
        <v/>
      </c>
      <c r="AA37" s="31" t="str">
        <f>Global!GZ37</f>
        <v/>
      </c>
      <c r="AB37" s="31" t="str">
        <f>Global!HA37</f>
        <v/>
      </c>
      <c r="AC37" s="31" t="str">
        <f>Global!HB37</f>
        <v/>
      </c>
      <c r="AD37" s="31" t="str">
        <f>Global!HC37</f>
        <v/>
      </c>
      <c r="AE37" s="31" t="str">
        <f>Global!HD37</f>
        <v/>
      </c>
      <c r="AF37" s="31" t="str">
        <f>Global!HE37</f>
        <v/>
      </c>
      <c r="AG37" s="31" t="str">
        <f>Global!HF37</f>
        <v/>
      </c>
      <c r="AH37" s="31" t="str">
        <f>Global!HG37</f>
        <v/>
      </c>
      <c r="AI37" s="31" t="str">
        <f>Global!HH37</f>
        <v>C</v>
      </c>
      <c r="AJ37" s="48" t="str">
        <f>Global!HI37</f>
        <v>C</v>
      </c>
      <c r="AK37" s="108">
        <f>COUNTIF(Juillet[[#This Row],[1]:[31]],"RTT")+(COUNTIF(Juillet[[#This Row],[1]:[31]],"dRTT")/2)</f>
        <v>0</v>
      </c>
      <c r="AL37" s="109">
        <f>COUNTIF(Juillet[[#This Row],[1]:[31]],"C")+(COUNTIF(Juillet[[#This Row],[1]:[31]],"DC")/2)</f>
        <v>2</v>
      </c>
      <c r="AM37" s="22">
        <f>COUNTIF(Juillet[[#This Row],[1]:[31]],"M")</f>
        <v>0</v>
      </c>
      <c r="AN37" s="22">
        <f>COUNTIF(Juillet[[#This Row],[1]:[31]],"AT")</f>
        <v>0</v>
      </c>
      <c r="AO37" s="84">
        <f>IF(AND(Juillet[[#This Row],[Maladie]]=0,Juillet[[#This Row],[AT]]=0),((10*(_xlfn.DAYS("31/07/2018","01/07/2018")+1))/365),((_xlfn.DAYS("31/07/2018","01/07/2018")+1-(Juillet[[#This Row],[Maladie]]+Juillet[[#This Row],[AT]]))*((10*(_xlfn.DAYS("31/07/2018","01/07/2018")+1))/365))/(_xlfn.DAYS("31/07/2018","01/07/2018")+1))</f>
        <v>0.84931506849315064</v>
      </c>
    </row>
    <row r="38" spans="1:41" ht="30" customHeight="1" x14ac:dyDescent="0.2">
      <c r="A38" s="13" t="s">
        <v>94</v>
      </c>
      <c r="B38" s="22" t="s">
        <v>215</v>
      </c>
      <c r="C38" s="22" t="s">
        <v>216</v>
      </c>
      <c r="D38" s="22" t="s">
        <v>217</v>
      </c>
      <c r="E38" s="44">
        <v>0</v>
      </c>
      <c r="F38" s="47" t="str">
        <f>Global!GE38</f>
        <v/>
      </c>
      <c r="G38" s="31" t="str">
        <f>Global!GF38</f>
        <v/>
      </c>
      <c r="H38" s="31" t="str">
        <f>Global!GG38</f>
        <v/>
      </c>
      <c r="I38" s="31" t="str">
        <f>Global!GH38</f>
        <v/>
      </c>
      <c r="J38" s="31" t="str">
        <f>Global!GI38</f>
        <v/>
      </c>
      <c r="K38" s="31" t="str">
        <f>Global!GJ38</f>
        <v/>
      </c>
      <c r="L38" s="31" t="str">
        <f>Global!GK38</f>
        <v/>
      </c>
      <c r="M38" s="31" t="str">
        <f>Global!GL38</f>
        <v/>
      </c>
      <c r="N38" s="31" t="str">
        <f>Global!GM38</f>
        <v/>
      </c>
      <c r="O38" s="31" t="str">
        <f>Global!GN38</f>
        <v/>
      </c>
      <c r="P38" s="31" t="str">
        <f>Global!GO38</f>
        <v/>
      </c>
      <c r="Q38" s="31" t="str">
        <f>Global!GP38</f>
        <v/>
      </c>
      <c r="R38" s="31" t="str">
        <f>Global!GQ38</f>
        <v/>
      </c>
      <c r="S38" s="31" t="str">
        <f>Global!GR38</f>
        <v/>
      </c>
      <c r="T38" s="31" t="str">
        <f>Global!GS38</f>
        <v/>
      </c>
      <c r="U38" s="31" t="str">
        <f>Global!GT38</f>
        <v>C</v>
      </c>
      <c r="V38" s="31" t="str">
        <f>Global!GU38</f>
        <v>C</v>
      </c>
      <c r="W38" s="31" t="str">
        <f>Global!GV38</f>
        <v>C</v>
      </c>
      <c r="X38" s="31" t="str">
        <f>Global!GW38</f>
        <v>C</v>
      </c>
      <c r="Y38" s="31" t="str">
        <f>Global!GX38</f>
        <v>C</v>
      </c>
      <c r="Z38" s="31" t="str">
        <f>Global!GY38</f>
        <v/>
      </c>
      <c r="AA38" s="31" t="str">
        <f>Global!GZ38</f>
        <v/>
      </c>
      <c r="AB38" s="31" t="str">
        <f>Global!HA38</f>
        <v>C</v>
      </c>
      <c r="AC38" s="31" t="str">
        <f>Global!HB38</f>
        <v>C</v>
      </c>
      <c r="AD38" s="31" t="str">
        <f>Global!HC38</f>
        <v>C</v>
      </c>
      <c r="AE38" s="31" t="str">
        <f>Global!HD38</f>
        <v>C</v>
      </c>
      <c r="AF38" s="31" t="str">
        <f>Global!HE38</f>
        <v>C</v>
      </c>
      <c r="AG38" s="31" t="str">
        <f>Global!HF38</f>
        <v/>
      </c>
      <c r="AH38" s="31" t="str">
        <f>Global!HG38</f>
        <v/>
      </c>
      <c r="AI38" s="31" t="str">
        <f>Global!HH38</f>
        <v/>
      </c>
      <c r="AJ38" s="48" t="str">
        <f>Global!HI38</f>
        <v/>
      </c>
      <c r="AK38" s="108">
        <f>COUNTIF(Juillet[[#This Row],[1]:[31]],"RTT")+(COUNTIF(Juillet[[#This Row],[1]:[31]],"dRTT")/2)</f>
        <v>0</v>
      </c>
      <c r="AL38" s="109">
        <f>COUNTIF(Juillet[[#This Row],[1]:[31]],"C")+(COUNTIF(Juillet[[#This Row],[1]:[31]],"DC")/2)</f>
        <v>10</v>
      </c>
      <c r="AM38" s="22">
        <f>COUNTIF(Juillet[[#This Row],[1]:[31]],"M")</f>
        <v>0</v>
      </c>
      <c r="AN38" s="22">
        <f>COUNTIF(Juillet[[#This Row],[1]:[31]],"AT")</f>
        <v>0</v>
      </c>
      <c r="AO38" s="84">
        <f>IF(AND(Juillet[[#This Row],[Maladie]]=0,Juillet[[#This Row],[AT]]=0),((10*(_xlfn.DAYS("31/07/2018","01/07/2018")+1))/365),((_xlfn.DAYS("31/07/2018","01/07/2018")+1-(Juillet[[#This Row],[Maladie]]+Juillet[[#This Row],[AT]]))*((10*(_xlfn.DAYS("31/07/2018","01/07/2018")+1))/365))/(_xlfn.DAYS("31/07/2018","01/07/2018")+1))</f>
        <v>0.84931506849315064</v>
      </c>
    </row>
    <row r="39" spans="1:41" ht="30" customHeight="1" x14ac:dyDescent="0.2">
      <c r="A39" s="16" t="s">
        <v>95</v>
      </c>
      <c r="B39" s="22" t="s">
        <v>218</v>
      </c>
      <c r="C39" s="22" t="s">
        <v>219</v>
      </c>
      <c r="D39" s="22" t="s">
        <v>220</v>
      </c>
      <c r="E39" s="44">
        <v>0</v>
      </c>
      <c r="F39" s="47" t="str">
        <f>Global!GE39</f>
        <v/>
      </c>
      <c r="G39" s="31" t="str">
        <f>Global!GF39</f>
        <v>C</v>
      </c>
      <c r="H39" s="31" t="str">
        <f>Global!GG39</f>
        <v>C</v>
      </c>
      <c r="I39" s="31" t="str">
        <f>Global!GH39</f>
        <v>C</v>
      </c>
      <c r="J39" s="31" t="str">
        <f>Global!GI39</f>
        <v>C</v>
      </c>
      <c r="K39" s="31" t="str">
        <f>Global!GJ39</f>
        <v>C</v>
      </c>
      <c r="L39" s="31" t="str">
        <f>Global!GK39</f>
        <v/>
      </c>
      <c r="M39" s="31" t="str">
        <f>Global!GL39</f>
        <v/>
      </c>
      <c r="N39" s="31" t="str">
        <f>Global!GM39</f>
        <v>C</v>
      </c>
      <c r="O39" s="31" t="str">
        <f>Global!GN39</f>
        <v>C</v>
      </c>
      <c r="P39" s="31" t="str">
        <f>Global!GO39</f>
        <v>C</v>
      </c>
      <c r="Q39" s="31" t="str">
        <f>Global!GP39</f>
        <v>C</v>
      </c>
      <c r="R39" s="31" t="str">
        <f>Global!GQ39</f>
        <v>C</v>
      </c>
      <c r="S39" s="31" t="str">
        <f>Global!GR39</f>
        <v/>
      </c>
      <c r="T39" s="31" t="str">
        <f>Global!GS39</f>
        <v/>
      </c>
      <c r="U39" s="31" t="str">
        <f>Global!GT39</f>
        <v/>
      </c>
      <c r="V39" s="31" t="str">
        <f>Global!GU39</f>
        <v/>
      </c>
      <c r="W39" s="31" t="str">
        <f>Global!GV39</f>
        <v/>
      </c>
      <c r="X39" s="31" t="str">
        <f>Global!GW39</f>
        <v/>
      </c>
      <c r="Y39" s="31" t="str">
        <f>Global!GX39</f>
        <v/>
      </c>
      <c r="Z39" s="31" t="str">
        <f>Global!GY39</f>
        <v/>
      </c>
      <c r="AA39" s="31" t="str">
        <f>Global!GZ39</f>
        <v/>
      </c>
      <c r="AB39" s="31" t="str">
        <f>Global!HA39</f>
        <v/>
      </c>
      <c r="AC39" s="31" t="str">
        <f>Global!HB39</f>
        <v/>
      </c>
      <c r="AD39" s="31" t="str">
        <f>Global!HC39</f>
        <v/>
      </c>
      <c r="AE39" s="31" t="str">
        <f>Global!HD39</f>
        <v/>
      </c>
      <c r="AF39" s="31" t="str">
        <f>Global!HE39</f>
        <v/>
      </c>
      <c r="AG39" s="31" t="str">
        <f>Global!HF39</f>
        <v/>
      </c>
      <c r="AH39" s="31" t="str">
        <f>Global!HG39</f>
        <v/>
      </c>
      <c r="AI39" s="31" t="str">
        <f>Global!HH39</f>
        <v/>
      </c>
      <c r="AJ39" s="48" t="str">
        <f>Global!HI39</f>
        <v/>
      </c>
      <c r="AK39" s="108">
        <f>COUNTIF(Juillet[[#This Row],[1]:[31]],"RTT")+(COUNTIF(Juillet[[#This Row],[1]:[31]],"dRTT")/2)</f>
        <v>0</v>
      </c>
      <c r="AL39" s="109">
        <f>COUNTIF(Juillet[[#This Row],[1]:[31]],"C")+(COUNTIF(Juillet[[#This Row],[1]:[31]],"DC")/2)</f>
        <v>10</v>
      </c>
      <c r="AM39" s="22">
        <f>COUNTIF(Juillet[[#This Row],[1]:[31]],"M")</f>
        <v>0</v>
      </c>
      <c r="AN39" s="22">
        <f>COUNTIF(Juillet[[#This Row],[1]:[31]],"AT")</f>
        <v>0</v>
      </c>
      <c r="AO39" s="84">
        <f>IF(AND(Juillet[[#This Row],[Maladie]]=0,Juillet[[#This Row],[AT]]=0),((10*(_xlfn.DAYS("31/07/2018","01/07/2018")+1))/365),((_xlfn.DAYS("31/07/2018","01/07/2018")+1-(Juillet[[#This Row],[Maladie]]+Juillet[[#This Row],[AT]]))*((10*(_xlfn.DAYS("31/07/2018","01/07/2018")+1))/365))/(_xlfn.DAYS("31/07/2018","01/07/2018")+1))</f>
        <v>0.84931506849315064</v>
      </c>
    </row>
    <row r="40" spans="1:41" ht="30" customHeight="1" x14ac:dyDescent="0.2">
      <c r="A40" s="15" t="s">
        <v>96</v>
      </c>
      <c r="B40" s="22" t="s">
        <v>221</v>
      </c>
      <c r="C40" s="22" t="s">
        <v>222</v>
      </c>
      <c r="D40" s="22" t="s">
        <v>223</v>
      </c>
      <c r="E40" s="44">
        <v>0</v>
      </c>
      <c r="F40" s="47" t="str">
        <f>Global!GE40</f>
        <v/>
      </c>
      <c r="G40" s="31" t="str">
        <f>Global!GF40</f>
        <v/>
      </c>
      <c r="H40" s="31" t="str">
        <f>Global!GG40</f>
        <v/>
      </c>
      <c r="I40" s="31" t="str">
        <f>Global!GH40</f>
        <v/>
      </c>
      <c r="J40" s="31" t="str">
        <f>Global!GI40</f>
        <v/>
      </c>
      <c r="K40" s="31" t="str">
        <f>Global!GJ40</f>
        <v/>
      </c>
      <c r="L40" s="31" t="str">
        <f>Global!GK40</f>
        <v/>
      </c>
      <c r="M40" s="31" t="str">
        <f>Global!GL40</f>
        <v/>
      </c>
      <c r="N40" s="31" t="str">
        <f>Global!GM40</f>
        <v/>
      </c>
      <c r="O40" s="31" t="str">
        <f>Global!GN40</f>
        <v/>
      </c>
      <c r="P40" s="31" t="str">
        <f>Global!GO40</f>
        <v/>
      </c>
      <c r="Q40" s="31" t="str">
        <f>Global!GP40</f>
        <v/>
      </c>
      <c r="R40" s="31" t="str">
        <f>Global!GQ40</f>
        <v/>
      </c>
      <c r="S40" s="31" t="str">
        <f>Global!GR40</f>
        <v/>
      </c>
      <c r="T40" s="31" t="str">
        <f>Global!GS40</f>
        <v/>
      </c>
      <c r="U40" s="31" t="str">
        <f>Global!GT40</f>
        <v/>
      </c>
      <c r="V40" s="31" t="str">
        <f>Global!GU40</f>
        <v/>
      </c>
      <c r="W40" s="31" t="str">
        <f>Global!GV40</f>
        <v/>
      </c>
      <c r="X40" s="31" t="str">
        <f>Global!GW40</f>
        <v/>
      </c>
      <c r="Y40" s="31" t="str">
        <f>Global!GX40</f>
        <v/>
      </c>
      <c r="Z40" s="31" t="str">
        <f>Global!GY40</f>
        <v/>
      </c>
      <c r="AA40" s="31" t="str">
        <f>Global!GZ40</f>
        <v/>
      </c>
      <c r="AB40" s="31" t="str">
        <f>Global!HA40</f>
        <v/>
      </c>
      <c r="AC40" s="31" t="str">
        <f>Global!HB40</f>
        <v/>
      </c>
      <c r="AD40" s="31" t="str">
        <f>Global!HC40</f>
        <v/>
      </c>
      <c r="AE40" s="31" t="str">
        <f>Global!HD40</f>
        <v/>
      </c>
      <c r="AF40" s="31" t="str">
        <f>Global!HE40</f>
        <v/>
      </c>
      <c r="AG40" s="31" t="str">
        <f>Global!HF40</f>
        <v/>
      </c>
      <c r="AH40" s="31" t="str">
        <f>Global!HG40</f>
        <v/>
      </c>
      <c r="AI40" s="31" t="str">
        <f>Global!HH40</f>
        <v/>
      </c>
      <c r="AJ40" s="48" t="str">
        <f>Global!HI40</f>
        <v/>
      </c>
      <c r="AK40" s="108">
        <f>COUNTIF(Juillet[[#This Row],[1]:[31]],"RTT")+(COUNTIF(Juillet[[#This Row],[1]:[31]],"dRTT")/2)</f>
        <v>0</v>
      </c>
      <c r="AL40" s="109">
        <f>COUNTIF(Juillet[[#This Row],[1]:[31]],"C")+(COUNTIF(Juillet[[#This Row],[1]:[31]],"DC")/2)</f>
        <v>0</v>
      </c>
      <c r="AM40" s="22">
        <f>COUNTIF(Juillet[[#This Row],[1]:[31]],"M")</f>
        <v>0</v>
      </c>
      <c r="AN40" s="22">
        <f>COUNTIF(Juillet[[#This Row],[1]:[31]],"AT")</f>
        <v>0</v>
      </c>
      <c r="AO40" s="84">
        <f>IF(AND(Juillet[[#This Row],[Maladie]]=0,Juillet[[#This Row],[AT]]=0),((10*(_xlfn.DAYS("31/07/2018","01/07/2018")+1))/365),((_xlfn.DAYS("31/07/2018","01/07/2018")+1-(Juillet[[#This Row],[Maladie]]+Juillet[[#This Row],[AT]]))*((10*(_xlfn.DAYS("31/07/2018","01/07/2018")+1))/365))/(_xlfn.DAYS("31/07/2018","01/07/2018")+1))</f>
        <v>0.84931506849315064</v>
      </c>
    </row>
    <row r="41" spans="1:41" ht="30" customHeight="1" x14ac:dyDescent="0.2">
      <c r="A41" s="15" t="s">
        <v>97</v>
      </c>
      <c r="B41" s="22" t="s">
        <v>224</v>
      </c>
      <c r="C41" s="22" t="s">
        <v>225</v>
      </c>
      <c r="D41" s="22" t="s">
        <v>226</v>
      </c>
      <c r="E41" s="44">
        <v>0</v>
      </c>
      <c r="F41" s="47" t="str">
        <f>Global!GE41</f>
        <v/>
      </c>
      <c r="G41" s="31" t="str">
        <f>Global!GF41</f>
        <v/>
      </c>
      <c r="H41" s="31" t="str">
        <f>Global!GG41</f>
        <v/>
      </c>
      <c r="I41" s="31" t="str">
        <f>Global!GH41</f>
        <v/>
      </c>
      <c r="J41" s="31" t="str">
        <f>Global!GI41</f>
        <v/>
      </c>
      <c r="K41" s="31" t="str">
        <f>Global!GJ41</f>
        <v/>
      </c>
      <c r="L41" s="31" t="str">
        <f>Global!GK41</f>
        <v/>
      </c>
      <c r="M41" s="31" t="str">
        <f>Global!GL41</f>
        <v/>
      </c>
      <c r="N41" s="31" t="str">
        <f>Global!GM41</f>
        <v/>
      </c>
      <c r="O41" s="31" t="str">
        <f>Global!GN41</f>
        <v/>
      </c>
      <c r="P41" s="31" t="str">
        <f>Global!GO41</f>
        <v/>
      </c>
      <c r="Q41" s="31" t="str">
        <f>Global!GP41</f>
        <v/>
      </c>
      <c r="R41" s="31" t="str">
        <f>Global!GQ41</f>
        <v/>
      </c>
      <c r="S41" s="31" t="str">
        <f>Global!GR41</f>
        <v/>
      </c>
      <c r="T41" s="31" t="str">
        <f>Global!GS41</f>
        <v/>
      </c>
      <c r="U41" s="31" t="str">
        <f>Global!GT41</f>
        <v/>
      </c>
      <c r="V41" s="31" t="str">
        <f>Global!GU41</f>
        <v/>
      </c>
      <c r="W41" s="31" t="str">
        <f>Global!GV41</f>
        <v/>
      </c>
      <c r="X41" s="31" t="str">
        <f>Global!GW41</f>
        <v/>
      </c>
      <c r="Y41" s="31" t="str">
        <f>Global!GX41</f>
        <v/>
      </c>
      <c r="Z41" s="31" t="str">
        <f>Global!GY41</f>
        <v/>
      </c>
      <c r="AA41" s="31" t="str">
        <f>Global!GZ41</f>
        <v/>
      </c>
      <c r="AB41" s="31" t="str">
        <f>Global!HA41</f>
        <v/>
      </c>
      <c r="AC41" s="31" t="str">
        <f>Global!HB41</f>
        <v/>
      </c>
      <c r="AD41" s="31" t="str">
        <f>Global!HC41</f>
        <v/>
      </c>
      <c r="AE41" s="31" t="str">
        <f>Global!HD41</f>
        <v/>
      </c>
      <c r="AF41" s="31" t="str">
        <f>Global!HE41</f>
        <v/>
      </c>
      <c r="AG41" s="31" t="str">
        <f>Global!HF41</f>
        <v/>
      </c>
      <c r="AH41" s="31" t="str">
        <f>Global!HG41</f>
        <v/>
      </c>
      <c r="AI41" s="31" t="str">
        <f>Global!HH41</f>
        <v/>
      </c>
      <c r="AJ41" s="48" t="str">
        <f>Global!HI41</f>
        <v/>
      </c>
      <c r="AK41" s="108">
        <f>COUNTIF(Juillet[[#This Row],[1]:[31]],"RTT")+(COUNTIF(Juillet[[#This Row],[1]:[31]],"dRTT")/2)</f>
        <v>0</v>
      </c>
      <c r="AL41" s="109">
        <f>COUNTIF(Juillet[[#This Row],[1]:[31]],"C")+(COUNTIF(Juillet[[#This Row],[1]:[31]],"DC")/2)</f>
        <v>0</v>
      </c>
      <c r="AM41" s="22">
        <f>COUNTIF(Juillet[[#This Row],[1]:[31]],"M")</f>
        <v>0</v>
      </c>
      <c r="AN41" s="22">
        <f>COUNTIF(Juillet[[#This Row],[1]:[31]],"AT")</f>
        <v>0</v>
      </c>
      <c r="AO41" s="84">
        <f>IF(AND(Juillet[[#This Row],[Maladie]]=0,Juillet[[#This Row],[AT]]=0),((10*(_xlfn.DAYS("31/07/2018","01/07/2018")+1))/365),((_xlfn.DAYS("31/07/2018","01/07/2018")+1-(Juillet[[#This Row],[Maladie]]+Juillet[[#This Row],[AT]]))*((10*(_xlfn.DAYS("31/07/2018","01/07/2018")+1))/365))/(_xlfn.DAYS("31/07/2018","01/07/2018")+1))</f>
        <v>0.84931506849315064</v>
      </c>
    </row>
    <row r="42" spans="1:41" ht="30" customHeight="1" x14ac:dyDescent="0.2">
      <c r="A42" s="13" t="s">
        <v>98</v>
      </c>
      <c r="B42" s="22" t="s">
        <v>227</v>
      </c>
      <c r="C42" s="22" t="s">
        <v>228</v>
      </c>
      <c r="D42" s="22" t="s">
        <v>229</v>
      </c>
      <c r="E42" s="44">
        <v>0</v>
      </c>
      <c r="F42" s="47" t="str">
        <f>Global!GE42</f>
        <v/>
      </c>
      <c r="G42" s="31" t="str">
        <f>Global!GF42</f>
        <v/>
      </c>
      <c r="H42" s="31" t="str">
        <f>Global!GG42</f>
        <v/>
      </c>
      <c r="I42" s="31" t="str">
        <f>Global!GH42</f>
        <v/>
      </c>
      <c r="J42" s="31" t="str">
        <f>Global!GI42</f>
        <v/>
      </c>
      <c r="K42" s="31" t="str">
        <f>Global!GJ42</f>
        <v/>
      </c>
      <c r="L42" s="31" t="str">
        <f>Global!GK42</f>
        <v/>
      </c>
      <c r="M42" s="31" t="str">
        <f>Global!GL42</f>
        <v/>
      </c>
      <c r="N42" s="31" t="str">
        <f>Global!GM42</f>
        <v/>
      </c>
      <c r="O42" s="31" t="str">
        <f>Global!GN42</f>
        <v/>
      </c>
      <c r="P42" s="31" t="str">
        <f>Global!GO42</f>
        <v/>
      </c>
      <c r="Q42" s="31" t="str">
        <f>Global!GP42</f>
        <v/>
      </c>
      <c r="R42" s="31" t="str">
        <f>Global!GQ42</f>
        <v/>
      </c>
      <c r="S42" s="31" t="str">
        <f>Global!GR42</f>
        <v/>
      </c>
      <c r="T42" s="31" t="str">
        <f>Global!GS42</f>
        <v/>
      </c>
      <c r="U42" s="31" t="str">
        <f>Global!GT42</f>
        <v/>
      </c>
      <c r="V42" s="31" t="str">
        <f>Global!GU42</f>
        <v/>
      </c>
      <c r="W42" s="31" t="str">
        <f>Global!GV42</f>
        <v/>
      </c>
      <c r="X42" s="31" t="str">
        <f>Global!GW42</f>
        <v/>
      </c>
      <c r="Y42" s="31" t="str">
        <f>Global!GX42</f>
        <v/>
      </c>
      <c r="Z42" s="31" t="str">
        <f>Global!GY42</f>
        <v/>
      </c>
      <c r="AA42" s="31" t="str">
        <f>Global!GZ42</f>
        <v/>
      </c>
      <c r="AB42" s="31" t="str">
        <f>Global!HA42</f>
        <v/>
      </c>
      <c r="AC42" s="31" t="str">
        <f>Global!HB42</f>
        <v/>
      </c>
      <c r="AD42" s="31" t="str">
        <f>Global!HC42</f>
        <v/>
      </c>
      <c r="AE42" s="31" t="str">
        <f>Global!HD42</f>
        <v/>
      </c>
      <c r="AF42" s="31" t="str">
        <f>Global!HE42</f>
        <v/>
      </c>
      <c r="AG42" s="31" t="str">
        <f>Global!HF42</f>
        <v/>
      </c>
      <c r="AH42" s="31" t="str">
        <f>Global!HG42</f>
        <v/>
      </c>
      <c r="AI42" s="31" t="str">
        <f>Global!HH42</f>
        <v/>
      </c>
      <c r="AJ42" s="48" t="str">
        <f>Global!HI42</f>
        <v/>
      </c>
      <c r="AK42" s="108">
        <f>COUNTIF(Juillet[[#This Row],[1]:[31]],"RTT")+(COUNTIF(Juillet[[#This Row],[1]:[31]],"dRTT")/2)</f>
        <v>0</v>
      </c>
      <c r="AL42" s="109">
        <f>COUNTIF(Juillet[[#This Row],[1]:[31]],"C")+(COUNTIF(Juillet[[#This Row],[1]:[31]],"DC")/2)</f>
        <v>0</v>
      </c>
      <c r="AM42" s="22">
        <f>COUNTIF(Juillet[[#This Row],[1]:[31]],"M")</f>
        <v>0</v>
      </c>
      <c r="AN42" s="22">
        <f>COUNTIF(Juillet[[#This Row],[1]:[31]],"AT")</f>
        <v>0</v>
      </c>
      <c r="AO42" s="84">
        <f>IF(AND(Juillet[[#This Row],[Maladie]]=0,Juillet[[#This Row],[AT]]=0),((10*(_xlfn.DAYS("31/07/2018","01/07/2018")+1))/365),((_xlfn.DAYS("31/07/2018","01/07/2018")+1-(Juillet[[#This Row],[Maladie]]+Juillet[[#This Row],[AT]]))*((10*(_xlfn.DAYS("31/07/2018","01/07/2018")+1))/365))/(_xlfn.DAYS("31/07/2018","01/07/2018")+1))</f>
        <v>0.84931506849315064</v>
      </c>
    </row>
    <row r="43" spans="1:41" ht="30" customHeight="1" x14ac:dyDescent="0.2">
      <c r="A43" s="15" t="s">
        <v>99</v>
      </c>
      <c r="B43" s="22" t="s">
        <v>230</v>
      </c>
      <c r="C43" s="22" t="s">
        <v>231</v>
      </c>
      <c r="D43" s="22" t="s">
        <v>232</v>
      </c>
      <c r="E43" s="44">
        <v>0</v>
      </c>
      <c r="F43" s="47" t="str">
        <f>Global!GE43</f>
        <v/>
      </c>
      <c r="G43" s="31" t="str">
        <f>Global!GF43</f>
        <v/>
      </c>
      <c r="H43" s="31" t="str">
        <f>Global!GG43</f>
        <v/>
      </c>
      <c r="I43" s="31" t="str">
        <f>Global!GH43</f>
        <v/>
      </c>
      <c r="J43" s="31" t="str">
        <f>Global!GI43</f>
        <v/>
      </c>
      <c r="K43" s="31" t="str">
        <f>Global!GJ43</f>
        <v/>
      </c>
      <c r="L43" s="31" t="str">
        <f>Global!GK43</f>
        <v/>
      </c>
      <c r="M43" s="31" t="str">
        <f>Global!GL43</f>
        <v/>
      </c>
      <c r="N43" s="31" t="str">
        <f>Global!GM43</f>
        <v/>
      </c>
      <c r="O43" s="31" t="str">
        <f>Global!GN43</f>
        <v/>
      </c>
      <c r="P43" s="31" t="str">
        <f>Global!GO43</f>
        <v/>
      </c>
      <c r="Q43" s="31" t="str">
        <f>Global!GP43</f>
        <v/>
      </c>
      <c r="R43" s="31" t="str">
        <f>Global!GQ43</f>
        <v/>
      </c>
      <c r="S43" s="31" t="str">
        <f>Global!GR43</f>
        <v/>
      </c>
      <c r="T43" s="31" t="str">
        <f>Global!GS43</f>
        <v/>
      </c>
      <c r="U43" s="31" t="str">
        <f>Global!GT43</f>
        <v/>
      </c>
      <c r="V43" s="31" t="str">
        <f>Global!GU43</f>
        <v/>
      </c>
      <c r="W43" s="31" t="str">
        <f>Global!GV43</f>
        <v/>
      </c>
      <c r="X43" s="31" t="str">
        <f>Global!GW43</f>
        <v/>
      </c>
      <c r="Y43" s="31" t="str">
        <f>Global!GX43</f>
        <v/>
      </c>
      <c r="Z43" s="31" t="str">
        <f>Global!GY43</f>
        <v/>
      </c>
      <c r="AA43" s="31" t="str">
        <f>Global!GZ43</f>
        <v/>
      </c>
      <c r="AB43" s="31" t="str">
        <f>Global!HA43</f>
        <v/>
      </c>
      <c r="AC43" s="31" t="str">
        <f>Global!HB43</f>
        <v/>
      </c>
      <c r="AD43" s="31" t="str">
        <f>Global!HC43</f>
        <v/>
      </c>
      <c r="AE43" s="31" t="str">
        <f>Global!HD43</f>
        <v/>
      </c>
      <c r="AF43" s="31" t="str">
        <f>Global!HE43</f>
        <v/>
      </c>
      <c r="AG43" s="31" t="str">
        <f>Global!HF43</f>
        <v/>
      </c>
      <c r="AH43" s="31" t="str">
        <f>Global!HG43</f>
        <v/>
      </c>
      <c r="AI43" s="31" t="str">
        <f>Global!HH43</f>
        <v/>
      </c>
      <c r="AJ43" s="48" t="str">
        <f>Global!HI43</f>
        <v/>
      </c>
      <c r="AK43" s="108">
        <f>COUNTIF(Juillet[[#This Row],[1]:[31]],"RTT")+(COUNTIF(Juillet[[#This Row],[1]:[31]],"dRTT")/2)</f>
        <v>0</v>
      </c>
      <c r="AL43" s="109">
        <f>COUNTIF(Juillet[[#This Row],[1]:[31]],"C")+(COUNTIF(Juillet[[#This Row],[1]:[31]],"DC")/2)</f>
        <v>0</v>
      </c>
      <c r="AM43" s="22">
        <f>COUNTIF(Juillet[[#This Row],[1]:[31]],"M")</f>
        <v>0</v>
      </c>
      <c r="AN43" s="22">
        <f>COUNTIF(Juillet[[#This Row],[1]:[31]],"AT")</f>
        <v>0</v>
      </c>
      <c r="AO43" s="84">
        <f>IF(AND(Juillet[[#This Row],[Maladie]]=0,Juillet[[#This Row],[AT]]=0),((10*(_xlfn.DAYS("31/07/2018","01/07/2018")+1))/365),((_xlfn.DAYS("31/07/2018","01/07/2018")+1-(Juillet[[#This Row],[Maladie]]+Juillet[[#This Row],[AT]]))*((10*(_xlfn.DAYS("31/07/2018","01/07/2018")+1))/365))/(_xlfn.DAYS("31/07/2018","01/07/2018")+1))</f>
        <v>0.84931506849315064</v>
      </c>
    </row>
    <row r="44" spans="1:41" ht="30" customHeight="1" x14ac:dyDescent="0.2">
      <c r="A44" s="15" t="s">
        <v>100</v>
      </c>
      <c r="B44" s="22" t="s">
        <v>233</v>
      </c>
      <c r="C44" s="22" t="s">
        <v>234</v>
      </c>
      <c r="D44" s="22" t="s">
        <v>235</v>
      </c>
      <c r="E44" s="44">
        <v>0</v>
      </c>
      <c r="F44" s="47" t="str">
        <f>Global!GE44</f>
        <v/>
      </c>
      <c r="G44" s="31" t="str">
        <f>Global!GF44</f>
        <v/>
      </c>
      <c r="H44" s="31" t="str">
        <f>Global!GG44</f>
        <v/>
      </c>
      <c r="I44" s="31" t="str">
        <f>Global!GH44</f>
        <v/>
      </c>
      <c r="J44" s="31" t="str">
        <f>Global!GI44</f>
        <v/>
      </c>
      <c r="K44" s="31" t="str">
        <f>Global!GJ44</f>
        <v/>
      </c>
      <c r="L44" s="31" t="str">
        <f>Global!GK44</f>
        <v/>
      </c>
      <c r="M44" s="31" t="str">
        <f>Global!GL44</f>
        <v/>
      </c>
      <c r="N44" s="31" t="str">
        <f>Global!GM44</f>
        <v/>
      </c>
      <c r="O44" s="31" t="str">
        <f>Global!GN44</f>
        <v/>
      </c>
      <c r="P44" s="31" t="str">
        <f>Global!GO44</f>
        <v/>
      </c>
      <c r="Q44" s="31" t="str">
        <f>Global!GP44</f>
        <v/>
      </c>
      <c r="R44" s="31" t="str">
        <f>Global!GQ44</f>
        <v/>
      </c>
      <c r="S44" s="31" t="str">
        <f>Global!GR44</f>
        <v/>
      </c>
      <c r="T44" s="31" t="str">
        <f>Global!GS44</f>
        <v/>
      </c>
      <c r="U44" s="31" t="str">
        <f>Global!GT44</f>
        <v/>
      </c>
      <c r="V44" s="31" t="str">
        <f>Global!GU44</f>
        <v/>
      </c>
      <c r="W44" s="31" t="str">
        <f>Global!GV44</f>
        <v/>
      </c>
      <c r="X44" s="31" t="str">
        <f>Global!GW44</f>
        <v/>
      </c>
      <c r="Y44" s="31" t="str">
        <f>Global!GX44</f>
        <v/>
      </c>
      <c r="Z44" s="31" t="str">
        <f>Global!GY44</f>
        <v/>
      </c>
      <c r="AA44" s="31" t="str">
        <f>Global!GZ44</f>
        <v/>
      </c>
      <c r="AB44" s="31" t="str">
        <f>Global!HA44</f>
        <v/>
      </c>
      <c r="AC44" s="31" t="str">
        <f>Global!HB44</f>
        <v/>
      </c>
      <c r="AD44" s="31" t="str">
        <f>Global!HC44</f>
        <v/>
      </c>
      <c r="AE44" s="31" t="str">
        <f>Global!HD44</f>
        <v/>
      </c>
      <c r="AF44" s="31" t="str">
        <f>Global!HE44</f>
        <v/>
      </c>
      <c r="AG44" s="31" t="str">
        <f>Global!HF44</f>
        <v/>
      </c>
      <c r="AH44" s="31" t="str">
        <f>Global!HG44</f>
        <v/>
      </c>
      <c r="AI44" s="31" t="str">
        <f>Global!HH44</f>
        <v/>
      </c>
      <c r="AJ44" s="48" t="str">
        <f>Global!HI44</f>
        <v/>
      </c>
      <c r="AK44" s="108">
        <f>COUNTIF(Juillet[[#This Row],[1]:[31]],"RTT")+(COUNTIF(Juillet[[#This Row],[1]:[31]],"dRTT")/2)</f>
        <v>0</v>
      </c>
      <c r="AL44" s="109">
        <f>COUNTIF(Juillet[[#This Row],[1]:[31]],"C")+(COUNTIF(Juillet[[#This Row],[1]:[31]],"DC")/2)</f>
        <v>0</v>
      </c>
      <c r="AM44" s="22">
        <f>COUNTIF(Juillet[[#This Row],[1]:[31]],"M")</f>
        <v>0</v>
      </c>
      <c r="AN44" s="22">
        <f>COUNTIF(Juillet[[#This Row],[1]:[31]],"AT")</f>
        <v>0</v>
      </c>
      <c r="AO44" s="84">
        <f>IF(AND(Juillet[[#This Row],[Maladie]]=0,Juillet[[#This Row],[AT]]=0),((10*(_xlfn.DAYS("31/07/2018","01/07/2018")+1))/365),((_xlfn.DAYS("31/07/2018","01/07/2018")+1-(Juillet[[#This Row],[Maladie]]+Juillet[[#This Row],[AT]]))*((10*(_xlfn.DAYS("31/07/2018","01/07/2018")+1))/365))/(_xlfn.DAYS("31/07/2018","01/07/2018")+1))</f>
        <v>0.84931506849315064</v>
      </c>
    </row>
    <row r="45" spans="1:41" ht="30" customHeight="1" x14ac:dyDescent="0.2">
      <c r="A45" s="15" t="s">
        <v>101</v>
      </c>
      <c r="B45" s="22" t="s">
        <v>236</v>
      </c>
      <c r="C45" s="22" t="s">
        <v>237</v>
      </c>
      <c r="D45" s="22" t="s">
        <v>238</v>
      </c>
      <c r="E45" s="44">
        <v>0</v>
      </c>
      <c r="F45" s="47" t="str">
        <f>Global!GE45</f>
        <v/>
      </c>
      <c r="G45" s="31" t="str">
        <f>Global!GF45</f>
        <v/>
      </c>
      <c r="H45" s="31" t="str">
        <f>Global!GG45</f>
        <v/>
      </c>
      <c r="I45" s="31" t="str">
        <f>Global!GH45</f>
        <v/>
      </c>
      <c r="J45" s="31" t="str">
        <f>Global!GI45</f>
        <v/>
      </c>
      <c r="K45" s="31" t="str">
        <f>Global!GJ45</f>
        <v/>
      </c>
      <c r="L45" s="31" t="str">
        <f>Global!GK45</f>
        <v/>
      </c>
      <c r="M45" s="31" t="str">
        <f>Global!GL45</f>
        <v/>
      </c>
      <c r="N45" s="31" t="str">
        <f>Global!GM45</f>
        <v/>
      </c>
      <c r="O45" s="31" t="str">
        <f>Global!GN45</f>
        <v/>
      </c>
      <c r="P45" s="31" t="str">
        <f>Global!GO45</f>
        <v/>
      </c>
      <c r="Q45" s="31" t="str">
        <f>Global!GP45</f>
        <v/>
      </c>
      <c r="R45" s="31" t="str">
        <f>Global!GQ45</f>
        <v/>
      </c>
      <c r="S45" s="31" t="str">
        <f>Global!GR45</f>
        <v/>
      </c>
      <c r="T45" s="31" t="str">
        <f>Global!GS45</f>
        <v/>
      </c>
      <c r="U45" s="31" t="str">
        <f>Global!GT45</f>
        <v/>
      </c>
      <c r="V45" s="31" t="str">
        <f>Global!GU45</f>
        <v/>
      </c>
      <c r="W45" s="31" t="str">
        <f>Global!GV45</f>
        <v/>
      </c>
      <c r="X45" s="31" t="str">
        <f>Global!GW45</f>
        <v/>
      </c>
      <c r="Y45" s="31" t="str">
        <f>Global!GX45</f>
        <v/>
      </c>
      <c r="Z45" s="31" t="str">
        <f>Global!GY45</f>
        <v/>
      </c>
      <c r="AA45" s="31" t="str">
        <f>Global!GZ45</f>
        <v/>
      </c>
      <c r="AB45" s="31" t="str">
        <f>Global!HA45</f>
        <v/>
      </c>
      <c r="AC45" s="31" t="str">
        <f>Global!HB45</f>
        <v/>
      </c>
      <c r="AD45" s="31" t="str">
        <f>Global!HC45</f>
        <v/>
      </c>
      <c r="AE45" s="31" t="str">
        <f>Global!HD45</f>
        <v/>
      </c>
      <c r="AF45" s="31" t="str">
        <f>Global!HE45</f>
        <v/>
      </c>
      <c r="AG45" s="31" t="str">
        <f>Global!HF45</f>
        <v/>
      </c>
      <c r="AH45" s="31" t="str">
        <f>Global!HG45</f>
        <v/>
      </c>
      <c r="AI45" s="31" t="str">
        <f>Global!HH45</f>
        <v/>
      </c>
      <c r="AJ45" s="48" t="str">
        <f>Global!HI45</f>
        <v/>
      </c>
      <c r="AK45" s="108">
        <f>COUNTIF(Juillet[[#This Row],[1]:[31]],"RTT")+(COUNTIF(Juillet[[#This Row],[1]:[31]],"dRTT")/2)</f>
        <v>0</v>
      </c>
      <c r="AL45" s="109">
        <f>COUNTIF(Juillet[[#This Row],[1]:[31]],"C")+(COUNTIF(Juillet[[#This Row],[1]:[31]],"DC")/2)</f>
        <v>0</v>
      </c>
      <c r="AM45" s="22">
        <f>COUNTIF(Juillet[[#This Row],[1]:[31]],"M")</f>
        <v>0</v>
      </c>
      <c r="AN45" s="22">
        <f>COUNTIF(Juillet[[#This Row],[1]:[31]],"AT")</f>
        <v>0</v>
      </c>
      <c r="AO45" s="84">
        <f>IF(AND(Juillet[[#This Row],[Maladie]]=0,Juillet[[#This Row],[AT]]=0),((10*(_xlfn.DAYS("31/07/2018","01/07/2018")+1))/365),((_xlfn.DAYS("31/07/2018","01/07/2018")+1-(Juillet[[#This Row],[Maladie]]+Juillet[[#This Row],[AT]]))*((10*(_xlfn.DAYS("31/07/2018","01/07/2018")+1))/365))/(_xlfn.DAYS("31/07/2018","01/07/2018")+1))</f>
        <v>0.84931506849315064</v>
      </c>
    </row>
    <row r="46" spans="1:41" ht="30" customHeight="1" x14ac:dyDescent="0.2">
      <c r="A46" s="17" t="s">
        <v>102</v>
      </c>
      <c r="B46" s="17" t="s">
        <v>239</v>
      </c>
      <c r="C46" s="17" t="s">
        <v>240</v>
      </c>
      <c r="D46" s="17" t="s">
        <v>241</v>
      </c>
      <c r="E46" s="23">
        <v>0</v>
      </c>
      <c r="F46" s="47" t="str">
        <f>Global!GE46</f>
        <v/>
      </c>
      <c r="G46" s="31" t="str">
        <f>Global!GF46</f>
        <v/>
      </c>
      <c r="H46" s="31" t="str">
        <f>Global!GG46</f>
        <v/>
      </c>
      <c r="I46" s="31" t="str">
        <f>Global!GH46</f>
        <v/>
      </c>
      <c r="J46" s="31" t="str">
        <f>Global!GI46</f>
        <v/>
      </c>
      <c r="K46" s="31" t="str">
        <f>Global!GJ46</f>
        <v/>
      </c>
      <c r="L46" s="31" t="str">
        <f>Global!GK46</f>
        <v/>
      </c>
      <c r="M46" s="31" t="str">
        <f>Global!GL46</f>
        <v/>
      </c>
      <c r="N46" s="31" t="str">
        <f>Global!GM46</f>
        <v/>
      </c>
      <c r="O46" s="31" t="str">
        <f>Global!GN46</f>
        <v/>
      </c>
      <c r="P46" s="31" t="str">
        <f>Global!GO46</f>
        <v/>
      </c>
      <c r="Q46" s="31" t="str">
        <f>Global!GP46</f>
        <v/>
      </c>
      <c r="R46" s="31" t="str">
        <f>Global!GQ46</f>
        <v/>
      </c>
      <c r="S46" s="31" t="str">
        <f>Global!GR46</f>
        <v/>
      </c>
      <c r="T46" s="31" t="str">
        <f>Global!GS46</f>
        <v/>
      </c>
      <c r="U46" s="31" t="str">
        <f>Global!GT46</f>
        <v>C</v>
      </c>
      <c r="V46" s="31" t="str">
        <f>Global!GU46</f>
        <v>C</v>
      </c>
      <c r="W46" s="31" t="str">
        <f>Global!GV46</f>
        <v>C</v>
      </c>
      <c r="X46" s="31" t="str">
        <f>Global!GW46</f>
        <v>C</v>
      </c>
      <c r="Y46" s="31" t="str">
        <f>Global!GX46</f>
        <v>C</v>
      </c>
      <c r="Z46" s="31" t="str">
        <f>Global!GY46</f>
        <v/>
      </c>
      <c r="AA46" s="31" t="str">
        <f>Global!GZ46</f>
        <v/>
      </c>
      <c r="AB46" s="31" t="str">
        <f>Global!HA46</f>
        <v>C</v>
      </c>
      <c r="AC46" s="31" t="str">
        <f>Global!HB46</f>
        <v>C</v>
      </c>
      <c r="AD46" s="31" t="str">
        <f>Global!HC46</f>
        <v>C</v>
      </c>
      <c r="AE46" s="31" t="str">
        <f>Global!HD46</f>
        <v>C</v>
      </c>
      <c r="AF46" s="31" t="str">
        <f>Global!HE46</f>
        <v>C</v>
      </c>
      <c r="AG46" s="31" t="str">
        <f>Global!HF46</f>
        <v/>
      </c>
      <c r="AH46" s="31" t="str">
        <f>Global!HG46</f>
        <v/>
      </c>
      <c r="AI46" s="31" t="str">
        <f>Global!HH46</f>
        <v>C</v>
      </c>
      <c r="AJ46" s="48" t="str">
        <f>Global!HI46</f>
        <v>C</v>
      </c>
      <c r="AK46" s="108">
        <f>COUNTIF(Juillet[[#This Row],[1]:[31]],"RTT")+(COUNTIF(Juillet[[#This Row],[1]:[31]],"dRTT")/2)</f>
        <v>0</v>
      </c>
      <c r="AL46" s="109">
        <f>COUNTIF(Juillet[[#This Row],[1]:[31]],"C")+(COUNTIF(Juillet[[#This Row],[1]:[31]],"DC")/2)</f>
        <v>12</v>
      </c>
      <c r="AM46" s="22">
        <f>COUNTIF(Juillet[[#This Row],[1]:[31]],"M")</f>
        <v>0</v>
      </c>
      <c r="AN46" s="22">
        <f>COUNTIF(Juillet[[#This Row],[1]:[31]],"AT")</f>
        <v>0</v>
      </c>
      <c r="AO46" s="84">
        <f>IF(AND(Juillet[[#This Row],[Maladie]]=0,Juillet[[#This Row],[AT]]=0),((10*(_xlfn.DAYS("31/07/2018","01/07/2018")+1))/365),((_xlfn.DAYS("31/07/2018","01/07/2018")+1-(Juillet[[#This Row],[Maladie]]+Juillet[[#This Row],[AT]]))*((10*(_xlfn.DAYS("31/07/2018","01/07/2018")+1))/365))/(_xlfn.DAYS("31/07/2018","01/07/2018")+1))</f>
        <v>0.84931506849315064</v>
      </c>
    </row>
    <row r="47" spans="1:41" ht="30" customHeight="1" x14ac:dyDescent="0.2">
      <c r="A47" s="17" t="s">
        <v>103</v>
      </c>
      <c r="B47" s="17" t="s">
        <v>242</v>
      </c>
      <c r="C47" s="17" t="s">
        <v>243</v>
      </c>
      <c r="D47" s="17" t="s">
        <v>244</v>
      </c>
      <c r="E47" s="23">
        <v>0</v>
      </c>
      <c r="F47" s="47" t="str">
        <f>Global!GE47</f>
        <v/>
      </c>
      <c r="G47" s="31" t="str">
        <f>Global!GF47</f>
        <v/>
      </c>
      <c r="H47" s="31" t="str">
        <f>Global!GG47</f>
        <v/>
      </c>
      <c r="I47" s="31" t="str">
        <f>Global!GH47</f>
        <v/>
      </c>
      <c r="J47" s="31" t="str">
        <f>Global!GI47</f>
        <v/>
      </c>
      <c r="K47" s="31" t="str">
        <f>Global!GJ47</f>
        <v/>
      </c>
      <c r="L47" s="31" t="str">
        <f>Global!GK47</f>
        <v/>
      </c>
      <c r="M47" s="31" t="str">
        <f>Global!GL47</f>
        <v/>
      </c>
      <c r="N47" s="31" t="str">
        <f>Global!GM47</f>
        <v/>
      </c>
      <c r="O47" s="31" t="str">
        <f>Global!GN47</f>
        <v/>
      </c>
      <c r="P47" s="31" t="str">
        <f>Global!GO47</f>
        <v/>
      </c>
      <c r="Q47" s="31" t="str">
        <f>Global!GP47</f>
        <v/>
      </c>
      <c r="R47" s="31" t="str">
        <f>Global!GQ47</f>
        <v/>
      </c>
      <c r="S47" s="31" t="str">
        <f>Global!GR47</f>
        <v/>
      </c>
      <c r="T47" s="31" t="str">
        <f>Global!GS47</f>
        <v/>
      </c>
      <c r="U47" s="31" t="str">
        <f>Global!GT47</f>
        <v/>
      </c>
      <c r="V47" s="31" t="str">
        <f>Global!GU47</f>
        <v/>
      </c>
      <c r="W47" s="31" t="str">
        <f>Global!GV47</f>
        <v/>
      </c>
      <c r="X47" s="31" t="str">
        <f>Global!GW47</f>
        <v/>
      </c>
      <c r="Y47" s="31" t="str">
        <f>Global!GX47</f>
        <v/>
      </c>
      <c r="Z47" s="31" t="str">
        <f>Global!GY47</f>
        <v/>
      </c>
      <c r="AA47" s="31" t="str">
        <f>Global!GZ47</f>
        <v/>
      </c>
      <c r="AB47" s="31" t="str">
        <f>Global!HA47</f>
        <v/>
      </c>
      <c r="AC47" s="31" t="str">
        <f>Global!HB47</f>
        <v/>
      </c>
      <c r="AD47" s="31" t="str">
        <f>Global!HC47</f>
        <v/>
      </c>
      <c r="AE47" s="31" t="str">
        <f>Global!HD47</f>
        <v/>
      </c>
      <c r="AF47" s="31" t="str">
        <f>Global!HE47</f>
        <v/>
      </c>
      <c r="AG47" s="31" t="str">
        <f>Global!HF47</f>
        <v/>
      </c>
      <c r="AH47" s="31" t="str">
        <f>Global!HG47</f>
        <v/>
      </c>
      <c r="AI47" s="31" t="str">
        <f>Global!HH47</f>
        <v/>
      </c>
      <c r="AJ47" s="48" t="str">
        <f>Global!HI47</f>
        <v/>
      </c>
      <c r="AK47" s="108">
        <f>COUNTIF(Juillet[[#This Row],[1]:[31]],"RTT")+(COUNTIF(Juillet[[#This Row],[1]:[31]],"dRTT")/2)</f>
        <v>0</v>
      </c>
      <c r="AL47" s="109">
        <f>COUNTIF(Juillet[[#This Row],[1]:[31]],"C")+(COUNTIF(Juillet[[#This Row],[1]:[31]],"DC")/2)</f>
        <v>0</v>
      </c>
      <c r="AM47" s="22">
        <f>COUNTIF(Juillet[[#This Row],[1]:[31]],"M")</f>
        <v>0</v>
      </c>
      <c r="AN47" s="22">
        <f>COUNTIF(Juillet[[#This Row],[1]:[31]],"AT")</f>
        <v>0</v>
      </c>
      <c r="AO47" s="84">
        <f>IF(AND(Juillet[[#This Row],[Maladie]]=0,Juillet[[#This Row],[AT]]=0),((10*(_xlfn.DAYS("31/07/2018","01/07/2018")+1))/365),((_xlfn.DAYS("31/07/2018","01/07/2018")+1-(Juillet[[#This Row],[Maladie]]+Juillet[[#This Row],[AT]]))*((10*(_xlfn.DAYS("31/07/2018","01/07/2018")+1))/365))/(_xlfn.DAYS("31/07/2018","01/07/2018")+1))</f>
        <v>0.84931506849315064</v>
      </c>
    </row>
    <row r="48" spans="1:41" ht="30" customHeight="1" x14ac:dyDescent="0.2">
      <c r="A48" s="17" t="s">
        <v>104</v>
      </c>
      <c r="B48" s="17" t="s">
        <v>245</v>
      </c>
      <c r="C48" s="17" t="s">
        <v>246</v>
      </c>
      <c r="D48" s="17" t="s">
        <v>247</v>
      </c>
      <c r="E48" s="23">
        <v>0</v>
      </c>
      <c r="F48" s="47" t="str">
        <f>Global!GE48</f>
        <v/>
      </c>
      <c r="G48" s="31" t="str">
        <f>Global!GF48</f>
        <v>C</v>
      </c>
      <c r="H48" s="31" t="str">
        <f>Global!GG48</f>
        <v>C</v>
      </c>
      <c r="I48" s="31" t="str">
        <f>Global!GH48</f>
        <v>C</v>
      </c>
      <c r="J48" s="31" t="str">
        <f>Global!GI48</f>
        <v>C</v>
      </c>
      <c r="K48" s="31" t="str">
        <f>Global!GJ48</f>
        <v>C</v>
      </c>
      <c r="L48" s="31" t="str">
        <f>Global!GK48</f>
        <v/>
      </c>
      <c r="M48" s="31" t="str">
        <f>Global!GL48</f>
        <v/>
      </c>
      <c r="N48" s="31" t="str">
        <f>Global!GM48</f>
        <v>C</v>
      </c>
      <c r="O48" s="31" t="str">
        <f>Global!GN48</f>
        <v>C</v>
      </c>
      <c r="P48" s="31" t="str">
        <f>Global!GO48</f>
        <v>C</v>
      </c>
      <c r="Q48" s="31" t="str">
        <f>Global!GP48</f>
        <v>C</v>
      </c>
      <c r="R48" s="31" t="str">
        <f>Global!GQ48</f>
        <v>C</v>
      </c>
      <c r="S48" s="31" t="str">
        <f>Global!GR48</f>
        <v/>
      </c>
      <c r="T48" s="31" t="str">
        <f>Global!GS48</f>
        <v/>
      </c>
      <c r="U48" s="31" t="str">
        <f>Global!GT48</f>
        <v/>
      </c>
      <c r="V48" s="31" t="str">
        <f>Global!GU48</f>
        <v/>
      </c>
      <c r="W48" s="31" t="str">
        <f>Global!GV48</f>
        <v/>
      </c>
      <c r="X48" s="31" t="str">
        <f>Global!GW48</f>
        <v/>
      </c>
      <c r="Y48" s="31" t="str">
        <f>Global!GX48</f>
        <v/>
      </c>
      <c r="Z48" s="31" t="str">
        <f>Global!GY48</f>
        <v/>
      </c>
      <c r="AA48" s="31" t="str">
        <f>Global!GZ48</f>
        <v/>
      </c>
      <c r="AB48" s="31" t="str">
        <f>Global!HA48</f>
        <v/>
      </c>
      <c r="AC48" s="31" t="str">
        <f>Global!HB48</f>
        <v/>
      </c>
      <c r="AD48" s="31" t="str">
        <f>Global!HC48</f>
        <v/>
      </c>
      <c r="AE48" s="31" t="str">
        <f>Global!HD48</f>
        <v/>
      </c>
      <c r="AF48" s="31" t="str">
        <f>Global!HE48</f>
        <v/>
      </c>
      <c r="AG48" s="31" t="str">
        <f>Global!HF48</f>
        <v/>
      </c>
      <c r="AH48" s="31" t="str">
        <f>Global!HG48</f>
        <v/>
      </c>
      <c r="AI48" s="31" t="str">
        <f>Global!HH48</f>
        <v/>
      </c>
      <c r="AJ48" s="48" t="str">
        <f>Global!HI48</f>
        <v/>
      </c>
      <c r="AK48" s="108">
        <f>COUNTIF(Juillet[[#This Row],[1]:[31]],"RTT")+(COUNTIF(Juillet[[#This Row],[1]:[31]],"dRTT")/2)</f>
        <v>0</v>
      </c>
      <c r="AL48" s="109">
        <f>COUNTIF(Juillet[[#This Row],[1]:[31]],"C")+(COUNTIF(Juillet[[#This Row],[1]:[31]],"DC")/2)</f>
        <v>10</v>
      </c>
      <c r="AM48" s="22">
        <f>COUNTIF(Juillet[[#This Row],[1]:[31]],"M")</f>
        <v>0</v>
      </c>
      <c r="AN48" s="22">
        <f>COUNTIF(Juillet[[#This Row],[1]:[31]],"AT")</f>
        <v>0</v>
      </c>
      <c r="AO48" s="84">
        <f>IF(AND(Juillet[[#This Row],[Maladie]]=0,Juillet[[#This Row],[AT]]=0),((10*(_xlfn.DAYS("31/07/2018","01/07/2018")+1))/365),((_xlfn.DAYS("31/07/2018","01/07/2018")+1-(Juillet[[#This Row],[Maladie]]+Juillet[[#This Row],[AT]]))*((10*(_xlfn.DAYS("31/07/2018","01/07/2018")+1))/365))/(_xlfn.DAYS("31/07/2018","01/07/2018")+1))</f>
        <v>0.84931506849315064</v>
      </c>
    </row>
    <row r="49" spans="1:41" ht="30" customHeight="1" x14ac:dyDescent="0.2">
      <c r="A49" s="17" t="s">
        <v>105</v>
      </c>
      <c r="B49" s="17" t="s">
        <v>248</v>
      </c>
      <c r="C49" s="17" t="s">
        <v>249</v>
      </c>
      <c r="D49" s="17" t="s">
        <v>250</v>
      </c>
      <c r="E49" s="23">
        <v>0</v>
      </c>
      <c r="F49" s="47" t="str">
        <f>Global!GE49</f>
        <v/>
      </c>
      <c r="G49" s="31" t="str">
        <f>Global!GF49</f>
        <v/>
      </c>
      <c r="H49" s="31" t="str">
        <f>Global!GG49</f>
        <v/>
      </c>
      <c r="I49" s="31" t="str">
        <f>Global!GH49</f>
        <v/>
      </c>
      <c r="J49" s="31" t="str">
        <f>Global!GI49</f>
        <v/>
      </c>
      <c r="K49" s="31" t="str">
        <f>Global!GJ49</f>
        <v/>
      </c>
      <c r="L49" s="31" t="str">
        <f>Global!GK49</f>
        <v/>
      </c>
      <c r="M49" s="31" t="str">
        <f>Global!GL49</f>
        <v/>
      </c>
      <c r="N49" s="31" t="str">
        <f>Global!GM49</f>
        <v/>
      </c>
      <c r="O49" s="31" t="str">
        <f>Global!GN49</f>
        <v/>
      </c>
      <c r="P49" s="31" t="str">
        <f>Global!GO49</f>
        <v/>
      </c>
      <c r="Q49" s="31" t="str">
        <f>Global!GP49</f>
        <v/>
      </c>
      <c r="R49" s="31" t="str">
        <f>Global!GQ49</f>
        <v/>
      </c>
      <c r="S49" s="31" t="str">
        <f>Global!GR49</f>
        <v/>
      </c>
      <c r="T49" s="31" t="str">
        <f>Global!GS49</f>
        <v/>
      </c>
      <c r="U49" s="31" t="str">
        <f>Global!GT49</f>
        <v/>
      </c>
      <c r="V49" s="31" t="str">
        <f>Global!GU49</f>
        <v/>
      </c>
      <c r="W49" s="31" t="str">
        <f>Global!GV49</f>
        <v/>
      </c>
      <c r="X49" s="31" t="str">
        <f>Global!GW49</f>
        <v/>
      </c>
      <c r="Y49" s="31" t="str">
        <f>Global!GX49</f>
        <v/>
      </c>
      <c r="Z49" s="31" t="str">
        <f>Global!GY49</f>
        <v/>
      </c>
      <c r="AA49" s="31" t="str">
        <f>Global!GZ49</f>
        <v/>
      </c>
      <c r="AB49" s="31" t="str">
        <f>Global!HA49</f>
        <v/>
      </c>
      <c r="AC49" s="31" t="str">
        <f>Global!HB49</f>
        <v/>
      </c>
      <c r="AD49" s="31" t="str">
        <f>Global!HC49</f>
        <v/>
      </c>
      <c r="AE49" s="31" t="str">
        <f>Global!HD49</f>
        <v/>
      </c>
      <c r="AF49" s="31" t="str">
        <f>Global!HE49</f>
        <v/>
      </c>
      <c r="AG49" s="31" t="str">
        <f>Global!HF49</f>
        <v/>
      </c>
      <c r="AH49" s="31" t="str">
        <f>Global!HG49</f>
        <v/>
      </c>
      <c r="AI49" s="31" t="str">
        <f>Global!HH49</f>
        <v/>
      </c>
      <c r="AJ49" s="48" t="str">
        <f>Global!HI49</f>
        <v/>
      </c>
      <c r="AK49" s="108">
        <f>COUNTIF(Juillet[[#This Row],[1]:[31]],"RTT")+(COUNTIF(Juillet[[#This Row],[1]:[31]],"dRTT")/2)</f>
        <v>0</v>
      </c>
      <c r="AL49" s="109">
        <f>COUNTIF(Juillet[[#This Row],[1]:[31]],"C")+(COUNTIF(Juillet[[#This Row],[1]:[31]],"DC")/2)</f>
        <v>0</v>
      </c>
      <c r="AM49" s="22">
        <f>COUNTIF(Juillet[[#This Row],[1]:[31]],"M")</f>
        <v>0</v>
      </c>
      <c r="AN49" s="22">
        <f>COUNTIF(Juillet[[#This Row],[1]:[31]],"AT")</f>
        <v>0</v>
      </c>
      <c r="AO49" s="84">
        <f>IF(AND(Juillet[[#This Row],[Maladie]]=0,Juillet[[#This Row],[AT]]=0),((10*(_xlfn.DAYS("31/07/2018","01/07/2018")+1))/365),((_xlfn.DAYS("31/07/2018","01/07/2018")+1-(Juillet[[#This Row],[Maladie]]+Juillet[[#This Row],[AT]]))*((10*(_xlfn.DAYS("31/07/2018","01/07/2018")+1))/365))/(_xlfn.DAYS("31/07/2018","01/07/2018")+1))</f>
        <v>0.84931506849315064</v>
      </c>
    </row>
    <row r="50" spans="1:41" ht="30" customHeight="1" x14ac:dyDescent="0.2">
      <c r="A50" s="17" t="s">
        <v>106</v>
      </c>
      <c r="B50" s="17" t="s">
        <v>251</v>
      </c>
      <c r="C50" s="17" t="s">
        <v>252</v>
      </c>
      <c r="D50" s="17" t="s">
        <v>253</v>
      </c>
      <c r="E50" s="23">
        <v>0</v>
      </c>
      <c r="F50" s="47" t="str">
        <f>Global!GE50</f>
        <v/>
      </c>
      <c r="G50" s="31" t="str">
        <f>Global!GF50</f>
        <v/>
      </c>
      <c r="H50" s="31" t="str">
        <f>Global!GG50</f>
        <v/>
      </c>
      <c r="I50" s="31" t="str">
        <f>Global!GH50</f>
        <v/>
      </c>
      <c r="J50" s="31" t="str">
        <f>Global!GI50</f>
        <v/>
      </c>
      <c r="K50" s="31" t="str">
        <f>Global!GJ50</f>
        <v/>
      </c>
      <c r="L50" s="31" t="str">
        <f>Global!GK50</f>
        <v/>
      </c>
      <c r="M50" s="31" t="str">
        <f>Global!GL50</f>
        <v/>
      </c>
      <c r="N50" s="31" t="str">
        <f>Global!GM50</f>
        <v/>
      </c>
      <c r="O50" s="31" t="str">
        <f>Global!GN50</f>
        <v/>
      </c>
      <c r="P50" s="31" t="str">
        <f>Global!GO50</f>
        <v/>
      </c>
      <c r="Q50" s="31" t="str">
        <f>Global!GP50</f>
        <v/>
      </c>
      <c r="R50" s="31" t="str">
        <f>Global!GQ50</f>
        <v/>
      </c>
      <c r="S50" s="31" t="str">
        <f>Global!GR50</f>
        <v/>
      </c>
      <c r="T50" s="31" t="str">
        <f>Global!GS50</f>
        <v/>
      </c>
      <c r="U50" s="31" t="str">
        <f>Global!GT50</f>
        <v/>
      </c>
      <c r="V50" s="31" t="str">
        <f>Global!GU50</f>
        <v/>
      </c>
      <c r="W50" s="31" t="str">
        <f>Global!GV50</f>
        <v/>
      </c>
      <c r="X50" s="31" t="str">
        <f>Global!GW50</f>
        <v/>
      </c>
      <c r="Y50" s="31" t="str">
        <f>Global!GX50</f>
        <v/>
      </c>
      <c r="Z50" s="31" t="str">
        <f>Global!GY50</f>
        <v/>
      </c>
      <c r="AA50" s="31" t="str">
        <f>Global!GZ50</f>
        <v/>
      </c>
      <c r="AB50" s="31" t="str">
        <f>Global!HA50</f>
        <v/>
      </c>
      <c r="AC50" s="31" t="str">
        <f>Global!HB50</f>
        <v/>
      </c>
      <c r="AD50" s="31" t="str">
        <f>Global!HC50</f>
        <v/>
      </c>
      <c r="AE50" s="31" t="str">
        <f>Global!HD50</f>
        <v/>
      </c>
      <c r="AF50" s="31" t="str">
        <f>Global!HE50</f>
        <v/>
      </c>
      <c r="AG50" s="31" t="str">
        <f>Global!HF50</f>
        <v/>
      </c>
      <c r="AH50" s="31" t="str">
        <f>Global!HG50</f>
        <v/>
      </c>
      <c r="AI50" s="31" t="str">
        <f>Global!HH50</f>
        <v/>
      </c>
      <c r="AJ50" s="48" t="str">
        <f>Global!HI50</f>
        <v/>
      </c>
      <c r="AK50" s="108">
        <f>COUNTIF(Juillet[[#This Row],[1]:[31]],"RTT")+(COUNTIF(Juillet[[#This Row],[1]:[31]],"dRTT")/2)</f>
        <v>0</v>
      </c>
      <c r="AL50" s="109">
        <f>COUNTIF(Juillet[[#This Row],[1]:[31]],"C")+(COUNTIF(Juillet[[#This Row],[1]:[31]],"DC")/2)</f>
        <v>0</v>
      </c>
      <c r="AM50" s="22">
        <f>COUNTIF(Juillet[[#This Row],[1]:[31]],"M")</f>
        <v>0</v>
      </c>
      <c r="AN50" s="22">
        <f>COUNTIF(Juillet[[#This Row],[1]:[31]],"AT")</f>
        <v>0</v>
      </c>
      <c r="AO50" s="84">
        <f>IF(AND(Juillet[[#This Row],[Maladie]]=0,Juillet[[#This Row],[AT]]=0),((10*(_xlfn.DAYS("31/07/2018","01/07/2018")+1))/365),((_xlfn.DAYS("31/07/2018","01/07/2018")+1-(Juillet[[#This Row],[Maladie]]+Juillet[[#This Row],[AT]]))*((10*(_xlfn.DAYS("31/07/2018","01/07/2018")+1))/365))/(_xlfn.DAYS("31/07/2018","01/07/2018")+1))</f>
        <v>0.84931506849315064</v>
      </c>
    </row>
    <row r="51" spans="1:41" ht="30" customHeight="1" x14ac:dyDescent="0.2">
      <c r="A51" s="17" t="s">
        <v>107</v>
      </c>
      <c r="B51" s="17" t="s">
        <v>254</v>
      </c>
      <c r="C51" s="17" t="s">
        <v>255</v>
      </c>
      <c r="D51" s="17" t="s">
        <v>256</v>
      </c>
      <c r="E51" s="23">
        <v>0</v>
      </c>
      <c r="F51" s="47" t="str">
        <f>Global!GE51</f>
        <v/>
      </c>
      <c r="G51" s="31" t="str">
        <f>Global!GF51</f>
        <v/>
      </c>
      <c r="H51" s="31" t="str">
        <f>Global!GG51</f>
        <v/>
      </c>
      <c r="I51" s="31" t="str">
        <f>Global!GH51</f>
        <v/>
      </c>
      <c r="J51" s="31" t="str">
        <f>Global!GI51</f>
        <v/>
      </c>
      <c r="K51" s="31" t="str">
        <f>Global!GJ51</f>
        <v/>
      </c>
      <c r="L51" s="31" t="str">
        <f>Global!GK51</f>
        <v/>
      </c>
      <c r="M51" s="31" t="str">
        <f>Global!GL51</f>
        <v/>
      </c>
      <c r="N51" s="31" t="str">
        <f>Global!GM51</f>
        <v/>
      </c>
      <c r="O51" s="31" t="str">
        <f>Global!GN51</f>
        <v/>
      </c>
      <c r="P51" s="31" t="str">
        <f>Global!GO51</f>
        <v/>
      </c>
      <c r="Q51" s="31" t="str">
        <f>Global!GP51</f>
        <v/>
      </c>
      <c r="R51" s="31" t="str">
        <f>Global!GQ51</f>
        <v/>
      </c>
      <c r="S51" s="31" t="str">
        <f>Global!GR51</f>
        <v/>
      </c>
      <c r="T51" s="31" t="str">
        <f>Global!GS51</f>
        <v/>
      </c>
      <c r="U51" s="31" t="str">
        <f>Global!GT51</f>
        <v/>
      </c>
      <c r="V51" s="31" t="str">
        <f>Global!GU51</f>
        <v/>
      </c>
      <c r="W51" s="31" t="str">
        <f>Global!GV51</f>
        <v/>
      </c>
      <c r="X51" s="31" t="str">
        <f>Global!GW51</f>
        <v/>
      </c>
      <c r="Y51" s="31" t="str">
        <f>Global!GX51</f>
        <v/>
      </c>
      <c r="Z51" s="31" t="str">
        <f>Global!GY51</f>
        <v/>
      </c>
      <c r="AA51" s="31" t="str">
        <f>Global!GZ51</f>
        <v/>
      </c>
      <c r="AB51" s="31" t="str">
        <f>Global!HA51</f>
        <v/>
      </c>
      <c r="AC51" s="31" t="str">
        <f>Global!HB51</f>
        <v/>
      </c>
      <c r="AD51" s="31" t="str">
        <f>Global!HC51</f>
        <v/>
      </c>
      <c r="AE51" s="31" t="str">
        <f>Global!HD51</f>
        <v/>
      </c>
      <c r="AF51" s="31" t="str">
        <f>Global!HE51</f>
        <v/>
      </c>
      <c r="AG51" s="31" t="str">
        <f>Global!HF51</f>
        <v/>
      </c>
      <c r="AH51" s="31" t="str">
        <f>Global!HG51</f>
        <v/>
      </c>
      <c r="AI51" s="31" t="str">
        <f>Global!HH51</f>
        <v/>
      </c>
      <c r="AJ51" s="48" t="str">
        <f>Global!HI51</f>
        <v/>
      </c>
      <c r="AK51" s="108">
        <f>COUNTIF(Juillet[[#This Row],[1]:[31]],"RTT")+(COUNTIF(Juillet[[#This Row],[1]:[31]],"dRTT")/2)</f>
        <v>0</v>
      </c>
      <c r="AL51" s="109">
        <f>COUNTIF(Juillet[[#This Row],[1]:[31]],"C")+(COUNTIF(Juillet[[#This Row],[1]:[31]],"DC")/2)</f>
        <v>0</v>
      </c>
      <c r="AM51" s="22">
        <f>COUNTIF(Juillet[[#This Row],[1]:[31]],"M")</f>
        <v>0</v>
      </c>
      <c r="AN51" s="22">
        <f>COUNTIF(Juillet[[#This Row],[1]:[31]],"AT")</f>
        <v>0</v>
      </c>
      <c r="AO51" s="84">
        <f>IF(AND(Juillet[[#This Row],[Maladie]]=0,Juillet[[#This Row],[AT]]=0),((10*(_xlfn.DAYS("31/07/2018","01/07/2018")+1))/365),((_xlfn.DAYS("31/07/2018","01/07/2018")+1-(Juillet[[#This Row],[Maladie]]+Juillet[[#This Row],[AT]]))*((10*(_xlfn.DAYS("31/07/2018","01/07/2018")+1))/365))/(_xlfn.DAYS("31/07/2018","01/07/2018")+1))</f>
        <v>0.84931506849315064</v>
      </c>
    </row>
    <row r="52" spans="1:41" ht="30" customHeight="1" x14ac:dyDescent="0.2">
      <c r="A52" s="17" t="s">
        <v>108</v>
      </c>
      <c r="B52" s="17" t="s">
        <v>257</v>
      </c>
      <c r="C52" s="17" t="s">
        <v>258</v>
      </c>
      <c r="D52" s="17" t="s">
        <v>259</v>
      </c>
      <c r="E52" s="23">
        <v>0</v>
      </c>
      <c r="F52" s="47" t="str">
        <f>Global!GE52</f>
        <v/>
      </c>
      <c r="G52" s="31" t="str">
        <f>Global!GF52</f>
        <v/>
      </c>
      <c r="H52" s="31" t="str">
        <f>Global!GG52</f>
        <v/>
      </c>
      <c r="I52" s="31" t="str">
        <f>Global!GH52</f>
        <v/>
      </c>
      <c r="J52" s="31" t="str">
        <f>Global!GI52</f>
        <v/>
      </c>
      <c r="K52" s="31" t="str">
        <f>Global!GJ52</f>
        <v/>
      </c>
      <c r="L52" s="31" t="str">
        <f>Global!GK52</f>
        <v/>
      </c>
      <c r="M52" s="31" t="str">
        <f>Global!GL52</f>
        <v/>
      </c>
      <c r="N52" s="31" t="str">
        <f>Global!GM52</f>
        <v/>
      </c>
      <c r="O52" s="31" t="str">
        <f>Global!GN52</f>
        <v/>
      </c>
      <c r="P52" s="31" t="str">
        <f>Global!GO52</f>
        <v/>
      </c>
      <c r="Q52" s="31" t="str">
        <f>Global!GP52</f>
        <v/>
      </c>
      <c r="R52" s="31" t="str">
        <f>Global!GQ52</f>
        <v/>
      </c>
      <c r="S52" s="31" t="str">
        <f>Global!GR52</f>
        <v/>
      </c>
      <c r="T52" s="31" t="str">
        <f>Global!GS52</f>
        <v/>
      </c>
      <c r="U52" s="31" t="str">
        <f>Global!GT52</f>
        <v/>
      </c>
      <c r="V52" s="31" t="str">
        <f>Global!GU52</f>
        <v/>
      </c>
      <c r="W52" s="31" t="str">
        <f>Global!GV52</f>
        <v/>
      </c>
      <c r="X52" s="31" t="str">
        <f>Global!GW52</f>
        <v/>
      </c>
      <c r="Y52" s="31" t="str">
        <f>Global!GX52</f>
        <v/>
      </c>
      <c r="Z52" s="31" t="str">
        <f>Global!GY52</f>
        <v/>
      </c>
      <c r="AA52" s="31" t="str">
        <f>Global!GZ52</f>
        <v/>
      </c>
      <c r="AB52" s="31" t="str">
        <f>Global!HA52</f>
        <v/>
      </c>
      <c r="AC52" s="31" t="str">
        <f>Global!HB52</f>
        <v/>
      </c>
      <c r="AD52" s="31" t="str">
        <f>Global!HC52</f>
        <v/>
      </c>
      <c r="AE52" s="31" t="str">
        <f>Global!HD52</f>
        <v/>
      </c>
      <c r="AF52" s="31" t="str">
        <f>Global!HE52</f>
        <v/>
      </c>
      <c r="AG52" s="31" t="str">
        <f>Global!HF52</f>
        <v/>
      </c>
      <c r="AH52" s="31" t="str">
        <f>Global!HG52</f>
        <v/>
      </c>
      <c r="AI52" s="31" t="str">
        <f>Global!HH52</f>
        <v/>
      </c>
      <c r="AJ52" s="48" t="str">
        <f>Global!HI52</f>
        <v/>
      </c>
      <c r="AK52" s="108">
        <f>COUNTIF(Juillet[[#This Row],[1]:[31]],"RTT")+(COUNTIF(Juillet[[#This Row],[1]:[31]],"dRTT")/2)</f>
        <v>0</v>
      </c>
      <c r="AL52" s="109">
        <f>COUNTIF(Juillet[[#This Row],[1]:[31]],"C")+(COUNTIF(Juillet[[#This Row],[1]:[31]],"DC")/2)</f>
        <v>0</v>
      </c>
      <c r="AM52" s="22">
        <f>COUNTIF(Juillet[[#This Row],[1]:[31]],"M")</f>
        <v>0</v>
      </c>
      <c r="AN52" s="22">
        <f>COUNTIF(Juillet[[#This Row],[1]:[31]],"AT")</f>
        <v>0</v>
      </c>
      <c r="AO52" s="84">
        <f>IF(AND(Juillet[[#This Row],[Maladie]]=0,Juillet[[#This Row],[AT]]=0),((10*(_xlfn.DAYS("31/07/2018","01/07/2018")+1))/365),((_xlfn.DAYS("31/07/2018","01/07/2018")+1-(Juillet[[#This Row],[Maladie]]+Juillet[[#This Row],[AT]]))*((10*(_xlfn.DAYS("31/07/2018","01/07/2018")+1))/365))/(_xlfn.DAYS("31/07/2018","01/07/2018")+1))</f>
        <v>0.84931506849315064</v>
      </c>
    </row>
    <row r="53" spans="1:41" ht="30" customHeight="1" x14ac:dyDescent="0.2">
      <c r="A53" s="17" t="s">
        <v>109</v>
      </c>
      <c r="B53" s="17" t="s">
        <v>260</v>
      </c>
      <c r="C53" s="17" t="s">
        <v>261</v>
      </c>
      <c r="D53" s="17" t="s">
        <v>262</v>
      </c>
      <c r="E53" s="23">
        <v>0</v>
      </c>
      <c r="F53" s="47" t="str">
        <f>Global!GE53</f>
        <v/>
      </c>
      <c r="G53" s="31" t="str">
        <f>Global!GF53</f>
        <v/>
      </c>
      <c r="H53" s="31" t="str">
        <f>Global!GG53</f>
        <v/>
      </c>
      <c r="I53" s="31" t="str">
        <f>Global!GH53</f>
        <v/>
      </c>
      <c r="J53" s="31" t="str">
        <f>Global!GI53</f>
        <v/>
      </c>
      <c r="K53" s="31" t="str">
        <f>Global!GJ53</f>
        <v/>
      </c>
      <c r="L53" s="31" t="str">
        <f>Global!GK53</f>
        <v/>
      </c>
      <c r="M53" s="31" t="str">
        <f>Global!GL53</f>
        <v/>
      </c>
      <c r="N53" s="31" t="str">
        <f>Global!GM53</f>
        <v/>
      </c>
      <c r="O53" s="31" t="str">
        <f>Global!GN53</f>
        <v/>
      </c>
      <c r="P53" s="31" t="str">
        <f>Global!GO53</f>
        <v/>
      </c>
      <c r="Q53" s="31" t="str">
        <f>Global!GP53</f>
        <v/>
      </c>
      <c r="R53" s="31" t="str">
        <f>Global!GQ53</f>
        <v/>
      </c>
      <c r="S53" s="31" t="str">
        <f>Global!GR53</f>
        <v/>
      </c>
      <c r="T53" s="31" t="str">
        <f>Global!GS53</f>
        <v/>
      </c>
      <c r="U53" s="31" t="str">
        <f>Global!GT53</f>
        <v>C</v>
      </c>
      <c r="V53" s="31" t="str">
        <f>Global!GU53</f>
        <v>C</v>
      </c>
      <c r="W53" s="31" t="str">
        <f>Global!GV53</f>
        <v>C</v>
      </c>
      <c r="X53" s="31" t="str">
        <f>Global!GW53</f>
        <v>C</v>
      </c>
      <c r="Y53" s="31" t="str">
        <f>Global!GX53</f>
        <v>C</v>
      </c>
      <c r="Z53" s="31" t="str">
        <f>Global!GY53</f>
        <v/>
      </c>
      <c r="AA53" s="31" t="str">
        <f>Global!GZ53</f>
        <v/>
      </c>
      <c r="AB53" s="31" t="str">
        <f>Global!HA53</f>
        <v>C</v>
      </c>
      <c r="AC53" s="31" t="str">
        <f>Global!HB53</f>
        <v>C</v>
      </c>
      <c r="AD53" s="31" t="str">
        <f>Global!HC53</f>
        <v>C</v>
      </c>
      <c r="AE53" s="31" t="str">
        <f>Global!HD53</f>
        <v>C</v>
      </c>
      <c r="AF53" s="31" t="str">
        <f>Global!HE53</f>
        <v>C</v>
      </c>
      <c r="AG53" s="31" t="str">
        <f>Global!HF53</f>
        <v/>
      </c>
      <c r="AH53" s="31" t="str">
        <f>Global!HG53</f>
        <v/>
      </c>
      <c r="AI53" s="31" t="str">
        <f>Global!HH53</f>
        <v>C</v>
      </c>
      <c r="AJ53" s="48" t="str">
        <f>Global!HI53</f>
        <v>C</v>
      </c>
      <c r="AK53" s="108">
        <f>COUNTIF(Juillet[[#This Row],[1]:[31]],"RTT")+(COUNTIF(Juillet[[#This Row],[1]:[31]],"dRTT")/2)</f>
        <v>0</v>
      </c>
      <c r="AL53" s="109">
        <f>COUNTIF(Juillet[[#This Row],[1]:[31]],"C")+(COUNTIF(Juillet[[#This Row],[1]:[31]],"DC")/2)</f>
        <v>12</v>
      </c>
      <c r="AM53" s="22">
        <f>COUNTIF(Juillet[[#This Row],[1]:[31]],"M")</f>
        <v>0</v>
      </c>
      <c r="AN53" s="22">
        <f>COUNTIF(Juillet[[#This Row],[1]:[31]],"AT")</f>
        <v>0</v>
      </c>
      <c r="AO53" s="84">
        <f>IF(AND(Juillet[[#This Row],[Maladie]]=0,Juillet[[#This Row],[AT]]=0),((10*(_xlfn.DAYS("31/07/2018","01/07/2018")+1))/365),((_xlfn.DAYS("31/07/2018","01/07/2018")+1-(Juillet[[#This Row],[Maladie]]+Juillet[[#This Row],[AT]]))*((10*(_xlfn.DAYS("31/07/2018","01/07/2018")+1))/365))/(_xlfn.DAYS("31/07/2018","01/07/2018")+1))</f>
        <v>0.84931506849315064</v>
      </c>
    </row>
    <row r="54" spans="1:41" ht="30" customHeight="1" x14ac:dyDescent="0.2">
      <c r="A54" s="18" t="s">
        <v>110</v>
      </c>
      <c r="B54" s="18" t="s">
        <v>263</v>
      </c>
      <c r="C54" s="18" t="s">
        <v>264</v>
      </c>
      <c r="D54" s="18" t="s">
        <v>265</v>
      </c>
      <c r="E54" s="24">
        <v>0</v>
      </c>
      <c r="F54" s="47" t="str">
        <f>Global!GE54</f>
        <v/>
      </c>
      <c r="G54" s="31" t="str">
        <f>Global!GF54</f>
        <v>C</v>
      </c>
      <c r="H54" s="31" t="str">
        <f>Global!GG54</f>
        <v>C</v>
      </c>
      <c r="I54" s="31" t="str">
        <f>Global!GH54</f>
        <v>C</v>
      </c>
      <c r="J54" s="31" t="str">
        <f>Global!GI54</f>
        <v>C</v>
      </c>
      <c r="K54" s="31" t="str">
        <f>Global!GJ54</f>
        <v>C</v>
      </c>
      <c r="L54" s="31" t="str">
        <f>Global!GK54</f>
        <v/>
      </c>
      <c r="M54" s="31" t="str">
        <f>Global!GL54</f>
        <v/>
      </c>
      <c r="N54" s="31" t="str">
        <f>Global!GM54</f>
        <v>C</v>
      </c>
      <c r="O54" s="31" t="str">
        <f>Global!GN54</f>
        <v>C</v>
      </c>
      <c r="P54" s="31" t="str">
        <f>Global!GO54</f>
        <v>C</v>
      </c>
      <c r="Q54" s="31" t="str">
        <f>Global!GP54</f>
        <v>C</v>
      </c>
      <c r="R54" s="31" t="str">
        <f>Global!GQ54</f>
        <v>C</v>
      </c>
      <c r="S54" s="31" t="str">
        <f>Global!GR54</f>
        <v/>
      </c>
      <c r="T54" s="31" t="str">
        <f>Global!GS54</f>
        <v/>
      </c>
      <c r="U54" s="31" t="str">
        <f>Global!GT54</f>
        <v/>
      </c>
      <c r="V54" s="31" t="str">
        <f>Global!GU54</f>
        <v/>
      </c>
      <c r="W54" s="31" t="str">
        <f>Global!GV54</f>
        <v/>
      </c>
      <c r="X54" s="31" t="str">
        <f>Global!GW54</f>
        <v/>
      </c>
      <c r="Y54" s="31" t="str">
        <f>Global!GX54</f>
        <v/>
      </c>
      <c r="Z54" s="31" t="str">
        <f>Global!GY54</f>
        <v/>
      </c>
      <c r="AA54" s="31" t="str">
        <f>Global!GZ54</f>
        <v/>
      </c>
      <c r="AB54" s="31" t="str">
        <f>Global!HA54</f>
        <v/>
      </c>
      <c r="AC54" s="31" t="str">
        <f>Global!HB54</f>
        <v/>
      </c>
      <c r="AD54" s="31" t="str">
        <f>Global!HC54</f>
        <v/>
      </c>
      <c r="AE54" s="31" t="str">
        <f>Global!HD54</f>
        <v/>
      </c>
      <c r="AF54" s="31" t="str">
        <f>Global!HE54</f>
        <v/>
      </c>
      <c r="AG54" s="31" t="str">
        <f>Global!HF54</f>
        <v/>
      </c>
      <c r="AH54" s="31" t="str">
        <f>Global!HG54</f>
        <v/>
      </c>
      <c r="AI54" s="31" t="str">
        <f>Global!HH54</f>
        <v/>
      </c>
      <c r="AJ54" s="48" t="str">
        <f>Global!HI54</f>
        <v/>
      </c>
      <c r="AK54" s="108">
        <f>COUNTIF(Juillet[[#This Row],[1]:[31]],"RTT")+(COUNTIF(Juillet[[#This Row],[1]:[31]],"dRTT")/2)</f>
        <v>0</v>
      </c>
      <c r="AL54" s="109">
        <f>COUNTIF(Juillet[[#This Row],[1]:[31]],"C")+(COUNTIF(Juillet[[#This Row],[1]:[31]],"DC")/2)</f>
        <v>10</v>
      </c>
      <c r="AM54" s="22">
        <f>COUNTIF(Juillet[[#This Row],[1]:[31]],"M")</f>
        <v>0</v>
      </c>
      <c r="AN54" s="22">
        <f>COUNTIF(Juillet[[#This Row],[1]:[31]],"AT")</f>
        <v>0</v>
      </c>
      <c r="AO54" s="84">
        <f>IF(AND(Juillet[[#This Row],[Maladie]]=0,Juillet[[#This Row],[AT]]=0),((10*(_xlfn.DAYS("31/07/2018","01/07/2018")+1))/365),((_xlfn.DAYS("31/07/2018","01/07/2018")+1-(Juillet[[#This Row],[Maladie]]+Juillet[[#This Row],[AT]]))*((10*(_xlfn.DAYS("31/07/2018","01/07/2018")+1))/365))/(_xlfn.DAYS("31/07/2018","01/07/2018")+1))</f>
        <v>0.84931506849315064</v>
      </c>
    </row>
    <row r="55" spans="1:41" ht="30" customHeight="1" x14ac:dyDescent="0.2">
      <c r="A55" s="17" t="s">
        <v>111</v>
      </c>
      <c r="B55" s="17" t="s">
        <v>266</v>
      </c>
      <c r="C55" s="17" t="s">
        <v>267</v>
      </c>
      <c r="D55" s="17" t="s">
        <v>268</v>
      </c>
      <c r="E55" s="23">
        <v>0</v>
      </c>
      <c r="F55" s="47" t="str">
        <f>Global!GE55</f>
        <v>M</v>
      </c>
      <c r="G55" s="31" t="str">
        <f>Global!GF55</f>
        <v>M</v>
      </c>
      <c r="H55" s="31" t="str">
        <f>Global!GG55</f>
        <v>M</v>
      </c>
      <c r="I55" s="31" t="str">
        <f>Global!GH55</f>
        <v>M</v>
      </c>
      <c r="J55" s="31" t="str">
        <f>Global!GI55</f>
        <v>M</v>
      </c>
      <c r="K55" s="31" t="str">
        <f>Global!GJ55</f>
        <v>M</v>
      </c>
      <c r="L55" s="31" t="str">
        <f>Global!GK55</f>
        <v>M</v>
      </c>
      <c r="M55" s="31" t="str">
        <f>Global!GL55</f>
        <v>M</v>
      </c>
      <c r="N55" s="31" t="str">
        <f>Global!GM55</f>
        <v>M</v>
      </c>
      <c r="O55" s="31" t="str">
        <f>Global!GN55</f>
        <v>M</v>
      </c>
      <c r="P55" s="31" t="str">
        <f>Global!GO55</f>
        <v>M</v>
      </c>
      <c r="Q55" s="31" t="str">
        <f>Global!GP55</f>
        <v>M</v>
      </c>
      <c r="R55" s="31" t="str">
        <f>Global!GQ55</f>
        <v>M</v>
      </c>
      <c r="S55" s="31" t="str">
        <f>Global!GR55</f>
        <v>M</v>
      </c>
      <c r="T55" s="31" t="str">
        <f>Global!GS55</f>
        <v>M</v>
      </c>
      <c r="U55" s="31" t="str">
        <f>Global!GT55</f>
        <v>M</v>
      </c>
      <c r="V55" s="31" t="str">
        <f>Global!GU55</f>
        <v>M</v>
      </c>
      <c r="W55" s="31" t="str">
        <f>Global!GV55</f>
        <v>M</v>
      </c>
      <c r="X55" s="31" t="str">
        <f>Global!GW55</f>
        <v>M</v>
      </c>
      <c r="Y55" s="31" t="str">
        <f>Global!GX55</f>
        <v>M</v>
      </c>
      <c r="Z55" s="31" t="str">
        <f>Global!GY55</f>
        <v>M</v>
      </c>
      <c r="AA55" s="31" t="str">
        <f>Global!GZ55</f>
        <v>M</v>
      </c>
      <c r="AB55" s="31" t="str">
        <f>Global!HA55</f>
        <v>M</v>
      </c>
      <c r="AC55" s="31" t="str">
        <f>Global!HB55</f>
        <v>M</v>
      </c>
      <c r="AD55" s="31" t="str">
        <f>Global!HC55</f>
        <v>M</v>
      </c>
      <c r="AE55" s="31" t="str">
        <f>Global!HD55</f>
        <v>M</v>
      </c>
      <c r="AF55" s="31" t="str">
        <f>Global!HE55</f>
        <v>M</v>
      </c>
      <c r="AG55" s="31" t="str">
        <f>Global!HF55</f>
        <v/>
      </c>
      <c r="AH55" s="31" t="str">
        <f>Global!HG55</f>
        <v/>
      </c>
      <c r="AI55" s="31" t="str">
        <f>Global!HH55</f>
        <v/>
      </c>
      <c r="AJ55" s="48" t="str">
        <f>Global!HI55</f>
        <v/>
      </c>
      <c r="AK55" s="108">
        <f>COUNTIF(Juillet[[#This Row],[1]:[31]],"RTT")+(COUNTIF(Juillet[[#This Row],[1]:[31]],"dRTT")/2)</f>
        <v>0</v>
      </c>
      <c r="AL55" s="109">
        <f>COUNTIF(Juillet[[#This Row],[1]:[31]],"C")+(COUNTIF(Juillet[[#This Row],[1]:[31]],"DC")/2)</f>
        <v>0</v>
      </c>
      <c r="AM55" s="22">
        <f>COUNTIF(Juillet[[#This Row],[1]:[31]],"M")</f>
        <v>27</v>
      </c>
      <c r="AN55" s="22">
        <f>COUNTIF(Juillet[[#This Row],[1]:[31]],"AT")</f>
        <v>0</v>
      </c>
      <c r="AO55" s="84">
        <f>IF(AND(Juillet[[#This Row],[Maladie]]=0,Juillet[[#This Row],[AT]]=0),((10*(_xlfn.DAYS("31/07/2018","01/07/2018")+1))/365),((_xlfn.DAYS("31/07/2018","01/07/2018")+1-(Juillet[[#This Row],[Maladie]]+Juillet[[#This Row],[AT]]))*((10*(_xlfn.DAYS("31/07/2018","01/07/2018")+1))/365))/(_xlfn.DAYS("31/07/2018","01/07/2018")+1))</f>
        <v>0.1095890410958904</v>
      </c>
    </row>
    <row r="56" spans="1:41" ht="30" customHeight="1" thickBot="1" x14ac:dyDescent="0.25">
      <c r="A56" s="17" t="s">
        <v>112</v>
      </c>
      <c r="B56" s="17" t="s">
        <v>269</v>
      </c>
      <c r="C56" s="17" t="s">
        <v>270</v>
      </c>
      <c r="D56" s="17" t="s">
        <v>271</v>
      </c>
      <c r="E56" s="23">
        <v>0</v>
      </c>
      <c r="F56" s="49" t="str">
        <f>Global!GE56</f>
        <v/>
      </c>
      <c r="G56" s="50" t="str">
        <f>Global!GF56</f>
        <v/>
      </c>
      <c r="H56" s="50" t="str">
        <f>Global!GG56</f>
        <v/>
      </c>
      <c r="I56" s="50" t="str">
        <f>Global!GH56</f>
        <v/>
      </c>
      <c r="J56" s="50" t="str">
        <f>Global!GI56</f>
        <v/>
      </c>
      <c r="K56" s="50" t="str">
        <f>Global!GJ56</f>
        <v/>
      </c>
      <c r="L56" s="50" t="str">
        <f>Global!GK56</f>
        <v/>
      </c>
      <c r="M56" s="50" t="str">
        <f>Global!GL56</f>
        <v/>
      </c>
      <c r="N56" s="50" t="str">
        <f>Global!GM56</f>
        <v/>
      </c>
      <c r="O56" s="50" t="str">
        <f>Global!GN56</f>
        <v/>
      </c>
      <c r="P56" s="50" t="str">
        <f>Global!GO56</f>
        <v/>
      </c>
      <c r="Q56" s="50" t="str">
        <f>Global!GP56</f>
        <v/>
      </c>
      <c r="R56" s="50" t="str">
        <f>Global!GQ56</f>
        <v/>
      </c>
      <c r="S56" s="50" t="str">
        <f>Global!GR56</f>
        <v/>
      </c>
      <c r="T56" s="50" t="str">
        <f>Global!GS56</f>
        <v/>
      </c>
      <c r="U56" s="50" t="str">
        <f>Global!GT56</f>
        <v/>
      </c>
      <c r="V56" s="50" t="str">
        <f>Global!GU56</f>
        <v/>
      </c>
      <c r="W56" s="50" t="str">
        <f>Global!GV56</f>
        <v/>
      </c>
      <c r="X56" s="50" t="str">
        <f>Global!GW56</f>
        <v/>
      </c>
      <c r="Y56" s="50" t="str">
        <f>Global!GX56</f>
        <v/>
      </c>
      <c r="Z56" s="50" t="str">
        <f>Global!GY56</f>
        <v/>
      </c>
      <c r="AA56" s="50" t="str">
        <f>Global!GZ56</f>
        <v/>
      </c>
      <c r="AB56" s="50" t="str">
        <f>Global!HA56</f>
        <v/>
      </c>
      <c r="AC56" s="50" t="str">
        <f>Global!HB56</f>
        <v/>
      </c>
      <c r="AD56" s="50" t="str">
        <f>Global!HC56</f>
        <v/>
      </c>
      <c r="AE56" s="50" t="str">
        <f>Global!HD56</f>
        <v/>
      </c>
      <c r="AF56" s="50" t="str">
        <f>Global!HE56</f>
        <v/>
      </c>
      <c r="AG56" s="50" t="str">
        <f>Global!HF56</f>
        <v/>
      </c>
      <c r="AH56" s="50" t="str">
        <f>Global!HG56</f>
        <v/>
      </c>
      <c r="AI56" s="50" t="str">
        <f>Global!HH56</f>
        <v/>
      </c>
      <c r="AJ56" s="51" t="str">
        <f>Global!HI56</f>
        <v/>
      </c>
      <c r="AK56" s="108">
        <f>COUNTIF(Juillet[[#This Row],[1]:[31]],"RTT")+(COUNTIF(Juillet[[#This Row],[1]:[31]],"dRTT")/2)</f>
        <v>0</v>
      </c>
      <c r="AL56" s="109">
        <f>COUNTIF(Juillet[[#This Row],[1]:[31]],"C")+(COUNTIF(Juillet[[#This Row],[1]:[31]],"DC")/2)</f>
        <v>0</v>
      </c>
      <c r="AM56" s="22">
        <f>COUNTIF(Juillet[[#This Row],[1]:[31]],"M")</f>
        <v>0</v>
      </c>
      <c r="AN56" s="22">
        <f>COUNTIF(Juillet[[#This Row],[1]:[31]],"AT")</f>
        <v>0</v>
      </c>
      <c r="AO56" s="84">
        <f>IF(AND(Juillet[[#This Row],[Maladie]]=0,Juillet[[#This Row],[AT]]=0),((10*(_xlfn.DAYS("31/07/2018","01/07/2018")+1))/365),((_xlfn.DAYS("31/07/2018","01/07/2018")+1-(Juillet[[#This Row],[Maladie]]+Juillet[[#This Row],[AT]]))*((10*(_xlfn.DAYS("31/07/2018","01/07/2018")+1))/365))/(_xlfn.DAYS("31/07/2018","01/07/2018")+1))</f>
        <v>0.84931506849315064</v>
      </c>
    </row>
    <row r="57" spans="1:41" x14ac:dyDescent="0.2">
      <c r="A57" s="1"/>
    </row>
  </sheetData>
  <mergeCells count="6">
    <mergeCell ref="F5:AJ5"/>
    <mergeCell ref="G3:H3"/>
    <mergeCell ref="J3:K3"/>
    <mergeCell ref="U3:V3"/>
    <mergeCell ref="AC3:AD3"/>
    <mergeCell ref="AH3:AI3"/>
  </mergeCells>
  <conditionalFormatting sqref="F8:AJ56">
    <cfRule type="expression" dxfId="95" priority="4">
      <formula>F8=CléPersonnalisée4</formula>
    </cfRule>
    <cfRule type="expression" dxfId="94" priority="5">
      <formula>F8=CléPersonnalisée5</formula>
    </cfRule>
    <cfRule type="expression" dxfId="93" priority="6">
      <formula>F8=CléPersonnalisée3</formula>
    </cfRule>
    <cfRule type="expression" dxfId="92" priority="7">
      <formula>F8=CléPersonnalisée2</formula>
    </cfRule>
    <cfRule type="expression" dxfId="91" priority="8">
      <formula>F8=CléPersonnalisée1</formula>
    </cfRule>
    <cfRule type="expression" dxfId="90" priority="9">
      <formula>F8=CléMaladie</formula>
    </cfRule>
    <cfRule type="expression" dxfId="89" priority="10">
      <formula>F8=CléPersonnel</formula>
    </cfRule>
    <cfRule type="expression" dxfId="88" priority="11" stopIfTrue="1">
      <formula>F8=CléCongé</formula>
    </cfRule>
    <cfRule type="expression" dxfId="87" priority="12" stopIfTrue="1">
      <formula>F8=CléDemiCongés</formula>
    </cfRule>
    <cfRule type="expression" dxfId="86" priority="13">
      <formula>F8=""</formula>
    </cfRule>
  </conditionalFormatting>
  <conditionalFormatting sqref="F6:AJ56">
    <cfRule type="expression" dxfId="85" priority="2" stopIfTrue="1">
      <formula>WEEKDAY(F$1)=7</formula>
    </cfRule>
    <cfRule type="expression" dxfId="84"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8F3D72AB-400D-384C-90CD-ED39B79277F8}">
            <xm:f>F$1=VLOOKUP(F$1,JFériés!$D$1:$D$11,1,FALSE)</xm:f>
            <x14:dxf>
              <font>
                <color theme="1"/>
              </font>
              <fill>
                <patternFill>
                  <bgColor theme="5" tint="0.59996337778862885"/>
                </patternFill>
              </fill>
            </x14:dxf>
          </x14:cfRule>
          <xm:sqref>F6:AJ56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0" enableFormatConditionsCalculation="0">
    <tabColor rgb="FF484C2B"/>
    <pageSetUpPr fitToPage="1"/>
  </sheetPr>
  <dimension ref="A1:AO57"/>
  <sheetViews>
    <sheetView showGridLines="0" topLeftCell="A39"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DATE(AnnéeCalendrier,8,1)</f>
        <v>43313</v>
      </c>
      <c r="G1" s="62">
        <f>DATE(AnnéeCalendrier,8,2)</f>
        <v>43314</v>
      </c>
      <c r="H1" s="62">
        <f>DATE(AnnéeCalendrier,8,3)</f>
        <v>43315</v>
      </c>
      <c r="I1" s="62">
        <f>DATE(AnnéeCalendrier,8,4)</f>
        <v>43316</v>
      </c>
      <c r="J1" s="62">
        <f>DATE(AnnéeCalendrier,8,5)</f>
        <v>43317</v>
      </c>
      <c r="K1" s="62">
        <f>DATE(AnnéeCalendrier,8,6)</f>
        <v>43318</v>
      </c>
      <c r="L1" s="62">
        <f>DATE(AnnéeCalendrier,8,7)</f>
        <v>43319</v>
      </c>
      <c r="M1" s="62">
        <f>DATE(AnnéeCalendrier,8,8)</f>
        <v>43320</v>
      </c>
      <c r="N1" s="62">
        <f>DATE(AnnéeCalendrier,8,9)</f>
        <v>43321</v>
      </c>
      <c r="O1" s="62">
        <f>DATE(AnnéeCalendrier,8,10)</f>
        <v>43322</v>
      </c>
      <c r="P1" s="62">
        <f>DATE(AnnéeCalendrier,8,11)</f>
        <v>43323</v>
      </c>
      <c r="Q1" s="62">
        <f>DATE(AnnéeCalendrier,8,12)</f>
        <v>43324</v>
      </c>
      <c r="R1" s="62">
        <f>DATE(AnnéeCalendrier,8,13)</f>
        <v>43325</v>
      </c>
      <c r="S1" s="62">
        <f>DATE(AnnéeCalendrier,8,14)</f>
        <v>43326</v>
      </c>
      <c r="T1" s="62">
        <f>DATE(AnnéeCalendrier,8,15)</f>
        <v>43327</v>
      </c>
      <c r="U1" s="62">
        <f>DATE(AnnéeCalendrier,8,16)</f>
        <v>43328</v>
      </c>
      <c r="V1" s="62">
        <f>DATE(AnnéeCalendrier,8,17)</f>
        <v>43329</v>
      </c>
      <c r="W1" s="62">
        <f>DATE(AnnéeCalendrier,8,18)</f>
        <v>43330</v>
      </c>
      <c r="X1" s="62">
        <f>DATE(AnnéeCalendrier,8,19)</f>
        <v>43331</v>
      </c>
      <c r="Y1" s="62">
        <f>DATE(AnnéeCalendrier,8,20)</f>
        <v>43332</v>
      </c>
      <c r="Z1" s="62">
        <f>DATE(AnnéeCalendrier,8,21)</f>
        <v>43333</v>
      </c>
      <c r="AA1" s="62">
        <f>DATE(AnnéeCalendrier,8,22)</f>
        <v>43334</v>
      </c>
      <c r="AB1" s="62">
        <f>DATE(AnnéeCalendrier,8,23)</f>
        <v>43335</v>
      </c>
      <c r="AC1" s="62">
        <f>DATE(AnnéeCalendrier,8,24)</f>
        <v>43336</v>
      </c>
      <c r="AD1" s="62">
        <f>DATE(AnnéeCalendrier,8,25)</f>
        <v>43337</v>
      </c>
      <c r="AE1" s="62">
        <f>DATE(AnnéeCalendrier,8,26)</f>
        <v>43338</v>
      </c>
      <c r="AF1" s="62">
        <f>DATE(AnnéeCalendrier,8,27)</f>
        <v>43339</v>
      </c>
      <c r="AG1" s="62">
        <f>DATE(AnnéeCalendrier,8,28)</f>
        <v>43340</v>
      </c>
      <c r="AH1" s="62">
        <f>DATE(AnnéeCalendrier,8,29)</f>
        <v>43341</v>
      </c>
      <c r="AI1" s="62">
        <f>DATE(AnnéeCalendrier,8,30)</f>
        <v>43342</v>
      </c>
      <c r="AJ1" s="62">
        <f>DATE(AnnéeCalendrier,8,31)</f>
        <v>43343</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52</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45" t="str">
        <f>TEXT(WEEKDAY(DATE(AnnéeCalendrier,8,1),1),"jjj")</f>
        <v>mer</v>
      </c>
      <c r="G6" s="35" t="str">
        <f>TEXT(WEEKDAY(DATE(AnnéeCalendrier,8,2),1),"jjj")</f>
        <v>jeu</v>
      </c>
      <c r="H6" s="35" t="str">
        <f>TEXT(WEEKDAY(DATE(AnnéeCalendrier,8,3),1),"jjj")</f>
        <v>ven</v>
      </c>
      <c r="I6" s="35" t="str">
        <f>TEXT(WEEKDAY(DATE(AnnéeCalendrier,8,4),1),"jjj")</f>
        <v>sam</v>
      </c>
      <c r="J6" s="35" t="str">
        <f>TEXT(WEEKDAY(DATE(AnnéeCalendrier,8,5),1),"jjj")</f>
        <v>dim</v>
      </c>
      <c r="K6" s="35" t="str">
        <f>TEXT(WEEKDAY(DATE(AnnéeCalendrier,8,6),1),"jjj")</f>
        <v>lun</v>
      </c>
      <c r="L6" s="35" t="str">
        <f>TEXT(WEEKDAY(DATE(AnnéeCalendrier,8,7),1),"jjj")</f>
        <v>mar</v>
      </c>
      <c r="M6" s="35" t="str">
        <f>TEXT(WEEKDAY(DATE(AnnéeCalendrier,8,8),1),"jjj")</f>
        <v>mer</v>
      </c>
      <c r="N6" s="35" t="str">
        <f>TEXT(WEEKDAY(DATE(AnnéeCalendrier,8,9),1),"jjj")</f>
        <v>jeu</v>
      </c>
      <c r="O6" s="35" t="str">
        <f>TEXT(WEEKDAY(DATE(AnnéeCalendrier,8,10),1),"jjj")</f>
        <v>ven</v>
      </c>
      <c r="P6" s="35" t="str">
        <f>TEXT(WEEKDAY(DATE(AnnéeCalendrier,8,11),1),"jjj")</f>
        <v>sam</v>
      </c>
      <c r="Q6" s="35" t="str">
        <f>TEXT(WEEKDAY(DATE(AnnéeCalendrier,8,12),1),"jjj")</f>
        <v>dim</v>
      </c>
      <c r="R6" s="35" t="str">
        <f>TEXT(WEEKDAY(DATE(AnnéeCalendrier,8,13),1),"jjj")</f>
        <v>lun</v>
      </c>
      <c r="S6" s="35" t="str">
        <f>TEXT(WEEKDAY(DATE(AnnéeCalendrier,8,14),1),"jjj")</f>
        <v>mar</v>
      </c>
      <c r="T6" s="35" t="str">
        <f>TEXT(WEEKDAY(DATE(AnnéeCalendrier,8,15),1),"jjj")</f>
        <v>mer</v>
      </c>
      <c r="U6" s="35" t="str">
        <f>TEXT(WEEKDAY(DATE(AnnéeCalendrier,8,16),1),"jjj")</f>
        <v>jeu</v>
      </c>
      <c r="V6" s="35" t="str">
        <f>TEXT(WEEKDAY(DATE(AnnéeCalendrier,8,17),1),"jjj")</f>
        <v>ven</v>
      </c>
      <c r="W6" s="35" t="str">
        <f>TEXT(WEEKDAY(DATE(AnnéeCalendrier,8,18),1),"jjj")</f>
        <v>sam</v>
      </c>
      <c r="X6" s="35" t="str">
        <f>TEXT(WEEKDAY(DATE(AnnéeCalendrier,8,19),1),"jjj")</f>
        <v>dim</v>
      </c>
      <c r="Y6" s="35" t="str">
        <f>TEXT(WEEKDAY(DATE(AnnéeCalendrier,8,20),1),"jjj")</f>
        <v>lun</v>
      </c>
      <c r="Z6" s="35" t="str">
        <f>TEXT(WEEKDAY(DATE(AnnéeCalendrier,8,21),1),"jjj")</f>
        <v>mar</v>
      </c>
      <c r="AA6" s="35" t="str">
        <f>TEXT(WEEKDAY(DATE(AnnéeCalendrier,8,22),1),"jjj")</f>
        <v>mer</v>
      </c>
      <c r="AB6" s="35" t="str">
        <f>TEXT(WEEKDAY(DATE(AnnéeCalendrier,8,23),1),"jjj")</f>
        <v>jeu</v>
      </c>
      <c r="AC6" s="35" t="str">
        <f>TEXT(WEEKDAY(DATE(AnnéeCalendrier,8,24),1),"jjj")</f>
        <v>ven</v>
      </c>
      <c r="AD6" s="35" t="str">
        <f>TEXT(WEEKDAY(DATE(AnnéeCalendrier,8,25),1),"jjj")</f>
        <v>sam</v>
      </c>
      <c r="AE6" s="35" t="str">
        <f>TEXT(WEEKDAY(DATE(AnnéeCalendrier,8,26),1),"jjj")</f>
        <v>dim</v>
      </c>
      <c r="AF6" s="35" t="str">
        <f>TEXT(WEEKDAY(DATE(AnnéeCalendrier,8,27),1),"jjj")</f>
        <v>lun</v>
      </c>
      <c r="AG6" s="35" t="str">
        <f>TEXT(WEEKDAY(DATE(AnnéeCalendrier,8,28),1),"jjj")</f>
        <v>mar</v>
      </c>
      <c r="AH6" s="35" t="str">
        <f>TEXT(WEEKDAY(DATE(AnnéeCalendrier,8,29),1),"jjj")</f>
        <v>mer</v>
      </c>
      <c r="AI6" s="35" t="str">
        <f>TEXT(WEEKDAY(DATE(AnnéeCalendrier,8,30),1),"jjj")</f>
        <v>jeu</v>
      </c>
      <c r="AJ6" s="46" t="str">
        <f>TEXT(WEEKDAY(DATE(AnnéeCalendrier,8,31),1),"jjj")</f>
        <v>ven</v>
      </c>
      <c r="AK6" s="10"/>
    </row>
    <row r="7" spans="1:41" ht="15" customHeight="1" thickBot="1" x14ac:dyDescent="0.25">
      <c r="A7" s="36" t="s">
        <v>63</v>
      </c>
      <c r="B7" s="36" t="s">
        <v>128</v>
      </c>
      <c r="C7" s="36" t="s">
        <v>129</v>
      </c>
      <c r="D7" s="36" t="s">
        <v>13</v>
      </c>
      <c r="E7" s="43" t="s">
        <v>113</v>
      </c>
      <c r="F7" s="76" t="s">
        <v>14</v>
      </c>
      <c r="G7" s="75" t="s">
        <v>15</v>
      </c>
      <c r="H7" s="75" t="s">
        <v>16</v>
      </c>
      <c r="I7" s="75" t="s">
        <v>17</v>
      </c>
      <c r="J7" s="75" t="s">
        <v>18</v>
      </c>
      <c r="K7" s="75" t="s">
        <v>19</v>
      </c>
      <c r="L7" s="75" t="s">
        <v>20</v>
      </c>
      <c r="M7" s="75" t="s">
        <v>21</v>
      </c>
      <c r="N7" s="75" t="s">
        <v>22</v>
      </c>
      <c r="O7" s="75" t="s">
        <v>23</v>
      </c>
      <c r="P7" s="75" t="s">
        <v>24</v>
      </c>
      <c r="Q7" s="75" t="s">
        <v>25</v>
      </c>
      <c r="R7" s="75" t="s">
        <v>26</v>
      </c>
      <c r="S7" s="75" t="s">
        <v>27</v>
      </c>
      <c r="T7" s="75" t="s">
        <v>28</v>
      </c>
      <c r="U7" s="75" t="s">
        <v>29</v>
      </c>
      <c r="V7" s="75" t="s">
        <v>30</v>
      </c>
      <c r="W7" s="75" t="s">
        <v>31</v>
      </c>
      <c r="X7" s="75" t="s">
        <v>32</v>
      </c>
      <c r="Y7" s="75" t="s">
        <v>33</v>
      </c>
      <c r="Z7" s="75" t="s">
        <v>34</v>
      </c>
      <c r="AA7" s="75" t="s">
        <v>35</v>
      </c>
      <c r="AB7" s="75" t="s">
        <v>36</v>
      </c>
      <c r="AC7" s="75" t="s">
        <v>37</v>
      </c>
      <c r="AD7" s="75" t="s">
        <v>38</v>
      </c>
      <c r="AE7" s="75" t="s">
        <v>39</v>
      </c>
      <c r="AF7" s="75" t="s">
        <v>40</v>
      </c>
      <c r="AG7" s="75" t="s">
        <v>41</v>
      </c>
      <c r="AH7" s="75" t="s">
        <v>42</v>
      </c>
      <c r="AI7" s="75" t="s">
        <v>43</v>
      </c>
      <c r="AJ7" s="77"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Global!HJ8</f>
        <v/>
      </c>
      <c r="G8" s="79" t="str">
        <f>Global!HK8</f>
        <v/>
      </c>
      <c r="H8" s="79" t="str">
        <f>Global!HL8</f>
        <v/>
      </c>
      <c r="I8" s="79" t="str">
        <f>Global!HM8</f>
        <v/>
      </c>
      <c r="J8" s="79" t="str">
        <f>Global!HN8</f>
        <v/>
      </c>
      <c r="K8" s="79" t="str">
        <f>Global!HO8</f>
        <v/>
      </c>
      <c r="L8" s="79" t="str">
        <f>Global!HP8</f>
        <v/>
      </c>
      <c r="M8" s="79" t="str">
        <f>Global!HQ8</f>
        <v/>
      </c>
      <c r="N8" s="79" t="str">
        <f>Global!HR8</f>
        <v/>
      </c>
      <c r="O8" s="79" t="str">
        <f>Global!HS8</f>
        <v/>
      </c>
      <c r="P8" s="79" t="str">
        <f>Global!HT8</f>
        <v/>
      </c>
      <c r="Q8" s="79" t="str">
        <f>Global!HU8</f>
        <v/>
      </c>
      <c r="R8" s="79" t="str">
        <f>Global!HV8</f>
        <v/>
      </c>
      <c r="S8" s="79" t="str">
        <f>Global!HW8</f>
        <v/>
      </c>
      <c r="T8" s="79" t="str">
        <f>Global!HX8</f>
        <v/>
      </c>
      <c r="U8" s="79" t="str">
        <f>Global!HY8</f>
        <v/>
      </c>
      <c r="V8" s="79" t="str">
        <f>Global!HZ8</f>
        <v/>
      </c>
      <c r="W8" s="79" t="str">
        <f>Global!IA8</f>
        <v/>
      </c>
      <c r="X8" s="79" t="str">
        <f>Global!IB8</f>
        <v/>
      </c>
      <c r="Y8" s="79" t="str">
        <f>Global!IC8</f>
        <v/>
      </c>
      <c r="Z8" s="79" t="str">
        <f>Global!ID8</f>
        <v/>
      </c>
      <c r="AA8" s="79" t="str">
        <f>Global!IE8</f>
        <v/>
      </c>
      <c r="AB8" s="79" t="str">
        <f>Global!IF8</f>
        <v/>
      </c>
      <c r="AC8" s="79" t="str">
        <f>Global!IG8</f>
        <v/>
      </c>
      <c r="AD8" s="79" t="str">
        <f>Global!IH8</f>
        <v/>
      </c>
      <c r="AE8" s="79" t="str">
        <f>Global!II8</f>
        <v/>
      </c>
      <c r="AF8" s="79" t="str">
        <f>Global!IJ8</f>
        <v/>
      </c>
      <c r="AG8" s="79" t="str">
        <f>Global!IK8</f>
        <v/>
      </c>
      <c r="AH8" s="79" t="str">
        <f>Global!IL8</f>
        <v/>
      </c>
      <c r="AI8" s="79" t="str">
        <f>Global!IM8</f>
        <v/>
      </c>
      <c r="AJ8" s="80" t="str">
        <f>Global!IN8</f>
        <v/>
      </c>
      <c r="AK8" s="108">
        <f>COUNTIF(Août[[#This Row],[1]:[31]],"RTT")+(COUNTIF(Août[[#This Row],[1]:[31]],"dRTT")/2)</f>
        <v>0</v>
      </c>
      <c r="AL8" s="109">
        <f>COUNTIF(Août[[#This Row],[1]:[31]],"C")+(COUNTIF(Août[[#This Row],[1]:[31]],"DC")/2)</f>
        <v>0</v>
      </c>
      <c r="AM8" s="22">
        <f>COUNTIF(Août[[#This Row],[1]:[31]],"M")</f>
        <v>0</v>
      </c>
      <c r="AN8" s="22">
        <f>COUNTIF(Août[[#This Row],[1]:[31]],"AT")</f>
        <v>0</v>
      </c>
      <c r="AO8" s="84">
        <f>IF(AND(Août[[#This Row],[Maladie]]=0,Août[[#This Row],[AT]]=0),((10*(_xlfn.DAYS("31/08/2018","01/08/2018")+1))/365),((_xlfn.DAYS("31/08/2018","01/08/2018")+1-(Août[[#This Row],[Maladie]]+Août[[#This Row],[AT]]))*((10*(_xlfn.DAYS("31/08/2018","01/08/2018")+1))/365))/(_xlfn.DAYS("31/08/2018","01/08/2018")+1))</f>
        <v>0.84931506849315064</v>
      </c>
    </row>
    <row r="9" spans="1:41" ht="30" customHeight="1" x14ac:dyDescent="0.2">
      <c r="A9" s="13" t="s">
        <v>65</v>
      </c>
      <c r="B9" s="22" t="s">
        <v>130</v>
      </c>
      <c r="C9" s="22" t="s">
        <v>133</v>
      </c>
      <c r="D9" s="22" t="s">
        <v>134</v>
      </c>
      <c r="E9" s="44">
        <v>0</v>
      </c>
      <c r="F9" s="47" t="str">
        <f>Global!HJ9</f>
        <v/>
      </c>
      <c r="G9" s="31" t="str">
        <f>Global!HK9</f>
        <v/>
      </c>
      <c r="H9" s="31" t="str">
        <f>Global!HL9</f>
        <v/>
      </c>
      <c r="I9" s="31" t="str">
        <f>Global!HM9</f>
        <v/>
      </c>
      <c r="J9" s="31" t="str">
        <f>Global!HN9</f>
        <v/>
      </c>
      <c r="K9" s="31" t="str">
        <f>Global!HO9</f>
        <v/>
      </c>
      <c r="L9" s="31" t="str">
        <f>Global!HP9</f>
        <v/>
      </c>
      <c r="M9" s="31" t="str">
        <f>Global!HQ9</f>
        <v/>
      </c>
      <c r="N9" s="31" t="str">
        <f>Global!HR9</f>
        <v/>
      </c>
      <c r="O9" s="31" t="str">
        <f>Global!HS9</f>
        <v/>
      </c>
      <c r="P9" s="31" t="str">
        <f>Global!HT9</f>
        <v/>
      </c>
      <c r="Q9" s="31" t="str">
        <f>Global!HU9</f>
        <v/>
      </c>
      <c r="R9" s="31" t="str">
        <f>Global!HV9</f>
        <v/>
      </c>
      <c r="S9" s="31" t="str">
        <f>Global!HW9</f>
        <v/>
      </c>
      <c r="T9" s="31" t="str">
        <f>Global!HX9</f>
        <v/>
      </c>
      <c r="U9" s="31" t="str">
        <f>Global!HY9</f>
        <v/>
      </c>
      <c r="V9" s="31" t="str">
        <f>Global!HZ9</f>
        <v/>
      </c>
      <c r="W9" s="31" t="str">
        <f>Global!IA9</f>
        <v/>
      </c>
      <c r="X9" s="31" t="str">
        <f>Global!IB9</f>
        <v/>
      </c>
      <c r="Y9" s="31" t="str">
        <f>Global!IC9</f>
        <v/>
      </c>
      <c r="Z9" s="31" t="str">
        <f>Global!ID9</f>
        <v/>
      </c>
      <c r="AA9" s="31" t="str">
        <f>Global!IE9</f>
        <v/>
      </c>
      <c r="AB9" s="31" t="str">
        <f>Global!IF9</f>
        <v/>
      </c>
      <c r="AC9" s="31" t="str">
        <f>Global!IG9</f>
        <v/>
      </c>
      <c r="AD9" s="31" t="str">
        <f>Global!IH9</f>
        <v/>
      </c>
      <c r="AE9" s="31" t="str">
        <f>Global!II9</f>
        <v/>
      </c>
      <c r="AF9" s="31" t="str">
        <f>Global!IJ9</f>
        <v/>
      </c>
      <c r="AG9" s="31" t="str">
        <f>Global!IK9</f>
        <v/>
      </c>
      <c r="AH9" s="31" t="str">
        <f>Global!IL9</f>
        <v/>
      </c>
      <c r="AI9" s="31" t="str">
        <f>Global!IM9</f>
        <v/>
      </c>
      <c r="AJ9" s="48" t="str">
        <f>Global!IN9</f>
        <v/>
      </c>
      <c r="AK9" s="108">
        <f>COUNTIF(Août[[#This Row],[1]:[31]],"RTT")+(COUNTIF(Août[[#This Row],[1]:[31]],"dRTT")/2)</f>
        <v>0</v>
      </c>
      <c r="AL9" s="109">
        <f>COUNTIF(Août[[#This Row],[1]:[31]],"C")+(COUNTIF(Août[[#This Row],[1]:[31]],"DC")/2)</f>
        <v>0</v>
      </c>
      <c r="AM9" s="22">
        <f>COUNTIF(Août[[#This Row],[1]:[31]],"M")</f>
        <v>0</v>
      </c>
      <c r="AN9" s="22">
        <f>COUNTIF(Août[[#This Row],[1]:[31]],"AT")</f>
        <v>0</v>
      </c>
      <c r="AO9" s="84">
        <f>IF(AND(Août[[#This Row],[Maladie]]=0,Août[[#This Row],[AT]]=0),((10*(_xlfn.DAYS("31/08/2018","01/08/2018")+1))/365),((_xlfn.DAYS("31/08/2018","01/08/2018")+1-(Août[[#This Row],[Maladie]]+Août[[#This Row],[AT]]))*((10*(_xlfn.DAYS("31/08/2018","01/08/2018")+1))/365))/(_xlfn.DAYS("31/08/2018","01/08/2018")+1))</f>
        <v>0.84931506849315064</v>
      </c>
    </row>
    <row r="10" spans="1:41" ht="30" customHeight="1" x14ac:dyDescent="0.2">
      <c r="A10" s="14" t="s">
        <v>66</v>
      </c>
      <c r="B10" s="22" t="s">
        <v>135</v>
      </c>
      <c r="C10" s="22" t="s">
        <v>136</v>
      </c>
      <c r="D10" s="22" t="s">
        <v>137</v>
      </c>
      <c r="E10" s="44">
        <v>0</v>
      </c>
      <c r="F10" s="47" t="str">
        <f>Global!HJ10</f>
        <v/>
      </c>
      <c r="G10" s="31" t="str">
        <f>Global!HK10</f>
        <v/>
      </c>
      <c r="H10" s="31" t="str">
        <f>Global!HL10</f>
        <v/>
      </c>
      <c r="I10" s="31" t="str">
        <f>Global!HM10</f>
        <v/>
      </c>
      <c r="J10" s="31" t="str">
        <f>Global!HN10</f>
        <v/>
      </c>
      <c r="K10" s="31" t="str">
        <f>Global!HO10</f>
        <v/>
      </c>
      <c r="L10" s="31" t="str">
        <f>Global!HP10</f>
        <v/>
      </c>
      <c r="M10" s="31" t="str">
        <f>Global!HQ10</f>
        <v/>
      </c>
      <c r="N10" s="31" t="str">
        <f>Global!HR10</f>
        <v/>
      </c>
      <c r="O10" s="31" t="str">
        <f>Global!HS10</f>
        <v/>
      </c>
      <c r="P10" s="31" t="str">
        <f>Global!HT10</f>
        <v/>
      </c>
      <c r="Q10" s="31" t="str">
        <f>Global!HU10</f>
        <v/>
      </c>
      <c r="R10" s="31" t="str">
        <f>Global!HV10</f>
        <v/>
      </c>
      <c r="S10" s="31" t="str">
        <f>Global!HW10</f>
        <v/>
      </c>
      <c r="T10" s="31" t="str">
        <f>Global!HX10</f>
        <v/>
      </c>
      <c r="U10" s="31" t="str">
        <f>Global!HY10</f>
        <v/>
      </c>
      <c r="V10" s="31" t="str">
        <f>Global!HZ10</f>
        <v/>
      </c>
      <c r="W10" s="31" t="str">
        <f>Global!IA10</f>
        <v/>
      </c>
      <c r="X10" s="31" t="str">
        <f>Global!IB10</f>
        <v/>
      </c>
      <c r="Y10" s="31" t="str">
        <f>Global!IC10</f>
        <v/>
      </c>
      <c r="Z10" s="31" t="str">
        <f>Global!ID10</f>
        <v/>
      </c>
      <c r="AA10" s="31" t="str">
        <f>Global!IE10</f>
        <v/>
      </c>
      <c r="AB10" s="31" t="str">
        <f>Global!IF10</f>
        <v/>
      </c>
      <c r="AC10" s="31" t="str">
        <f>Global!IG10</f>
        <v/>
      </c>
      <c r="AD10" s="31" t="str">
        <f>Global!IH10</f>
        <v/>
      </c>
      <c r="AE10" s="31" t="str">
        <f>Global!II10</f>
        <v/>
      </c>
      <c r="AF10" s="31" t="str">
        <f>Global!IJ10</f>
        <v/>
      </c>
      <c r="AG10" s="31" t="str">
        <f>Global!IK10</f>
        <v/>
      </c>
      <c r="AH10" s="31" t="str">
        <f>Global!IL10</f>
        <v/>
      </c>
      <c r="AI10" s="31" t="str">
        <f>Global!IM10</f>
        <v/>
      </c>
      <c r="AJ10" s="48" t="str">
        <f>Global!IN10</f>
        <v/>
      </c>
      <c r="AK10" s="108">
        <f>COUNTIF(Août[[#This Row],[1]:[31]],"RTT")+(COUNTIF(Août[[#This Row],[1]:[31]],"dRTT")/2)</f>
        <v>0</v>
      </c>
      <c r="AL10" s="109">
        <f>COUNTIF(Août[[#This Row],[1]:[31]],"C")+(COUNTIF(Août[[#This Row],[1]:[31]],"DC")/2)</f>
        <v>0</v>
      </c>
      <c r="AM10" s="22">
        <f>COUNTIF(Août[[#This Row],[1]:[31]],"M")</f>
        <v>0</v>
      </c>
      <c r="AN10" s="22">
        <f>COUNTIF(Août[[#This Row],[1]:[31]],"AT")</f>
        <v>0</v>
      </c>
      <c r="AO10" s="84">
        <f>IF(AND(Août[[#This Row],[Maladie]]=0,Août[[#This Row],[AT]]=0),((10*(_xlfn.DAYS("31/08/2018","01/08/2018")+1))/365),((_xlfn.DAYS("31/08/2018","01/08/2018")+1-(Août[[#This Row],[Maladie]]+Août[[#This Row],[AT]]))*((10*(_xlfn.DAYS("31/08/2018","01/08/2018")+1))/365))/(_xlfn.DAYS("31/08/2018","01/08/2018")+1))</f>
        <v>0.84931506849315064</v>
      </c>
    </row>
    <row r="11" spans="1:41" ht="30" customHeight="1" x14ac:dyDescent="0.2">
      <c r="A11" s="15" t="s">
        <v>67</v>
      </c>
      <c r="B11" s="22" t="s">
        <v>138</v>
      </c>
      <c r="C11" s="22" t="s">
        <v>139</v>
      </c>
      <c r="D11" s="22" t="s">
        <v>140</v>
      </c>
      <c r="E11" s="44">
        <v>0</v>
      </c>
      <c r="F11" s="47" t="str">
        <f>Global!HJ11</f>
        <v>C</v>
      </c>
      <c r="G11" s="31" t="str">
        <f>Global!HK11</f>
        <v>C</v>
      </c>
      <c r="H11" s="31" t="str">
        <f>Global!HL11</f>
        <v>C</v>
      </c>
      <c r="I11" s="31" t="str">
        <f>Global!HM11</f>
        <v/>
      </c>
      <c r="J11" s="31" t="str">
        <f>Global!HN11</f>
        <v/>
      </c>
      <c r="K11" s="31" t="str">
        <f>Global!HO11</f>
        <v>C</v>
      </c>
      <c r="L11" s="31" t="str">
        <f>Global!HP11</f>
        <v>C</v>
      </c>
      <c r="M11" s="31" t="str">
        <f>Global!HQ11</f>
        <v>C</v>
      </c>
      <c r="N11" s="31" t="str">
        <f>Global!HR11</f>
        <v>C</v>
      </c>
      <c r="O11" s="31" t="str">
        <f>Global!HS11</f>
        <v>C</v>
      </c>
      <c r="P11" s="31" t="str">
        <f>Global!HT11</f>
        <v/>
      </c>
      <c r="Q11" s="31" t="str">
        <f>Global!HU11</f>
        <v/>
      </c>
      <c r="R11" s="31" t="str">
        <f>Global!HV11</f>
        <v/>
      </c>
      <c r="S11" s="31" t="str">
        <f>Global!HW11</f>
        <v/>
      </c>
      <c r="T11" s="31" t="str">
        <f>Global!HX11</f>
        <v/>
      </c>
      <c r="U11" s="31" t="str">
        <f>Global!HY11</f>
        <v/>
      </c>
      <c r="V11" s="31" t="str">
        <f>Global!HZ11</f>
        <v/>
      </c>
      <c r="W11" s="31" t="str">
        <f>Global!IA11</f>
        <v/>
      </c>
      <c r="X11" s="31" t="str">
        <f>Global!IB11</f>
        <v/>
      </c>
      <c r="Y11" s="31" t="str">
        <f>Global!IC11</f>
        <v/>
      </c>
      <c r="Z11" s="31" t="str">
        <f>Global!ID11</f>
        <v/>
      </c>
      <c r="AA11" s="31" t="str">
        <f>Global!IE11</f>
        <v/>
      </c>
      <c r="AB11" s="31" t="str">
        <f>Global!IF11</f>
        <v/>
      </c>
      <c r="AC11" s="31" t="str">
        <f>Global!IG11</f>
        <v/>
      </c>
      <c r="AD11" s="31" t="str">
        <f>Global!IH11</f>
        <v/>
      </c>
      <c r="AE11" s="31" t="str">
        <f>Global!II11</f>
        <v/>
      </c>
      <c r="AF11" s="31" t="str">
        <f>Global!IJ11</f>
        <v/>
      </c>
      <c r="AG11" s="31" t="str">
        <f>Global!IK11</f>
        <v/>
      </c>
      <c r="AH11" s="31" t="str">
        <f>Global!IL11</f>
        <v/>
      </c>
      <c r="AI11" s="31" t="str">
        <f>Global!IM11</f>
        <v/>
      </c>
      <c r="AJ11" s="48" t="str">
        <f>Global!IN11</f>
        <v/>
      </c>
      <c r="AK11" s="108">
        <f>COUNTIF(Août[[#This Row],[1]:[31]],"RTT")+(COUNTIF(Août[[#This Row],[1]:[31]],"dRTT")/2)</f>
        <v>0</v>
      </c>
      <c r="AL11" s="109">
        <f>COUNTIF(Août[[#This Row],[1]:[31]],"C")+(COUNTIF(Août[[#This Row],[1]:[31]],"DC")/2)</f>
        <v>8</v>
      </c>
      <c r="AM11" s="22">
        <f>COUNTIF(Août[[#This Row],[1]:[31]],"M")</f>
        <v>0</v>
      </c>
      <c r="AN11" s="22">
        <f>COUNTIF(Août[[#This Row],[1]:[31]],"AT")</f>
        <v>0</v>
      </c>
      <c r="AO11" s="84">
        <f>IF(AND(Août[[#This Row],[Maladie]]=0,Août[[#This Row],[AT]]=0),((10*(_xlfn.DAYS("31/08/2018","01/08/2018")+1))/365),((_xlfn.DAYS("31/08/2018","01/08/2018")+1-(Août[[#This Row],[Maladie]]+Août[[#This Row],[AT]]))*((10*(_xlfn.DAYS("31/08/2018","01/08/2018")+1))/365))/(_xlfn.DAYS("31/08/2018","01/08/2018")+1))</f>
        <v>0.84931506849315064</v>
      </c>
    </row>
    <row r="12" spans="1:41" ht="30" customHeight="1" x14ac:dyDescent="0.2">
      <c r="A12" s="15" t="s">
        <v>68</v>
      </c>
      <c r="B12" s="22" t="s">
        <v>141</v>
      </c>
      <c r="C12" s="22" t="s">
        <v>142</v>
      </c>
      <c r="D12" s="22" t="s">
        <v>143</v>
      </c>
      <c r="E12" s="44">
        <v>0</v>
      </c>
      <c r="F12" s="47" t="str">
        <f>Global!HJ12</f>
        <v/>
      </c>
      <c r="G12" s="31" t="str">
        <f>Global!HK12</f>
        <v/>
      </c>
      <c r="H12" s="31" t="str">
        <f>Global!HL12</f>
        <v/>
      </c>
      <c r="I12" s="31" t="str">
        <f>Global!HM12</f>
        <v/>
      </c>
      <c r="J12" s="31" t="str">
        <f>Global!HN12</f>
        <v/>
      </c>
      <c r="K12" s="31" t="str">
        <f>Global!HO12</f>
        <v/>
      </c>
      <c r="L12" s="31" t="str">
        <f>Global!HP12</f>
        <v/>
      </c>
      <c r="M12" s="31" t="str">
        <f>Global!HQ12</f>
        <v/>
      </c>
      <c r="N12" s="31" t="str">
        <f>Global!HR12</f>
        <v/>
      </c>
      <c r="O12" s="31" t="str">
        <f>Global!HS12</f>
        <v/>
      </c>
      <c r="P12" s="31" t="str">
        <f>Global!HT12</f>
        <v/>
      </c>
      <c r="Q12" s="31" t="str">
        <f>Global!HU12</f>
        <v/>
      </c>
      <c r="R12" s="31" t="str">
        <f>Global!HV12</f>
        <v/>
      </c>
      <c r="S12" s="31" t="str">
        <f>Global!HW12</f>
        <v/>
      </c>
      <c r="T12" s="31" t="str">
        <f>Global!HX12</f>
        <v/>
      </c>
      <c r="U12" s="31" t="str">
        <f>Global!HY12</f>
        <v/>
      </c>
      <c r="V12" s="31" t="str">
        <f>Global!HZ12</f>
        <v/>
      </c>
      <c r="W12" s="31" t="str">
        <f>Global!IA12</f>
        <v/>
      </c>
      <c r="X12" s="31" t="str">
        <f>Global!IB12</f>
        <v/>
      </c>
      <c r="Y12" s="31" t="str">
        <f>Global!IC12</f>
        <v/>
      </c>
      <c r="Z12" s="31" t="str">
        <f>Global!ID12</f>
        <v/>
      </c>
      <c r="AA12" s="31" t="str">
        <f>Global!IE12</f>
        <v/>
      </c>
      <c r="AB12" s="31" t="str">
        <f>Global!IF12</f>
        <v/>
      </c>
      <c r="AC12" s="31" t="str">
        <f>Global!IG12</f>
        <v>C</v>
      </c>
      <c r="AD12" s="31" t="str">
        <f>Global!IH12</f>
        <v/>
      </c>
      <c r="AE12" s="31" t="str">
        <f>Global!II12</f>
        <v/>
      </c>
      <c r="AF12" s="31" t="str">
        <f>Global!IJ12</f>
        <v>C</v>
      </c>
      <c r="AG12" s="31" t="str">
        <f>Global!IK12</f>
        <v>C</v>
      </c>
      <c r="AH12" s="31" t="str">
        <f>Global!IL12</f>
        <v>C</v>
      </c>
      <c r="AI12" s="31" t="str">
        <f>Global!IM12</f>
        <v>C</v>
      </c>
      <c r="AJ12" s="48" t="str">
        <f>Global!IN12</f>
        <v>C</v>
      </c>
      <c r="AK12" s="108">
        <f>COUNTIF(Août[[#This Row],[1]:[31]],"RTT")+(COUNTIF(Août[[#This Row],[1]:[31]],"dRTT")/2)</f>
        <v>0</v>
      </c>
      <c r="AL12" s="109">
        <f>COUNTIF(Août[[#This Row],[1]:[31]],"C")+(COUNTIF(Août[[#This Row],[1]:[31]],"DC")/2)</f>
        <v>6</v>
      </c>
      <c r="AM12" s="22">
        <f>COUNTIF(Août[[#This Row],[1]:[31]],"M")</f>
        <v>0</v>
      </c>
      <c r="AN12" s="22">
        <f>COUNTIF(Août[[#This Row],[1]:[31]],"AT")</f>
        <v>0</v>
      </c>
      <c r="AO12" s="84">
        <f>IF(AND(Août[[#This Row],[Maladie]]=0,Août[[#This Row],[AT]]=0),((10*(_xlfn.DAYS("31/08/2018","01/08/2018")+1))/365),((_xlfn.DAYS("31/08/2018","01/08/2018")+1-(Août[[#This Row],[Maladie]]+Août[[#This Row],[AT]]))*((10*(_xlfn.DAYS("31/08/2018","01/08/2018")+1))/365))/(_xlfn.DAYS("31/08/2018","01/08/2018")+1))</f>
        <v>0.84931506849315064</v>
      </c>
    </row>
    <row r="13" spans="1:41" ht="30" customHeight="1" x14ac:dyDescent="0.2">
      <c r="A13" s="13" t="s">
        <v>69</v>
      </c>
      <c r="B13" s="22" t="s">
        <v>144</v>
      </c>
      <c r="C13" s="22" t="s">
        <v>145</v>
      </c>
      <c r="D13" s="22" t="s">
        <v>146</v>
      </c>
      <c r="E13" s="44">
        <v>0</v>
      </c>
      <c r="F13" s="47" t="str">
        <f>Global!HJ13</f>
        <v/>
      </c>
      <c r="G13" s="31" t="str">
        <f>Global!HK13</f>
        <v/>
      </c>
      <c r="H13" s="31" t="str">
        <f>Global!HL13</f>
        <v/>
      </c>
      <c r="I13" s="31" t="str">
        <f>Global!HM13</f>
        <v/>
      </c>
      <c r="J13" s="31" t="str">
        <f>Global!HN13</f>
        <v/>
      </c>
      <c r="K13" s="31" t="str">
        <f>Global!HO13</f>
        <v/>
      </c>
      <c r="L13" s="31" t="str">
        <f>Global!HP13</f>
        <v/>
      </c>
      <c r="M13" s="31" t="str">
        <f>Global!HQ13</f>
        <v/>
      </c>
      <c r="N13" s="31" t="str">
        <f>Global!HR13</f>
        <v/>
      </c>
      <c r="O13" s="31" t="str">
        <f>Global!HS13</f>
        <v/>
      </c>
      <c r="P13" s="31" t="str">
        <f>Global!HT13</f>
        <v/>
      </c>
      <c r="Q13" s="31" t="str">
        <f>Global!HU13</f>
        <v/>
      </c>
      <c r="R13" s="31" t="str">
        <f>Global!HV13</f>
        <v/>
      </c>
      <c r="S13" s="31" t="str">
        <f>Global!HW13</f>
        <v/>
      </c>
      <c r="T13" s="31" t="str">
        <f>Global!HX13</f>
        <v/>
      </c>
      <c r="U13" s="31" t="str">
        <f>Global!HY13</f>
        <v/>
      </c>
      <c r="V13" s="31" t="str">
        <f>Global!HZ13</f>
        <v/>
      </c>
      <c r="W13" s="31" t="str">
        <f>Global!IA13</f>
        <v/>
      </c>
      <c r="X13" s="31" t="str">
        <f>Global!IB13</f>
        <v/>
      </c>
      <c r="Y13" s="31" t="str">
        <f>Global!IC13</f>
        <v>C</v>
      </c>
      <c r="Z13" s="31" t="str">
        <f>Global!ID13</f>
        <v>C</v>
      </c>
      <c r="AA13" s="31" t="str">
        <f>Global!IE13</f>
        <v>C</v>
      </c>
      <c r="AB13" s="31" t="str">
        <f>Global!IF13</f>
        <v>C</v>
      </c>
      <c r="AC13" s="31" t="str">
        <f>Global!IG13</f>
        <v>C</v>
      </c>
      <c r="AD13" s="31" t="str">
        <f>Global!IH13</f>
        <v/>
      </c>
      <c r="AE13" s="31" t="str">
        <f>Global!II13</f>
        <v/>
      </c>
      <c r="AF13" s="31" t="str">
        <f>Global!IJ13</f>
        <v/>
      </c>
      <c r="AG13" s="31" t="str">
        <f>Global!IK13</f>
        <v/>
      </c>
      <c r="AH13" s="31" t="str">
        <f>Global!IL13</f>
        <v/>
      </c>
      <c r="AI13" s="31" t="str">
        <f>Global!IM13</f>
        <v/>
      </c>
      <c r="AJ13" s="48" t="str">
        <f>Global!IN13</f>
        <v/>
      </c>
      <c r="AK13" s="108">
        <f>COUNTIF(Août[[#This Row],[1]:[31]],"RTT")+(COUNTIF(Août[[#This Row],[1]:[31]],"dRTT")/2)</f>
        <v>0</v>
      </c>
      <c r="AL13" s="109">
        <f>COUNTIF(Août[[#This Row],[1]:[31]],"C")+(COUNTIF(Août[[#This Row],[1]:[31]],"DC")/2)</f>
        <v>5</v>
      </c>
      <c r="AM13" s="22">
        <f>COUNTIF(Août[[#This Row],[1]:[31]],"M")</f>
        <v>0</v>
      </c>
      <c r="AN13" s="22">
        <f>COUNTIF(Août[[#This Row],[1]:[31]],"AT")</f>
        <v>0</v>
      </c>
      <c r="AO13" s="84">
        <f>IF(AND(Août[[#This Row],[Maladie]]=0,Août[[#This Row],[AT]]=0),((10*(_xlfn.DAYS("31/08/2018","01/08/2018")+1))/365),((_xlfn.DAYS("31/08/2018","01/08/2018")+1-(Août[[#This Row],[Maladie]]+Août[[#This Row],[AT]]))*((10*(_xlfn.DAYS("31/08/2018","01/08/2018")+1))/365))/(_xlfn.DAYS("31/08/2018","01/08/2018")+1))</f>
        <v>0.84931506849315064</v>
      </c>
    </row>
    <row r="14" spans="1:41" ht="30" customHeight="1" x14ac:dyDescent="0.2">
      <c r="A14" s="15" t="s">
        <v>70</v>
      </c>
      <c r="B14" s="22" t="s">
        <v>147</v>
      </c>
      <c r="C14" s="22" t="s">
        <v>148</v>
      </c>
      <c r="D14" s="22" t="s">
        <v>149</v>
      </c>
      <c r="E14" s="44">
        <v>0</v>
      </c>
      <c r="F14" s="47" t="str">
        <f>Global!HJ14</f>
        <v>C</v>
      </c>
      <c r="G14" s="31" t="str">
        <f>Global!HK14</f>
        <v>C</v>
      </c>
      <c r="H14" s="31" t="str">
        <f>Global!HL14</f>
        <v>C</v>
      </c>
      <c r="I14" s="31" t="str">
        <f>Global!HM14</f>
        <v/>
      </c>
      <c r="J14" s="31" t="str">
        <f>Global!HN14</f>
        <v/>
      </c>
      <c r="K14" s="31" t="str">
        <f>Global!HO14</f>
        <v>C</v>
      </c>
      <c r="L14" s="31" t="str">
        <f>Global!HP14</f>
        <v>C</v>
      </c>
      <c r="M14" s="31" t="str">
        <f>Global!HQ14</f>
        <v>C</v>
      </c>
      <c r="N14" s="31" t="str">
        <f>Global!HR14</f>
        <v>C</v>
      </c>
      <c r="O14" s="31" t="str">
        <f>Global!HS14</f>
        <v>C</v>
      </c>
      <c r="P14" s="31" t="str">
        <f>Global!HT14</f>
        <v/>
      </c>
      <c r="Q14" s="31" t="str">
        <f>Global!HU14</f>
        <v/>
      </c>
      <c r="R14" s="31" t="str">
        <f>Global!HV14</f>
        <v/>
      </c>
      <c r="S14" s="31" t="str">
        <f>Global!HW14</f>
        <v/>
      </c>
      <c r="T14" s="31" t="str">
        <f>Global!HX14</f>
        <v/>
      </c>
      <c r="U14" s="31" t="str">
        <f>Global!HY14</f>
        <v/>
      </c>
      <c r="V14" s="31" t="str">
        <f>Global!HZ14</f>
        <v/>
      </c>
      <c r="W14" s="31" t="str">
        <f>Global!IA14</f>
        <v/>
      </c>
      <c r="X14" s="31" t="str">
        <f>Global!IB14</f>
        <v/>
      </c>
      <c r="Y14" s="31" t="str">
        <f>Global!IC14</f>
        <v/>
      </c>
      <c r="Z14" s="31" t="str">
        <f>Global!ID14</f>
        <v/>
      </c>
      <c r="AA14" s="31" t="str">
        <f>Global!IE14</f>
        <v/>
      </c>
      <c r="AB14" s="31" t="str">
        <f>Global!IF14</f>
        <v/>
      </c>
      <c r="AC14" s="31" t="str">
        <f>Global!IG14</f>
        <v/>
      </c>
      <c r="AD14" s="31" t="str">
        <f>Global!IH14</f>
        <v/>
      </c>
      <c r="AE14" s="31" t="str">
        <f>Global!II14</f>
        <v/>
      </c>
      <c r="AF14" s="31" t="str">
        <f>Global!IJ14</f>
        <v/>
      </c>
      <c r="AG14" s="31" t="str">
        <f>Global!IK14</f>
        <v/>
      </c>
      <c r="AH14" s="31" t="str">
        <f>Global!IL14</f>
        <v/>
      </c>
      <c r="AI14" s="31" t="str">
        <f>Global!IM14</f>
        <v/>
      </c>
      <c r="AJ14" s="48" t="str">
        <f>Global!IN14</f>
        <v/>
      </c>
      <c r="AK14" s="108">
        <f>COUNTIF(Août[[#This Row],[1]:[31]],"RTT")+(COUNTIF(Août[[#This Row],[1]:[31]],"dRTT")/2)</f>
        <v>0</v>
      </c>
      <c r="AL14" s="109">
        <f>COUNTIF(Août[[#This Row],[1]:[31]],"C")+(COUNTIF(Août[[#This Row],[1]:[31]],"DC")/2)</f>
        <v>8</v>
      </c>
      <c r="AM14" s="22">
        <f>COUNTIF(Août[[#This Row],[1]:[31]],"M")</f>
        <v>0</v>
      </c>
      <c r="AN14" s="22">
        <f>COUNTIF(Août[[#This Row],[1]:[31]],"AT")</f>
        <v>0</v>
      </c>
      <c r="AO14" s="84">
        <f>IF(AND(Août[[#This Row],[Maladie]]=0,Août[[#This Row],[AT]]=0),((10*(_xlfn.DAYS("31/08/2018","01/08/2018")+1))/365),((_xlfn.DAYS("31/08/2018","01/08/2018")+1-(Août[[#This Row],[Maladie]]+Août[[#This Row],[AT]]))*((10*(_xlfn.DAYS("31/08/2018","01/08/2018")+1))/365))/(_xlfn.DAYS("31/08/2018","01/08/2018")+1))</f>
        <v>0.84931506849315064</v>
      </c>
    </row>
    <row r="15" spans="1:41" ht="30" customHeight="1" x14ac:dyDescent="0.2">
      <c r="A15" s="15" t="s">
        <v>71</v>
      </c>
      <c r="B15" s="22" t="s">
        <v>150</v>
      </c>
      <c r="C15" s="22" t="s">
        <v>151</v>
      </c>
      <c r="D15" s="22" t="s">
        <v>152</v>
      </c>
      <c r="E15" s="44">
        <v>0</v>
      </c>
      <c r="F15" s="47" t="str">
        <f>Global!HJ15</f>
        <v/>
      </c>
      <c r="G15" s="31" t="str">
        <f>Global!HK15</f>
        <v/>
      </c>
      <c r="H15" s="31" t="str">
        <f>Global!HL15</f>
        <v/>
      </c>
      <c r="I15" s="31" t="str">
        <f>Global!HM15</f>
        <v/>
      </c>
      <c r="J15" s="31" t="str">
        <f>Global!HN15</f>
        <v/>
      </c>
      <c r="K15" s="31" t="str">
        <f>Global!HO15</f>
        <v/>
      </c>
      <c r="L15" s="31" t="str">
        <f>Global!HP15</f>
        <v/>
      </c>
      <c r="M15" s="31" t="str">
        <f>Global!HQ15</f>
        <v/>
      </c>
      <c r="N15" s="31" t="str">
        <f>Global!HR15</f>
        <v/>
      </c>
      <c r="O15" s="31" t="str">
        <f>Global!HS15</f>
        <v/>
      </c>
      <c r="P15" s="31" t="str">
        <f>Global!HT15</f>
        <v/>
      </c>
      <c r="Q15" s="31" t="str">
        <f>Global!HU15</f>
        <v/>
      </c>
      <c r="R15" s="31" t="str">
        <f>Global!HV15</f>
        <v/>
      </c>
      <c r="S15" s="31" t="str">
        <f>Global!HW15</f>
        <v/>
      </c>
      <c r="T15" s="31" t="str">
        <f>Global!HX15</f>
        <v/>
      </c>
      <c r="U15" s="31" t="str">
        <f>Global!HY15</f>
        <v/>
      </c>
      <c r="V15" s="31" t="str">
        <f>Global!HZ15</f>
        <v/>
      </c>
      <c r="W15" s="31" t="str">
        <f>Global!IA15</f>
        <v/>
      </c>
      <c r="X15" s="31" t="str">
        <f>Global!IB15</f>
        <v/>
      </c>
      <c r="Y15" s="31" t="str">
        <f>Global!IC15</f>
        <v/>
      </c>
      <c r="Z15" s="31" t="str">
        <f>Global!ID15</f>
        <v/>
      </c>
      <c r="AA15" s="31" t="str">
        <f>Global!IE15</f>
        <v/>
      </c>
      <c r="AB15" s="31" t="str">
        <f>Global!IF15</f>
        <v/>
      </c>
      <c r="AC15" s="31" t="str">
        <f>Global!IG15</f>
        <v/>
      </c>
      <c r="AD15" s="31" t="str">
        <f>Global!IH15</f>
        <v/>
      </c>
      <c r="AE15" s="31" t="str">
        <f>Global!II15</f>
        <v/>
      </c>
      <c r="AF15" s="31" t="str">
        <f>Global!IJ15</f>
        <v/>
      </c>
      <c r="AG15" s="31" t="str">
        <f>Global!IK15</f>
        <v/>
      </c>
      <c r="AH15" s="31" t="str">
        <f>Global!IL15</f>
        <v/>
      </c>
      <c r="AI15" s="31" t="str">
        <f>Global!IM15</f>
        <v/>
      </c>
      <c r="AJ15" s="48" t="str">
        <f>Global!IN15</f>
        <v/>
      </c>
      <c r="AK15" s="108">
        <f>COUNTIF(Août[[#This Row],[1]:[31]],"RTT")+(COUNTIF(Août[[#This Row],[1]:[31]],"dRTT")/2)</f>
        <v>0</v>
      </c>
      <c r="AL15" s="109">
        <f>COUNTIF(Août[[#This Row],[1]:[31]],"C")+(COUNTIF(Août[[#This Row],[1]:[31]],"DC")/2)</f>
        <v>0</v>
      </c>
      <c r="AM15" s="22">
        <f>COUNTIF(Août[[#This Row],[1]:[31]],"M")</f>
        <v>0</v>
      </c>
      <c r="AN15" s="22">
        <f>COUNTIF(Août[[#This Row],[1]:[31]],"AT")</f>
        <v>0</v>
      </c>
      <c r="AO15" s="84">
        <f>IF(AND(Août[[#This Row],[Maladie]]=0,Août[[#This Row],[AT]]=0),((10*(_xlfn.DAYS("31/08/2018","01/08/2018")+1))/365),((_xlfn.DAYS("31/08/2018","01/08/2018")+1-(Août[[#This Row],[Maladie]]+Août[[#This Row],[AT]]))*((10*(_xlfn.DAYS("31/08/2018","01/08/2018")+1))/365))/(_xlfn.DAYS("31/08/2018","01/08/2018")+1))</f>
        <v>0.84931506849315064</v>
      </c>
    </row>
    <row r="16" spans="1:41" ht="30" customHeight="1" x14ac:dyDescent="0.2">
      <c r="A16" s="15" t="s">
        <v>72</v>
      </c>
      <c r="B16" s="22" t="s">
        <v>153</v>
      </c>
      <c r="C16" s="22" t="s">
        <v>154</v>
      </c>
      <c r="D16" s="22" t="s">
        <v>155</v>
      </c>
      <c r="E16" s="44">
        <v>0</v>
      </c>
      <c r="F16" s="47" t="str">
        <f>Global!HJ16</f>
        <v/>
      </c>
      <c r="G16" s="31" t="str">
        <f>Global!HK16</f>
        <v/>
      </c>
      <c r="H16" s="31" t="str">
        <f>Global!HL16</f>
        <v/>
      </c>
      <c r="I16" s="31" t="str">
        <f>Global!HM16</f>
        <v/>
      </c>
      <c r="J16" s="31" t="str">
        <f>Global!HN16</f>
        <v/>
      </c>
      <c r="K16" s="31" t="str">
        <f>Global!HO16</f>
        <v/>
      </c>
      <c r="L16" s="31" t="str">
        <f>Global!HP16</f>
        <v/>
      </c>
      <c r="M16" s="31" t="str">
        <f>Global!HQ16</f>
        <v/>
      </c>
      <c r="N16" s="31" t="str">
        <f>Global!HR16</f>
        <v/>
      </c>
      <c r="O16" s="31" t="str">
        <f>Global!HS16</f>
        <v/>
      </c>
      <c r="P16" s="31" t="str">
        <f>Global!HT16</f>
        <v/>
      </c>
      <c r="Q16" s="31" t="str">
        <f>Global!HU16</f>
        <v/>
      </c>
      <c r="R16" s="31" t="str">
        <f>Global!HV16</f>
        <v>C</v>
      </c>
      <c r="S16" s="31" t="str">
        <f>Global!HW16</f>
        <v>C</v>
      </c>
      <c r="T16" s="31" t="str">
        <f>Global!HX16</f>
        <v/>
      </c>
      <c r="U16" s="31" t="str">
        <f>Global!HY16</f>
        <v>C</v>
      </c>
      <c r="V16" s="31" t="str">
        <f>Global!HZ16</f>
        <v>C</v>
      </c>
      <c r="W16" s="31" t="str">
        <f>Global!IA16</f>
        <v/>
      </c>
      <c r="X16" s="31" t="str">
        <f>Global!IB16</f>
        <v/>
      </c>
      <c r="Y16" s="31" t="str">
        <f>Global!IC16</f>
        <v>C</v>
      </c>
      <c r="Z16" s="31" t="str">
        <f>Global!ID16</f>
        <v>C</v>
      </c>
      <c r="AA16" s="31" t="str">
        <f>Global!IE16</f>
        <v>C</v>
      </c>
      <c r="AB16" s="31" t="str">
        <f>Global!IF16</f>
        <v>C</v>
      </c>
      <c r="AC16" s="31" t="str">
        <f>Global!IG16</f>
        <v>C</v>
      </c>
      <c r="AD16" s="31" t="str">
        <f>Global!IH16</f>
        <v/>
      </c>
      <c r="AE16" s="31" t="str">
        <f>Global!II16</f>
        <v/>
      </c>
      <c r="AF16" s="31" t="str">
        <f>Global!IJ16</f>
        <v/>
      </c>
      <c r="AG16" s="31" t="str">
        <f>Global!IK16</f>
        <v/>
      </c>
      <c r="AH16" s="31" t="str">
        <f>Global!IL16</f>
        <v/>
      </c>
      <c r="AI16" s="31" t="str">
        <f>Global!IM16</f>
        <v/>
      </c>
      <c r="AJ16" s="48" t="str">
        <f>Global!IN16</f>
        <v/>
      </c>
      <c r="AK16" s="108">
        <f>COUNTIF(Août[[#This Row],[1]:[31]],"RTT")+(COUNTIF(Août[[#This Row],[1]:[31]],"dRTT")/2)</f>
        <v>0</v>
      </c>
      <c r="AL16" s="109">
        <f>COUNTIF(Août[[#This Row],[1]:[31]],"C")+(COUNTIF(Août[[#This Row],[1]:[31]],"DC")/2)</f>
        <v>9</v>
      </c>
      <c r="AM16" s="22">
        <f>COUNTIF(Août[[#This Row],[1]:[31]],"M")</f>
        <v>0</v>
      </c>
      <c r="AN16" s="22">
        <f>COUNTIF(Août[[#This Row],[1]:[31]],"AT")</f>
        <v>0</v>
      </c>
      <c r="AO16" s="84">
        <f>IF(AND(Août[[#This Row],[Maladie]]=0,Août[[#This Row],[AT]]=0),((10*(_xlfn.DAYS("31/08/2018","01/08/2018")+1))/365),((_xlfn.DAYS("31/08/2018","01/08/2018")+1-(Août[[#This Row],[Maladie]]+Août[[#This Row],[AT]]))*((10*(_xlfn.DAYS("31/08/2018","01/08/2018")+1))/365))/(_xlfn.DAYS("31/08/2018","01/08/2018")+1))</f>
        <v>0.84931506849315064</v>
      </c>
    </row>
    <row r="17" spans="1:41" ht="30" customHeight="1" x14ac:dyDescent="0.2">
      <c r="A17" s="15" t="s">
        <v>73</v>
      </c>
      <c r="B17" s="22" t="s">
        <v>156</v>
      </c>
      <c r="C17" s="22" t="s">
        <v>157</v>
      </c>
      <c r="D17" s="22" t="s">
        <v>158</v>
      </c>
      <c r="E17" s="44">
        <v>0</v>
      </c>
      <c r="F17" s="47" t="str">
        <f>Global!HJ17</f>
        <v/>
      </c>
      <c r="G17" s="31" t="str">
        <f>Global!HK17</f>
        <v/>
      </c>
      <c r="H17" s="31" t="str">
        <f>Global!HL17</f>
        <v/>
      </c>
      <c r="I17" s="31" t="str">
        <f>Global!HM17</f>
        <v/>
      </c>
      <c r="J17" s="31" t="str">
        <f>Global!HN17</f>
        <v/>
      </c>
      <c r="K17" s="31" t="str">
        <f>Global!HO17</f>
        <v/>
      </c>
      <c r="L17" s="31" t="str">
        <f>Global!HP17</f>
        <v/>
      </c>
      <c r="M17" s="31" t="str">
        <f>Global!HQ17</f>
        <v/>
      </c>
      <c r="N17" s="31" t="str">
        <f>Global!HR17</f>
        <v/>
      </c>
      <c r="O17" s="31" t="str">
        <f>Global!HS17</f>
        <v/>
      </c>
      <c r="P17" s="31" t="str">
        <f>Global!HT17</f>
        <v/>
      </c>
      <c r="Q17" s="31" t="str">
        <f>Global!HU17</f>
        <v/>
      </c>
      <c r="R17" s="31" t="str">
        <f>Global!HV17</f>
        <v/>
      </c>
      <c r="S17" s="31" t="str">
        <f>Global!HW17</f>
        <v/>
      </c>
      <c r="T17" s="31" t="str">
        <f>Global!HX17</f>
        <v/>
      </c>
      <c r="U17" s="31" t="str">
        <f>Global!HY17</f>
        <v/>
      </c>
      <c r="V17" s="31" t="str">
        <f>Global!HZ17</f>
        <v/>
      </c>
      <c r="W17" s="31" t="str">
        <f>Global!IA17</f>
        <v/>
      </c>
      <c r="X17" s="31" t="str">
        <f>Global!IB17</f>
        <v/>
      </c>
      <c r="Y17" s="31" t="str">
        <f>Global!IC17</f>
        <v/>
      </c>
      <c r="Z17" s="31" t="str">
        <f>Global!ID17</f>
        <v/>
      </c>
      <c r="AA17" s="31" t="str">
        <f>Global!IE17</f>
        <v/>
      </c>
      <c r="AB17" s="31" t="str">
        <f>Global!IF17</f>
        <v/>
      </c>
      <c r="AC17" s="31" t="str">
        <f>Global!IG17</f>
        <v/>
      </c>
      <c r="AD17" s="31" t="str">
        <f>Global!IH17</f>
        <v/>
      </c>
      <c r="AE17" s="31" t="str">
        <f>Global!II17</f>
        <v/>
      </c>
      <c r="AF17" s="31" t="str">
        <f>Global!IJ17</f>
        <v/>
      </c>
      <c r="AG17" s="31" t="str">
        <f>Global!IK17</f>
        <v/>
      </c>
      <c r="AH17" s="31" t="str">
        <f>Global!IL17</f>
        <v/>
      </c>
      <c r="AI17" s="31" t="str">
        <f>Global!IM17</f>
        <v/>
      </c>
      <c r="AJ17" s="48" t="str">
        <f>Global!IN17</f>
        <v/>
      </c>
      <c r="AK17" s="108">
        <f>COUNTIF(Août[[#This Row],[1]:[31]],"RTT")+(COUNTIF(Août[[#This Row],[1]:[31]],"dRTT")/2)</f>
        <v>0</v>
      </c>
      <c r="AL17" s="109">
        <f>COUNTIF(Août[[#This Row],[1]:[31]],"C")+(COUNTIF(Août[[#This Row],[1]:[31]],"DC")/2)</f>
        <v>0</v>
      </c>
      <c r="AM17" s="22">
        <f>COUNTIF(Août[[#This Row],[1]:[31]],"M")</f>
        <v>0</v>
      </c>
      <c r="AN17" s="22">
        <f>COUNTIF(Août[[#This Row],[1]:[31]],"AT")</f>
        <v>0</v>
      </c>
      <c r="AO17" s="84">
        <f>IF(AND(Août[[#This Row],[Maladie]]=0,Août[[#This Row],[AT]]=0),((10*(_xlfn.DAYS("31/08/2018","01/08/2018")+1))/365),((_xlfn.DAYS("31/08/2018","01/08/2018")+1-(Août[[#This Row],[Maladie]]+Août[[#This Row],[AT]]))*((10*(_xlfn.DAYS("31/08/2018","01/08/2018")+1))/365))/(_xlfn.DAYS("31/08/2018","01/08/2018")+1))</f>
        <v>0.84931506849315064</v>
      </c>
    </row>
    <row r="18" spans="1:41" ht="30" customHeight="1" x14ac:dyDescent="0.2">
      <c r="A18" s="15" t="s">
        <v>74</v>
      </c>
      <c r="B18" s="22" t="s">
        <v>159</v>
      </c>
      <c r="C18" s="22" t="s">
        <v>160</v>
      </c>
      <c r="D18" s="22" t="s">
        <v>161</v>
      </c>
      <c r="E18" s="44" t="s">
        <v>162</v>
      </c>
      <c r="F18" s="47" t="str">
        <f>Global!HJ18</f>
        <v/>
      </c>
      <c r="G18" s="31" t="str">
        <f>Global!HK18</f>
        <v/>
      </c>
      <c r="H18" s="31" t="str">
        <f>Global!HL18</f>
        <v/>
      </c>
      <c r="I18" s="31" t="str">
        <f>Global!HM18</f>
        <v/>
      </c>
      <c r="J18" s="31" t="str">
        <f>Global!HN18</f>
        <v/>
      </c>
      <c r="K18" s="31" t="str">
        <f>Global!HO18</f>
        <v/>
      </c>
      <c r="L18" s="31" t="str">
        <f>Global!HP18</f>
        <v/>
      </c>
      <c r="M18" s="31" t="str">
        <f>Global!HQ18</f>
        <v/>
      </c>
      <c r="N18" s="31" t="str">
        <f>Global!HR18</f>
        <v/>
      </c>
      <c r="O18" s="31" t="str">
        <f>Global!HS18</f>
        <v/>
      </c>
      <c r="P18" s="31" t="str">
        <f>Global!HT18</f>
        <v/>
      </c>
      <c r="Q18" s="31" t="str">
        <f>Global!HU18</f>
        <v/>
      </c>
      <c r="R18" s="31" t="str">
        <f>Global!HV18</f>
        <v/>
      </c>
      <c r="S18" s="31" t="str">
        <f>Global!HW18</f>
        <v/>
      </c>
      <c r="T18" s="31" t="str">
        <f>Global!HX18</f>
        <v/>
      </c>
      <c r="U18" s="31" t="str">
        <f>Global!HY18</f>
        <v/>
      </c>
      <c r="V18" s="31" t="str">
        <f>Global!HZ18</f>
        <v/>
      </c>
      <c r="W18" s="31" t="str">
        <f>Global!IA18</f>
        <v/>
      </c>
      <c r="X18" s="31" t="str">
        <f>Global!IB18</f>
        <v/>
      </c>
      <c r="Y18" s="31" t="str">
        <f>Global!IC18</f>
        <v/>
      </c>
      <c r="Z18" s="31" t="str">
        <f>Global!ID18</f>
        <v/>
      </c>
      <c r="AA18" s="31" t="str">
        <f>Global!IE18</f>
        <v/>
      </c>
      <c r="AB18" s="31" t="str">
        <f>Global!IF18</f>
        <v/>
      </c>
      <c r="AC18" s="31" t="str">
        <f>Global!IG18</f>
        <v/>
      </c>
      <c r="AD18" s="31" t="str">
        <f>Global!IH18</f>
        <v/>
      </c>
      <c r="AE18" s="31" t="str">
        <f>Global!II18</f>
        <v/>
      </c>
      <c r="AF18" s="31" t="str">
        <f>Global!IJ18</f>
        <v/>
      </c>
      <c r="AG18" s="31" t="str">
        <f>Global!IK18</f>
        <v/>
      </c>
      <c r="AH18" s="31" t="str">
        <f>Global!IL18</f>
        <v/>
      </c>
      <c r="AI18" s="31" t="str">
        <f>Global!IM18</f>
        <v/>
      </c>
      <c r="AJ18" s="48" t="str">
        <f>Global!IN18</f>
        <v/>
      </c>
      <c r="AK18" s="108">
        <f>COUNTIF(Août[[#This Row],[1]:[31]],"RTT")+(COUNTIF(Août[[#This Row],[1]:[31]],"dRTT")/2)</f>
        <v>0</v>
      </c>
      <c r="AL18" s="109">
        <f>COUNTIF(Août[[#This Row],[1]:[31]],"C")+(COUNTIF(Août[[#This Row],[1]:[31]],"DC")/2)</f>
        <v>0</v>
      </c>
      <c r="AM18" s="22">
        <f>COUNTIF(Août[[#This Row],[1]:[31]],"M")</f>
        <v>0</v>
      </c>
      <c r="AN18" s="22">
        <f>COUNTIF(Août[[#This Row],[1]:[31]],"AT")</f>
        <v>0</v>
      </c>
      <c r="AO18" s="84">
        <f>IF(AND(Août[[#This Row],[Maladie]]=0,Août[[#This Row],[AT]]=0),((10*(_xlfn.DAYS("31/08/2018","01/08/2018")+1))/365),((_xlfn.DAYS("31/08/2018","01/08/2018")+1-(Août[[#This Row],[Maladie]]+Août[[#This Row],[AT]]))*((10*(_xlfn.DAYS("31/08/2018","01/08/2018")+1))/365))/(_xlfn.DAYS("31/08/2018","01/08/2018")+1))</f>
        <v>0.84931506849315064</v>
      </c>
    </row>
    <row r="19" spans="1:41" ht="30" customHeight="1" x14ac:dyDescent="0.2">
      <c r="A19" s="15" t="s">
        <v>75</v>
      </c>
      <c r="B19" s="22" t="s">
        <v>163</v>
      </c>
      <c r="C19" s="22" t="s">
        <v>164</v>
      </c>
      <c r="D19" s="22" t="s">
        <v>165</v>
      </c>
      <c r="E19" s="44">
        <v>0</v>
      </c>
      <c r="F19" s="47" t="str">
        <f>Global!HJ19</f>
        <v/>
      </c>
      <c r="G19" s="31" t="str">
        <f>Global!HK19</f>
        <v/>
      </c>
      <c r="H19" s="31" t="str">
        <f>Global!HL19</f>
        <v/>
      </c>
      <c r="I19" s="31" t="str">
        <f>Global!HM19</f>
        <v/>
      </c>
      <c r="J19" s="31" t="str">
        <f>Global!HN19</f>
        <v/>
      </c>
      <c r="K19" s="31" t="str">
        <f>Global!HO19</f>
        <v/>
      </c>
      <c r="L19" s="31" t="str">
        <f>Global!HP19</f>
        <v/>
      </c>
      <c r="M19" s="31" t="str">
        <f>Global!HQ19</f>
        <v/>
      </c>
      <c r="N19" s="31" t="str">
        <f>Global!HR19</f>
        <v/>
      </c>
      <c r="O19" s="31" t="str">
        <f>Global!HS19</f>
        <v/>
      </c>
      <c r="P19" s="31" t="str">
        <f>Global!HT19</f>
        <v/>
      </c>
      <c r="Q19" s="31" t="str">
        <f>Global!HU19</f>
        <v/>
      </c>
      <c r="R19" s="31" t="str">
        <f>Global!HV19</f>
        <v>C</v>
      </c>
      <c r="S19" s="31" t="str">
        <f>Global!HW19</f>
        <v>C</v>
      </c>
      <c r="T19" s="31" t="str">
        <f>Global!HX19</f>
        <v/>
      </c>
      <c r="U19" s="31" t="str">
        <f>Global!HY19</f>
        <v>C</v>
      </c>
      <c r="V19" s="31" t="str">
        <f>Global!HZ19</f>
        <v>C</v>
      </c>
      <c r="W19" s="31" t="str">
        <f>Global!IA19</f>
        <v/>
      </c>
      <c r="X19" s="31" t="str">
        <f>Global!IB19</f>
        <v/>
      </c>
      <c r="Y19" s="31" t="str">
        <f>Global!IC19</f>
        <v>C</v>
      </c>
      <c r="Z19" s="31" t="str">
        <f>Global!ID19</f>
        <v>C</v>
      </c>
      <c r="AA19" s="31" t="str">
        <f>Global!IE19</f>
        <v>C</v>
      </c>
      <c r="AB19" s="31" t="str">
        <f>Global!IF19</f>
        <v>C</v>
      </c>
      <c r="AC19" s="31" t="str">
        <f>Global!IG19</f>
        <v>C</v>
      </c>
      <c r="AD19" s="31" t="str">
        <f>Global!IH19</f>
        <v/>
      </c>
      <c r="AE19" s="31" t="str">
        <f>Global!II19</f>
        <v/>
      </c>
      <c r="AF19" s="31" t="str">
        <f>Global!IJ19</f>
        <v/>
      </c>
      <c r="AG19" s="31" t="str">
        <f>Global!IK19</f>
        <v/>
      </c>
      <c r="AH19" s="31" t="str">
        <f>Global!IL19</f>
        <v/>
      </c>
      <c r="AI19" s="31" t="str">
        <f>Global!IM19</f>
        <v/>
      </c>
      <c r="AJ19" s="48" t="str">
        <f>Global!IN19</f>
        <v/>
      </c>
      <c r="AK19" s="108">
        <f>COUNTIF(Août[[#This Row],[1]:[31]],"RTT")+(COUNTIF(Août[[#This Row],[1]:[31]],"dRTT")/2)</f>
        <v>0</v>
      </c>
      <c r="AL19" s="109">
        <f>COUNTIF(Août[[#This Row],[1]:[31]],"C")+(COUNTIF(Août[[#This Row],[1]:[31]],"DC")/2)</f>
        <v>9</v>
      </c>
      <c r="AM19" s="22">
        <f>COUNTIF(Août[[#This Row],[1]:[31]],"M")</f>
        <v>0</v>
      </c>
      <c r="AN19" s="22">
        <f>COUNTIF(Août[[#This Row],[1]:[31]],"AT")</f>
        <v>0</v>
      </c>
      <c r="AO19" s="84">
        <f>IF(AND(Août[[#This Row],[Maladie]]=0,Août[[#This Row],[AT]]=0),((10*(_xlfn.DAYS("31/08/2018","01/08/2018")+1))/365),((_xlfn.DAYS("31/08/2018","01/08/2018")+1-(Août[[#This Row],[Maladie]]+Août[[#This Row],[AT]]))*((10*(_xlfn.DAYS("31/08/2018","01/08/2018")+1))/365))/(_xlfn.DAYS("31/08/2018","01/08/2018")+1))</f>
        <v>0.84931506849315064</v>
      </c>
    </row>
    <row r="20" spans="1:41" ht="30" customHeight="1" x14ac:dyDescent="0.2">
      <c r="A20" s="15" t="s">
        <v>76</v>
      </c>
      <c r="B20" s="22" t="s">
        <v>166</v>
      </c>
      <c r="C20" s="22" t="s">
        <v>151</v>
      </c>
      <c r="D20" s="22" t="s">
        <v>167</v>
      </c>
      <c r="E20" s="44">
        <v>0</v>
      </c>
      <c r="F20" s="47" t="str">
        <f>Global!HJ20</f>
        <v>C</v>
      </c>
      <c r="G20" s="31" t="str">
        <f>Global!HK20</f>
        <v>C</v>
      </c>
      <c r="H20" s="31" t="str">
        <f>Global!HL20</f>
        <v>C</v>
      </c>
      <c r="I20" s="31" t="str">
        <f>Global!HM20</f>
        <v/>
      </c>
      <c r="J20" s="31" t="str">
        <f>Global!HN20</f>
        <v/>
      </c>
      <c r="K20" s="31" t="str">
        <f>Global!HO20</f>
        <v>C</v>
      </c>
      <c r="L20" s="31" t="str">
        <f>Global!HP20</f>
        <v>C</v>
      </c>
      <c r="M20" s="31" t="str">
        <f>Global!HQ20</f>
        <v>C</v>
      </c>
      <c r="N20" s="31" t="str">
        <f>Global!HR20</f>
        <v>C</v>
      </c>
      <c r="O20" s="31" t="str">
        <f>Global!HS20</f>
        <v>C</v>
      </c>
      <c r="P20" s="31" t="str">
        <f>Global!HT20</f>
        <v/>
      </c>
      <c r="Q20" s="31" t="str">
        <f>Global!HU20</f>
        <v/>
      </c>
      <c r="R20" s="31" t="str">
        <f>Global!HV20</f>
        <v/>
      </c>
      <c r="S20" s="31" t="str">
        <f>Global!HW20</f>
        <v/>
      </c>
      <c r="T20" s="31" t="str">
        <f>Global!HX20</f>
        <v/>
      </c>
      <c r="U20" s="31" t="str">
        <f>Global!HY20</f>
        <v/>
      </c>
      <c r="V20" s="31" t="str">
        <f>Global!HZ20</f>
        <v/>
      </c>
      <c r="W20" s="31" t="str">
        <f>Global!IA20</f>
        <v/>
      </c>
      <c r="X20" s="31" t="str">
        <f>Global!IB20</f>
        <v/>
      </c>
      <c r="Y20" s="31" t="str">
        <f>Global!IC20</f>
        <v/>
      </c>
      <c r="Z20" s="31" t="str">
        <f>Global!ID20</f>
        <v/>
      </c>
      <c r="AA20" s="31" t="str">
        <f>Global!IE20</f>
        <v/>
      </c>
      <c r="AB20" s="31" t="str">
        <f>Global!IF20</f>
        <v/>
      </c>
      <c r="AC20" s="31" t="str">
        <f>Global!IG20</f>
        <v/>
      </c>
      <c r="AD20" s="31" t="str">
        <f>Global!IH20</f>
        <v/>
      </c>
      <c r="AE20" s="31" t="str">
        <f>Global!II20</f>
        <v/>
      </c>
      <c r="AF20" s="31" t="str">
        <f>Global!IJ20</f>
        <v/>
      </c>
      <c r="AG20" s="31" t="str">
        <f>Global!IK20</f>
        <v/>
      </c>
      <c r="AH20" s="31" t="str">
        <f>Global!IL20</f>
        <v/>
      </c>
      <c r="AI20" s="31" t="str">
        <f>Global!IM20</f>
        <v/>
      </c>
      <c r="AJ20" s="48" t="str">
        <f>Global!IN20</f>
        <v/>
      </c>
      <c r="AK20" s="108">
        <f>COUNTIF(Août[[#This Row],[1]:[31]],"RTT")+(COUNTIF(Août[[#This Row],[1]:[31]],"dRTT")/2)</f>
        <v>0</v>
      </c>
      <c r="AL20" s="109">
        <f>COUNTIF(Août[[#This Row],[1]:[31]],"C")+(COUNTIF(Août[[#This Row],[1]:[31]],"DC")/2)</f>
        <v>8</v>
      </c>
      <c r="AM20" s="22">
        <f>COUNTIF(Août[[#This Row],[1]:[31]],"M")</f>
        <v>0</v>
      </c>
      <c r="AN20" s="22">
        <f>COUNTIF(Août[[#This Row],[1]:[31]],"AT")</f>
        <v>0</v>
      </c>
      <c r="AO20" s="84">
        <f>IF(AND(Août[[#This Row],[Maladie]]=0,Août[[#This Row],[AT]]=0),((10*(_xlfn.DAYS("31/08/2018","01/08/2018")+1))/365),((_xlfn.DAYS("31/08/2018","01/08/2018")+1-(Août[[#This Row],[Maladie]]+Août[[#This Row],[AT]]))*((10*(_xlfn.DAYS("31/08/2018","01/08/2018")+1))/365))/(_xlfn.DAYS("31/08/2018","01/08/2018")+1))</f>
        <v>0.84931506849315064</v>
      </c>
    </row>
    <row r="21" spans="1:41" ht="30" customHeight="1" x14ac:dyDescent="0.2">
      <c r="A21" s="15" t="s">
        <v>77</v>
      </c>
      <c r="B21" s="22" t="s">
        <v>168</v>
      </c>
      <c r="C21" s="22" t="s">
        <v>169</v>
      </c>
      <c r="D21" s="22" t="s">
        <v>170</v>
      </c>
      <c r="E21" s="44">
        <v>0</v>
      </c>
      <c r="F21" s="47" t="str">
        <f>Global!HJ21</f>
        <v>C</v>
      </c>
      <c r="G21" s="31" t="str">
        <f>Global!HK21</f>
        <v>C</v>
      </c>
      <c r="H21" s="31" t="str">
        <f>Global!HL21</f>
        <v>C</v>
      </c>
      <c r="I21" s="31" t="str">
        <f>Global!HM21</f>
        <v/>
      </c>
      <c r="J21" s="31" t="str">
        <f>Global!HN21</f>
        <v/>
      </c>
      <c r="K21" s="31" t="str">
        <f>Global!HO21</f>
        <v>C</v>
      </c>
      <c r="L21" s="31" t="str">
        <f>Global!HP21</f>
        <v>C</v>
      </c>
      <c r="M21" s="31" t="str">
        <f>Global!HQ21</f>
        <v>C</v>
      </c>
      <c r="N21" s="31" t="str">
        <f>Global!HR21</f>
        <v>C</v>
      </c>
      <c r="O21" s="31" t="str">
        <f>Global!HS21</f>
        <v>C</v>
      </c>
      <c r="P21" s="31" t="str">
        <f>Global!HT21</f>
        <v/>
      </c>
      <c r="Q21" s="31" t="str">
        <f>Global!HU21</f>
        <v/>
      </c>
      <c r="R21" s="31" t="str">
        <f>Global!HV21</f>
        <v/>
      </c>
      <c r="S21" s="31" t="str">
        <f>Global!HW21</f>
        <v/>
      </c>
      <c r="T21" s="31" t="str">
        <f>Global!HX21</f>
        <v/>
      </c>
      <c r="U21" s="31" t="str">
        <f>Global!HY21</f>
        <v/>
      </c>
      <c r="V21" s="31" t="str">
        <f>Global!HZ21</f>
        <v/>
      </c>
      <c r="W21" s="31" t="str">
        <f>Global!IA21</f>
        <v/>
      </c>
      <c r="X21" s="31" t="str">
        <f>Global!IB21</f>
        <v/>
      </c>
      <c r="Y21" s="31" t="str">
        <f>Global!IC21</f>
        <v/>
      </c>
      <c r="Z21" s="31" t="str">
        <f>Global!ID21</f>
        <v/>
      </c>
      <c r="AA21" s="31" t="str">
        <f>Global!IE21</f>
        <v/>
      </c>
      <c r="AB21" s="31" t="str">
        <f>Global!IF21</f>
        <v/>
      </c>
      <c r="AC21" s="31" t="str">
        <f>Global!IG21</f>
        <v/>
      </c>
      <c r="AD21" s="31" t="str">
        <f>Global!IH21</f>
        <v/>
      </c>
      <c r="AE21" s="31" t="str">
        <f>Global!II21</f>
        <v/>
      </c>
      <c r="AF21" s="31" t="str">
        <f>Global!IJ21</f>
        <v/>
      </c>
      <c r="AG21" s="31" t="str">
        <f>Global!IK21</f>
        <v/>
      </c>
      <c r="AH21" s="31" t="str">
        <f>Global!IL21</f>
        <v/>
      </c>
      <c r="AI21" s="31" t="str">
        <f>Global!IM21</f>
        <v/>
      </c>
      <c r="AJ21" s="48" t="str">
        <f>Global!IN21</f>
        <v/>
      </c>
      <c r="AK21" s="108">
        <f>COUNTIF(Août[[#This Row],[1]:[31]],"RTT")+(COUNTIF(Août[[#This Row],[1]:[31]],"dRTT")/2)</f>
        <v>0</v>
      </c>
      <c r="AL21" s="109">
        <f>COUNTIF(Août[[#This Row],[1]:[31]],"C")+(COUNTIF(Août[[#This Row],[1]:[31]],"DC")/2)</f>
        <v>8</v>
      </c>
      <c r="AM21" s="22">
        <f>COUNTIF(Août[[#This Row],[1]:[31]],"M")</f>
        <v>0</v>
      </c>
      <c r="AN21" s="22">
        <f>COUNTIF(Août[[#This Row],[1]:[31]],"AT")</f>
        <v>0</v>
      </c>
      <c r="AO21" s="84">
        <f>IF(AND(Août[[#This Row],[Maladie]]=0,Août[[#This Row],[AT]]=0),((10*(_xlfn.DAYS("31/08/2018","01/08/2018")+1))/365),((_xlfn.DAYS("31/08/2018","01/08/2018")+1-(Août[[#This Row],[Maladie]]+Août[[#This Row],[AT]]))*((10*(_xlfn.DAYS("31/08/2018","01/08/2018")+1))/365))/(_xlfn.DAYS("31/08/2018","01/08/2018")+1))</f>
        <v>0.84931506849315064</v>
      </c>
    </row>
    <row r="22" spans="1:41" ht="30" customHeight="1" x14ac:dyDescent="0.2">
      <c r="A22" s="13" t="s">
        <v>78</v>
      </c>
      <c r="B22" s="22" t="s">
        <v>171</v>
      </c>
      <c r="C22" s="22" t="s">
        <v>172</v>
      </c>
      <c r="D22" s="22" t="s">
        <v>173</v>
      </c>
      <c r="E22" s="44">
        <v>0</v>
      </c>
      <c r="F22" s="47" t="str">
        <f>Global!HJ22</f>
        <v/>
      </c>
      <c r="G22" s="31" t="str">
        <f>Global!HK22</f>
        <v/>
      </c>
      <c r="H22" s="31" t="str">
        <f>Global!HL22</f>
        <v/>
      </c>
      <c r="I22" s="31" t="str">
        <f>Global!HM22</f>
        <v/>
      </c>
      <c r="J22" s="31" t="str">
        <f>Global!HN22</f>
        <v/>
      </c>
      <c r="K22" s="31" t="str">
        <f>Global!HO22</f>
        <v/>
      </c>
      <c r="L22" s="31" t="str">
        <f>Global!HP22</f>
        <v/>
      </c>
      <c r="M22" s="31" t="str">
        <f>Global!HQ22</f>
        <v/>
      </c>
      <c r="N22" s="31" t="str">
        <f>Global!HR22</f>
        <v/>
      </c>
      <c r="O22" s="31" t="str">
        <f>Global!HS22</f>
        <v/>
      </c>
      <c r="P22" s="31" t="str">
        <f>Global!HT22</f>
        <v/>
      </c>
      <c r="Q22" s="31" t="str">
        <f>Global!HU22</f>
        <v/>
      </c>
      <c r="R22" s="31" t="str">
        <f>Global!HV22</f>
        <v>C</v>
      </c>
      <c r="S22" s="31" t="str">
        <f>Global!HW22</f>
        <v>C</v>
      </c>
      <c r="T22" s="31" t="str">
        <f>Global!HX22</f>
        <v/>
      </c>
      <c r="U22" s="31" t="str">
        <f>Global!HY22</f>
        <v>C</v>
      </c>
      <c r="V22" s="31" t="str">
        <f>Global!HZ22</f>
        <v>C</v>
      </c>
      <c r="W22" s="31" t="str">
        <f>Global!IA22</f>
        <v/>
      </c>
      <c r="X22" s="31" t="str">
        <f>Global!IB22</f>
        <v/>
      </c>
      <c r="Y22" s="31" t="str">
        <f>Global!IC22</f>
        <v>C</v>
      </c>
      <c r="Z22" s="31" t="str">
        <f>Global!ID22</f>
        <v>C</v>
      </c>
      <c r="AA22" s="31" t="str">
        <f>Global!IE22</f>
        <v>C</v>
      </c>
      <c r="AB22" s="31" t="str">
        <f>Global!IF22</f>
        <v>C</v>
      </c>
      <c r="AC22" s="31" t="str">
        <f>Global!IG22</f>
        <v>C</v>
      </c>
      <c r="AD22" s="31" t="str">
        <f>Global!IH22</f>
        <v>C</v>
      </c>
      <c r="AE22" s="31" t="str">
        <f>Global!II22</f>
        <v>C</v>
      </c>
      <c r="AF22" s="31" t="str">
        <f>Global!IJ22</f>
        <v/>
      </c>
      <c r="AG22" s="31" t="str">
        <f>Global!IK22</f>
        <v/>
      </c>
      <c r="AH22" s="31" t="str">
        <f>Global!IL22</f>
        <v/>
      </c>
      <c r="AI22" s="31" t="str">
        <f>Global!IM22</f>
        <v/>
      </c>
      <c r="AJ22" s="48" t="str">
        <f>Global!IN22</f>
        <v/>
      </c>
      <c r="AK22" s="108">
        <f>COUNTIF(Août[[#This Row],[1]:[31]],"RTT")+(COUNTIF(Août[[#This Row],[1]:[31]],"dRTT")/2)</f>
        <v>0</v>
      </c>
      <c r="AL22" s="109">
        <f>COUNTIF(Août[[#This Row],[1]:[31]],"C")+(COUNTIF(Août[[#This Row],[1]:[31]],"DC")/2)</f>
        <v>11</v>
      </c>
      <c r="AM22" s="22">
        <f>COUNTIF(Août[[#This Row],[1]:[31]],"M")</f>
        <v>0</v>
      </c>
      <c r="AN22" s="22">
        <f>COUNTIF(Août[[#This Row],[1]:[31]],"AT")</f>
        <v>0</v>
      </c>
      <c r="AO22" s="84">
        <f>IF(AND(Août[[#This Row],[Maladie]]=0,Août[[#This Row],[AT]]=0),((10*(_xlfn.DAYS("31/08/2018","01/08/2018")+1))/365),((_xlfn.DAYS("31/08/2018","01/08/2018")+1-(Août[[#This Row],[Maladie]]+Août[[#This Row],[AT]]))*((10*(_xlfn.DAYS("31/08/2018","01/08/2018")+1))/365))/(_xlfn.DAYS("31/08/2018","01/08/2018")+1))</f>
        <v>0.84931506849315064</v>
      </c>
    </row>
    <row r="23" spans="1:41" ht="30" customHeight="1" x14ac:dyDescent="0.2">
      <c r="A23" s="13" t="s">
        <v>79</v>
      </c>
      <c r="B23" s="22" t="s">
        <v>174</v>
      </c>
      <c r="C23" s="22" t="s">
        <v>175</v>
      </c>
      <c r="D23" s="22" t="s">
        <v>176</v>
      </c>
      <c r="E23" s="44">
        <v>0</v>
      </c>
      <c r="F23" s="47" t="str">
        <f>Global!HJ23</f>
        <v/>
      </c>
      <c r="G23" s="31" t="str">
        <f>Global!HK23</f>
        <v/>
      </c>
      <c r="H23" s="31" t="str">
        <f>Global!HL23</f>
        <v/>
      </c>
      <c r="I23" s="31" t="str">
        <f>Global!HM23</f>
        <v/>
      </c>
      <c r="J23" s="31" t="str">
        <f>Global!HN23</f>
        <v/>
      </c>
      <c r="K23" s="31" t="str">
        <f>Global!HO23</f>
        <v/>
      </c>
      <c r="L23" s="31" t="str">
        <f>Global!HP23</f>
        <v/>
      </c>
      <c r="M23" s="31" t="str">
        <f>Global!HQ23</f>
        <v/>
      </c>
      <c r="N23" s="31" t="str">
        <f>Global!HR23</f>
        <v/>
      </c>
      <c r="O23" s="31" t="str">
        <f>Global!HS23</f>
        <v/>
      </c>
      <c r="P23" s="31" t="str">
        <f>Global!HT23</f>
        <v/>
      </c>
      <c r="Q23" s="31" t="str">
        <f>Global!HU23</f>
        <v/>
      </c>
      <c r="R23" s="31" t="str">
        <f>Global!HV23</f>
        <v>C</v>
      </c>
      <c r="S23" s="31" t="str">
        <f>Global!HW23</f>
        <v>C</v>
      </c>
      <c r="T23" s="31" t="str">
        <f>Global!HX23</f>
        <v/>
      </c>
      <c r="U23" s="31" t="str">
        <f>Global!HY23</f>
        <v>C</v>
      </c>
      <c r="V23" s="31" t="str">
        <f>Global!HZ23</f>
        <v>C</v>
      </c>
      <c r="W23" s="31" t="str">
        <f>Global!IA23</f>
        <v/>
      </c>
      <c r="X23" s="31" t="str">
        <f>Global!IB23</f>
        <v/>
      </c>
      <c r="Y23" s="31" t="str">
        <f>Global!IC23</f>
        <v>C</v>
      </c>
      <c r="Z23" s="31" t="str">
        <f>Global!ID23</f>
        <v>C</v>
      </c>
      <c r="AA23" s="31" t="str">
        <f>Global!IE23</f>
        <v>C</v>
      </c>
      <c r="AB23" s="31" t="str">
        <f>Global!IF23</f>
        <v>C</v>
      </c>
      <c r="AC23" s="31" t="str">
        <f>Global!IG23</f>
        <v>C</v>
      </c>
      <c r="AD23" s="31" t="str">
        <f>Global!IH23</f>
        <v/>
      </c>
      <c r="AE23" s="31" t="str">
        <f>Global!II23</f>
        <v/>
      </c>
      <c r="AF23" s="31" t="str">
        <f>Global!IJ23</f>
        <v/>
      </c>
      <c r="AG23" s="31" t="str">
        <f>Global!IK23</f>
        <v/>
      </c>
      <c r="AH23" s="31" t="str">
        <f>Global!IL23</f>
        <v/>
      </c>
      <c r="AI23" s="31" t="str">
        <f>Global!IM23</f>
        <v/>
      </c>
      <c r="AJ23" s="48" t="str">
        <f>Global!IN23</f>
        <v/>
      </c>
      <c r="AK23" s="108">
        <f>COUNTIF(Août[[#This Row],[1]:[31]],"RTT")+(COUNTIF(Août[[#This Row],[1]:[31]],"dRTT")/2)</f>
        <v>0</v>
      </c>
      <c r="AL23" s="109">
        <f>COUNTIF(Août[[#This Row],[1]:[31]],"C")+(COUNTIF(Août[[#This Row],[1]:[31]],"DC")/2)</f>
        <v>9</v>
      </c>
      <c r="AM23" s="22">
        <f>COUNTIF(Août[[#This Row],[1]:[31]],"M")</f>
        <v>0</v>
      </c>
      <c r="AN23" s="22">
        <f>COUNTIF(Août[[#This Row],[1]:[31]],"AT")</f>
        <v>0</v>
      </c>
      <c r="AO23" s="84">
        <f>IF(AND(Août[[#This Row],[Maladie]]=0,Août[[#This Row],[AT]]=0),((10*(_xlfn.DAYS("31/08/2018","01/08/2018")+1))/365),((_xlfn.DAYS("31/08/2018","01/08/2018")+1-(Août[[#This Row],[Maladie]]+Août[[#This Row],[AT]]))*((10*(_xlfn.DAYS("31/08/2018","01/08/2018")+1))/365))/(_xlfn.DAYS("31/08/2018","01/08/2018")+1))</f>
        <v>0.84931506849315064</v>
      </c>
    </row>
    <row r="24" spans="1:41" ht="30" customHeight="1" x14ac:dyDescent="0.2">
      <c r="A24" s="15" t="s">
        <v>80</v>
      </c>
      <c r="B24" s="22" t="s">
        <v>177</v>
      </c>
      <c r="C24" s="22" t="s">
        <v>178</v>
      </c>
      <c r="D24" s="22" t="s">
        <v>179</v>
      </c>
      <c r="E24" s="44">
        <v>0</v>
      </c>
      <c r="F24" s="47" t="str">
        <f>Global!HJ24</f>
        <v/>
      </c>
      <c r="G24" s="31" t="str">
        <f>Global!HK24</f>
        <v/>
      </c>
      <c r="H24" s="31" t="str">
        <f>Global!HL24</f>
        <v/>
      </c>
      <c r="I24" s="31" t="str">
        <f>Global!HM24</f>
        <v/>
      </c>
      <c r="J24" s="31" t="str">
        <f>Global!HN24</f>
        <v/>
      </c>
      <c r="K24" s="31" t="str">
        <f>Global!HO24</f>
        <v/>
      </c>
      <c r="L24" s="31" t="str">
        <f>Global!HP24</f>
        <v/>
      </c>
      <c r="M24" s="31" t="str">
        <f>Global!HQ24</f>
        <v/>
      </c>
      <c r="N24" s="31" t="str">
        <f>Global!HR24</f>
        <v/>
      </c>
      <c r="O24" s="31" t="str">
        <f>Global!HS24</f>
        <v/>
      </c>
      <c r="P24" s="31" t="str">
        <f>Global!HT24</f>
        <v/>
      </c>
      <c r="Q24" s="31" t="str">
        <f>Global!HU24</f>
        <v/>
      </c>
      <c r="R24" s="31" t="str">
        <f>Global!HV24</f>
        <v/>
      </c>
      <c r="S24" s="31" t="str">
        <f>Global!HW24</f>
        <v/>
      </c>
      <c r="T24" s="31" t="str">
        <f>Global!HX24</f>
        <v/>
      </c>
      <c r="U24" s="31" t="str">
        <f>Global!HY24</f>
        <v/>
      </c>
      <c r="V24" s="31" t="str">
        <f>Global!HZ24</f>
        <v/>
      </c>
      <c r="W24" s="31" t="str">
        <f>Global!IA24</f>
        <v/>
      </c>
      <c r="X24" s="31" t="str">
        <f>Global!IB24</f>
        <v/>
      </c>
      <c r="Y24" s="31" t="str">
        <f>Global!IC24</f>
        <v/>
      </c>
      <c r="Z24" s="31" t="str">
        <f>Global!ID24</f>
        <v/>
      </c>
      <c r="AA24" s="31" t="str">
        <f>Global!IE24</f>
        <v/>
      </c>
      <c r="AB24" s="31" t="str">
        <f>Global!IF24</f>
        <v/>
      </c>
      <c r="AC24" s="31" t="str">
        <f>Global!IG24</f>
        <v/>
      </c>
      <c r="AD24" s="31" t="str">
        <f>Global!IH24</f>
        <v/>
      </c>
      <c r="AE24" s="31" t="str">
        <f>Global!II24</f>
        <v/>
      </c>
      <c r="AF24" s="31" t="str">
        <f>Global!IJ24</f>
        <v>C</v>
      </c>
      <c r="AG24" s="31" t="str">
        <f>Global!IK24</f>
        <v>C</v>
      </c>
      <c r="AH24" s="31" t="str">
        <f>Global!IL24</f>
        <v>C</v>
      </c>
      <c r="AI24" s="31" t="str">
        <f>Global!IM24</f>
        <v>C</v>
      </c>
      <c r="AJ24" s="48" t="str">
        <f>Global!IN24</f>
        <v>C</v>
      </c>
      <c r="AK24" s="108">
        <f>COUNTIF(Août[[#This Row],[1]:[31]],"RTT")+(COUNTIF(Août[[#This Row],[1]:[31]],"dRTT")/2)</f>
        <v>0</v>
      </c>
      <c r="AL24" s="109">
        <f>COUNTIF(Août[[#This Row],[1]:[31]],"C")+(COUNTIF(Août[[#This Row],[1]:[31]],"DC")/2)</f>
        <v>5</v>
      </c>
      <c r="AM24" s="22">
        <f>COUNTIF(Août[[#This Row],[1]:[31]],"M")</f>
        <v>0</v>
      </c>
      <c r="AN24" s="22">
        <f>COUNTIF(Août[[#This Row],[1]:[31]],"AT")</f>
        <v>0</v>
      </c>
      <c r="AO24" s="84">
        <f>IF(AND(Août[[#This Row],[Maladie]]=0,Août[[#This Row],[AT]]=0),((10*(_xlfn.DAYS("31/08/2018","01/08/2018")+1))/365),((_xlfn.DAYS("31/08/2018","01/08/2018")+1-(Août[[#This Row],[Maladie]]+Août[[#This Row],[AT]]))*((10*(_xlfn.DAYS("31/08/2018","01/08/2018")+1))/365))/(_xlfn.DAYS("31/08/2018","01/08/2018")+1))</f>
        <v>0.84931506849315064</v>
      </c>
    </row>
    <row r="25" spans="1:41" ht="30" customHeight="1" x14ac:dyDescent="0.2">
      <c r="A25" s="15" t="s">
        <v>81</v>
      </c>
      <c r="B25" s="22" t="s">
        <v>180</v>
      </c>
      <c r="C25" s="22" t="s">
        <v>157</v>
      </c>
      <c r="D25" s="22" t="s">
        <v>181</v>
      </c>
      <c r="E25" s="44">
        <v>0</v>
      </c>
      <c r="F25" s="47" t="str">
        <f>Global!HJ25</f>
        <v/>
      </c>
      <c r="G25" s="31" t="str">
        <f>Global!HK25</f>
        <v/>
      </c>
      <c r="H25" s="31" t="str">
        <f>Global!HL25</f>
        <v/>
      </c>
      <c r="I25" s="31" t="str">
        <f>Global!HM25</f>
        <v/>
      </c>
      <c r="J25" s="31" t="str">
        <f>Global!HN25</f>
        <v/>
      </c>
      <c r="K25" s="31" t="str">
        <f>Global!HO25</f>
        <v/>
      </c>
      <c r="L25" s="31" t="str">
        <f>Global!HP25</f>
        <v/>
      </c>
      <c r="M25" s="31" t="str">
        <f>Global!HQ25</f>
        <v/>
      </c>
      <c r="N25" s="31" t="str">
        <f>Global!HR25</f>
        <v/>
      </c>
      <c r="O25" s="31" t="str">
        <f>Global!HS25</f>
        <v/>
      </c>
      <c r="P25" s="31" t="str">
        <f>Global!HT25</f>
        <v/>
      </c>
      <c r="Q25" s="31" t="str">
        <f>Global!HU25</f>
        <v/>
      </c>
      <c r="R25" s="31" t="str">
        <f>Global!HV25</f>
        <v/>
      </c>
      <c r="S25" s="31" t="str">
        <f>Global!HW25</f>
        <v/>
      </c>
      <c r="T25" s="31" t="str">
        <f>Global!HX25</f>
        <v/>
      </c>
      <c r="U25" s="31" t="str">
        <f>Global!HY25</f>
        <v/>
      </c>
      <c r="V25" s="31" t="str">
        <f>Global!HZ25</f>
        <v/>
      </c>
      <c r="W25" s="31" t="str">
        <f>Global!IA25</f>
        <v/>
      </c>
      <c r="X25" s="31" t="str">
        <f>Global!IB25</f>
        <v/>
      </c>
      <c r="Y25" s="31" t="str">
        <f>Global!IC25</f>
        <v/>
      </c>
      <c r="Z25" s="31" t="str">
        <f>Global!ID25</f>
        <v/>
      </c>
      <c r="AA25" s="31" t="str">
        <f>Global!IE25</f>
        <v/>
      </c>
      <c r="AB25" s="31" t="str">
        <f>Global!IF25</f>
        <v/>
      </c>
      <c r="AC25" s="31" t="str">
        <f>Global!IG25</f>
        <v/>
      </c>
      <c r="AD25" s="31" t="str">
        <f>Global!IH25</f>
        <v/>
      </c>
      <c r="AE25" s="31" t="str">
        <f>Global!II25</f>
        <v/>
      </c>
      <c r="AF25" s="31" t="str">
        <f>Global!IJ25</f>
        <v/>
      </c>
      <c r="AG25" s="31" t="str">
        <f>Global!IK25</f>
        <v/>
      </c>
      <c r="AH25" s="31" t="str">
        <f>Global!IL25</f>
        <v/>
      </c>
      <c r="AI25" s="31" t="str">
        <f>Global!IM25</f>
        <v/>
      </c>
      <c r="AJ25" s="48" t="str">
        <f>Global!IN25</f>
        <v/>
      </c>
      <c r="AK25" s="108">
        <f>COUNTIF(Août[[#This Row],[1]:[31]],"RTT")+(COUNTIF(Août[[#This Row],[1]:[31]],"dRTT")/2)</f>
        <v>0</v>
      </c>
      <c r="AL25" s="109">
        <f>COUNTIF(Août[[#This Row],[1]:[31]],"C")+(COUNTIF(Août[[#This Row],[1]:[31]],"DC")/2)</f>
        <v>0</v>
      </c>
      <c r="AM25" s="22">
        <f>COUNTIF(Août[[#This Row],[1]:[31]],"M")</f>
        <v>0</v>
      </c>
      <c r="AN25" s="22">
        <f>COUNTIF(Août[[#This Row],[1]:[31]],"AT")</f>
        <v>0</v>
      </c>
      <c r="AO25" s="84">
        <f>IF(AND(Août[[#This Row],[Maladie]]=0,Août[[#This Row],[AT]]=0),((10*(_xlfn.DAYS("31/08/2018","01/08/2018")+1))/365),((_xlfn.DAYS("31/08/2018","01/08/2018")+1-(Août[[#This Row],[Maladie]]+Août[[#This Row],[AT]]))*((10*(_xlfn.DAYS("31/08/2018","01/08/2018")+1))/365))/(_xlfn.DAYS("31/08/2018","01/08/2018")+1))</f>
        <v>0.84931506849315064</v>
      </c>
    </row>
    <row r="26" spans="1:41" ht="30" customHeight="1" x14ac:dyDescent="0.2">
      <c r="A26" s="15" t="s">
        <v>82</v>
      </c>
      <c r="B26" s="22" t="s">
        <v>182</v>
      </c>
      <c r="C26" s="22" t="s">
        <v>183</v>
      </c>
      <c r="D26" s="22" t="s">
        <v>184</v>
      </c>
      <c r="E26" s="44">
        <v>0</v>
      </c>
      <c r="F26" s="47" t="str">
        <f>Global!HJ26</f>
        <v/>
      </c>
      <c r="G26" s="31" t="str">
        <f>Global!HK26</f>
        <v/>
      </c>
      <c r="H26" s="31" t="str">
        <f>Global!HL26</f>
        <v/>
      </c>
      <c r="I26" s="31" t="str">
        <f>Global!HM26</f>
        <v/>
      </c>
      <c r="J26" s="31" t="str">
        <f>Global!HN26</f>
        <v/>
      </c>
      <c r="K26" s="31" t="str">
        <f>Global!HO26</f>
        <v>C</v>
      </c>
      <c r="L26" s="31" t="str">
        <f>Global!HP26</f>
        <v>C</v>
      </c>
      <c r="M26" s="31" t="str">
        <f>Global!HQ26</f>
        <v>C</v>
      </c>
      <c r="N26" s="31" t="str">
        <f>Global!HR26</f>
        <v>C</v>
      </c>
      <c r="O26" s="31" t="str">
        <f>Global!HS26</f>
        <v>C</v>
      </c>
      <c r="P26" s="31" t="str">
        <f>Global!HT26</f>
        <v/>
      </c>
      <c r="Q26" s="31" t="str">
        <f>Global!HU26</f>
        <v/>
      </c>
      <c r="R26" s="31" t="str">
        <f>Global!HV26</f>
        <v>C</v>
      </c>
      <c r="S26" s="31" t="str">
        <f>Global!HW26</f>
        <v>C</v>
      </c>
      <c r="T26" s="31" t="str">
        <f>Global!HX26</f>
        <v/>
      </c>
      <c r="U26" s="31" t="str">
        <f>Global!HY26</f>
        <v>C</v>
      </c>
      <c r="V26" s="31" t="str">
        <f>Global!HZ26</f>
        <v>C</v>
      </c>
      <c r="W26" s="31" t="str">
        <f>Global!IA26</f>
        <v/>
      </c>
      <c r="X26" s="31" t="str">
        <f>Global!IB26</f>
        <v/>
      </c>
      <c r="Y26" s="31" t="str">
        <f>Global!IC26</f>
        <v>C</v>
      </c>
      <c r="Z26" s="31" t="str">
        <f>Global!ID26</f>
        <v/>
      </c>
      <c r="AA26" s="31" t="str">
        <f>Global!IE26</f>
        <v/>
      </c>
      <c r="AB26" s="31" t="str">
        <f>Global!IF26</f>
        <v/>
      </c>
      <c r="AC26" s="31" t="str">
        <f>Global!IG26</f>
        <v/>
      </c>
      <c r="AD26" s="31" t="str">
        <f>Global!IH26</f>
        <v/>
      </c>
      <c r="AE26" s="31" t="str">
        <f>Global!II26</f>
        <v/>
      </c>
      <c r="AF26" s="31" t="str">
        <f>Global!IJ26</f>
        <v/>
      </c>
      <c r="AG26" s="31" t="str">
        <f>Global!IK26</f>
        <v/>
      </c>
      <c r="AH26" s="31" t="str">
        <f>Global!IL26</f>
        <v/>
      </c>
      <c r="AI26" s="31" t="str">
        <f>Global!IM26</f>
        <v/>
      </c>
      <c r="AJ26" s="48" t="str">
        <f>Global!IN26</f>
        <v/>
      </c>
      <c r="AK26" s="108">
        <f>COUNTIF(Août[[#This Row],[1]:[31]],"RTT")+(COUNTIF(Août[[#This Row],[1]:[31]],"dRTT")/2)</f>
        <v>0</v>
      </c>
      <c r="AL26" s="109">
        <f>COUNTIF(Août[[#This Row],[1]:[31]],"C")+(COUNTIF(Août[[#This Row],[1]:[31]],"DC")/2)</f>
        <v>10</v>
      </c>
      <c r="AM26" s="22">
        <f>COUNTIF(Août[[#This Row],[1]:[31]],"M")</f>
        <v>0</v>
      </c>
      <c r="AN26" s="22">
        <f>COUNTIF(Août[[#This Row],[1]:[31]],"AT")</f>
        <v>0</v>
      </c>
      <c r="AO26" s="84">
        <f>IF(AND(Août[[#This Row],[Maladie]]=0,Août[[#This Row],[AT]]=0),((10*(_xlfn.DAYS("31/08/2018","01/08/2018")+1))/365),((_xlfn.DAYS("31/08/2018","01/08/2018")+1-(Août[[#This Row],[Maladie]]+Août[[#This Row],[AT]]))*((10*(_xlfn.DAYS("31/08/2018","01/08/2018")+1))/365))/(_xlfn.DAYS("31/08/2018","01/08/2018")+1))</f>
        <v>0.84931506849315064</v>
      </c>
    </row>
    <row r="27" spans="1:41" ht="30" customHeight="1" x14ac:dyDescent="0.2">
      <c r="A27" s="15" t="s">
        <v>83</v>
      </c>
      <c r="B27" s="22" t="s">
        <v>185</v>
      </c>
      <c r="C27" s="22" t="s">
        <v>186</v>
      </c>
      <c r="D27" s="22" t="s">
        <v>187</v>
      </c>
      <c r="E27" s="44">
        <v>0</v>
      </c>
      <c r="F27" s="47" t="str">
        <f>Global!HJ27</f>
        <v/>
      </c>
      <c r="G27" s="31" t="str">
        <f>Global!HK27</f>
        <v/>
      </c>
      <c r="H27" s="31" t="str">
        <f>Global!HL27</f>
        <v/>
      </c>
      <c r="I27" s="31" t="str">
        <f>Global!HM27</f>
        <v/>
      </c>
      <c r="J27" s="31" t="str">
        <f>Global!HN27</f>
        <v/>
      </c>
      <c r="K27" s="31" t="str">
        <f>Global!HO27</f>
        <v/>
      </c>
      <c r="L27" s="31" t="str">
        <f>Global!HP27</f>
        <v/>
      </c>
      <c r="M27" s="31" t="str">
        <f>Global!HQ27</f>
        <v/>
      </c>
      <c r="N27" s="31" t="str">
        <f>Global!HR27</f>
        <v/>
      </c>
      <c r="O27" s="31" t="str">
        <f>Global!HS27</f>
        <v/>
      </c>
      <c r="P27" s="31" t="str">
        <f>Global!HT27</f>
        <v/>
      </c>
      <c r="Q27" s="31" t="str">
        <f>Global!HU27</f>
        <v/>
      </c>
      <c r="R27" s="31" t="str">
        <f>Global!HV27</f>
        <v/>
      </c>
      <c r="S27" s="31" t="str">
        <f>Global!HW27</f>
        <v/>
      </c>
      <c r="T27" s="31" t="str">
        <f>Global!HX27</f>
        <v/>
      </c>
      <c r="U27" s="31" t="str">
        <f>Global!HY27</f>
        <v/>
      </c>
      <c r="V27" s="31" t="str">
        <f>Global!HZ27</f>
        <v/>
      </c>
      <c r="W27" s="31" t="str">
        <f>Global!IA27</f>
        <v/>
      </c>
      <c r="X27" s="31" t="str">
        <f>Global!IB27</f>
        <v/>
      </c>
      <c r="Y27" s="31" t="str">
        <f>Global!IC27</f>
        <v/>
      </c>
      <c r="Z27" s="31" t="str">
        <f>Global!ID27</f>
        <v/>
      </c>
      <c r="AA27" s="31" t="str">
        <f>Global!IE27</f>
        <v/>
      </c>
      <c r="AB27" s="31" t="str">
        <f>Global!IF27</f>
        <v/>
      </c>
      <c r="AC27" s="31" t="str">
        <f>Global!IG27</f>
        <v/>
      </c>
      <c r="AD27" s="31" t="str">
        <f>Global!IH27</f>
        <v/>
      </c>
      <c r="AE27" s="31" t="str">
        <f>Global!II27</f>
        <v/>
      </c>
      <c r="AF27" s="31" t="str">
        <f>Global!IJ27</f>
        <v/>
      </c>
      <c r="AG27" s="31" t="str">
        <f>Global!IK27</f>
        <v/>
      </c>
      <c r="AH27" s="31" t="str">
        <f>Global!IL27</f>
        <v/>
      </c>
      <c r="AI27" s="31" t="str">
        <f>Global!IM27</f>
        <v/>
      </c>
      <c r="AJ27" s="48" t="str">
        <f>Global!IN27</f>
        <v/>
      </c>
      <c r="AK27" s="108">
        <f>COUNTIF(Août[[#This Row],[1]:[31]],"RTT")+(COUNTIF(Août[[#This Row],[1]:[31]],"dRTT")/2)</f>
        <v>0</v>
      </c>
      <c r="AL27" s="109">
        <f>COUNTIF(Août[[#This Row],[1]:[31]],"C")+(COUNTIF(Août[[#This Row],[1]:[31]],"DC")/2)</f>
        <v>0</v>
      </c>
      <c r="AM27" s="22">
        <f>COUNTIF(Août[[#This Row],[1]:[31]],"M")</f>
        <v>0</v>
      </c>
      <c r="AN27" s="22">
        <f>COUNTIF(Août[[#This Row],[1]:[31]],"AT")</f>
        <v>0</v>
      </c>
      <c r="AO27" s="84">
        <f>IF(AND(Août[[#This Row],[Maladie]]=0,Août[[#This Row],[AT]]=0),((10*(_xlfn.DAYS("31/08/2018","01/08/2018")+1))/365),((_xlfn.DAYS("31/08/2018","01/08/2018")+1-(Août[[#This Row],[Maladie]]+Août[[#This Row],[AT]]))*((10*(_xlfn.DAYS("31/08/2018","01/08/2018")+1))/365))/(_xlfn.DAYS("31/08/2018","01/08/2018")+1))</f>
        <v>0.84931506849315064</v>
      </c>
    </row>
    <row r="28" spans="1:41" ht="30" customHeight="1" x14ac:dyDescent="0.2">
      <c r="A28" s="15" t="s">
        <v>84</v>
      </c>
      <c r="B28" s="22" t="s">
        <v>188</v>
      </c>
      <c r="C28" s="22" t="s">
        <v>189</v>
      </c>
      <c r="D28" s="22" t="s">
        <v>190</v>
      </c>
      <c r="E28" s="44">
        <v>0</v>
      </c>
      <c r="F28" s="47" t="str">
        <f>Global!HJ28</f>
        <v/>
      </c>
      <c r="G28" s="31" t="str">
        <f>Global!HK28</f>
        <v/>
      </c>
      <c r="H28" s="31" t="str">
        <f>Global!HL28</f>
        <v/>
      </c>
      <c r="I28" s="31" t="str">
        <f>Global!HM28</f>
        <v/>
      </c>
      <c r="J28" s="31" t="str">
        <f>Global!HN28</f>
        <v/>
      </c>
      <c r="K28" s="31" t="str">
        <f>Global!HO28</f>
        <v/>
      </c>
      <c r="L28" s="31" t="str">
        <f>Global!HP28</f>
        <v/>
      </c>
      <c r="M28" s="31" t="str">
        <f>Global!HQ28</f>
        <v/>
      </c>
      <c r="N28" s="31" t="str">
        <f>Global!HR28</f>
        <v/>
      </c>
      <c r="O28" s="31" t="str">
        <f>Global!HS28</f>
        <v/>
      </c>
      <c r="P28" s="31" t="str">
        <f>Global!HT28</f>
        <v/>
      </c>
      <c r="Q28" s="31" t="str">
        <f>Global!HU28</f>
        <v/>
      </c>
      <c r="R28" s="31" t="str">
        <f>Global!HV28</f>
        <v/>
      </c>
      <c r="S28" s="31" t="str">
        <f>Global!HW28</f>
        <v/>
      </c>
      <c r="T28" s="31" t="str">
        <f>Global!HX28</f>
        <v/>
      </c>
      <c r="U28" s="31" t="str">
        <f>Global!HY28</f>
        <v/>
      </c>
      <c r="V28" s="31" t="str">
        <f>Global!HZ28</f>
        <v/>
      </c>
      <c r="W28" s="31" t="str">
        <f>Global!IA28</f>
        <v/>
      </c>
      <c r="X28" s="31" t="str">
        <f>Global!IB28</f>
        <v/>
      </c>
      <c r="Y28" s="31" t="str">
        <f>Global!IC28</f>
        <v/>
      </c>
      <c r="Z28" s="31" t="str">
        <f>Global!ID28</f>
        <v/>
      </c>
      <c r="AA28" s="31" t="str">
        <f>Global!IE28</f>
        <v/>
      </c>
      <c r="AB28" s="31" t="str">
        <f>Global!IF28</f>
        <v/>
      </c>
      <c r="AC28" s="31" t="str">
        <f>Global!IG28</f>
        <v/>
      </c>
      <c r="AD28" s="31" t="str">
        <f>Global!IH28</f>
        <v/>
      </c>
      <c r="AE28" s="31" t="str">
        <f>Global!II28</f>
        <v/>
      </c>
      <c r="AF28" s="31" t="str">
        <f>Global!IJ28</f>
        <v/>
      </c>
      <c r="AG28" s="31" t="str">
        <f>Global!IK28</f>
        <v/>
      </c>
      <c r="AH28" s="31" t="str">
        <f>Global!IL28</f>
        <v/>
      </c>
      <c r="AI28" s="31" t="str">
        <f>Global!IM28</f>
        <v/>
      </c>
      <c r="AJ28" s="48" t="str">
        <f>Global!IN28</f>
        <v/>
      </c>
      <c r="AK28" s="108">
        <f>COUNTIF(Août[[#This Row],[1]:[31]],"RTT")+(COUNTIF(Août[[#This Row],[1]:[31]],"dRTT")/2)</f>
        <v>0</v>
      </c>
      <c r="AL28" s="109">
        <f>COUNTIF(Août[[#This Row],[1]:[31]],"C")+(COUNTIF(Août[[#This Row],[1]:[31]],"DC")/2)</f>
        <v>0</v>
      </c>
      <c r="AM28" s="22">
        <f>COUNTIF(Août[[#This Row],[1]:[31]],"M")</f>
        <v>0</v>
      </c>
      <c r="AN28" s="22">
        <f>COUNTIF(Août[[#This Row],[1]:[31]],"AT")</f>
        <v>0</v>
      </c>
      <c r="AO28" s="84">
        <f>IF(AND(Août[[#This Row],[Maladie]]=0,Août[[#This Row],[AT]]=0),((10*(_xlfn.DAYS("31/08/2018","01/08/2018")+1))/365),((_xlfn.DAYS("31/08/2018","01/08/2018")+1-(Août[[#This Row],[Maladie]]+Août[[#This Row],[AT]]))*((10*(_xlfn.DAYS("31/08/2018","01/08/2018")+1))/365))/(_xlfn.DAYS("31/08/2018","01/08/2018")+1))</f>
        <v>0.84931506849315064</v>
      </c>
    </row>
    <row r="29" spans="1:41" ht="30" customHeight="1" x14ac:dyDescent="0.2">
      <c r="A29" s="15" t="s">
        <v>85</v>
      </c>
      <c r="B29" s="22" t="s">
        <v>191</v>
      </c>
      <c r="C29" s="22" t="s">
        <v>192</v>
      </c>
      <c r="D29" s="22" t="s">
        <v>193</v>
      </c>
      <c r="E29" s="44">
        <v>0</v>
      </c>
      <c r="F29" s="47" t="str">
        <f>Global!HJ29</f>
        <v/>
      </c>
      <c r="G29" s="31" t="str">
        <f>Global!HK29</f>
        <v/>
      </c>
      <c r="H29" s="31" t="str">
        <f>Global!HL29</f>
        <v/>
      </c>
      <c r="I29" s="31" t="str">
        <f>Global!HM29</f>
        <v/>
      </c>
      <c r="J29" s="31" t="str">
        <f>Global!HN29</f>
        <v/>
      </c>
      <c r="K29" s="31" t="str">
        <f>Global!HO29</f>
        <v/>
      </c>
      <c r="L29" s="31" t="str">
        <f>Global!HP29</f>
        <v/>
      </c>
      <c r="M29" s="31" t="str">
        <f>Global!HQ29</f>
        <v/>
      </c>
      <c r="N29" s="31" t="str">
        <f>Global!HR29</f>
        <v/>
      </c>
      <c r="O29" s="31" t="str">
        <f>Global!HS29</f>
        <v/>
      </c>
      <c r="P29" s="31" t="str">
        <f>Global!HT29</f>
        <v/>
      </c>
      <c r="Q29" s="31" t="str">
        <f>Global!HU29</f>
        <v/>
      </c>
      <c r="R29" s="31" t="str">
        <f>Global!HV29</f>
        <v/>
      </c>
      <c r="S29" s="31" t="str">
        <f>Global!HW29</f>
        <v/>
      </c>
      <c r="T29" s="31" t="str">
        <f>Global!HX29</f>
        <v/>
      </c>
      <c r="U29" s="31" t="str">
        <f>Global!HY29</f>
        <v/>
      </c>
      <c r="V29" s="31" t="str">
        <f>Global!HZ29</f>
        <v/>
      </c>
      <c r="W29" s="31" t="str">
        <f>Global!IA29</f>
        <v/>
      </c>
      <c r="X29" s="31" t="str">
        <f>Global!IB29</f>
        <v/>
      </c>
      <c r="Y29" s="31" t="str">
        <f>Global!IC29</f>
        <v/>
      </c>
      <c r="Z29" s="31" t="str">
        <f>Global!ID29</f>
        <v/>
      </c>
      <c r="AA29" s="31" t="str">
        <f>Global!IE29</f>
        <v/>
      </c>
      <c r="AB29" s="31" t="str">
        <f>Global!IF29</f>
        <v/>
      </c>
      <c r="AC29" s="31" t="str">
        <f>Global!IG29</f>
        <v>C</v>
      </c>
      <c r="AD29" s="31" t="str">
        <f>Global!IH29</f>
        <v/>
      </c>
      <c r="AE29" s="31" t="str">
        <f>Global!II29</f>
        <v/>
      </c>
      <c r="AF29" s="31" t="str">
        <f>Global!IJ29</f>
        <v>C</v>
      </c>
      <c r="AG29" s="31" t="str">
        <f>Global!IK29</f>
        <v>C</v>
      </c>
      <c r="AH29" s="31" t="str">
        <f>Global!IL29</f>
        <v>C</v>
      </c>
      <c r="AI29" s="31" t="str">
        <f>Global!IM29</f>
        <v>C</v>
      </c>
      <c r="AJ29" s="48" t="str">
        <f>Global!IN29</f>
        <v>C</v>
      </c>
      <c r="AK29" s="108">
        <f>COUNTIF(Août[[#This Row],[1]:[31]],"RTT")+(COUNTIF(Août[[#This Row],[1]:[31]],"dRTT")/2)</f>
        <v>0</v>
      </c>
      <c r="AL29" s="109">
        <f>COUNTIF(Août[[#This Row],[1]:[31]],"C")+(COUNTIF(Août[[#This Row],[1]:[31]],"DC")/2)</f>
        <v>6</v>
      </c>
      <c r="AM29" s="22">
        <f>COUNTIF(Août[[#This Row],[1]:[31]],"M")</f>
        <v>0</v>
      </c>
      <c r="AN29" s="22">
        <f>COUNTIF(Août[[#This Row],[1]:[31]],"AT")</f>
        <v>0</v>
      </c>
      <c r="AO29" s="84">
        <f>IF(AND(Août[[#This Row],[Maladie]]=0,Août[[#This Row],[AT]]=0),((10*(_xlfn.DAYS("31/08/2018","01/08/2018")+1))/365),((_xlfn.DAYS("31/08/2018","01/08/2018")+1-(Août[[#This Row],[Maladie]]+Août[[#This Row],[AT]]))*((10*(_xlfn.DAYS("31/08/2018","01/08/2018")+1))/365))/(_xlfn.DAYS("31/08/2018","01/08/2018")+1))</f>
        <v>0.84931506849315064</v>
      </c>
    </row>
    <row r="30" spans="1:41" ht="30" customHeight="1" x14ac:dyDescent="0.2">
      <c r="A30" s="15" t="s">
        <v>86</v>
      </c>
      <c r="B30" s="22" t="s">
        <v>194</v>
      </c>
      <c r="C30" s="22" t="s">
        <v>192</v>
      </c>
      <c r="D30" s="22" t="s">
        <v>195</v>
      </c>
      <c r="E30" s="44" t="s">
        <v>162</v>
      </c>
      <c r="F30" s="47" t="str">
        <f>Global!HJ30</f>
        <v/>
      </c>
      <c r="G30" s="31" t="str">
        <f>Global!HK30</f>
        <v/>
      </c>
      <c r="H30" s="31" t="str">
        <f>Global!HL30</f>
        <v/>
      </c>
      <c r="I30" s="31" t="str">
        <f>Global!HM30</f>
        <v/>
      </c>
      <c r="J30" s="31" t="str">
        <f>Global!HN30</f>
        <v/>
      </c>
      <c r="K30" s="31" t="str">
        <f>Global!HO30</f>
        <v/>
      </c>
      <c r="L30" s="31" t="str">
        <f>Global!HP30</f>
        <v/>
      </c>
      <c r="M30" s="31" t="str">
        <f>Global!HQ30</f>
        <v/>
      </c>
      <c r="N30" s="31" t="str">
        <f>Global!HR30</f>
        <v/>
      </c>
      <c r="O30" s="31" t="str">
        <f>Global!HS30</f>
        <v/>
      </c>
      <c r="P30" s="31" t="str">
        <f>Global!HT30</f>
        <v/>
      </c>
      <c r="Q30" s="31" t="str">
        <f>Global!HU30</f>
        <v/>
      </c>
      <c r="R30" s="31" t="str">
        <f>Global!HV30</f>
        <v/>
      </c>
      <c r="S30" s="31" t="str">
        <f>Global!HW30</f>
        <v/>
      </c>
      <c r="T30" s="31" t="str">
        <f>Global!HX30</f>
        <v/>
      </c>
      <c r="U30" s="31" t="str">
        <f>Global!HY30</f>
        <v/>
      </c>
      <c r="V30" s="31" t="str">
        <f>Global!HZ30</f>
        <v/>
      </c>
      <c r="W30" s="31" t="str">
        <f>Global!IA30</f>
        <v/>
      </c>
      <c r="X30" s="31" t="str">
        <f>Global!IB30</f>
        <v/>
      </c>
      <c r="Y30" s="31" t="str">
        <f>Global!IC30</f>
        <v/>
      </c>
      <c r="Z30" s="31" t="str">
        <f>Global!ID30</f>
        <v/>
      </c>
      <c r="AA30" s="31" t="str">
        <f>Global!IE30</f>
        <v/>
      </c>
      <c r="AB30" s="31" t="str">
        <f>Global!IF30</f>
        <v/>
      </c>
      <c r="AC30" s="31" t="str">
        <f>Global!IG30</f>
        <v/>
      </c>
      <c r="AD30" s="31" t="str">
        <f>Global!IH30</f>
        <v/>
      </c>
      <c r="AE30" s="31" t="str">
        <f>Global!II30</f>
        <v/>
      </c>
      <c r="AF30" s="31" t="str">
        <f>Global!IJ30</f>
        <v/>
      </c>
      <c r="AG30" s="31" t="str">
        <f>Global!IK30</f>
        <v/>
      </c>
      <c r="AH30" s="31" t="str">
        <f>Global!IL30</f>
        <v/>
      </c>
      <c r="AI30" s="31" t="str">
        <f>Global!IM30</f>
        <v/>
      </c>
      <c r="AJ30" s="48" t="str">
        <f>Global!IN30</f>
        <v/>
      </c>
      <c r="AK30" s="108">
        <f>COUNTIF(Août[[#This Row],[1]:[31]],"RTT")+(COUNTIF(Août[[#This Row],[1]:[31]],"dRTT")/2)</f>
        <v>0</v>
      </c>
      <c r="AL30" s="109">
        <f>COUNTIF(Août[[#This Row],[1]:[31]],"C")+(COUNTIF(Août[[#This Row],[1]:[31]],"DC")/2)</f>
        <v>0</v>
      </c>
      <c r="AM30" s="22">
        <f>COUNTIF(Août[[#This Row],[1]:[31]],"M")</f>
        <v>0</v>
      </c>
      <c r="AN30" s="22">
        <f>COUNTIF(Août[[#This Row],[1]:[31]],"AT")</f>
        <v>0</v>
      </c>
      <c r="AO30" s="84">
        <f>IF(AND(Août[[#This Row],[Maladie]]=0,Août[[#This Row],[AT]]=0),((10*(_xlfn.DAYS("31/08/2018","01/08/2018")+1))/365),((_xlfn.DAYS("31/08/2018","01/08/2018")+1-(Août[[#This Row],[Maladie]]+Août[[#This Row],[AT]]))*((10*(_xlfn.DAYS("31/08/2018","01/08/2018")+1))/365))/(_xlfn.DAYS("31/08/2018","01/08/2018")+1))</f>
        <v>0.84931506849315064</v>
      </c>
    </row>
    <row r="31" spans="1:41" ht="30" customHeight="1" x14ac:dyDescent="0.2">
      <c r="A31" s="15" t="s">
        <v>87</v>
      </c>
      <c r="B31" s="22" t="s">
        <v>196</v>
      </c>
      <c r="C31" s="22" t="s">
        <v>197</v>
      </c>
      <c r="D31" s="22" t="s">
        <v>198</v>
      </c>
      <c r="E31" s="44" t="s">
        <v>162</v>
      </c>
      <c r="F31" s="47" t="str">
        <f>Global!HJ31</f>
        <v/>
      </c>
      <c r="G31" s="31" t="str">
        <f>Global!HK31</f>
        <v/>
      </c>
      <c r="H31" s="31" t="str">
        <f>Global!HL31</f>
        <v/>
      </c>
      <c r="I31" s="31" t="str">
        <f>Global!HM31</f>
        <v/>
      </c>
      <c r="J31" s="31" t="str">
        <f>Global!HN31</f>
        <v/>
      </c>
      <c r="K31" s="31" t="str">
        <f>Global!HO31</f>
        <v/>
      </c>
      <c r="L31" s="31" t="str">
        <f>Global!HP31</f>
        <v/>
      </c>
      <c r="M31" s="31" t="str">
        <f>Global!HQ31</f>
        <v/>
      </c>
      <c r="N31" s="31" t="str">
        <f>Global!HR31</f>
        <v/>
      </c>
      <c r="O31" s="31" t="str">
        <f>Global!HS31</f>
        <v/>
      </c>
      <c r="P31" s="31" t="str">
        <f>Global!HT31</f>
        <v/>
      </c>
      <c r="Q31" s="31" t="str">
        <f>Global!HU31</f>
        <v/>
      </c>
      <c r="R31" s="31" t="str">
        <f>Global!HV31</f>
        <v/>
      </c>
      <c r="S31" s="31" t="str">
        <f>Global!HW31</f>
        <v/>
      </c>
      <c r="T31" s="31" t="str">
        <f>Global!HX31</f>
        <v/>
      </c>
      <c r="U31" s="31" t="str">
        <f>Global!HY31</f>
        <v/>
      </c>
      <c r="V31" s="31" t="str">
        <f>Global!HZ31</f>
        <v/>
      </c>
      <c r="W31" s="31" t="str">
        <f>Global!IA31</f>
        <v/>
      </c>
      <c r="X31" s="31" t="str">
        <f>Global!IB31</f>
        <v/>
      </c>
      <c r="Y31" s="31" t="str">
        <f>Global!IC31</f>
        <v/>
      </c>
      <c r="Z31" s="31" t="str">
        <f>Global!ID31</f>
        <v/>
      </c>
      <c r="AA31" s="31" t="str">
        <f>Global!IE31</f>
        <v/>
      </c>
      <c r="AB31" s="31" t="str">
        <f>Global!IF31</f>
        <v/>
      </c>
      <c r="AC31" s="31" t="str">
        <f>Global!IG31</f>
        <v/>
      </c>
      <c r="AD31" s="31" t="str">
        <f>Global!IH31</f>
        <v/>
      </c>
      <c r="AE31" s="31" t="str">
        <f>Global!II31</f>
        <v/>
      </c>
      <c r="AF31" s="31" t="str">
        <f>Global!IJ31</f>
        <v/>
      </c>
      <c r="AG31" s="31" t="str">
        <f>Global!IK31</f>
        <v/>
      </c>
      <c r="AH31" s="31" t="str">
        <f>Global!IL31</f>
        <v/>
      </c>
      <c r="AI31" s="31" t="str">
        <f>Global!IM31</f>
        <v/>
      </c>
      <c r="AJ31" s="48" t="str">
        <f>Global!IN31</f>
        <v/>
      </c>
      <c r="AK31" s="108">
        <f>COUNTIF(Août[[#This Row],[1]:[31]],"RTT")+(COUNTIF(Août[[#This Row],[1]:[31]],"dRTT")/2)</f>
        <v>0</v>
      </c>
      <c r="AL31" s="109">
        <f>COUNTIF(Août[[#This Row],[1]:[31]],"C")+(COUNTIF(Août[[#This Row],[1]:[31]],"DC")/2)</f>
        <v>0</v>
      </c>
      <c r="AM31" s="22">
        <f>COUNTIF(Août[[#This Row],[1]:[31]],"M")</f>
        <v>0</v>
      </c>
      <c r="AN31" s="22">
        <f>COUNTIF(Août[[#This Row],[1]:[31]],"AT")</f>
        <v>0</v>
      </c>
      <c r="AO31" s="84">
        <f>IF(AND(Août[[#This Row],[Maladie]]=0,Août[[#This Row],[AT]]=0),((10*(_xlfn.DAYS("31/08/2018","01/08/2018")+1))/365),((_xlfn.DAYS("31/08/2018","01/08/2018")+1-(Août[[#This Row],[Maladie]]+Août[[#This Row],[AT]]))*((10*(_xlfn.DAYS("31/08/2018","01/08/2018")+1))/365))/(_xlfn.DAYS("31/08/2018","01/08/2018")+1))</f>
        <v>0.84931506849315064</v>
      </c>
    </row>
    <row r="32" spans="1:41" ht="30" customHeight="1" x14ac:dyDescent="0.2">
      <c r="A32" s="15" t="s">
        <v>88</v>
      </c>
      <c r="B32" s="22" t="s">
        <v>199</v>
      </c>
      <c r="C32" s="22" t="s">
        <v>200</v>
      </c>
      <c r="D32" s="22" t="s">
        <v>201</v>
      </c>
      <c r="E32" s="44">
        <v>0</v>
      </c>
      <c r="F32" s="47" t="str">
        <f>Global!HJ32</f>
        <v>C</v>
      </c>
      <c r="G32" s="31" t="str">
        <f>Global!HK32</f>
        <v>C</v>
      </c>
      <c r="H32" s="31" t="str">
        <f>Global!HL32</f>
        <v>C</v>
      </c>
      <c r="I32" s="31" t="str">
        <f>Global!HM32</f>
        <v/>
      </c>
      <c r="J32" s="31" t="str">
        <f>Global!HN32</f>
        <v/>
      </c>
      <c r="K32" s="31" t="str">
        <f>Global!HO32</f>
        <v/>
      </c>
      <c r="L32" s="31" t="str">
        <f>Global!HP32</f>
        <v/>
      </c>
      <c r="M32" s="31" t="str">
        <f>Global!HQ32</f>
        <v/>
      </c>
      <c r="N32" s="31" t="str">
        <f>Global!HR32</f>
        <v/>
      </c>
      <c r="O32" s="31" t="str">
        <f>Global!HS32</f>
        <v/>
      </c>
      <c r="P32" s="31" t="str">
        <f>Global!HT32</f>
        <v/>
      </c>
      <c r="Q32" s="31" t="str">
        <f>Global!HU32</f>
        <v/>
      </c>
      <c r="R32" s="31" t="str">
        <f>Global!HV32</f>
        <v/>
      </c>
      <c r="S32" s="31" t="str">
        <f>Global!HW32</f>
        <v/>
      </c>
      <c r="T32" s="31" t="str">
        <f>Global!HX32</f>
        <v/>
      </c>
      <c r="U32" s="31" t="str">
        <f>Global!HY32</f>
        <v/>
      </c>
      <c r="V32" s="31" t="str">
        <f>Global!HZ32</f>
        <v/>
      </c>
      <c r="W32" s="31" t="str">
        <f>Global!IA32</f>
        <v/>
      </c>
      <c r="X32" s="31" t="str">
        <f>Global!IB32</f>
        <v/>
      </c>
      <c r="Y32" s="31" t="str">
        <f>Global!IC32</f>
        <v/>
      </c>
      <c r="Z32" s="31" t="str">
        <f>Global!ID32</f>
        <v/>
      </c>
      <c r="AA32" s="31" t="str">
        <f>Global!IE32</f>
        <v/>
      </c>
      <c r="AB32" s="31" t="str">
        <f>Global!IF32</f>
        <v/>
      </c>
      <c r="AC32" s="31" t="str">
        <f>Global!IG32</f>
        <v/>
      </c>
      <c r="AD32" s="31" t="str">
        <f>Global!IH32</f>
        <v/>
      </c>
      <c r="AE32" s="31" t="str">
        <f>Global!II32</f>
        <v/>
      </c>
      <c r="AF32" s="31" t="str">
        <f>Global!IJ32</f>
        <v/>
      </c>
      <c r="AG32" s="31" t="str">
        <f>Global!IK32</f>
        <v/>
      </c>
      <c r="AH32" s="31" t="str">
        <f>Global!IL32</f>
        <v/>
      </c>
      <c r="AI32" s="31" t="str">
        <f>Global!IM32</f>
        <v/>
      </c>
      <c r="AJ32" s="48" t="str">
        <f>Global!IN32</f>
        <v/>
      </c>
      <c r="AK32" s="108">
        <f>COUNTIF(Août[[#This Row],[1]:[31]],"RTT")+(COUNTIF(Août[[#This Row],[1]:[31]],"dRTT")/2)</f>
        <v>0</v>
      </c>
      <c r="AL32" s="109">
        <f>COUNTIF(Août[[#This Row],[1]:[31]],"C")+(COUNTIF(Août[[#This Row],[1]:[31]],"DC")/2)</f>
        <v>3</v>
      </c>
      <c r="AM32" s="22">
        <f>COUNTIF(Août[[#This Row],[1]:[31]],"M")</f>
        <v>0</v>
      </c>
      <c r="AN32" s="22">
        <f>COUNTIF(Août[[#This Row],[1]:[31]],"AT")</f>
        <v>0</v>
      </c>
      <c r="AO32" s="84">
        <f>IF(AND(Août[[#This Row],[Maladie]]=0,Août[[#This Row],[AT]]=0),((10*(_xlfn.DAYS("31/08/2018","01/08/2018")+1))/365),((_xlfn.DAYS("31/08/2018","01/08/2018")+1-(Août[[#This Row],[Maladie]]+Août[[#This Row],[AT]]))*((10*(_xlfn.DAYS("31/08/2018","01/08/2018")+1))/365))/(_xlfn.DAYS("31/08/2018","01/08/2018")+1))</f>
        <v>0.84931506849315064</v>
      </c>
    </row>
    <row r="33" spans="1:41" ht="30" customHeight="1" x14ac:dyDescent="0.2">
      <c r="A33" s="13" t="s">
        <v>89</v>
      </c>
      <c r="B33" s="22" t="s">
        <v>202</v>
      </c>
      <c r="C33" s="22" t="s">
        <v>172</v>
      </c>
      <c r="D33" s="22" t="s">
        <v>203</v>
      </c>
      <c r="E33" s="44">
        <v>0</v>
      </c>
      <c r="F33" s="47" t="str">
        <f>Global!HJ33</f>
        <v/>
      </c>
      <c r="G33" s="31" t="str">
        <f>Global!HK33</f>
        <v/>
      </c>
      <c r="H33" s="31" t="str">
        <f>Global!HL33</f>
        <v/>
      </c>
      <c r="I33" s="31" t="str">
        <f>Global!HM33</f>
        <v/>
      </c>
      <c r="J33" s="31" t="str">
        <f>Global!HN33</f>
        <v/>
      </c>
      <c r="K33" s="31" t="str">
        <f>Global!HO33</f>
        <v/>
      </c>
      <c r="L33" s="31" t="str">
        <f>Global!HP33</f>
        <v/>
      </c>
      <c r="M33" s="31" t="str">
        <f>Global!HQ33</f>
        <v/>
      </c>
      <c r="N33" s="31" t="str">
        <f>Global!HR33</f>
        <v/>
      </c>
      <c r="O33" s="31" t="str">
        <f>Global!HS33</f>
        <v/>
      </c>
      <c r="P33" s="31" t="str">
        <f>Global!HT33</f>
        <v/>
      </c>
      <c r="Q33" s="31" t="str">
        <f>Global!HU33</f>
        <v/>
      </c>
      <c r="R33" s="31" t="str">
        <f>Global!HV33</f>
        <v>C</v>
      </c>
      <c r="S33" s="31" t="str">
        <f>Global!HW33</f>
        <v>C</v>
      </c>
      <c r="T33" s="31" t="str">
        <f>Global!HX33</f>
        <v/>
      </c>
      <c r="U33" s="31" t="str">
        <f>Global!HY33</f>
        <v>C</v>
      </c>
      <c r="V33" s="31" t="str">
        <f>Global!HZ33</f>
        <v>C</v>
      </c>
      <c r="W33" s="31" t="str">
        <f>Global!IA33</f>
        <v/>
      </c>
      <c r="X33" s="31" t="str">
        <f>Global!IB33</f>
        <v/>
      </c>
      <c r="Y33" s="31" t="str">
        <f>Global!IC33</f>
        <v>C</v>
      </c>
      <c r="Z33" s="31" t="str">
        <f>Global!ID33</f>
        <v>C</v>
      </c>
      <c r="AA33" s="31" t="str">
        <f>Global!IE33</f>
        <v>C</v>
      </c>
      <c r="AB33" s="31" t="str">
        <f>Global!IF33</f>
        <v>C</v>
      </c>
      <c r="AC33" s="31" t="str">
        <f>Global!IG33</f>
        <v>C</v>
      </c>
      <c r="AD33" s="31" t="str">
        <f>Global!IH33</f>
        <v/>
      </c>
      <c r="AE33" s="31" t="str">
        <f>Global!II33</f>
        <v/>
      </c>
      <c r="AF33" s="31" t="str">
        <f>Global!IJ33</f>
        <v/>
      </c>
      <c r="AG33" s="31" t="str">
        <f>Global!IK33</f>
        <v/>
      </c>
      <c r="AH33" s="31" t="str">
        <f>Global!IL33</f>
        <v/>
      </c>
      <c r="AI33" s="31" t="str">
        <f>Global!IM33</f>
        <v/>
      </c>
      <c r="AJ33" s="48" t="str">
        <f>Global!IN33</f>
        <v/>
      </c>
      <c r="AK33" s="108">
        <f>COUNTIF(Août[[#This Row],[1]:[31]],"RTT")+(COUNTIF(Août[[#This Row],[1]:[31]],"dRTT")/2)</f>
        <v>0</v>
      </c>
      <c r="AL33" s="109">
        <f>COUNTIF(Août[[#This Row],[1]:[31]],"C")+(COUNTIF(Août[[#This Row],[1]:[31]],"DC")/2)</f>
        <v>9</v>
      </c>
      <c r="AM33" s="22">
        <f>COUNTIF(Août[[#This Row],[1]:[31]],"M")</f>
        <v>0</v>
      </c>
      <c r="AN33" s="22">
        <f>COUNTIF(Août[[#This Row],[1]:[31]],"AT")</f>
        <v>0</v>
      </c>
      <c r="AO33" s="84">
        <f>IF(AND(Août[[#This Row],[Maladie]]=0,Août[[#This Row],[AT]]=0),((10*(_xlfn.DAYS("31/08/2018","01/08/2018")+1))/365),((_xlfn.DAYS("31/08/2018","01/08/2018")+1-(Août[[#This Row],[Maladie]]+Août[[#This Row],[AT]]))*((10*(_xlfn.DAYS("31/08/2018","01/08/2018")+1))/365))/(_xlfn.DAYS("31/08/2018","01/08/2018")+1))</f>
        <v>0.84931506849315064</v>
      </c>
    </row>
    <row r="34" spans="1:41" ht="30" customHeight="1" x14ac:dyDescent="0.2">
      <c r="A34" s="13" t="s">
        <v>90</v>
      </c>
      <c r="B34" s="22" t="s">
        <v>204</v>
      </c>
      <c r="C34" s="22" t="s">
        <v>205</v>
      </c>
      <c r="D34" s="22" t="s">
        <v>206</v>
      </c>
      <c r="E34" s="44" t="s">
        <v>162</v>
      </c>
      <c r="F34" s="47" t="str">
        <f>Global!HJ34</f>
        <v/>
      </c>
      <c r="G34" s="31" t="str">
        <f>Global!HK34</f>
        <v/>
      </c>
      <c r="H34" s="31" t="str">
        <f>Global!HL34</f>
        <v/>
      </c>
      <c r="I34" s="31" t="str">
        <f>Global!HM34</f>
        <v/>
      </c>
      <c r="J34" s="31" t="str">
        <f>Global!HN34</f>
        <v/>
      </c>
      <c r="K34" s="31" t="str">
        <f>Global!HO34</f>
        <v/>
      </c>
      <c r="L34" s="31" t="str">
        <f>Global!HP34</f>
        <v/>
      </c>
      <c r="M34" s="31" t="str">
        <f>Global!HQ34</f>
        <v/>
      </c>
      <c r="N34" s="31" t="str">
        <f>Global!HR34</f>
        <v/>
      </c>
      <c r="O34" s="31" t="str">
        <f>Global!HS34</f>
        <v/>
      </c>
      <c r="P34" s="31" t="str">
        <f>Global!HT34</f>
        <v/>
      </c>
      <c r="Q34" s="31" t="str">
        <f>Global!HU34</f>
        <v/>
      </c>
      <c r="R34" s="31" t="str">
        <f>Global!HV34</f>
        <v/>
      </c>
      <c r="S34" s="31" t="str">
        <f>Global!HW34</f>
        <v/>
      </c>
      <c r="T34" s="31" t="str">
        <f>Global!HX34</f>
        <v/>
      </c>
      <c r="U34" s="31" t="str">
        <f>Global!HY34</f>
        <v/>
      </c>
      <c r="V34" s="31" t="str">
        <f>Global!HZ34</f>
        <v/>
      </c>
      <c r="W34" s="31" t="str">
        <f>Global!IA34</f>
        <v/>
      </c>
      <c r="X34" s="31" t="str">
        <f>Global!IB34</f>
        <v/>
      </c>
      <c r="Y34" s="31" t="str">
        <f>Global!IC34</f>
        <v/>
      </c>
      <c r="Z34" s="31" t="str">
        <f>Global!ID34</f>
        <v/>
      </c>
      <c r="AA34" s="31" t="str">
        <f>Global!IE34</f>
        <v/>
      </c>
      <c r="AB34" s="31" t="str">
        <f>Global!IF34</f>
        <v/>
      </c>
      <c r="AC34" s="31" t="str">
        <f>Global!IG34</f>
        <v/>
      </c>
      <c r="AD34" s="31" t="str">
        <f>Global!IH34</f>
        <v/>
      </c>
      <c r="AE34" s="31" t="str">
        <f>Global!II34</f>
        <v/>
      </c>
      <c r="AF34" s="31" t="str">
        <f>Global!IJ34</f>
        <v/>
      </c>
      <c r="AG34" s="31" t="str">
        <f>Global!IK34</f>
        <v/>
      </c>
      <c r="AH34" s="31" t="str">
        <f>Global!IL34</f>
        <v/>
      </c>
      <c r="AI34" s="31" t="str">
        <f>Global!IM34</f>
        <v/>
      </c>
      <c r="AJ34" s="48" t="str">
        <f>Global!IN34</f>
        <v/>
      </c>
      <c r="AK34" s="108">
        <f>COUNTIF(Août[[#This Row],[1]:[31]],"RTT")+(COUNTIF(Août[[#This Row],[1]:[31]],"dRTT")/2)</f>
        <v>0</v>
      </c>
      <c r="AL34" s="109">
        <f>COUNTIF(Août[[#This Row],[1]:[31]],"C")+(COUNTIF(Août[[#This Row],[1]:[31]],"DC")/2)</f>
        <v>0</v>
      </c>
      <c r="AM34" s="22">
        <f>COUNTIF(Août[[#This Row],[1]:[31]],"M")</f>
        <v>0</v>
      </c>
      <c r="AN34" s="22">
        <f>COUNTIF(Août[[#This Row],[1]:[31]],"AT")</f>
        <v>0</v>
      </c>
      <c r="AO34" s="84">
        <f>IF(AND(Août[[#This Row],[Maladie]]=0,Août[[#This Row],[AT]]=0),((10*(_xlfn.DAYS("31/08/2018","01/08/2018")+1))/365),((_xlfn.DAYS("31/08/2018","01/08/2018")+1-(Août[[#This Row],[Maladie]]+Août[[#This Row],[AT]]))*((10*(_xlfn.DAYS("31/08/2018","01/08/2018")+1))/365))/(_xlfn.DAYS("31/08/2018","01/08/2018")+1))</f>
        <v>0.84931506849315064</v>
      </c>
    </row>
    <row r="35" spans="1:41" ht="30" customHeight="1" x14ac:dyDescent="0.2">
      <c r="A35" s="13" t="s">
        <v>91</v>
      </c>
      <c r="B35" s="22" t="s">
        <v>207</v>
      </c>
      <c r="C35" s="22" t="s">
        <v>208</v>
      </c>
      <c r="D35" s="22" t="s">
        <v>209</v>
      </c>
      <c r="E35" s="44" t="s">
        <v>162</v>
      </c>
      <c r="F35" s="47" t="str">
        <f>Global!HJ35</f>
        <v/>
      </c>
      <c r="G35" s="31" t="str">
        <f>Global!HK35</f>
        <v/>
      </c>
      <c r="H35" s="31" t="str">
        <f>Global!HL35</f>
        <v/>
      </c>
      <c r="I35" s="31" t="str">
        <f>Global!HM35</f>
        <v/>
      </c>
      <c r="J35" s="31" t="str">
        <f>Global!HN35</f>
        <v/>
      </c>
      <c r="K35" s="31" t="str">
        <f>Global!HO35</f>
        <v/>
      </c>
      <c r="L35" s="31" t="str">
        <f>Global!HP35</f>
        <v/>
      </c>
      <c r="M35" s="31" t="str">
        <f>Global!HQ35</f>
        <v/>
      </c>
      <c r="N35" s="31" t="str">
        <f>Global!HR35</f>
        <v/>
      </c>
      <c r="O35" s="31" t="str">
        <f>Global!HS35</f>
        <v/>
      </c>
      <c r="P35" s="31" t="str">
        <f>Global!HT35</f>
        <v/>
      </c>
      <c r="Q35" s="31" t="str">
        <f>Global!HU35</f>
        <v/>
      </c>
      <c r="R35" s="31" t="str">
        <f>Global!HV35</f>
        <v/>
      </c>
      <c r="S35" s="31" t="str">
        <f>Global!HW35</f>
        <v/>
      </c>
      <c r="T35" s="31" t="str">
        <f>Global!HX35</f>
        <v/>
      </c>
      <c r="U35" s="31" t="str">
        <f>Global!HY35</f>
        <v/>
      </c>
      <c r="V35" s="31" t="str">
        <f>Global!HZ35</f>
        <v/>
      </c>
      <c r="W35" s="31" t="str">
        <f>Global!IA35</f>
        <v/>
      </c>
      <c r="X35" s="31" t="str">
        <f>Global!IB35</f>
        <v/>
      </c>
      <c r="Y35" s="31" t="str">
        <f>Global!IC35</f>
        <v/>
      </c>
      <c r="Z35" s="31" t="str">
        <f>Global!ID35</f>
        <v/>
      </c>
      <c r="AA35" s="31" t="str">
        <f>Global!IE35</f>
        <v/>
      </c>
      <c r="AB35" s="31" t="str">
        <f>Global!IF35</f>
        <v/>
      </c>
      <c r="AC35" s="31" t="str">
        <f>Global!IG35</f>
        <v/>
      </c>
      <c r="AD35" s="31" t="str">
        <f>Global!IH35</f>
        <v/>
      </c>
      <c r="AE35" s="31" t="str">
        <f>Global!II35</f>
        <v/>
      </c>
      <c r="AF35" s="31" t="str">
        <f>Global!IJ35</f>
        <v/>
      </c>
      <c r="AG35" s="31" t="str">
        <f>Global!IK35</f>
        <v/>
      </c>
      <c r="AH35" s="31" t="str">
        <f>Global!IL35</f>
        <v/>
      </c>
      <c r="AI35" s="31" t="str">
        <f>Global!IM35</f>
        <v/>
      </c>
      <c r="AJ35" s="48" t="str">
        <f>Global!IN35</f>
        <v/>
      </c>
      <c r="AK35" s="108">
        <f>COUNTIF(Août[[#This Row],[1]:[31]],"RTT")+(COUNTIF(Août[[#This Row],[1]:[31]],"dRTT")/2)</f>
        <v>0</v>
      </c>
      <c r="AL35" s="109">
        <f>COUNTIF(Août[[#This Row],[1]:[31]],"C")+(COUNTIF(Août[[#This Row],[1]:[31]],"DC")/2)</f>
        <v>0</v>
      </c>
      <c r="AM35" s="22">
        <f>COUNTIF(Août[[#This Row],[1]:[31]],"M")</f>
        <v>0</v>
      </c>
      <c r="AN35" s="22">
        <f>COUNTIF(Août[[#This Row],[1]:[31]],"AT")</f>
        <v>0</v>
      </c>
      <c r="AO35" s="84">
        <f>IF(AND(Août[[#This Row],[Maladie]]=0,Août[[#This Row],[AT]]=0),((10*(_xlfn.DAYS("31/08/2018","01/08/2018")+1))/365),((_xlfn.DAYS("31/08/2018","01/08/2018")+1-(Août[[#This Row],[Maladie]]+Août[[#This Row],[AT]]))*((10*(_xlfn.DAYS("31/08/2018","01/08/2018")+1))/365))/(_xlfn.DAYS("31/08/2018","01/08/2018")+1))</f>
        <v>0.84931506849315064</v>
      </c>
    </row>
    <row r="36" spans="1:41" ht="30" customHeight="1" x14ac:dyDescent="0.2">
      <c r="A36" s="13" t="s">
        <v>92</v>
      </c>
      <c r="B36" s="22" t="s">
        <v>210</v>
      </c>
      <c r="C36" s="22" t="s">
        <v>211</v>
      </c>
      <c r="D36" s="22" t="s">
        <v>212</v>
      </c>
      <c r="E36" s="44">
        <v>0</v>
      </c>
      <c r="F36" s="47" t="str">
        <f>Global!HJ36</f>
        <v/>
      </c>
      <c r="G36" s="31" t="str">
        <f>Global!HK36</f>
        <v/>
      </c>
      <c r="H36" s="31" t="str">
        <f>Global!HL36</f>
        <v/>
      </c>
      <c r="I36" s="31" t="str">
        <f>Global!HM36</f>
        <v/>
      </c>
      <c r="J36" s="31" t="str">
        <f>Global!HN36</f>
        <v/>
      </c>
      <c r="K36" s="31" t="str">
        <f>Global!HO36</f>
        <v/>
      </c>
      <c r="L36" s="31" t="str">
        <f>Global!HP36</f>
        <v/>
      </c>
      <c r="M36" s="31" t="str">
        <f>Global!HQ36</f>
        <v/>
      </c>
      <c r="N36" s="31" t="str">
        <f>Global!HR36</f>
        <v/>
      </c>
      <c r="O36" s="31" t="str">
        <f>Global!HS36</f>
        <v/>
      </c>
      <c r="P36" s="31" t="str">
        <f>Global!HT36</f>
        <v/>
      </c>
      <c r="Q36" s="31" t="str">
        <f>Global!HU36</f>
        <v/>
      </c>
      <c r="R36" s="31" t="str">
        <f>Global!HV36</f>
        <v/>
      </c>
      <c r="S36" s="31" t="str">
        <f>Global!HW36</f>
        <v/>
      </c>
      <c r="T36" s="31" t="str">
        <f>Global!HX36</f>
        <v/>
      </c>
      <c r="U36" s="31" t="str">
        <f>Global!HY36</f>
        <v/>
      </c>
      <c r="V36" s="31" t="str">
        <f>Global!HZ36</f>
        <v/>
      </c>
      <c r="W36" s="31" t="str">
        <f>Global!IA36</f>
        <v/>
      </c>
      <c r="X36" s="31" t="str">
        <f>Global!IB36</f>
        <v/>
      </c>
      <c r="Y36" s="31" t="str">
        <f>Global!IC36</f>
        <v/>
      </c>
      <c r="Z36" s="31" t="str">
        <f>Global!ID36</f>
        <v/>
      </c>
      <c r="AA36" s="31" t="str">
        <f>Global!IE36</f>
        <v/>
      </c>
      <c r="AB36" s="31" t="str">
        <f>Global!IF36</f>
        <v/>
      </c>
      <c r="AC36" s="31" t="str">
        <f>Global!IG36</f>
        <v/>
      </c>
      <c r="AD36" s="31" t="str">
        <f>Global!IH36</f>
        <v/>
      </c>
      <c r="AE36" s="31" t="str">
        <f>Global!II36</f>
        <v/>
      </c>
      <c r="AF36" s="31" t="str">
        <f>Global!IJ36</f>
        <v/>
      </c>
      <c r="AG36" s="31" t="str">
        <f>Global!IK36</f>
        <v/>
      </c>
      <c r="AH36" s="31" t="str">
        <f>Global!IL36</f>
        <v/>
      </c>
      <c r="AI36" s="31" t="str">
        <f>Global!IM36</f>
        <v/>
      </c>
      <c r="AJ36" s="48" t="str">
        <f>Global!IN36</f>
        <v/>
      </c>
      <c r="AK36" s="108">
        <f>COUNTIF(Août[[#This Row],[1]:[31]],"RTT")+(COUNTIF(Août[[#This Row],[1]:[31]],"dRTT")/2)</f>
        <v>0</v>
      </c>
      <c r="AL36" s="109">
        <f>COUNTIF(Août[[#This Row],[1]:[31]],"C")+(COUNTIF(Août[[#This Row],[1]:[31]],"DC")/2)</f>
        <v>0</v>
      </c>
      <c r="AM36" s="22">
        <f>COUNTIF(Août[[#This Row],[1]:[31]],"M")</f>
        <v>0</v>
      </c>
      <c r="AN36" s="22">
        <f>COUNTIF(Août[[#This Row],[1]:[31]],"AT")</f>
        <v>0</v>
      </c>
      <c r="AO36" s="84">
        <f>IF(AND(Août[[#This Row],[Maladie]]=0,Août[[#This Row],[AT]]=0),((10*(_xlfn.DAYS("31/08/2018","01/08/2018")+1))/365),((_xlfn.DAYS("31/08/2018","01/08/2018")+1-(Août[[#This Row],[Maladie]]+Août[[#This Row],[AT]]))*((10*(_xlfn.DAYS("31/08/2018","01/08/2018")+1))/365))/(_xlfn.DAYS("31/08/2018","01/08/2018")+1))</f>
        <v>0.84931506849315064</v>
      </c>
    </row>
    <row r="37" spans="1:41" ht="30" customHeight="1" x14ac:dyDescent="0.2">
      <c r="A37" s="13" t="s">
        <v>93</v>
      </c>
      <c r="B37" s="22" t="s">
        <v>213</v>
      </c>
      <c r="C37" s="22" t="s">
        <v>148</v>
      </c>
      <c r="D37" s="22" t="s">
        <v>214</v>
      </c>
      <c r="E37" s="44">
        <v>0</v>
      </c>
      <c r="F37" s="47" t="str">
        <f>Global!HJ37</f>
        <v>C</v>
      </c>
      <c r="G37" s="31" t="str">
        <f>Global!HK37</f>
        <v>C</v>
      </c>
      <c r="H37" s="31" t="str">
        <f>Global!HL37</f>
        <v>C</v>
      </c>
      <c r="I37" s="31" t="str">
        <f>Global!HM37</f>
        <v/>
      </c>
      <c r="J37" s="31" t="str">
        <f>Global!HN37</f>
        <v/>
      </c>
      <c r="K37" s="31" t="str">
        <f>Global!HO37</f>
        <v>C</v>
      </c>
      <c r="L37" s="31" t="str">
        <f>Global!HP37</f>
        <v>C</v>
      </c>
      <c r="M37" s="31" t="str">
        <f>Global!HQ37</f>
        <v>C</v>
      </c>
      <c r="N37" s="31" t="str">
        <f>Global!HR37</f>
        <v>C</v>
      </c>
      <c r="O37" s="31" t="str">
        <f>Global!HS37</f>
        <v>C</v>
      </c>
      <c r="P37" s="31" t="str">
        <f>Global!HT37</f>
        <v/>
      </c>
      <c r="Q37" s="31" t="str">
        <f>Global!HU37</f>
        <v/>
      </c>
      <c r="R37" s="31" t="str">
        <f>Global!HV37</f>
        <v/>
      </c>
      <c r="S37" s="31" t="str">
        <f>Global!HW37</f>
        <v/>
      </c>
      <c r="T37" s="31" t="str">
        <f>Global!HX37</f>
        <v/>
      </c>
      <c r="U37" s="31" t="str">
        <f>Global!HY37</f>
        <v/>
      </c>
      <c r="V37" s="31" t="str">
        <f>Global!HZ37</f>
        <v/>
      </c>
      <c r="W37" s="31" t="str">
        <f>Global!IA37</f>
        <v/>
      </c>
      <c r="X37" s="31" t="str">
        <f>Global!IB37</f>
        <v/>
      </c>
      <c r="Y37" s="31" t="str">
        <f>Global!IC37</f>
        <v/>
      </c>
      <c r="Z37" s="31" t="str">
        <f>Global!ID37</f>
        <v/>
      </c>
      <c r="AA37" s="31" t="str">
        <f>Global!IE37</f>
        <v/>
      </c>
      <c r="AB37" s="31" t="str">
        <f>Global!IF37</f>
        <v/>
      </c>
      <c r="AC37" s="31" t="str">
        <f>Global!IG37</f>
        <v/>
      </c>
      <c r="AD37" s="31" t="str">
        <f>Global!IH37</f>
        <v/>
      </c>
      <c r="AE37" s="31" t="str">
        <f>Global!II37</f>
        <v/>
      </c>
      <c r="AF37" s="31" t="str">
        <f>Global!IJ37</f>
        <v/>
      </c>
      <c r="AG37" s="31" t="str">
        <f>Global!IK37</f>
        <v/>
      </c>
      <c r="AH37" s="31" t="str">
        <f>Global!IL37</f>
        <v/>
      </c>
      <c r="AI37" s="31" t="str">
        <f>Global!IM37</f>
        <v/>
      </c>
      <c r="AJ37" s="48" t="str">
        <f>Global!IN37</f>
        <v/>
      </c>
      <c r="AK37" s="108">
        <f>COUNTIF(Août[[#This Row],[1]:[31]],"RTT")+(COUNTIF(Août[[#This Row],[1]:[31]],"dRTT")/2)</f>
        <v>0</v>
      </c>
      <c r="AL37" s="109">
        <f>COUNTIF(Août[[#This Row],[1]:[31]],"C")+(COUNTIF(Août[[#This Row],[1]:[31]],"DC")/2)</f>
        <v>8</v>
      </c>
      <c r="AM37" s="22">
        <f>COUNTIF(Août[[#This Row],[1]:[31]],"M")</f>
        <v>0</v>
      </c>
      <c r="AN37" s="22">
        <f>COUNTIF(Août[[#This Row],[1]:[31]],"AT")</f>
        <v>0</v>
      </c>
      <c r="AO37" s="84">
        <f>IF(AND(Août[[#This Row],[Maladie]]=0,Août[[#This Row],[AT]]=0),((10*(_xlfn.DAYS("31/08/2018","01/08/2018")+1))/365),((_xlfn.DAYS("31/08/2018","01/08/2018")+1-(Août[[#This Row],[Maladie]]+Août[[#This Row],[AT]]))*((10*(_xlfn.DAYS("31/08/2018","01/08/2018")+1))/365))/(_xlfn.DAYS("31/08/2018","01/08/2018")+1))</f>
        <v>0.84931506849315064</v>
      </c>
    </row>
    <row r="38" spans="1:41" ht="30" customHeight="1" x14ac:dyDescent="0.2">
      <c r="A38" s="13" t="s">
        <v>94</v>
      </c>
      <c r="B38" s="22" t="s">
        <v>215</v>
      </c>
      <c r="C38" s="22" t="s">
        <v>216</v>
      </c>
      <c r="D38" s="22" t="s">
        <v>217</v>
      </c>
      <c r="E38" s="44">
        <v>0</v>
      </c>
      <c r="F38" s="47" t="str">
        <f>Global!HJ38</f>
        <v/>
      </c>
      <c r="G38" s="31" t="str">
        <f>Global!HK38</f>
        <v/>
      </c>
      <c r="H38" s="31" t="str">
        <f>Global!HL38</f>
        <v/>
      </c>
      <c r="I38" s="31" t="str">
        <f>Global!HM38</f>
        <v/>
      </c>
      <c r="J38" s="31" t="str">
        <f>Global!HN38</f>
        <v/>
      </c>
      <c r="K38" s="31" t="str">
        <f>Global!HO38</f>
        <v/>
      </c>
      <c r="L38" s="31" t="str">
        <f>Global!HP38</f>
        <v/>
      </c>
      <c r="M38" s="31" t="str">
        <f>Global!HQ38</f>
        <v/>
      </c>
      <c r="N38" s="31" t="str">
        <f>Global!HR38</f>
        <v/>
      </c>
      <c r="O38" s="31" t="str">
        <f>Global!HS38</f>
        <v/>
      </c>
      <c r="P38" s="31" t="str">
        <f>Global!HT38</f>
        <v/>
      </c>
      <c r="Q38" s="31" t="str">
        <f>Global!HU38</f>
        <v/>
      </c>
      <c r="R38" s="31" t="str">
        <f>Global!HV38</f>
        <v/>
      </c>
      <c r="S38" s="31" t="str">
        <f>Global!HW38</f>
        <v/>
      </c>
      <c r="T38" s="31" t="str">
        <f>Global!HX38</f>
        <v/>
      </c>
      <c r="U38" s="31" t="str">
        <f>Global!HY38</f>
        <v/>
      </c>
      <c r="V38" s="31" t="str">
        <f>Global!HZ38</f>
        <v/>
      </c>
      <c r="W38" s="31" t="str">
        <f>Global!IA38</f>
        <v/>
      </c>
      <c r="X38" s="31" t="str">
        <f>Global!IB38</f>
        <v/>
      </c>
      <c r="Y38" s="31" t="str">
        <f>Global!IC38</f>
        <v/>
      </c>
      <c r="Z38" s="31" t="str">
        <f>Global!ID38</f>
        <v/>
      </c>
      <c r="AA38" s="31" t="str">
        <f>Global!IE38</f>
        <v/>
      </c>
      <c r="AB38" s="31" t="str">
        <f>Global!IF38</f>
        <v/>
      </c>
      <c r="AC38" s="31" t="str">
        <f>Global!IG38</f>
        <v/>
      </c>
      <c r="AD38" s="31" t="str">
        <f>Global!IH38</f>
        <v/>
      </c>
      <c r="AE38" s="31" t="str">
        <f>Global!II38</f>
        <v/>
      </c>
      <c r="AF38" s="31" t="str">
        <f>Global!IJ38</f>
        <v/>
      </c>
      <c r="AG38" s="31" t="str">
        <f>Global!IK38</f>
        <v/>
      </c>
      <c r="AH38" s="31" t="str">
        <f>Global!IL38</f>
        <v/>
      </c>
      <c r="AI38" s="31" t="str">
        <f>Global!IM38</f>
        <v/>
      </c>
      <c r="AJ38" s="48" t="str">
        <f>Global!IN38</f>
        <v/>
      </c>
      <c r="AK38" s="108">
        <f>COUNTIF(Août[[#This Row],[1]:[31]],"RTT")+(COUNTIF(Août[[#This Row],[1]:[31]],"dRTT")/2)</f>
        <v>0</v>
      </c>
      <c r="AL38" s="109">
        <f>COUNTIF(Août[[#This Row],[1]:[31]],"C")+(COUNTIF(Août[[#This Row],[1]:[31]],"DC")/2)</f>
        <v>0</v>
      </c>
      <c r="AM38" s="22">
        <f>COUNTIF(Août[[#This Row],[1]:[31]],"M")</f>
        <v>0</v>
      </c>
      <c r="AN38" s="22">
        <f>COUNTIF(Août[[#This Row],[1]:[31]],"AT")</f>
        <v>0</v>
      </c>
      <c r="AO38" s="84">
        <f>IF(AND(Août[[#This Row],[Maladie]]=0,Août[[#This Row],[AT]]=0),((10*(_xlfn.DAYS("31/08/2018","01/08/2018")+1))/365),((_xlfn.DAYS("31/08/2018","01/08/2018")+1-(Août[[#This Row],[Maladie]]+Août[[#This Row],[AT]]))*((10*(_xlfn.DAYS("31/08/2018","01/08/2018")+1))/365))/(_xlfn.DAYS("31/08/2018","01/08/2018")+1))</f>
        <v>0.84931506849315064</v>
      </c>
    </row>
    <row r="39" spans="1:41" ht="30" customHeight="1" x14ac:dyDescent="0.2">
      <c r="A39" s="16" t="s">
        <v>95</v>
      </c>
      <c r="B39" s="22" t="s">
        <v>218</v>
      </c>
      <c r="C39" s="22" t="s">
        <v>219</v>
      </c>
      <c r="D39" s="22" t="s">
        <v>220</v>
      </c>
      <c r="E39" s="44">
        <v>0</v>
      </c>
      <c r="F39" s="47" t="str">
        <f>Global!HJ39</f>
        <v/>
      </c>
      <c r="G39" s="31" t="str">
        <f>Global!HK39</f>
        <v/>
      </c>
      <c r="H39" s="31" t="str">
        <f>Global!HL39</f>
        <v/>
      </c>
      <c r="I39" s="31" t="str">
        <f>Global!HM39</f>
        <v/>
      </c>
      <c r="J39" s="31" t="str">
        <f>Global!HN39</f>
        <v/>
      </c>
      <c r="K39" s="31" t="str">
        <f>Global!HO39</f>
        <v/>
      </c>
      <c r="L39" s="31" t="str">
        <f>Global!HP39</f>
        <v/>
      </c>
      <c r="M39" s="31" t="str">
        <f>Global!HQ39</f>
        <v/>
      </c>
      <c r="N39" s="31" t="str">
        <f>Global!HR39</f>
        <v/>
      </c>
      <c r="O39" s="31" t="str">
        <f>Global!HS39</f>
        <v/>
      </c>
      <c r="P39" s="31" t="str">
        <f>Global!HT39</f>
        <v/>
      </c>
      <c r="Q39" s="31" t="str">
        <f>Global!HU39</f>
        <v/>
      </c>
      <c r="R39" s="31" t="str">
        <f>Global!HV39</f>
        <v/>
      </c>
      <c r="S39" s="31" t="str">
        <f>Global!HW39</f>
        <v/>
      </c>
      <c r="T39" s="31" t="str">
        <f>Global!HX39</f>
        <v/>
      </c>
      <c r="U39" s="31" t="str">
        <f>Global!HY39</f>
        <v/>
      </c>
      <c r="V39" s="31" t="str">
        <f>Global!HZ39</f>
        <v/>
      </c>
      <c r="W39" s="31" t="str">
        <f>Global!IA39</f>
        <v/>
      </c>
      <c r="X39" s="31" t="str">
        <f>Global!IB39</f>
        <v/>
      </c>
      <c r="Y39" s="31" t="str">
        <f>Global!IC39</f>
        <v/>
      </c>
      <c r="Z39" s="31" t="str">
        <f>Global!ID39</f>
        <v/>
      </c>
      <c r="AA39" s="31" t="str">
        <f>Global!IE39</f>
        <v/>
      </c>
      <c r="AB39" s="31" t="str">
        <f>Global!IF39</f>
        <v/>
      </c>
      <c r="AC39" s="31" t="str">
        <f>Global!IG39</f>
        <v/>
      </c>
      <c r="AD39" s="31" t="str">
        <f>Global!IH39</f>
        <v/>
      </c>
      <c r="AE39" s="31" t="str">
        <f>Global!II39</f>
        <v/>
      </c>
      <c r="AF39" s="31" t="str">
        <f>Global!IJ39</f>
        <v/>
      </c>
      <c r="AG39" s="31" t="str">
        <f>Global!IK39</f>
        <v/>
      </c>
      <c r="AH39" s="31" t="str">
        <f>Global!IL39</f>
        <v/>
      </c>
      <c r="AI39" s="31" t="str">
        <f>Global!IM39</f>
        <v/>
      </c>
      <c r="AJ39" s="48" t="str">
        <f>Global!IN39</f>
        <v/>
      </c>
      <c r="AK39" s="108">
        <f>COUNTIF(Août[[#This Row],[1]:[31]],"RTT")+(COUNTIF(Août[[#This Row],[1]:[31]],"dRTT")/2)</f>
        <v>0</v>
      </c>
      <c r="AL39" s="109">
        <f>COUNTIF(Août[[#This Row],[1]:[31]],"C")+(COUNTIF(Août[[#This Row],[1]:[31]],"DC")/2)</f>
        <v>0</v>
      </c>
      <c r="AM39" s="22">
        <f>COUNTIF(Août[[#This Row],[1]:[31]],"M")</f>
        <v>0</v>
      </c>
      <c r="AN39" s="22">
        <f>COUNTIF(Août[[#This Row],[1]:[31]],"AT")</f>
        <v>0</v>
      </c>
      <c r="AO39" s="84">
        <f>IF(AND(Août[[#This Row],[Maladie]]=0,Août[[#This Row],[AT]]=0),((10*(_xlfn.DAYS("31/08/2018","01/08/2018")+1))/365),((_xlfn.DAYS("31/08/2018","01/08/2018")+1-(Août[[#This Row],[Maladie]]+Août[[#This Row],[AT]]))*((10*(_xlfn.DAYS("31/08/2018","01/08/2018")+1))/365))/(_xlfn.DAYS("31/08/2018","01/08/2018")+1))</f>
        <v>0.84931506849315064</v>
      </c>
    </row>
    <row r="40" spans="1:41" ht="30" customHeight="1" x14ac:dyDescent="0.2">
      <c r="A40" s="15" t="s">
        <v>96</v>
      </c>
      <c r="B40" s="22" t="s">
        <v>221</v>
      </c>
      <c r="C40" s="22" t="s">
        <v>222</v>
      </c>
      <c r="D40" s="22" t="s">
        <v>223</v>
      </c>
      <c r="E40" s="44">
        <v>0</v>
      </c>
      <c r="F40" s="47" t="str">
        <f>Global!HJ40</f>
        <v/>
      </c>
      <c r="G40" s="31" t="str">
        <f>Global!HK40</f>
        <v/>
      </c>
      <c r="H40" s="31" t="str">
        <f>Global!HL40</f>
        <v/>
      </c>
      <c r="I40" s="31" t="str">
        <f>Global!HM40</f>
        <v/>
      </c>
      <c r="J40" s="31" t="str">
        <f>Global!HN40</f>
        <v/>
      </c>
      <c r="K40" s="31" t="str">
        <f>Global!HO40</f>
        <v/>
      </c>
      <c r="L40" s="31" t="str">
        <f>Global!HP40</f>
        <v/>
      </c>
      <c r="M40" s="31" t="str">
        <f>Global!HQ40</f>
        <v/>
      </c>
      <c r="N40" s="31" t="str">
        <f>Global!HR40</f>
        <v/>
      </c>
      <c r="O40" s="31" t="str">
        <f>Global!HS40</f>
        <v/>
      </c>
      <c r="P40" s="31" t="str">
        <f>Global!HT40</f>
        <v/>
      </c>
      <c r="Q40" s="31" t="str">
        <f>Global!HU40</f>
        <v/>
      </c>
      <c r="R40" s="31" t="str">
        <f>Global!HV40</f>
        <v/>
      </c>
      <c r="S40" s="31" t="str">
        <f>Global!HW40</f>
        <v/>
      </c>
      <c r="T40" s="31" t="str">
        <f>Global!HX40</f>
        <v/>
      </c>
      <c r="U40" s="31" t="str">
        <f>Global!HY40</f>
        <v/>
      </c>
      <c r="V40" s="31" t="str">
        <f>Global!HZ40</f>
        <v/>
      </c>
      <c r="W40" s="31" t="str">
        <f>Global!IA40</f>
        <v/>
      </c>
      <c r="X40" s="31" t="str">
        <f>Global!IB40</f>
        <v/>
      </c>
      <c r="Y40" s="31" t="str">
        <f>Global!IC40</f>
        <v/>
      </c>
      <c r="Z40" s="31" t="str">
        <f>Global!ID40</f>
        <v/>
      </c>
      <c r="AA40" s="31" t="str">
        <f>Global!IE40</f>
        <v/>
      </c>
      <c r="AB40" s="31" t="str">
        <f>Global!IF40</f>
        <v/>
      </c>
      <c r="AC40" s="31" t="str">
        <f>Global!IG40</f>
        <v/>
      </c>
      <c r="AD40" s="31" t="str">
        <f>Global!IH40</f>
        <v/>
      </c>
      <c r="AE40" s="31" t="str">
        <f>Global!II40</f>
        <v/>
      </c>
      <c r="AF40" s="31" t="str">
        <f>Global!IJ40</f>
        <v>C</v>
      </c>
      <c r="AG40" s="31" t="str">
        <f>Global!IK40</f>
        <v>C</v>
      </c>
      <c r="AH40" s="31" t="str">
        <f>Global!IL40</f>
        <v>C</v>
      </c>
      <c r="AI40" s="31" t="str">
        <f>Global!IM40</f>
        <v>C</v>
      </c>
      <c r="AJ40" s="48" t="str">
        <f>Global!IN40</f>
        <v>C</v>
      </c>
      <c r="AK40" s="108">
        <f>COUNTIF(Août[[#This Row],[1]:[31]],"RTT")+(COUNTIF(Août[[#This Row],[1]:[31]],"dRTT")/2)</f>
        <v>0</v>
      </c>
      <c r="AL40" s="109">
        <f>COUNTIF(Août[[#This Row],[1]:[31]],"C")+(COUNTIF(Août[[#This Row],[1]:[31]],"DC")/2)</f>
        <v>5</v>
      </c>
      <c r="AM40" s="22">
        <f>COUNTIF(Août[[#This Row],[1]:[31]],"M")</f>
        <v>0</v>
      </c>
      <c r="AN40" s="22">
        <f>COUNTIF(Août[[#This Row],[1]:[31]],"AT")</f>
        <v>0</v>
      </c>
      <c r="AO40" s="84">
        <f>IF(AND(Août[[#This Row],[Maladie]]=0,Août[[#This Row],[AT]]=0),((10*(_xlfn.DAYS("31/08/2018","01/08/2018")+1))/365),((_xlfn.DAYS("31/08/2018","01/08/2018")+1-(Août[[#This Row],[Maladie]]+Août[[#This Row],[AT]]))*((10*(_xlfn.DAYS("31/08/2018","01/08/2018")+1))/365))/(_xlfn.DAYS("31/08/2018","01/08/2018")+1))</f>
        <v>0.84931506849315064</v>
      </c>
    </row>
    <row r="41" spans="1:41" ht="30" customHeight="1" x14ac:dyDescent="0.2">
      <c r="A41" s="15" t="s">
        <v>97</v>
      </c>
      <c r="B41" s="22" t="s">
        <v>224</v>
      </c>
      <c r="C41" s="22" t="s">
        <v>225</v>
      </c>
      <c r="D41" s="22" t="s">
        <v>226</v>
      </c>
      <c r="E41" s="44">
        <v>0</v>
      </c>
      <c r="F41" s="47" t="str">
        <f>Global!HJ41</f>
        <v/>
      </c>
      <c r="G41" s="31" t="str">
        <f>Global!HK41</f>
        <v/>
      </c>
      <c r="H41" s="31" t="str">
        <f>Global!HL41</f>
        <v/>
      </c>
      <c r="I41" s="31" t="str">
        <f>Global!HM41</f>
        <v/>
      </c>
      <c r="J41" s="31" t="str">
        <f>Global!HN41</f>
        <v/>
      </c>
      <c r="K41" s="31" t="str">
        <f>Global!HO41</f>
        <v/>
      </c>
      <c r="L41" s="31" t="str">
        <f>Global!HP41</f>
        <v/>
      </c>
      <c r="M41" s="31" t="str">
        <f>Global!HQ41</f>
        <v/>
      </c>
      <c r="N41" s="31" t="str">
        <f>Global!HR41</f>
        <v/>
      </c>
      <c r="O41" s="31" t="str">
        <f>Global!HS41</f>
        <v/>
      </c>
      <c r="P41" s="31" t="str">
        <f>Global!HT41</f>
        <v/>
      </c>
      <c r="Q41" s="31" t="str">
        <f>Global!HU41</f>
        <v/>
      </c>
      <c r="R41" s="31" t="str">
        <f>Global!HV41</f>
        <v/>
      </c>
      <c r="S41" s="31" t="str">
        <f>Global!HW41</f>
        <v/>
      </c>
      <c r="T41" s="31" t="str">
        <f>Global!HX41</f>
        <v/>
      </c>
      <c r="U41" s="31" t="str">
        <f>Global!HY41</f>
        <v/>
      </c>
      <c r="V41" s="31" t="str">
        <f>Global!HZ41</f>
        <v/>
      </c>
      <c r="W41" s="31" t="str">
        <f>Global!IA41</f>
        <v/>
      </c>
      <c r="X41" s="31" t="str">
        <f>Global!IB41</f>
        <v/>
      </c>
      <c r="Y41" s="31" t="str">
        <f>Global!IC41</f>
        <v/>
      </c>
      <c r="Z41" s="31" t="str">
        <f>Global!ID41</f>
        <v/>
      </c>
      <c r="AA41" s="31" t="str">
        <f>Global!IE41</f>
        <v/>
      </c>
      <c r="AB41" s="31" t="str">
        <f>Global!IF41</f>
        <v/>
      </c>
      <c r="AC41" s="31" t="str">
        <f>Global!IG41</f>
        <v/>
      </c>
      <c r="AD41" s="31" t="str">
        <f>Global!IH41</f>
        <v/>
      </c>
      <c r="AE41" s="31" t="str">
        <f>Global!II41</f>
        <v/>
      </c>
      <c r="AF41" s="31" t="str">
        <f>Global!IJ41</f>
        <v/>
      </c>
      <c r="AG41" s="31" t="str">
        <f>Global!IK41</f>
        <v/>
      </c>
      <c r="AH41" s="31" t="str">
        <f>Global!IL41</f>
        <v/>
      </c>
      <c r="AI41" s="31" t="str">
        <f>Global!IM41</f>
        <v/>
      </c>
      <c r="AJ41" s="48" t="str">
        <f>Global!IN41</f>
        <v/>
      </c>
      <c r="AK41" s="108">
        <f>COUNTIF(Août[[#This Row],[1]:[31]],"RTT")+(COUNTIF(Août[[#This Row],[1]:[31]],"dRTT")/2)</f>
        <v>0</v>
      </c>
      <c r="AL41" s="109">
        <f>COUNTIF(Août[[#This Row],[1]:[31]],"C")+(COUNTIF(Août[[#This Row],[1]:[31]],"DC")/2)</f>
        <v>0</v>
      </c>
      <c r="AM41" s="22">
        <f>COUNTIF(Août[[#This Row],[1]:[31]],"M")</f>
        <v>0</v>
      </c>
      <c r="AN41" s="22">
        <f>COUNTIF(Août[[#This Row],[1]:[31]],"AT")</f>
        <v>0</v>
      </c>
      <c r="AO41" s="84">
        <f>IF(AND(Août[[#This Row],[Maladie]]=0,Août[[#This Row],[AT]]=0),((10*(_xlfn.DAYS("31/08/2018","01/08/2018")+1))/365),((_xlfn.DAYS("31/08/2018","01/08/2018")+1-(Août[[#This Row],[Maladie]]+Août[[#This Row],[AT]]))*((10*(_xlfn.DAYS("31/08/2018","01/08/2018")+1))/365))/(_xlfn.DAYS("31/08/2018","01/08/2018")+1))</f>
        <v>0.84931506849315064</v>
      </c>
    </row>
    <row r="42" spans="1:41" ht="30" customHeight="1" x14ac:dyDescent="0.2">
      <c r="A42" s="13" t="s">
        <v>98</v>
      </c>
      <c r="B42" s="22" t="s">
        <v>227</v>
      </c>
      <c r="C42" s="22" t="s">
        <v>228</v>
      </c>
      <c r="D42" s="22" t="s">
        <v>229</v>
      </c>
      <c r="E42" s="44">
        <v>0</v>
      </c>
      <c r="F42" s="47" t="str">
        <f>Global!HJ42</f>
        <v/>
      </c>
      <c r="G42" s="31" t="str">
        <f>Global!HK42</f>
        <v/>
      </c>
      <c r="H42" s="31" t="str">
        <f>Global!HL42</f>
        <v/>
      </c>
      <c r="I42" s="31" t="str">
        <f>Global!HM42</f>
        <v/>
      </c>
      <c r="J42" s="31" t="str">
        <f>Global!HN42</f>
        <v/>
      </c>
      <c r="K42" s="31" t="str">
        <f>Global!HO42</f>
        <v/>
      </c>
      <c r="L42" s="31" t="str">
        <f>Global!HP42</f>
        <v/>
      </c>
      <c r="M42" s="31" t="str">
        <f>Global!HQ42</f>
        <v/>
      </c>
      <c r="N42" s="31" t="str">
        <f>Global!HR42</f>
        <v/>
      </c>
      <c r="O42" s="31" t="str">
        <f>Global!HS42</f>
        <v/>
      </c>
      <c r="P42" s="31" t="str">
        <f>Global!HT42</f>
        <v/>
      </c>
      <c r="Q42" s="31" t="str">
        <f>Global!HU42</f>
        <v/>
      </c>
      <c r="R42" s="31" t="str">
        <f>Global!HV42</f>
        <v/>
      </c>
      <c r="S42" s="31" t="str">
        <f>Global!HW42</f>
        <v/>
      </c>
      <c r="T42" s="31" t="str">
        <f>Global!HX42</f>
        <v/>
      </c>
      <c r="U42" s="31" t="str">
        <f>Global!HY42</f>
        <v/>
      </c>
      <c r="V42" s="31" t="str">
        <f>Global!HZ42</f>
        <v/>
      </c>
      <c r="W42" s="31" t="str">
        <f>Global!IA42</f>
        <v/>
      </c>
      <c r="X42" s="31" t="str">
        <f>Global!IB42</f>
        <v/>
      </c>
      <c r="Y42" s="31" t="str">
        <f>Global!IC42</f>
        <v/>
      </c>
      <c r="Z42" s="31" t="str">
        <f>Global!ID42</f>
        <v/>
      </c>
      <c r="AA42" s="31" t="str">
        <f>Global!IE42</f>
        <v/>
      </c>
      <c r="AB42" s="31" t="str">
        <f>Global!IF42</f>
        <v/>
      </c>
      <c r="AC42" s="31" t="str">
        <f>Global!IG42</f>
        <v/>
      </c>
      <c r="AD42" s="31" t="str">
        <f>Global!IH42</f>
        <v/>
      </c>
      <c r="AE42" s="31" t="str">
        <f>Global!II42</f>
        <v/>
      </c>
      <c r="AF42" s="31" t="str">
        <f>Global!IJ42</f>
        <v/>
      </c>
      <c r="AG42" s="31" t="str">
        <f>Global!IK42</f>
        <v/>
      </c>
      <c r="AH42" s="31" t="str">
        <f>Global!IL42</f>
        <v/>
      </c>
      <c r="AI42" s="31" t="str">
        <f>Global!IM42</f>
        <v/>
      </c>
      <c r="AJ42" s="48" t="str">
        <f>Global!IN42</f>
        <v/>
      </c>
      <c r="AK42" s="108">
        <f>COUNTIF(Août[[#This Row],[1]:[31]],"RTT")+(COUNTIF(Août[[#This Row],[1]:[31]],"dRTT")/2)</f>
        <v>0</v>
      </c>
      <c r="AL42" s="109">
        <f>COUNTIF(Août[[#This Row],[1]:[31]],"C")+(COUNTIF(Août[[#This Row],[1]:[31]],"DC")/2)</f>
        <v>0</v>
      </c>
      <c r="AM42" s="22">
        <f>COUNTIF(Août[[#This Row],[1]:[31]],"M")</f>
        <v>0</v>
      </c>
      <c r="AN42" s="22">
        <f>COUNTIF(Août[[#This Row],[1]:[31]],"AT")</f>
        <v>0</v>
      </c>
      <c r="AO42" s="84">
        <f>IF(AND(Août[[#This Row],[Maladie]]=0,Août[[#This Row],[AT]]=0),((10*(_xlfn.DAYS("31/08/2018","01/08/2018")+1))/365),((_xlfn.DAYS("31/08/2018","01/08/2018")+1-(Août[[#This Row],[Maladie]]+Août[[#This Row],[AT]]))*((10*(_xlfn.DAYS("31/08/2018","01/08/2018")+1))/365))/(_xlfn.DAYS("31/08/2018","01/08/2018")+1))</f>
        <v>0.84931506849315064</v>
      </c>
    </row>
    <row r="43" spans="1:41" ht="30" customHeight="1" x14ac:dyDescent="0.2">
      <c r="A43" s="15" t="s">
        <v>99</v>
      </c>
      <c r="B43" s="22" t="s">
        <v>230</v>
      </c>
      <c r="C43" s="22" t="s">
        <v>231</v>
      </c>
      <c r="D43" s="22" t="s">
        <v>232</v>
      </c>
      <c r="E43" s="44">
        <v>0</v>
      </c>
      <c r="F43" s="47" t="str">
        <f>Global!HJ43</f>
        <v/>
      </c>
      <c r="G43" s="31" t="str">
        <f>Global!HK43</f>
        <v/>
      </c>
      <c r="H43" s="31" t="str">
        <f>Global!HL43</f>
        <v/>
      </c>
      <c r="I43" s="31" t="str">
        <f>Global!HM43</f>
        <v/>
      </c>
      <c r="J43" s="31" t="str">
        <f>Global!HN43</f>
        <v/>
      </c>
      <c r="K43" s="31" t="str">
        <f>Global!HO43</f>
        <v/>
      </c>
      <c r="L43" s="31" t="str">
        <f>Global!HP43</f>
        <v/>
      </c>
      <c r="M43" s="31" t="str">
        <f>Global!HQ43</f>
        <v/>
      </c>
      <c r="N43" s="31" t="str">
        <f>Global!HR43</f>
        <v/>
      </c>
      <c r="O43" s="31" t="str">
        <f>Global!HS43</f>
        <v/>
      </c>
      <c r="P43" s="31" t="str">
        <f>Global!HT43</f>
        <v/>
      </c>
      <c r="Q43" s="31" t="str">
        <f>Global!HU43</f>
        <v/>
      </c>
      <c r="R43" s="31" t="str">
        <f>Global!HV43</f>
        <v/>
      </c>
      <c r="S43" s="31" t="str">
        <f>Global!HW43</f>
        <v/>
      </c>
      <c r="T43" s="31" t="str">
        <f>Global!HX43</f>
        <v/>
      </c>
      <c r="U43" s="31" t="str">
        <f>Global!HY43</f>
        <v/>
      </c>
      <c r="V43" s="31" t="str">
        <f>Global!HZ43</f>
        <v/>
      </c>
      <c r="W43" s="31" t="str">
        <f>Global!IA43</f>
        <v/>
      </c>
      <c r="X43" s="31" t="str">
        <f>Global!IB43</f>
        <v/>
      </c>
      <c r="Y43" s="31" t="str">
        <f>Global!IC43</f>
        <v/>
      </c>
      <c r="Z43" s="31" t="str">
        <f>Global!ID43</f>
        <v/>
      </c>
      <c r="AA43" s="31" t="str">
        <f>Global!IE43</f>
        <v/>
      </c>
      <c r="AB43" s="31" t="str">
        <f>Global!IF43</f>
        <v/>
      </c>
      <c r="AC43" s="31" t="str">
        <f>Global!IG43</f>
        <v/>
      </c>
      <c r="AD43" s="31" t="str">
        <f>Global!IH43</f>
        <v/>
      </c>
      <c r="AE43" s="31" t="str">
        <f>Global!II43</f>
        <v/>
      </c>
      <c r="AF43" s="31" t="str">
        <f>Global!IJ43</f>
        <v>C</v>
      </c>
      <c r="AG43" s="31" t="str">
        <f>Global!IK43</f>
        <v>C</v>
      </c>
      <c r="AH43" s="31" t="str">
        <f>Global!IL43</f>
        <v>C</v>
      </c>
      <c r="AI43" s="31" t="str">
        <f>Global!IM43</f>
        <v>C</v>
      </c>
      <c r="AJ43" s="48" t="str">
        <f>Global!IN43</f>
        <v>C</v>
      </c>
      <c r="AK43" s="108">
        <f>COUNTIF(Août[[#This Row],[1]:[31]],"RTT")+(COUNTIF(Août[[#This Row],[1]:[31]],"dRTT")/2)</f>
        <v>0</v>
      </c>
      <c r="AL43" s="109">
        <f>COUNTIF(Août[[#This Row],[1]:[31]],"C")+(COUNTIF(Août[[#This Row],[1]:[31]],"DC")/2)</f>
        <v>5</v>
      </c>
      <c r="AM43" s="22">
        <f>COUNTIF(Août[[#This Row],[1]:[31]],"M")</f>
        <v>0</v>
      </c>
      <c r="AN43" s="22">
        <f>COUNTIF(Août[[#This Row],[1]:[31]],"AT")</f>
        <v>0</v>
      </c>
      <c r="AO43" s="84">
        <f>IF(AND(Août[[#This Row],[Maladie]]=0,Août[[#This Row],[AT]]=0),((10*(_xlfn.DAYS("31/08/2018","01/08/2018")+1))/365),((_xlfn.DAYS("31/08/2018","01/08/2018")+1-(Août[[#This Row],[Maladie]]+Août[[#This Row],[AT]]))*((10*(_xlfn.DAYS("31/08/2018","01/08/2018")+1))/365))/(_xlfn.DAYS("31/08/2018","01/08/2018")+1))</f>
        <v>0.84931506849315064</v>
      </c>
    </row>
    <row r="44" spans="1:41" ht="30" customHeight="1" x14ac:dyDescent="0.2">
      <c r="A44" s="15" t="s">
        <v>100</v>
      </c>
      <c r="B44" s="22" t="s">
        <v>233</v>
      </c>
      <c r="C44" s="22" t="s">
        <v>234</v>
      </c>
      <c r="D44" s="22" t="s">
        <v>235</v>
      </c>
      <c r="E44" s="44">
        <v>0</v>
      </c>
      <c r="F44" s="47" t="str">
        <f>Global!HJ44</f>
        <v/>
      </c>
      <c r="G44" s="31" t="str">
        <f>Global!HK44</f>
        <v/>
      </c>
      <c r="H44" s="31" t="str">
        <f>Global!HL44</f>
        <v/>
      </c>
      <c r="I44" s="31" t="str">
        <f>Global!HM44</f>
        <v/>
      </c>
      <c r="J44" s="31" t="str">
        <f>Global!HN44</f>
        <v/>
      </c>
      <c r="K44" s="31" t="str">
        <f>Global!HO44</f>
        <v/>
      </c>
      <c r="L44" s="31" t="str">
        <f>Global!HP44</f>
        <v/>
      </c>
      <c r="M44" s="31" t="str">
        <f>Global!HQ44</f>
        <v/>
      </c>
      <c r="N44" s="31" t="str">
        <f>Global!HR44</f>
        <v/>
      </c>
      <c r="O44" s="31" t="str">
        <f>Global!HS44</f>
        <v/>
      </c>
      <c r="P44" s="31" t="str">
        <f>Global!HT44</f>
        <v/>
      </c>
      <c r="Q44" s="31" t="str">
        <f>Global!HU44</f>
        <v/>
      </c>
      <c r="R44" s="31" t="str">
        <f>Global!HV44</f>
        <v/>
      </c>
      <c r="S44" s="31" t="str">
        <f>Global!HW44</f>
        <v/>
      </c>
      <c r="T44" s="31" t="str">
        <f>Global!HX44</f>
        <v/>
      </c>
      <c r="U44" s="31" t="str">
        <f>Global!HY44</f>
        <v/>
      </c>
      <c r="V44" s="31" t="str">
        <f>Global!HZ44</f>
        <v/>
      </c>
      <c r="W44" s="31" t="str">
        <f>Global!IA44</f>
        <v/>
      </c>
      <c r="X44" s="31" t="str">
        <f>Global!IB44</f>
        <v/>
      </c>
      <c r="Y44" s="31" t="str">
        <f>Global!IC44</f>
        <v/>
      </c>
      <c r="Z44" s="31" t="str">
        <f>Global!ID44</f>
        <v/>
      </c>
      <c r="AA44" s="31" t="str">
        <f>Global!IE44</f>
        <v/>
      </c>
      <c r="AB44" s="31" t="str">
        <f>Global!IF44</f>
        <v/>
      </c>
      <c r="AC44" s="31" t="str">
        <f>Global!IG44</f>
        <v/>
      </c>
      <c r="AD44" s="31" t="str">
        <f>Global!IH44</f>
        <v/>
      </c>
      <c r="AE44" s="31" t="str">
        <f>Global!II44</f>
        <v/>
      </c>
      <c r="AF44" s="31" t="str">
        <f>Global!IJ44</f>
        <v/>
      </c>
      <c r="AG44" s="31" t="str">
        <f>Global!IK44</f>
        <v/>
      </c>
      <c r="AH44" s="31" t="str">
        <f>Global!IL44</f>
        <v/>
      </c>
      <c r="AI44" s="31" t="str">
        <f>Global!IM44</f>
        <v/>
      </c>
      <c r="AJ44" s="48" t="str">
        <f>Global!IN44</f>
        <v/>
      </c>
      <c r="AK44" s="108">
        <f>COUNTIF(Août[[#This Row],[1]:[31]],"RTT")+(COUNTIF(Août[[#This Row],[1]:[31]],"dRTT")/2)</f>
        <v>0</v>
      </c>
      <c r="AL44" s="109">
        <f>COUNTIF(Août[[#This Row],[1]:[31]],"C")+(COUNTIF(Août[[#This Row],[1]:[31]],"DC")/2)</f>
        <v>0</v>
      </c>
      <c r="AM44" s="22">
        <f>COUNTIF(Août[[#This Row],[1]:[31]],"M")</f>
        <v>0</v>
      </c>
      <c r="AN44" s="22">
        <f>COUNTIF(Août[[#This Row],[1]:[31]],"AT")</f>
        <v>0</v>
      </c>
      <c r="AO44" s="84">
        <f>IF(AND(Août[[#This Row],[Maladie]]=0,Août[[#This Row],[AT]]=0),((10*(_xlfn.DAYS("31/08/2018","01/08/2018")+1))/365),((_xlfn.DAYS("31/08/2018","01/08/2018")+1-(Août[[#This Row],[Maladie]]+Août[[#This Row],[AT]]))*((10*(_xlfn.DAYS("31/08/2018","01/08/2018")+1))/365))/(_xlfn.DAYS("31/08/2018","01/08/2018")+1))</f>
        <v>0.84931506849315064</v>
      </c>
    </row>
    <row r="45" spans="1:41" ht="30" customHeight="1" x14ac:dyDescent="0.2">
      <c r="A45" s="15" t="s">
        <v>101</v>
      </c>
      <c r="B45" s="22" t="s">
        <v>236</v>
      </c>
      <c r="C45" s="22" t="s">
        <v>237</v>
      </c>
      <c r="D45" s="22" t="s">
        <v>238</v>
      </c>
      <c r="E45" s="44">
        <v>0</v>
      </c>
      <c r="F45" s="47" t="str">
        <f>Global!HJ45</f>
        <v/>
      </c>
      <c r="G45" s="31" t="str">
        <f>Global!HK45</f>
        <v/>
      </c>
      <c r="H45" s="31" t="str">
        <f>Global!HL45</f>
        <v/>
      </c>
      <c r="I45" s="31" t="str">
        <f>Global!HM45</f>
        <v/>
      </c>
      <c r="J45" s="31" t="str">
        <f>Global!HN45</f>
        <v/>
      </c>
      <c r="K45" s="31" t="str">
        <f>Global!HO45</f>
        <v/>
      </c>
      <c r="L45" s="31" t="str">
        <f>Global!HP45</f>
        <v/>
      </c>
      <c r="M45" s="31" t="str">
        <f>Global!HQ45</f>
        <v/>
      </c>
      <c r="N45" s="31" t="str">
        <f>Global!HR45</f>
        <v/>
      </c>
      <c r="O45" s="31" t="str">
        <f>Global!HS45</f>
        <v/>
      </c>
      <c r="P45" s="31" t="str">
        <f>Global!HT45</f>
        <v/>
      </c>
      <c r="Q45" s="31" t="str">
        <f>Global!HU45</f>
        <v/>
      </c>
      <c r="R45" s="31" t="str">
        <f>Global!HV45</f>
        <v>C</v>
      </c>
      <c r="S45" s="31" t="str">
        <f>Global!HW45</f>
        <v>C</v>
      </c>
      <c r="T45" s="31" t="str">
        <f>Global!HX45</f>
        <v/>
      </c>
      <c r="U45" s="31" t="str">
        <f>Global!HY45</f>
        <v>C</v>
      </c>
      <c r="V45" s="31" t="str">
        <f>Global!HZ45</f>
        <v>C</v>
      </c>
      <c r="W45" s="31" t="str">
        <f>Global!IA45</f>
        <v/>
      </c>
      <c r="X45" s="31" t="str">
        <f>Global!IB45</f>
        <v/>
      </c>
      <c r="Y45" s="31" t="str">
        <f>Global!IC45</f>
        <v>C</v>
      </c>
      <c r="Z45" s="31" t="str">
        <f>Global!ID45</f>
        <v>C</v>
      </c>
      <c r="AA45" s="31" t="str">
        <f>Global!IE45</f>
        <v>C</v>
      </c>
      <c r="AB45" s="31" t="str">
        <f>Global!IF45</f>
        <v>C</v>
      </c>
      <c r="AC45" s="31" t="str">
        <f>Global!IG45</f>
        <v>C</v>
      </c>
      <c r="AD45" s="31" t="str">
        <f>Global!IH45</f>
        <v/>
      </c>
      <c r="AE45" s="31" t="str">
        <f>Global!II45</f>
        <v/>
      </c>
      <c r="AF45" s="31" t="str">
        <f>Global!IJ45</f>
        <v/>
      </c>
      <c r="AG45" s="31" t="str">
        <f>Global!IK45</f>
        <v/>
      </c>
      <c r="AH45" s="31" t="str">
        <f>Global!IL45</f>
        <v/>
      </c>
      <c r="AI45" s="31" t="str">
        <f>Global!IM45</f>
        <v/>
      </c>
      <c r="AJ45" s="48" t="str">
        <f>Global!IN45</f>
        <v/>
      </c>
      <c r="AK45" s="108">
        <f>COUNTIF(Août[[#This Row],[1]:[31]],"RTT")+(COUNTIF(Août[[#This Row],[1]:[31]],"dRTT")/2)</f>
        <v>0</v>
      </c>
      <c r="AL45" s="109">
        <f>COUNTIF(Août[[#This Row],[1]:[31]],"C")+(COUNTIF(Août[[#This Row],[1]:[31]],"DC")/2)</f>
        <v>9</v>
      </c>
      <c r="AM45" s="22">
        <f>COUNTIF(Août[[#This Row],[1]:[31]],"M")</f>
        <v>0</v>
      </c>
      <c r="AN45" s="22">
        <f>COUNTIF(Août[[#This Row],[1]:[31]],"AT")</f>
        <v>0</v>
      </c>
      <c r="AO45" s="84">
        <f>IF(AND(Août[[#This Row],[Maladie]]=0,Août[[#This Row],[AT]]=0),((10*(_xlfn.DAYS("31/08/2018","01/08/2018")+1))/365),((_xlfn.DAYS("31/08/2018","01/08/2018")+1-(Août[[#This Row],[Maladie]]+Août[[#This Row],[AT]]))*((10*(_xlfn.DAYS("31/08/2018","01/08/2018")+1))/365))/(_xlfn.DAYS("31/08/2018","01/08/2018")+1))</f>
        <v>0.84931506849315064</v>
      </c>
    </row>
    <row r="46" spans="1:41" ht="30" customHeight="1" x14ac:dyDescent="0.2">
      <c r="A46" s="17" t="s">
        <v>102</v>
      </c>
      <c r="B46" s="17" t="s">
        <v>239</v>
      </c>
      <c r="C46" s="17" t="s">
        <v>240</v>
      </c>
      <c r="D46" s="17" t="s">
        <v>241</v>
      </c>
      <c r="E46" s="23">
        <v>0</v>
      </c>
      <c r="F46" s="47" t="str">
        <f>Global!HJ46</f>
        <v>C</v>
      </c>
      <c r="G46" s="31" t="str">
        <f>Global!HK46</f>
        <v>C</v>
      </c>
      <c r="H46" s="31" t="str">
        <f>Global!HL46</f>
        <v>C</v>
      </c>
      <c r="I46" s="31" t="str">
        <f>Global!HM46</f>
        <v/>
      </c>
      <c r="J46" s="31" t="str">
        <f>Global!HN46</f>
        <v/>
      </c>
      <c r="K46" s="31" t="str">
        <f>Global!HO46</f>
        <v/>
      </c>
      <c r="L46" s="31" t="str">
        <f>Global!HP46</f>
        <v/>
      </c>
      <c r="M46" s="31" t="str">
        <f>Global!HQ46</f>
        <v/>
      </c>
      <c r="N46" s="31" t="str">
        <f>Global!HR46</f>
        <v/>
      </c>
      <c r="O46" s="31" t="str">
        <f>Global!HS46</f>
        <v/>
      </c>
      <c r="P46" s="31" t="str">
        <f>Global!HT46</f>
        <v/>
      </c>
      <c r="Q46" s="31" t="str">
        <f>Global!HU46</f>
        <v/>
      </c>
      <c r="R46" s="31" t="str">
        <f>Global!HV46</f>
        <v/>
      </c>
      <c r="S46" s="31" t="str">
        <f>Global!HW46</f>
        <v/>
      </c>
      <c r="T46" s="31" t="str">
        <f>Global!HX46</f>
        <v/>
      </c>
      <c r="U46" s="31" t="str">
        <f>Global!HY46</f>
        <v/>
      </c>
      <c r="V46" s="31" t="str">
        <f>Global!HZ46</f>
        <v/>
      </c>
      <c r="W46" s="31" t="str">
        <f>Global!IA46</f>
        <v/>
      </c>
      <c r="X46" s="31" t="str">
        <f>Global!IB46</f>
        <v/>
      </c>
      <c r="Y46" s="31" t="str">
        <f>Global!IC46</f>
        <v/>
      </c>
      <c r="Z46" s="31" t="str">
        <f>Global!ID46</f>
        <v/>
      </c>
      <c r="AA46" s="31" t="str">
        <f>Global!IE46</f>
        <v/>
      </c>
      <c r="AB46" s="31" t="str">
        <f>Global!IF46</f>
        <v/>
      </c>
      <c r="AC46" s="31" t="str">
        <f>Global!IG46</f>
        <v/>
      </c>
      <c r="AD46" s="31" t="str">
        <f>Global!IH46</f>
        <v/>
      </c>
      <c r="AE46" s="31" t="str">
        <f>Global!II46</f>
        <v/>
      </c>
      <c r="AF46" s="31" t="str">
        <f>Global!IJ46</f>
        <v/>
      </c>
      <c r="AG46" s="31" t="str">
        <f>Global!IK46</f>
        <v/>
      </c>
      <c r="AH46" s="31" t="str">
        <f>Global!IL46</f>
        <v/>
      </c>
      <c r="AI46" s="31" t="str">
        <f>Global!IM46</f>
        <v/>
      </c>
      <c r="AJ46" s="48" t="str">
        <f>Global!IN46</f>
        <v/>
      </c>
      <c r="AK46" s="108">
        <f>COUNTIF(Août[[#This Row],[1]:[31]],"RTT")+(COUNTIF(Août[[#This Row],[1]:[31]],"dRTT")/2)</f>
        <v>0</v>
      </c>
      <c r="AL46" s="109">
        <f>COUNTIF(Août[[#This Row],[1]:[31]],"C")+(COUNTIF(Août[[#This Row],[1]:[31]],"DC")/2)</f>
        <v>3</v>
      </c>
      <c r="AM46" s="22">
        <f>COUNTIF(Août[[#This Row],[1]:[31]],"M")</f>
        <v>0</v>
      </c>
      <c r="AN46" s="22">
        <f>COUNTIF(Août[[#This Row],[1]:[31]],"AT")</f>
        <v>0</v>
      </c>
      <c r="AO46" s="84">
        <f>IF(AND(Août[[#This Row],[Maladie]]=0,Août[[#This Row],[AT]]=0),((10*(_xlfn.DAYS("31/08/2018","01/08/2018")+1))/365),((_xlfn.DAYS("31/08/2018","01/08/2018")+1-(Août[[#This Row],[Maladie]]+Août[[#This Row],[AT]]))*((10*(_xlfn.DAYS("31/08/2018","01/08/2018")+1))/365))/(_xlfn.DAYS("31/08/2018","01/08/2018")+1))</f>
        <v>0.84931506849315064</v>
      </c>
    </row>
    <row r="47" spans="1:41" ht="30" customHeight="1" x14ac:dyDescent="0.2">
      <c r="A47" s="17" t="s">
        <v>103</v>
      </c>
      <c r="B47" s="17" t="s">
        <v>242</v>
      </c>
      <c r="C47" s="17" t="s">
        <v>243</v>
      </c>
      <c r="D47" s="17" t="s">
        <v>244</v>
      </c>
      <c r="E47" s="23">
        <v>0</v>
      </c>
      <c r="F47" s="47" t="str">
        <f>Global!HJ47</f>
        <v/>
      </c>
      <c r="G47" s="31" t="str">
        <f>Global!HK47</f>
        <v/>
      </c>
      <c r="H47" s="31" t="str">
        <f>Global!HL47</f>
        <v/>
      </c>
      <c r="I47" s="31" t="str">
        <f>Global!HM47</f>
        <v/>
      </c>
      <c r="J47" s="31" t="str">
        <f>Global!HN47</f>
        <v/>
      </c>
      <c r="K47" s="31" t="str">
        <f>Global!HO47</f>
        <v/>
      </c>
      <c r="L47" s="31" t="str">
        <f>Global!HP47</f>
        <v/>
      </c>
      <c r="M47" s="31" t="str">
        <f>Global!HQ47</f>
        <v/>
      </c>
      <c r="N47" s="31" t="str">
        <f>Global!HR47</f>
        <v/>
      </c>
      <c r="O47" s="31" t="str">
        <f>Global!HS47</f>
        <v/>
      </c>
      <c r="P47" s="31" t="str">
        <f>Global!HT47</f>
        <v/>
      </c>
      <c r="Q47" s="31" t="str">
        <f>Global!HU47</f>
        <v/>
      </c>
      <c r="R47" s="31" t="str">
        <f>Global!HV47</f>
        <v/>
      </c>
      <c r="S47" s="31" t="str">
        <f>Global!HW47</f>
        <v/>
      </c>
      <c r="T47" s="31" t="str">
        <f>Global!HX47</f>
        <v/>
      </c>
      <c r="U47" s="31" t="str">
        <f>Global!HY47</f>
        <v/>
      </c>
      <c r="V47" s="31" t="str">
        <f>Global!HZ47</f>
        <v/>
      </c>
      <c r="W47" s="31" t="str">
        <f>Global!IA47</f>
        <v/>
      </c>
      <c r="X47" s="31" t="str">
        <f>Global!IB47</f>
        <v/>
      </c>
      <c r="Y47" s="31" t="str">
        <f>Global!IC47</f>
        <v/>
      </c>
      <c r="Z47" s="31" t="str">
        <f>Global!ID47</f>
        <v/>
      </c>
      <c r="AA47" s="31" t="str">
        <f>Global!IE47</f>
        <v/>
      </c>
      <c r="AB47" s="31" t="str">
        <f>Global!IF47</f>
        <v/>
      </c>
      <c r="AC47" s="31" t="str">
        <f>Global!IG47</f>
        <v/>
      </c>
      <c r="AD47" s="31" t="str">
        <f>Global!IH47</f>
        <v/>
      </c>
      <c r="AE47" s="31" t="str">
        <f>Global!II47</f>
        <v/>
      </c>
      <c r="AF47" s="31" t="str">
        <f>Global!IJ47</f>
        <v/>
      </c>
      <c r="AG47" s="31" t="str">
        <f>Global!IK47</f>
        <v/>
      </c>
      <c r="AH47" s="31" t="str">
        <f>Global!IL47</f>
        <v/>
      </c>
      <c r="AI47" s="31" t="str">
        <f>Global!IM47</f>
        <v/>
      </c>
      <c r="AJ47" s="48" t="str">
        <f>Global!IN47</f>
        <v/>
      </c>
      <c r="AK47" s="108">
        <f>COUNTIF(Août[[#This Row],[1]:[31]],"RTT")+(COUNTIF(Août[[#This Row],[1]:[31]],"dRTT")/2)</f>
        <v>0</v>
      </c>
      <c r="AL47" s="109">
        <f>COUNTIF(Août[[#This Row],[1]:[31]],"C")+(COUNTIF(Août[[#This Row],[1]:[31]],"DC")/2)</f>
        <v>0</v>
      </c>
      <c r="AM47" s="22">
        <f>COUNTIF(Août[[#This Row],[1]:[31]],"M")</f>
        <v>0</v>
      </c>
      <c r="AN47" s="22">
        <f>COUNTIF(Août[[#This Row],[1]:[31]],"AT")</f>
        <v>0</v>
      </c>
      <c r="AO47" s="84">
        <f>IF(AND(Août[[#This Row],[Maladie]]=0,Août[[#This Row],[AT]]=0),((10*(_xlfn.DAYS("31/08/2018","01/08/2018")+1))/365),((_xlfn.DAYS("31/08/2018","01/08/2018")+1-(Août[[#This Row],[Maladie]]+Août[[#This Row],[AT]]))*((10*(_xlfn.DAYS("31/08/2018","01/08/2018")+1))/365))/(_xlfn.DAYS("31/08/2018","01/08/2018")+1))</f>
        <v>0.84931506849315064</v>
      </c>
    </row>
    <row r="48" spans="1:41" ht="30" customHeight="1" x14ac:dyDescent="0.2">
      <c r="A48" s="17" t="s">
        <v>104</v>
      </c>
      <c r="B48" s="17" t="s">
        <v>245</v>
      </c>
      <c r="C48" s="17" t="s">
        <v>246</v>
      </c>
      <c r="D48" s="17" t="s">
        <v>247</v>
      </c>
      <c r="E48" s="23">
        <v>0</v>
      </c>
      <c r="F48" s="47" t="str">
        <f>Global!HJ48</f>
        <v/>
      </c>
      <c r="G48" s="31" t="str">
        <f>Global!HK48</f>
        <v/>
      </c>
      <c r="H48" s="31" t="str">
        <f>Global!HL48</f>
        <v/>
      </c>
      <c r="I48" s="31" t="str">
        <f>Global!HM48</f>
        <v/>
      </c>
      <c r="J48" s="31" t="str">
        <f>Global!HN48</f>
        <v/>
      </c>
      <c r="K48" s="31" t="str">
        <f>Global!HO48</f>
        <v/>
      </c>
      <c r="L48" s="31" t="str">
        <f>Global!HP48</f>
        <v/>
      </c>
      <c r="M48" s="31" t="str">
        <f>Global!HQ48</f>
        <v/>
      </c>
      <c r="N48" s="31" t="str">
        <f>Global!HR48</f>
        <v/>
      </c>
      <c r="O48" s="31" t="str">
        <f>Global!HS48</f>
        <v/>
      </c>
      <c r="P48" s="31" t="str">
        <f>Global!HT48</f>
        <v/>
      </c>
      <c r="Q48" s="31" t="str">
        <f>Global!HU48</f>
        <v/>
      </c>
      <c r="R48" s="31" t="str">
        <f>Global!HV48</f>
        <v/>
      </c>
      <c r="S48" s="31" t="str">
        <f>Global!HW48</f>
        <v/>
      </c>
      <c r="T48" s="31" t="str">
        <f>Global!HX48</f>
        <v/>
      </c>
      <c r="U48" s="31" t="str">
        <f>Global!HY48</f>
        <v/>
      </c>
      <c r="V48" s="31" t="str">
        <f>Global!HZ48</f>
        <v/>
      </c>
      <c r="W48" s="31" t="str">
        <f>Global!IA48</f>
        <v/>
      </c>
      <c r="X48" s="31" t="str">
        <f>Global!IB48</f>
        <v/>
      </c>
      <c r="Y48" s="31" t="str">
        <f>Global!IC48</f>
        <v/>
      </c>
      <c r="Z48" s="31" t="str">
        <f>Global!ID48</f>
        <v/>
      </c>
      <c r="AA48" s="31" t="str">
        <f>Global!IE48</f>
        <v/>
      </c>
      <c r="AB48" s="31" t="str">
        <f>Global!IF48</f>
        <v/>
      </c>
      <c r="AC48" s="31" t="str">
        <f>Global!IG48</f>
        <v/>
      </c>
      <c r="AD48" s="31" t="str">
        <f>Global!IH48</f>
        <v/>
      </c>
      <c r="AE48" s="31" t="str">
        <f>Global!II48</f>
        <v/>
      </c>
      <c r="AF48" s="31" t="str">
        <f>Global!IJ48</f>
        <v/>
      </c>
      <c r="AG48" s="31" t="str">
        <f>Global!IK48</f>
        <v/>
      </c>
      <c r="AH48" s="31" t="str">
        <f>Global!IL48</f>
        <v/>
      </c>
      <c r="AI48" s="31" t="str">
        <f>Global!IM48</f>
        <v/>
      </c>
      <c r="AJ48" s="48" t="str">
        <f>Global!IN48</f>
        <v/>
      </c>
      <c r="AK48" s="108">
        <f>COUNTIF(Août[[#This Row],[1]:[31]],"RTT")+(COUNTIF(Août[[#This Row],[1]:[31]],"dRTT")/2)</f>
        <v>0</v>
      </c>
      <c r="AL48" s="109">
        <f>COUNTIF(Août[[#This Row],[1]:[31]],"C")+(COUNTIF(Août[[#This Row],[1]:[31]],"DC")/2)</f>
        <v>0</v>
      </c>
      <c r="AM48" s="22">
        <f>COUNTIF(Août[[#This Row],[1]:[31]],"M")</f>
        <v>0</v>
      </c>
      <c r="AN48" s="22">
        <f>COUNTIF(Août[[#This Row],[1]:[31]],"AT")</f>
        <v>0</v>
      </c>
      <c r="AO48" s="84">
        <f>IF(AND(Août[[#This Row],[Maladie]]=0,Août[[#This Row],[AT]]=0),((10*(_xlfn.DAYS("31/08/2018","01/08/2018")+1))/365),((_xlfn.DAYS("31/08/2018","01/08/2018")+1-(Août[[#This Row],[Maladie]]+Août[[#This Row],[AT]]))*((10*(_xlfn.DAYS("31/08/2018","01/08/2018")+1))/365))/(_xlfn.DAYS("31/08/2018","01/08/2018")+1))</f>
        <v>0.84931506849315064</v>
      </c>
    </row>
    <row r="49" spans="1:41" ht="30" customHeight="1" x14ac:dyDescent="0.2">
      <c r="A49" s="17" t="s">
        <v>105</v>
      </c>
      <c r="B49" s="17" t="s">
        <v>248</v>
      </c>
      <c r="C49" s="17" t="s">
        <v>249</v>
      </c>
      <c r="D49" s="17" t="s">
        <v>250</v>
      </c>
      <c r="E49" s="23">
        <v>0</v>
      </c>
      <c r="F49" s="47" t="str">
        <f>Global!HJ49</f>
        <v/>
      </c>
      <c r="G49" s="31" t="str">
        <f>Global!HK49</f>
        <v/>
      </c>
      <c r="H49" s="31" t="str">
        <f>Global!HL49</f>
        <v/>
      </c>
      <c r="I49" s="31" t="str">
        <f>Global!HM49</f>
        <v/>
      </c>
      <c r="J49" s="31" t="str">
        <f>Global!HN49</f>
        <v/>
      </c>
      <c r="K49" s="31" t="str">
        <f>Global!HO49</f>
        <v/>
      </c>
      <c r="L49" s="31" t="str">
        <f>Global!HP49</f>
        <v/>
      </c>
      <c r="M49" s="31" t="str">
        <f>Global!HQ49</f>
        <v/>
      </c>
      <c r="N49" s="31" t="str">
        <f>Global!HR49</f>
        <v/>
      </c>
      <c r="O49" s="31" t="str">
        <f>Global!HS49</f>
        <v/>
      </c>
      <c r="P49" s="31" t="str">
        <f>Global!HT49</f>
        <v/>
      </c>
      <c r="Q49" s="31" t="str">
        <f>Global!HU49</f>
        <v/>
      </c>
      <c r="R49" s="31" t="str">
        <f>Global!HV49</f>
        <v/>
      </c>
      <c r="S49" s="31" t="str">
        <f>Global!HW49</f>
        <v/>
      </c>
      <c r="T49" s="31" t="str">
        <f>Global!HX49</f>
        <v/>
      </c>
      <c r="U49" s="31" t="str">
        <f>Global!HY49</f>
        <v/>
      </c>
      <c r="V49" s="31" t="str">
        <f>Global!HZ49</f>
        <v/>
      </c>
      <c r="W49" s="31" t="str">
        <f>Global!IA49</f>
        <v/>
      </c>
      <c r="X49" s="31" t="str">
        <f>Global!IB49</f>
        <v/>
      </c>
      <c r="Y49" s="31" t="str">
        <f>Global!IC49</f>
        <v/>
      </c>
      <c r="Z49" s="31" t="str">
        <f>Global!ID49</f>
        <v/>
      </c>
      <c r="AA49" s="31" t="str">
        <f>Global!IE49</f>
        <v/>
      </c>
      <c r="AB49" s="31" t="str">
        <f>Global!IF49</f>
        <v/>
      </c>
      <c r="AC49" s="31" t="str">
        <f>Global!IG49</f>
        <v/>
      </c>
      <c r="AD49" s="31" t="str">
        <f>Global!IH49</f>
        <v/>
      </c>
      <c r="AE49" s="31" t="str">
        <f>Global!II49</f>
        <v/>
      </c>
      <c r="AF49" s="31" t="str">
        <f>Global!IJ49</f>
        <v/>
      </c>
      <c r="AG49" s="31" t="str">
        <f>Global!IK49</f>
        <v/>
      </c>
      <c r="AH49" s="31" t="str">
        <f>Global!IL49</f>
        <v/>
      </c>
      <c r="AI49" s="31" t="str">
        <f>Global!IM49</f>
        <v/>
      </c>
      <c r="AJ49" s="48" t="str">
        <f>Global!IN49</f>
        <v/>
      </c>
      <c r="AK49" s="108">
        <f>COUNTIF(Août[[#This Row],[1]:[31]],"RTT")+(COUNTIF(Août[[#This Row],[1]:[31]],"dRTT")/2)</f>
        <v>0</v>
      </c>
      <c r="AL49" s="109">
        <f>COUNTIF(Août[[#This Row],[1]:[31]],"C")+(COUNTIF(Août[[#This Row],[1]:[31]],"DC")/2)</f>
        <v>0</v>
      </c>
      <c r="AM49" s="22">
        <f>COUNTIF(Août[[#This Row],[1]:[31]],"M")</f>
        <v>0</v>
      </c>
      <c r="AN49" s="22">
        <f>COUNTIF(Août[[#This Row],[1]:[31]],"AT")</f>
        <v>0</v>
      </c>
      <c r="AO49" s="84">
        <f>IF(AND(Août[[#This Row],[Maladie]]=0,Août[[#This Row],[AT]]=0),((10*(_xlfn.DAYS("31/08/2018","01/08/2018")+1))/365),((_xlfn.DAYS("31/08/2018","01/08/2018")+1-(Août[[#This Row],[Maladie]]+Août[[#This Row],[AT]]))*((10*(_xlfn.DAYS("31/08/2018","01/08/2018")+1))/365))/(_xlfn.DAYS("31/08/2018","01/08/2018")+1))</f>
        <v>0.84931506849315064</v>
      </c>
    </row>
    <row r="50" spans="1:41" ht="30" customHeight="1" x14ac:dyDescent="0.2">
      <c r="A50" s="17" t="s">
        <v>106</v>
      </c>
      <c r="B50" s="17" t="s">
        <v>251</v>
      </c>
      <c r="C50" s="17" t="s">
        <v>252</v>
      </c>
      <c r="D50" s="17" t="s">
        <v>253</v>
      </c>
      <c r="E50" s="23">
        <v>0</v>
      </c>
      <c r="F50" s="47" t="str">
        <f>Global!HJ50</f>
        <v/>
      </c>
      <c r="G50" s="31" t="str">
        <f>Global!HK50</f>
        <v/>
      </c>
      <c r="H50" s="31" t="str">
        <f>Global!HL50</f>
        <v/>
      </c>
      <c r="I50" s="31" t="str">
        <f>Global!HM50</f>
        <v/>
      </c>
      <c r="J50" s="31" t="str">
        <f>Global!HN50</f>
        <v/>
      </c>
      <c r="K50" s="31" t="str">
        <f>Global!HO50</f>
        <v>C</v>
      </c>
      <c r="L50" s="31" t="str">
        <f>Global!HP50</f>
        <v>C</v>
      </c>
      <c r="M50" s="31" t="str">
        <f>Global!HQ50</f>
        <v>C</v>
      </c>
      <c r="N50" s="31" t="str">
        <f>Global!HR50</f>
        <v>C</v>
      </c>
      <c r="O50" s="31" t="str">
        <f>Global!HS50</f>
        <v>C</v>
      </c>
      <c r="P50" s="31" t="str">
        <f>Global!HT50</f>
        <v/>
      </c>
      <c r="Q50" s="31" t="str">
        <f>Global!HU50</f>
        <v/>
      </c>
      <c r="R50" s="31" t="str">
        <f>Global!HV50</f>
        <v>C</v>
      </c>
      <c r="S50" s="31" t="str">
        <f>Global!HW50</f>
        <v>C</v>
      </c>
      <c r="T50" s="31" t="str">
        <f>Global!HX50</f>
        <v/>
      </c>
      <c r="U50" s="31" t="str">
        <f>Global!HY50</f>
        <v>C</v>
      </c>
      <c r="V50" s="31" t="str">
        <f>Global!HZ50</f>
        <v>C</v>
      </c>
      <c r="W50" s="31" t="str">
        <f>Global!IA50</f>
        <v/>
      </c>
      <c r="X50" s="31" t="str">
        <f>Global!IB50</f>
        <v/>
      </c>
      <c r="Y50" s="31" t="str">
        <f>Global!IC50</f>
        <v>C</v>
      </c>
      <c r="Z50" s="31" t="str">
        <f>Global!ID50</f>
        <v>C</v>
      </c>
      <c r="AA50" s="31" t="str">
        <f>Global!IE50</f>
        <v>C</v>
      </c>
      <c r="AB50" s="31" t="str">
        <f>Global!IF50</f>
        <v>C</v>
      </c>
      <c r="AC50" s="31" t="str">
        <f>Global!IG50</f>
        <v>C</v>
      </c>
      <c r="AD50" s="31" t="str">
        <f>Global!IH50</f>
        <v/>
      </c>
      <c r="AE50" s="31" t="str">
        <f>Global!II50</f>
        <v/>
      </c>
      <c r="AF50" s="31" t="str">
        <f>Global!IJ50</f>
        <v/>
      </c>
      <c r="AG50" s="31" t="str">
        <f>Global!IK50</f>
        <v/>
      </c>
      <c r="AH50" s="31" t="str">
        <f>Global!IL50</f>
        <v/>
      </c>
      <c r="AI50" s="31" t="str">
        <f>Global!IM50</f>
        <v/>
      </c>
      <c r="AJ50" s="48" t="str">
        <f>Global!IN50</f>
        <v/>
      </c>
      <c r="AK50" s="108">
        <f>COUNTIF(Août[[#This Row],[1]:[31]],"RTT")+(COUNTIF(Août[[#This Row],[1]:[31]],"dRTT")/2)</f>
        <v>0</v>
      </c>
      <c r="AL50" s="109">
        <f>COUNTIF(Août[[#This Row],[1]:[31]],"C")+(COUNTIF(Août[[#This Row],[1]:[31]],"DC")/2)</f>
        <v>14</v>
      </c>
      <c r="AM50" s="22">
        <f>COUNTIF(Août[[#This Row],[1]:[31]],"M")</f>
        <v>0</v>
      </c>
      <c r="AN50" s="22">
        <f>COUNTIF(Août[[#This Row],[1]:[31]],"AT")</f>
        <v>0</v>
      </c>
      <c r="AO50" s="84">
        <f>IF(AND(Août[[#This Row],[Maladie]]=0,Août[[#This Row],[AT]]=0),((10*(_xlfn.DAYS("31/08/2018","01/08/2018")+1))/365),((_xlfn.DAYS("31/08/2018","01/08/2018")+1-(Août[[#This Row],[Maladie]]+Août[[#This Row],[AT]]))*((10*(_xlfn.DAYS("31/08/2018","01/08/2018")+1))/365))/(_xlfn.DAYS("31/08/2018","01/08/2018")+1))</f>
        <v>0.84931506849315064</v>
      </c>
    </row>
    <row r="51" spans="1:41" ht="30" customHeight="1" x14ac:dyDescent="0.2">
      <c r="A51" s="17" t="s">
        <v>107</v>
      </c>
      <c r="B51" s="17" t="s">
        <v>254</v>
      </c>
      <c r="C51" s="17" t="s">
        <v>255</v>
      </c>
      <c r="D51" s="17" t="s">
        <v>256</v>
      </c>
      <c r="E51" s="23">
        <v>0</v>
      </c>
      <c r="F51" s="47" t="str">
        <f>Global!HJ51</f>
        <v/>
      </c>
      <c r="G51" s="31" t="str">
        <f>Global!HK51</f>
        <v/>
      </c>
      <c r="H51" s="31" t="str">
        <f>Global!HL51</f>
        <v/>
      </c>
      <c r="I51" s="31" t="str">
        <f>Global!HM51</f>
        <v/>
      </c>
      <c r="J51" s="31" t="str">
        <f>Global!HN51</f>
        <v/>
      </c>
      <c r="K51" s="31" t="str">
        <f>Global!HO51</f>
        <v/>
      </c>
      <c r="L51" s="31" t="str">
        <f>Global!HP51</f>
        <v/>
      </c>
      <c r="M51" s="31" t="str">
        <f>Global!HQ51</f>
        <v/>
      </c>
      <c r="N51" s="31" t="str">
        <f>Global!HR51</f>
        <v/>
      </c>
      <c r="O51" s="31" t="str">
        <f>Global!HS51</f>
        <v/>
      </c>
      <c r="P51" s="31" t="str">
        <f>Global!HT51</f>
        <v/>
      </c>
      <c r="Q51" s="31" t="str">
        <f>Global!HU51</f>
        <v/>
      </c>
      <c r="R51" s="31" t="str">
        <f>Global!HV51</f>
        <v/>
      </c>
      <c r="S51" s="31" t="str">
        <f>Global!HW51</f>
        <v/>
      </c>
      <c r="T51" s="31" t="str">
        <f>Global!HX51</f>
        <v/>
      </c>
      <c r="U51" s="31" t="str">
        <f>Global!HY51</f>
        <v/>
      </c>
      <c r="V51" s="31" t="str">
        <f>Global!HZ51</f>
        <v/>
      </c>
      <c r="W51" s="31" t="str">
        <f>Global!IA51</f>
        <v/>
      </c>
      <c r="X51" s="31" t="str">
        <f>Global!IB51</f>
        <v/>
      </c>
      <c r="Y51" s="31" t="str">
        <f>Global!IC51</f>
        <v/>
      </c>
      <c r="Z51" s="31" t="str">
        <f>Global!ID51</f>
        <v/>
      </c>
      <c r="AA51" s="31" t="str">
        <f>Global!IE51</f>
        <v/>
      </c>
      <c r="AB51" s="31" t="str">
        <f>Global!IF51</f>
        <v/>
      </c>
      <c r="AC51" s="31" t="str">
        <f>Global!IG51</f>
        <v/>
      </c>
      <c r="AD51" s="31" t="str">
        <f>Global!IH51</f>
        <v/>
      </c>
      <c r="AE51" s="31" t="str">
        <f>Global!II51</f>
        <v/>
      </c>
      <c r="AF51" s="31" t="str">
        <f>Global!IJ51</f>
        <v>C</v>
      </c>
      <c r="AG51" s="31" t="str">
        <f>Global!IK51</f>
        <v>C</v>
      </c>
      <c r="AH51" s="31" t="str">
        <f>Global!IL51</f>
        <v>C</v>
      </c>
      <c r="AI51" s="31" t="str">
        <f>Global!IM51</f>
        <v>C</v>
      </c>
      <c r="AJ51" s="48" t="str">
        <f>Global!IN51</f>
        <v>C</v>
      </c>
      <c r="AK51" s="108">
        <f>COUNTIF(Août[[#This Row],[1]:[31]],"RTT")+(COUNTIF(Août[[#This Row],[1]:[31]],"dRTT")/2)</f>
        <v>0</v>
      </c>
      <c r="AL51" s="109">
        <f>COUNTIF(Août[[#This Row],[1]:[31]],"C")+(COUNTIF(Août[[#This Row],[1]:[31]],"DC")/2)</f>
        <v>5</v>
      </c>
      <c r="AM51" s="22">
        <f>COUNTIF(Août[[#This Row],[1]:[31]],"M")</f>
        <v>0</v>
      </c>
      <c r="AN51" s="22">
        <f>COUNTIF(Août[[#This Row],[1]:[31]],"AT")</f>
        <v>0</v>
      </c>
      <c r="AO51" s="84">
        <f>IF(AND(Août[[#This Row],[Maladie]]=0,Août[[#This Row],[AT]]=0),((10*(_xlfn.DAYS("31/08/2018","01/08/2018")+1))/365),((_xlfn.DAYS("31/08/2018","01/08/2018")+1-(Août[[#This Row],[Maladie]]+Août[[#This Row],[AT]]))*((10*(_xlfn.DAYS("31/08/2018","01/08/2018")+1))/365))/(_xlfn.DAYS("31/08/2018","01/08/2018")+1))</f>
        <v>0.84931506849315064</v>
      </c>
    </row>
    <row r="52" spans="1:41" ht="30" customHeight="1" x14ac:dyDescent="0.2">
      <c r="A52" s="17" t="s">
        <v>108</v>
      </c>
      <c r="B52" s="17" t="s">
        <v>257</v>
      </c>
      <c r="C52" s="17" t="s">
        <v>258</v>
      </c>
      <c r="D52" s="17" t="s">
        <v>259</v>
      </c>
      <c r="E52" s="23">
        <v>0</v>
      </c>
      <c r="F52" s="47" t="str">
        <f>Global!HJ52</f>
        <v/>
      </c>
      <c r="G52" s="31" t="str">
        <f>Global!HK52</f>
        <v/>
      </c>
      <c r="H52" s="31" t="str">
        <f>Global!HL52</f>
        <v/>
      </c>
      <c r="I52" s="31" t="str">
        <f>Global!HM52</f>
        <v/>
      </c>
      <c r="J52" s="31" t="str">
        <f>Global!HN52</f>
        <v/>
      </c>
      <c r="K52" s="31" t="str">
        <f>Global!HO52</f>
        <v>C</v>
      </c>
      <c r="L52" s="31" t="str">
        <f>Global!HP52</f>
        <v>C</v>
      </c>
      <c r="M52" s="31" t="str">
        <f>Global!HQ52</f>
        <v>C</v>
      </c>
      <c r="N52" s="31" t="str">
        <f>Global!HR52</f>
        <v>C</v>
      </c>
      <c r="O52" s="31" t="str">
        <f>Global!HS52</f>
        <v>C</v>
      </c>
      <c r="P52" s="31" t="str">
        <f>Global!HT52</f>
        <v/>
      </c>
      <c r="Q52" s="31" t="str">
        <f>Global!HU52</f>
        <v/>
      </c>
      <c r="R52" s="31" t="str">
        <f>Global!HV52</f>
        <v>C</v>
      </c>
      <c r="S52" s="31" t="str">
        <f>Global!HW52</f>
        <v>C</v>
      </c>
      <c r="T52" s="31" t="str">
        <f>Global!HX52</f>
        <v/>
      </c>
      <c r="U52" s="31" t="str">
        <f>Global!HY52</f>
        <v>C</v>
      </c>
      <c r="V52" s="31" t="str">
        <f>Global!HZ52</f>
        <v>C</v>
      </c>
      <c r="W52" s="31" t="str">
        <f>Global!IA52</f>
        <v/>
      </c>
      <c r="X52" s="31" t="str">
        <f>Global!IB52</f>
        <v/>
      </c>
      <c r="Y52" s="31" t="str">
        <f>Global!IC52</f>
        <v>C</v>
      </c>
      <c r="Z52" s="31" t="str">
        <f>Global!ID52</f>
        <v>C</v>
      </c>
      <c r="AA52" s="31" t="str">
        <f>Global!IE52</f>
        <v>C</v>
      </c>
      <c r="AB52" s="31" t="str">
        <f>Global!IF52</f>
        <v>C</v>
      </c>
      <c r="AC52" s="31" t="str">
        <f>Global!IG52</f>
        <v>C</v>
      </c>
      <c r="AD52" s="31" t="str">
        <f>Global!IH52</f>
        <v/>
      </c>
      <c r="AE52" s="31" t="str">
        <f>Global!II52</f>
        <v/>
      </c>
      <c r="AF52" s="31" t="str">
        <f>Global!IJ52</f>
        <v/>
      </c>
      <c r="AG52" s="31" t="str">
        <f>Global!IK52</f>
        <v/>
      </c>
      <c r="AH52" s="31" t="str">
        <f>Global!IL52</f>
        <v/>
      </c>
      <c r="AI52" s="31" t="str">
        <f>Global!IM52</f>
        <v/>
      </c>
      <c r="AJ52" s="48" t="str">
        <f>Global!IN52</f>
        <v/>
      </c>
      <c r="AK52" s="108">
        <f>COUNTIF(Août[[#This Row],[1]:[31]],"RTT")+(COUNTIF(Août[[#This Row],[1]:[31]],"dRTT")/2)</f>
        <v>0</v>
      </c>
      <c r="AL52" s="109">
        <f>COUNTIF(Août[[#This Row],[1]:[31]],"C")+(COUNTIF(Août[[#This Row],[1]:[31]],"DC")/2)</f>
        <v>14</v>
      </c>
      <c r="AM52" s="22">
        <f>COUNTIF(Août[[#This Row],[1]:[31]],"M")</f>
        <v>0</v>
      </c>
      <c r="AN52" s="22">
        <f>COUNTIF(Août[[#This Row],[1]:[31]],"AT")</f>
        <v>0</v>
      </c>
      <c r="AO52" s="84">
        <f>IF(AND(Août[[#This Row],[Maladie]]=0,Août[[#This Row],[AT]]=0),((10*(_xlfn.DAYS("31/08/2018","01/08/2018")+1))/365),((_xlfn.DAYS("31/08/2018","01/08/2018")+1-(Août[[#This Row],[Maladie]]+Août[[#This Row],[AT]]))*((10*(_xlfn.DAYS("31/08/2018","01/08/2018")+1))/365))/(_xlfn.DAYS("31/08/2018","01/08/2018")+1))</f>
        <v>0.84931506849315064</v>
      </c>
    </row>
    <row r="53" spans="1:41" ht="30" customHeight="1" x14ac:dyDescent="0.2">
      <c r="A53" s="17" t="s">
        <v>109</v>
      </c>
      <c r="B53" s="17" t="s">
        <v>260</v>
      </c>
      <c r="C53" s="17" t="s">
        <v>261</v>
      </c>
      <c r="D53" s="17" t="s">
        <v>262</v>
      </c>
      <c r="E53" s="23">
        <v>0</v>
      </c>
      <c r="F53" s="47" t="str">
        <f>Global!HJ53</f>
        <v>C</v>
      </c>
      <c r="G53" s="31" t="str">
        <f>Global!HK53</f>
        <v>C</v>
      </c>
      <c r="H53" s="31" t="str">
        <f>Global!HL53</f>
        <v>C</v>
      </c>
      <c r="I53" s="31" t="str">
        <f>Global!HM53</f>
        <v/>
      </c>
      <c r="J53" s="31" t="str">
        <f>Global!HN53</f>
        <v/>
      </c>
      <c r="K53" s="31" t="str">
        <f>Global!HO53</f>
        <v/>
      </c>
      <c r="L53" s="31" t="str">
        <f>Global!HP53</f>
        <v/>
      </c>
      <c r="M53" s="31" t="str">
        <f>Global!HQ53</f>
        <v/>
      </c>
      <c r="N53" s="31" t="str">
        <f>Global!HR53</f>
        <v/>
      </c>
      <c r="O53" s="31" t="str">
        <f>Global!HS53</f>
        <v/>
      </c>
      <c r="P53" s="31" t="str">
        <f>Global!HT53</f>
        <v/>
      </c>
      <c r="Q53" s="31" t="str">
        <f>Global!HU53</f>
        <v/>
      </c>
      <c r="R53" s="31" t="str">
        <f>Global!HV53</f>
        <v/>
      </c>
      <c r="S53" s="31" t="str">
        <f>Global!HW53</f>
        <v/>
      </c>
      <c r="T53" s="31" t="str">
        <f>Global!HX53</f>
        <v/>
      </c>
      <c r="U53" s="31" t="str">
        <f>Global!HY53</f>
        <v/>
      </c>
      <c r="V53" s="31" t="str">
        <f>Global!HZ53</f>
        <v/>
      </c>
      <c r="W53" s="31" t="str">
        <f>Global!IA53</f>
        <v/>
      </c>
      <c r="X53" s="31" t="str">
        <f>Global!IB53</f>
        <v/>
      </c>
      <c r="Y53" s="31" t="str">
        <f>Global!IC53</f>
        <v/>
      </c>
      <c r="Z53" s="31" t="str">
        <f>Global!ID53</f>
        <v/>
      </c>
      <c r="AA53" s="31" t="str">
        <f>Global!IE53</f>
        <v/>
      </c>
      <c r="AB53" s="31" t="str">
        <f>Global!IF53</f>
        <v/>
      </c>
      <c r="AC53" s="31" t="str">
        <f>Global!IG53</f>
        <v/>
      </c>
      <c r="AD53" s="31" t="str">
        <f>Global!IH53</f>
        <v/>
      </c>
      <c r="AE53" s="31" t="str">
        <f>Global!II53</f>
        <v/>
      </c>
      <c r="AF53" s="31" t="str">
        <f>Global!IJ53</f>
        <v/>
      </c>
      <c r="AG53" s="31" t="str">
        <f>Global!IK53</f>
        <v/>
      </c>
      <c r="AH53" s="31" t="str">
        <f>Global!IL53</f>
        <v/>
      </c>
      <c r="AI53" s="31" t="str">
        <f>Global!IM53</f>
        <v/>
      </c>
      <c r="AJ53" s="48" t="str">
        <f>Global!IN53</f>
        <v/>
      </c>
      <c r="AK53" s="108">
        <f>COUNTIF(Août[[#This Row],[1]:[31]],"RTT")+(COUNTIF(Août[[#This Row],[1]:[31]],"dRTT")/2)</f>
        <v>0</v>
      </c>
      <c r="AL53" s="109">
        <f>COUNTIF(Août[[#This Row],[1]:[31]],"C")+(COUNTIF(Août[[#This Row],[1]:[31]],"DC")/2)</f>
        <v>3</v>
      </c>
      <c r="AM53" s="22">
        <f>COUNTIF(Août[[#This Row],[1]:[31]],"M")</f>
        <v>0</v>
      </c>
      <c r="AN53" s="22">
        <f>COUNTIF(Août[[#This Row],[1]:[31]],"AT")</f>
        <v>0</v>
      </c>
      <c r="AO53" s="84">
        <f>IF(AND(Août[[#This Row],[Maladie]]=0,Août[[#This Row],[AT]]=0),((10*(_xlfn.DAYS("31/08/2018","01/08/2018")+1))/365),((_xlfn.DAYS("31/08/2018","01/08/2018")+1-(Août[[#This Row],[Maladie]]+Août[[#This Row],[AT]]))*((10*(_xlfn.DAYS("31/08/2018","01/08/2018")+1))/365))/(_xlfn.DAYS("31/08/2018","01/08/2018")+1))</f>
        <v>0.84931506849315064</v>
      </c>
    </row>
    <row r="54" spans="1:41" ht="30" customHeight="1" x14ac:dyDescent="0.2">
      <c r="A54" s="18" t="s">
        <v>110</v>
      </c>
      <c r="B54" s="18" t="s">
        <v>263</v>
      </c>
      <c r="C54" s="18" t="s">
        <v>264</v>
      </c>
      <c r="D54" s="18" t="s">
        <v>265</v>
      </c>
      <c r="E54" s="24">
        <v>0</v>
      </c>
      <c r="F54" s="47" t="str">
        <f>Global!HJ54</f>
        <v/>
      </c>
      <c r="G54" s="31" t="str">
        <f>Global!HK54</f>
        <v/>
      </c>
      <c r="H54" s="31" t="str">
        <f>Global!HL54</f>
        <v/>
      </c>
      <c r="I54" s="31" t="str">
        <f>Global!HM54</f>
        <v/>
      </c>
      <c r="J54" s="31" t="str">
        <f>Global!HN54</f>
        <v/>
      </c>
      <c r="K54" s="31" t="str">
        <f>Global!HO54</f>
        <v/>
      </c>
      <c r="L54" s="31" t="str">
        <f>Global!HP54</f>
        <v/>
      </c>
      <c r="M54" s="31" t="str">
        <f>Global!HQ54</f>
        <v/>
      </c>
      <c r="N54" s="31" t="str">
        <f>Global!HR54</f>
        <v/>
      </c>
      <c r="O54" s="31" t="str">
        <f>Global!HS54</f>
        <v/>
      </c>
      <c r="P54" s="31" t="str">
        <f>Global!HT54</f>
        <v/>
      </c>
      <c r="Q54" s="31" t="str">
        <f>Global!HU54</f>
        <v/>
      </c>
      <c r="R54" s="31" t="str">
        <f>Global!HV54</f>
        <v/>
      </c>
      <c r="S54" s="31" t="str">
        <f>Global!HW54</f>
        <v/>
      </c>
      <c r="T54" s="31" t="str">
        <f>Global!HX54</f>
        <v/>
      </c>
      <c r="U54" s="31" t="str">
        <f>Global!HY54</f>
        <v/>
      </c>
      <c r="V54" s="31" t="str">
        <f>Global!HZ54</f>
        <v/>
      </c>
      <c r="W54" s="31" t="str">
        <f>Global!IA54</f>
        <v/>
      </c>
      <c r="X54" s="31" t="str">
        <f>Global!IB54</f>
        <v/>
      </c>
      <c r="Y54" s="31" t="str">
        <f>Global!IC54</f>
        <v/>
      </c>
      <c r="Z54" s="31" t="str">
        <f>Global!ID54</f>
        <v/>
      </c>
      <c r="AA54" s="31" t="str">
        <f>Global!IE54</f>
        <v/>
      </c>
      <c r="AB54" s="31" t="str">
        <f>Global!IF54</f>
        <v/>
      </c>
      <c r="AC54" s="31" t="str">
        <f>Global!IG54</f>
        <v/>
      </c>
      <c r="AD54" s="31" t="str">
        <f>Global!IH54</f>
        <v/>
      </c>
      <c r="AE54" s="31" t="str">
        <f>Global!II54</f>
        <v/>
      </c>
      <c r="AF54" s="31" t="str">
        <f>Global!IJ54</f>
        <v/>
      </c>
      <c r="AG54" s="31" t="str">
        <f>Global!IK54</f>
        <v/>
      </c>
      <c r="AH54" s="31" t="str">
        <f>Global!IL54</f>
        <v/>
      </c>
      <c r="AI54" s="31" t="str">
        <f>Global!IM54</f>
        <v/>
      </c>
      <c r="AJ54" s="48" t="str">
        <f>Global!IN54</f>
        <v/>
      </c>
      <c r="AK54" s="108">
        <f>COUNTIF(Août[[#This Row],[1]:[31]],"RTT")+(COUNTIF(Août[[#This Row],[1]:[31]],"dRTT")/2)</f>
        <v>0</v>
      </c>
      <c r="AL54" s="109">
        <f>COUNTIF(Août[[#This Row],[1]:[31]],"C")+(COUNTIF(Août[[#This Row],[1]:[31]],"DC")/2)</f>
        <v>0</v>
      </c>
      <c r="AM54" s="22">
        <f>COUNTIF(Août[[#This Row],[1]:[31]],"M")</f>
        <v>0</v>
      </c>
      <c r="AN54" s="22">
        <f>COUNTIF(Août[[#This Row],[1]:[31]],"AT")</f>
        <v>0</v>
      </c>
      <c r="AO54" s="84">
        <f>IF(AND(Août[[#This Row],[Maladie]]=0,Août[[#This Row],[AT]]=0),((10*(_xlfn.DAYS("31/08/2018","01/08/2018")+1))/365),((_xlfn.DAYS("31/08/2018","01/08/2018")+1-(Août[[#This Row],[Maladie]]+Août[[#This Row],[AT]]))*((10*(_xlfn.DAYS("31/08/2018","01/08/2018")+1))/365))/(_xlfn.DAYS("31/08/2018","01/08/2018")+1))</f>
        <v>0.84931506849315064</v>
      </c>
    </row>
    <row r="55" spans="1:41" ht="30" customHeight="1" x14ac:dyDescent="0.2">
      <c r="A55" s="17" t="s">
        <v>111</v>
      </c>
      <c r="B55" s="17" t="s">
        <v>266</v>
      </c>
      <c r="C55" s="17" t="s">
        <v>267</v>
      </c>
      <c r="D55" s="17" t="s">
        <v>268</v>
      </c>
      <c r="E55" s="23">
        <v>0</v>
      </c>
      <c r="F55" s="47" t="str">
        <f>Global!HJ55</f>
        <v/>
      </c>
      <c r="G55" s="31" t="str">
        <f>Global!HK55</f>
        <v/>
      </c>
      <c r="H55" s="31" t="str">
        <f>Global!HL55</f>
        <v/>
      </c>
      <c r="I55" s="31" t="str">
        <f>Global!HM55</f>
        <v/>
      </c>
      <c r="J55" s="31" t="str">
        <f>Global!HN55</f>
        <v/>
      </c>
      <c r="K55" s="31" t="str">
        <f>Global!HO55</f>
        <v/>
      </c>
      <c r="L55" s="31" t="str">
        <f>Global!HP55</f>
        <v/>
      </c>
      <c r="M55" s="31" t="str">
        <f>Global!HQ55</f>
        <v/>
      </c>
      <c r="N55" s="31" t="str">
        <f>Global!HR55</f>
        <v/>
      </c>
      <c r="O55" s="31" t="str">
        <f>Global!HS55</f>
        <v/>
      </c>
      <c r="P55" s="31" t="str">
        <f>Global!HT55</f>
        <v/>
      </c>
      <c r="Q55" s="31" t="str">
        <f>Global!HU55</f>
        <v/>
      </c>
      <c r="R55" s="31" t="str">
        <f>Global!HV55</f>
        <v/>
      </c>
      <c r="S55" s="31" t="str">
        <f>Global!HW55</f>
        <v/>
      </c>
      <c r="T55" s="31" t="str">
        <f>Global!HX55</f>
        <v/>
      </c>
      <c r="U55" s="31" t="str">
        <f>Global!HY55</f>
        <v/>
      </c>
      <c r="V55" s="31" t="str">
        <f>Global!HZ55</f>
        <v/>
      </c>
      <c r="W55" s="31" t="str">
        <f>Global!IA55</f>
        <v/>
      </c>
      <c r="X55" s="31" t="str">
        <f>Global!IB55</f>
        <v/>
      </c>
      <c r="Y55" s="31" t="str">
        <f>Global!IC55</f>
        <v/>
      </c>
      <c r="Z55" s="31" t="str">
        <f>Global!ID55</f>
        <v/>
      </c>
      <c r="AA55" s="31" t="str">
        <f>Global!IE55</f>
        <v/>
      </c>
      <c r="AB55" s="31" t="str">
        <f>Global!IF55</f>
        <v/>
      </c>
      <c r="AC55" s="31" t="str">
        <f>Global!IG55</f>
        <v/>
      </c>
      <c r="AD55" s="31" t="str">
        <f>Global!IH55</f>
        <v/>
      </c>
      <c r="AE55" s="31" t="str">
        <f>Global!II55</f>
        <v/>
      </c>
      <c r="AF55" s="31" t="str">
        <f>Global!IJ55</f>
        <v/>
      </c>
      <c r="AG55" s="31" t="str">
        <f>Global!IK55</f>
        <v/>
      </c>
      <c r="AH55" s="31" t="str">
        <f>Global!IL55</f>
        <v/>
      </c>
      <c r="AI55" s="31" t="str">
        <f>Global!IM55</f>
        <v/>
      </c>
      <c r="AJ55" s="48" t="str">
        <f>Global!IN55</f>
        <v/>
      </c>
      <c r="AK55" s="108">
        <f>COUNTIF(Août[[#This Row],[1]:[31]],"RTT")+(COUNTIF(Août[[#This Row],[1]:[31]],"dRTT")/2)</f>
        <v>0</v>
      </c>
      <c r="AL55" s="109">
        <f>COUNTIF(Août[[#This Row],[1]:[31]],"C")+(COUNTIF(Août[[#This Row],[1]:[31]],"DC")/2)</f>
        <v>0</v>
      </c>
      <c r="AM55" s="22">
        <f>COUNTIF(Août[[#This Row],[1]:[31]],"M")</f>
        <v>0</v>
      </c>
      <c r="AN55" s="22">
        <f>COUNTIF(Août[[#This Row],[1]:[31]],"AT")</f>
        <v>0</v>
      </c>
      <c r="AO55" s="84">
        <f>IF(AND(Août[[#This Row],[Maladie]]=0,Août[[#This Row],[AT]]=0),((10*(_xlfn.DAYS("31/08/2018","01/08/2018")+1))/365),((_xlfn.DAYS("31/08/2018","01/08/2018")+1-(Août[[#This Row],[Maladie]]+Août[[#This Row],[AT]]))*((10*(_xlfn.DAYS("31/08/2018","01/08/2018")+1))/365))/(_xlfn.DAYS("31/08/2018","01/08/2018")+1))</f>
        <v>0.84931506849315064</v>
      </c>
    </row>
    <row r="56" spans="1:41" ht="30" customHeight="1" thickBot="1" x14ac:dyDescent="0.25">
      <c r="A56" s="17" t="s">
        <v>112</v>
      </c>
      <c r="B56" s="17" t="s">
        <v>269</v>
      </c>
      <c r="C56" s="17" t="s">
        <v>270</v>
      </c>
      <c r="D56" s="17" t="s">
        <v>271</v>
      </c>
      <c r="E56" s="23">
        <v>0</v>
      </c>
      <c r="F56" s="49" t="str">
        <f>Global!HJ56</f>
        <v/>
      </c>
      <c r="G56" s="50" t="str">
        <f>Global!HK56</f>
        <v/>
      </c>
      <c r="H56" s="50" t="str">
        <f>Global!HL56</f>
        <v/>
      </c>
      <c r="I56" s="50" t="str">
        <f>Global!HM56</f>
        <v/>
      </c>
      <c r="J56" s="50" t="str">
        <f>Global!HN56</f>
        <v/>
      </c>
      <c r="K56" s="50" t="str">
        <f>Global!HO56</f>
        <v/>
      </c>
      <c r="L56" s="50" t="str">
        <f>Global!HP56</f>
        <v/>
      </c>
      <c r="M56" s="50" t="str">
        <f>Global!HQ56</f>
        <v/>
      </c>
      <c r="N56" s="50" t="str">
        <f>Global!HR56</f>
        <v/>
      </c>
      <c r="O56" s="50" t="str">
        <f>Global!HS56</f>
        <v/>
      </c>
      <c r="P56" s="50" t="str">
        <f>Global!HT56</f>
        <v/>
      </c>
      <c r="Q56" s="50" t="str">
        <f>Global!HU56</f>
        <v/>
      </c>
      <c r="R56" s="50" t="str">
        <f>Global!HV56</f>
        <v/>
      </c>
      <c r="S56" s="50" t="str">
        <f>Global!HW56</f>
        <v/>
      </c>
      <c r="T56" s="50" t="str">
        <f>Global!HX56</f>
        <v/>
      </c>
      <c r="U56" s="50" t="str">
        <f>Global!HY56</f>
        <v/>
      </c>
      <c r="V56" s="50" t="str">
        <f>Global!HZ56</f>
        <v/>
      </c>
      <c r="W56" s="50" t="str">
        <f>Global!IA56</f>
        <v/>
      </c>
      <c r="X56" s="50" t="str">
        <f>Global!IB56</f>
        <v/>
      </c>
      <c r="Y56" s="50" t="str">
        <f>Global!IC56</f>
        <v/>
      </c>
      <c r="Z56" s="50" t="str">
        <f>Global!ID56</f>
        <v/>
      </c>
      <c r="AA56" s="50" t="str">
        <f>Global!IE56</f>
        <v/>
      </c>
      <c r="AB56" s="50" t="str">
        <f>Global!IF56</f>
        <v/>
      </c>
      <c r="AC56" s="50" t="str">
        <f>Global!IG56</f>
        <v/>
      </c>
      <c r="AD56" s="50" t="str">
        <f>Global!IH56</f>
        <v/>
      </c>
      <c r="AE56" s="50" t="str">
        <f>Global!II56</f>
        <v/>
      </c>
      <c r="AF56" s="50" t="str">
        <f>Global!IJ56</f>
        <v>C</v>
      </c>
      <c r="AG56" s="50" t="str">
        <f>Global!IK56</f>
        <v>C</v>
      </c>
      <c r="AH56" s="50" t="str">
        <f>Global!IL56</f>
        <v>C</v>
      </c>
      <c r="AI56" s="50" t="str">
        <f>Global!IM56</f>
        <v>C</v>
      </c>
      <c r="AJ56" s="51" t="str">
        <f>Global!IN56</f>
        <v>C</v>
      </c>
      <c r="AK56" s="108">
        <f>COUNTIF(Août[[#This Row],[1]:[31]],"RTT")+(COUNTIF(Août[[#This Row],[1]:[31]],"dRTT")/2)</f>
        <v>0</v>
      </c>
      <c r="AL56" s="109">
        <f>COUNTIF(Août[[#This Row],[1]:[31]],"C")+(COUNTIF(Août[[#This Row],[1]:[31]],"DC")/2)</f>
        <v>5</v>
      </c>
      <c r="AM56" s="22">
        <f>COUNTIF(Août[[#This Row],[1]:[31]],"M")</f>
        <v>0</v>
      </c>
      <c r="AN56" s="22">
        <f>COUNTIF(Août[[#This Row],[1]:[31]],"AT")</f>
        <v>0</v>
      </c>
      <c r="AO56" s="84">
        <f>IF(AND(Août[[#This Row],[Maladie]]=0,Août[[#This Row],[AT]]=0),((10*(_xlfn.DAYS("31/08/2018","01/08/2018")+1))/365),((_xlfn.DAYS("31/08/2018","01/08/2018")+1-(Août[[#This Row],[Maladie]]+Août[[#This Row],[AT]]))*((10*(_xlfn.DAYS("31/08/2018","01/08/2018")+1))/365))/(_xlfn.DAYS("31/08/2018","01/08/2018")+1))</f>
        <v>0.84931506849315064</v>
      </c>
    </row>
    <row r="57" spans="1:41" x14ac:dyDescent="0.2">
      <c r="A57" s="1"/>
    </row>
  </sheetData>
  <mergeCells count="6">
    <mergeCell ref="F5:AJ5"/>
    <mergeCell ref="G3:H3"/>
    <mergeCell ref="J3:K3"/>
    <mergeCell ref="U3:V3"/>
    <mergeCell ref="AC3:AD3"/>
    <mergeCell ref="AH3:AI3"/>
  </mergeCells>
  <conditionalFormatting sqref="F8:AJ56">
    <cfRule type="expression" dxfId="82" priority="4">
      <formula>F8=CléPersonnalisée4</formula>
    </cfRule>
    <cfRule type="expression" dxfId="81" priority="5">
      <formula>F8=CléPersonnalisée5</formula>
    </cfRule>
    <cfRule type="expression" dxfId="80" priority="6">
      <formula>F8=CléPersonnalisée3</formula>
    </cfRule>
    <cfRule type="expression" dxfId="79" priority="7">
      <formula>F8=CléPersonnalisée2</formula>
    </cfRule>
    <cfRule type="expression" dxfId="78" priority="8">
      <formula>F8=CléPersonnalisée1</formula>
    </cfRule>
    <cfRule type="expression" dxfId="77" priority="9">
      <formula>F8=CléMaladie</formula>
    </cfRule>
    <cfRule type="expression" dxfId="76" priority="10">
      <formula>F8=CléPersonnel</formula>
    </cfRule>
    <cfRule type="expression" dxfId="75" priority="11" stopIfTrue="1">
      <formula>F8=CléCongé</formula>
    </cfRule>
    <cfRule type="expression" dxfId="74" priority="12" stopIfTrue="1">
      <formula>F8=CléDemiCongés</formula>
    </cfRule>
    <cfRule type="expression" dxfId="73" priority="13">
      <formula>F8=""</formula>
    </cfRule>
  </conditionalFormatting>
  <conditionalFormatting sqref="F6:AJ56">
    <cfRule type="expression" dxfId="72" priority="2" stopIfTrue="1">
      <formula>WEEKDAY(F$1)=7</formula>
    </cfRule>
    <cfRule type="expression" dxfId="71"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95EB1C78-B8A8-E341-B700-A20E7AB5A008}">
            <xm:f>F$1=VLOOKUP(F$1,JFériés!$D$1:$D$11,1,FALSE)</xm:f>
            <x14:dxf>
              <font>
                <color theme="1"/>
              </font>
              <fill>
                <patternFill>
                  <bgColor theme="5" tint="0.59996337778862885"/>
                </patternFill>
              </fill>
            </x14:dxf>
          </x14:cfRule>
          <xm:sqref>F6:AJ56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1" enableFormatConditionsCalculation="0">
    <tabColor rgb="FF919756"/>
    <pageSetUpPr fitToPage="1"/>
  </sheetPr>
  <dimension ref="A1:AO57"/>
  <sheetViews>
    <sheetView showGridLines="0" topLeftCell="A39"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DATE(AnnéeCalendrier,9,1)</f>
        <v>43344</v>
      </c>
      <c r="G1" s="62">
        <f>DATE(AnnéeCalendrier,9,2)</f>
        <v>43345</v>
      </c>
      <c r="H1" s="62">
        <f>DATE(AnnéeCalendrier,9,3)</f>
        <v>43346</v>
      </c>
      <c r="I1" s="62">
        <f>DATE(AnnéeCalendrier,9,4)</f>
        <v>43347</v>
      </c>
      <c r="J1" s="62">
        <f>DATE(AnnéeCalendrier,9,5)</f>
        <v>43348</v>
      </c>
      <c r="K1" s="62">
        <f>DATE(AnnéeCalendrier,9,6)</f>
        <v>43349</v>
      </c>
      <c r="L1" s="62">
        <f>DATE(AnnéeCalendrier,9,7)</f>
        <v>43350</v>
      </c>
      <c r="M1" s="62">
        <f>DATE(AnnéeCalendrier,9,8)</f>
        <v>43351</v>
      </c>
      <c r="N1" s="62">
        <f>DATE(AnnéeCalendrier,9,9)</f>
        <v>43352</v>
      </c>
      <c r="O1" s="62">
        <f>DATE(AnnéeCalendrier,9,10)</f>
        <v>43353</v>
      </c>
      <c r="P1" s="62">
        <f>DATE(AnnéeCalendrier,9,11)</f>
        <v>43354</v>
      </c>
      <c r="Q1" s="62">
        <f>DATE(AnnéeCalendrier,9,12)</f>
        <v>43355</v>
      </c>
      <c r="R1" s="62">
        <f>DATE(AnnéeCalendrier,9,13)</f>
        <v>43356</v>
      </c>
      <c r="S1" s="62">
        <f>DATE(AnnéeCalendrier,9,14)</f>
        <v>43357</v>
      </c>
      <c r="T1" s="62">
        <f>DATE(AnnéeCalendrier,9,15)</f>
        <v>43358</v>
      </c>
      <c r="U1" s="62">
        <f>DATE(AnnéeCalendrier,9,16)</f>
        <v>43359</v>
      </c>
      <c r="V1" s="62">
        <f>DATE(AnnéeCalendrier,9,17)</f>
        <v>43360</v>
      </c>
      <c r="W1" s="62">
        <f>DATE(AnnéeCalendrier,9,18)</f>
        <v>43361</v>
      </c>
      <c r="X1" s="62">
        <f>DATE(AnnéeCalendrier,9,19)</f>
        <v>43362</v>
      </c>
      <c r="Y1" s="62">
        <f>DATE(AnnéeCalendrier,9,20)</f>
        <v>43363</v>
      </c>
      <c r="Z1" s="62">
        <f>DATE(AnnéeCalendrier,9,21)</f>
        <v>43364</v>
      </c>
      <c r="AA1" s="62">
        <f>DATE(AnnéeCalendrier,9,22)</f>
        <v>43365</v>
      </c>
      <c r="AB1" s="62">
        <f>DATE(AnnéeCalendrier,9,23)</f>
        <v>43366</v>
      </c>
      <c r="AC1" s="62">
        <f>DATE(AnnéeCalendrier,9,24)</f>
        <v>43367</v>
      </c>
      <c r="AD1" s="62">
        <f>DATE(AnnéeCalendrier,9,25)</f>
        <v>43368</v>
      </c>
      <c r="AE1" s="62">
        <f>DATE(AnnéeCalendrier,9,26)</f>
        <v>43369</v>
      </c>
      <c r="AF1" s="62">
        <f>DATE(AnnéeCalendrier,9,27)</f>
        <v>43370</v>
      </c>
      <c r="AG1" s="62">
        <f>DATE(AnnéeCalendrier,9,28)</f>
        <v>43371</v>
      </c>
      <c r="AH1" s="62">
        <f>DATE(AnnéeCalendrier,9,29)</f>
        <v>43372</v>
      </c>
      <c r="AI1" s="62">
        <f>DATE(AnnéeCalendrier,9,30)</f>
        <v>43373</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53</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88" t="str">
        <f>TEXT(WEEKDAY(DATE(AnnéeCalendrier,9,1),1),"jjj")</f>
        <v>sam</v>
      </c>
      <c r="G6" s="89" t="str">
        <f>TEXT(WEEKDAY(DATE(AnnéeCalendrier,9,2),1),"jjj")</f>
        <v>dim</v>
      </c>
      <c r="H6" s="89" t="str">
        <f>TEXT(WEEKDAY(DATE(AnnéeCalendrier,9,3),1),"jjj")</f>
        <v>lun</v>
      </c>
      <c r="I6" s="89" t="str">
        <f>TEXT(WEEKDAY(DATE(AnnéeCalendrier,9,4),1),"jjj")</f>
        <v>mar</v>
      </c>
      <c r="J6" s="89" t="str">
        <f>TEXT(WEEKDAY(DATE(AnnéeCalendrier,9,5),1),"jjj")</f>
        <v>mer</v>
      </c>
      <c r="K6" s="89" t="str">
        <f>TEXT(WEEKDAY(DATE(AnnéeCalendrier,9,6),1),"jjj")</f>
        <v>jeu</v>
      </c>
      <c r="L6" s="89" t="str">
        <f>TEXT(WEEKDAY(DATE(AnnéeCalendrier,9,7),1),"jjj")</f>
        <v>ven</v>
      </c>
      <c r="M6" s="89" t="str">
        <f>TEXT(WEEKDAY(DATE(AnnéeCalendrier,9,8),1),"jjj")</f>
        <v>sam</v>
      </c>
      <c r="N6" s="89" t="str">
        <f>TEXT(WEEKDAY(DATE(AnnéeCalendrier,9,9),1),"jjj")</f>
        <v>dim</v>
      </c>
      <c r="O6" s="89" t="str">
        <f>TEXT(WEEKDAY(DATE(AnnéeCalendrier,9,10),1),"jjj")</f>
        <v>lun</v>
      </c>
      <c r="P6" s="89" t="str">
        <f>TEXT(WEEKDAY(DATE(AnnéeCalendrier,9,11),1),"jjj")</f>
        <v>mar</v>
      </c>
      <c r="Q6" s="89" t="str">
        <f>TEXT(WEEKDAY(DATE(AnnéeCalendrier,9,12),1),"jjj")</f>
        <v>mer</v>
      </c>
      <c r="R6" s="89" t="str">
        <f>TEXT(WEEKDAY(DATE(AnnéeCalendrier,9,13),1),"jjj")</f>
        <v>jeu</v>
      </c>
      <c r="S6" s="89" t="str">
        <f>TEXT(WEEKDAY(DATE(AnnéeCalendrier,9,14),1),"jjj")</f>
        <v>ven</v>
      </c>
      <c r="T6" s="89" t="str">
        <f>TEXT(WEEKDAY(DATE(AnnéeCalendrier,9,15),1),"jjj")</f>
        <v>sam</v>
      </c>
      <c r="U6" s="89" t="str">
        <f>TEXT(WEEKDAY(DATE(AnnéeCalendrier,9,16),1),"jjj")</f>
        <v>dim</v>
      </c>
      <c r="V6" s="89" t="str">
        <f>TEXT(WEEKDAY(DATE(AnnéeCalendrier,9,17),1),"jjj")</f>
        <v>lun</v>
      </c>
      <c r="W6" s="89" t="str">
        <f>TEXT(WEEKDAY(DATE(AnnéeCalendrier,9,18),1),"jjj")</f>
        <v>mar</v>
      </c>
      <c r="X6" s="89" t="str">
        <f>TEXT(WEEKDAY(DATE(AnnéeCalendrier,9,19),1),"jjj")</f>
        <v>mer</v>
      </c>
      <c r="Y6" s="89" t="str">
        <f>TEXT(WEEKDAY(DATE(AnnéeCalendrier,9,20),1),"jjj")</f>
        <v>jeu</v>
      </c>
      <c r="Z6" s="89" t="str">
        <f>TEXT(WEEKDAY(DATE(AnnéeCalendrier,9,21),1),"jjj")</f>
        <v>ven</v>
      </c>
      <c r="AA6" s="89" t="str">
        <f>TEXT(WEEKDAY(DATE(AnnéeCalendrier,9,22),1),"jjj")</f>
        <v>sam</v>
      </c>
      <c r="AB6" s="89" t="str">
        <f>TEXT(WEEKDAY(DATE(AnnéeCalendrier,9,23),1),"jjj")</f>
        <v>dim</v>
      </c>
      <c r="AC6" s="89" t="str">
        <f>TEXT(WEEKDAY(DATE(AnnéeCalendrier,9,24),1),"jjj")</f>
        <v>lun</v>
      </c>
      <c r="AD6" s="89" t="str">
        <f>TEXT(WEEKDAY(DATE(AnnéeCalendrier,9,25),1),"jjj")</f>
        <v>mar</v>
      </c>
      <c r="AE6" s="89" t="str">
        <f>TEXT(WEEKDAY(DATE(AnnéeCalendrier,9,26),1),"jjj")</f>
        <v>mer</v>
      </c>
      <c r="AF6" s="89" t="str">
        <f>TEXT(WEEKDAY(DATE(AnnéeCalendrier,9,27),1),"jjj")</f>
        <v>jeu</v>
      </c>
      <c r="AG6" s="89" t="str">
        <f>TEXT(WEEKDAY(DATE(AnnéeCalendrier,9,28),1),"jjj")</f>
        <v>ven</v>
      </c>
      <c r="AH6" s="89" t="str">
        <f>TEXT(WEEKDAY(DATE(AnnéeCalendrier,9,29),1),"jjj")</f>
        <v>sam</v>
      </c>
      <c r="AI6" s="89" t="str">
        <f>TEXT(WEEKDAY(DATE(AnnéeCalendrier,9,30),1),"jjj")</f>
        <v>dim</v>
      </c>
      <c r="AJ6" s="90"/>
      <c r="AK6" s="10"/>
    </row>
    <row r="7" spans="1:41" ht="15" customHeight="1" thickBot="1" x14ac:dyDescent="0.25">
      <c r="A7" s="36" t="s">
        <v>63</v>
      </c>
      <c r="B7" s="36" t="s">
        <v>128</v>
      </c>
      <c r="C7" s="36" t="s">
        <v>129</v>
      </c>
      <c r="D7" s="36" t="s">
        <v>13</v>
      </c>
      <c r="E7" s="43" t="s">
        <v>113</v>
      </c>
      <c r="F7" s="91" t="s">
        <v>14</v>
      </c>
      <c r="G7" s="92" t="s">
        <v>15</v>
      </c>
      <c r="H7" s="92" t="s">
        <v>16</v>
      </c>
      <c r="I7" s="92" t="s">
        <v>17</v>
      </c>
      <c r="J7" s="92" t="s">
        <v>18</v>
      </c>
      <c r="K7" s="92" t="s">
        <v>19</v>
      </c>
      <c r="L7" s="92" t="s">
        <v>20</v>
      </c>
      <c r="M7" s="92" t="s">
        <v>21</v>
      </c>
      <c r="N7" s="92" t="s">
        <v>22</v>
      </c>
      <c r="O7" s="92" t="s">
        <v>23</v>
      </c>
      <c r="P7" s="92" t="s">
        <v>24</v>
      </c>
      <c r="Q7" s="92" t="s">
        <v>25</v>
      </c>
      <c r="R7" s="92" t="s">
        <v>26</v>
      </c>
      <c r="S7" s="92" t="s">
        <v>27</v>
      </c>
      <c r="T7" s="92" t="s">
        <v>28</v>
      </c>
      <c r="U7" s="92" t="s">
        <v>29</v>
      </c>
      <c r="V7" s="92" t="s">
        <v>30</v>
      </c>
      <c r="W7" s="92" t="s">
        <v>31</v>
      </c>
      <c r="X7" s="92" t="s">
        <v>32</v>
      </c>
      <c r="Y7" s="92" t="s">
        <v>33</v>
      </c>
      <c r="Z7" s="92" t="s">
        <v>34</v>
      </c>
      <c r="AA7" s="92" t="s">
        <v>35</v>
      </c>
      <c r="AB7" s="92" t="s">
        <v>36</v>
      </c>
      <c r="AC7" s="92" t="s">
        <v>37</v>
      </c>
      <c r="AD7" s="92" t="s">
        <v>38</v>
      </c>
      <c r="AE7" s="92" t="s">
        <v>39</v>
      </c>
      <c r="AF7" s="92" t="s">
        <v>40</v>
      </c>
      <c r="AG7" s="92" t="s">
        <v>41</v>
      </c>
      <c r="AH7" s="92" t="s">
        <v>42</v>
      </c>
      <c r="AI7" s="92" t="s">
        <v>43</v>
      </c>
      <c r="AJ7" s="111"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86" t="str">
        <f>Global!IO8</f>
        <v/>
      </c>
      <c r="G8" s="87" t="str">
        <f>Global!IP8</f>
        <v/>
      </c>
      <c r="H8" s="87" t="str">
        <f>Global!IQ8</f>
        <v/>
      </c>
      <c r="I8" s="87" t="str">
        <f>Global!IR8</f>
        <v/>
      </c>
      <c r="J8" s="87" t="str">
        <f>Global!IS8</f>
        <v/>
      </c>
      <c r="K8" s="87" t="str">
        <f>Global!IT8</f>
        <v/>
      </c>
      <c r="L8" s="87" t="str">
        <f>Global!IU8</f>
        <v/>
      </c>
      <c r="M8" s="87" t="str">
        <f>Global!IV8</f>
        <v/>
      </c>
      <c r="N8" s="87" t="str">
        <f>Global!IW8</f>
        <v/>
      </c>
      <c r="O8" s="87" t="str">
        <f>Global!IX8</f>
        <v/>
      </c>
      <c r="P8" s="87" t="str">
        <f>Global!IY8</f>
        <v/>
      </c>
      <c r="Q8" s="87" t="str">
        <f>Global!IZ8</f>
        <v/>
      </c>
      <c r="R8" s="87" t="str">
        <f>Global!JA8</f>
        <v/>
      </c>
      <c r="S8" s="87" t="str">
        <f>Global!JB8</f>
        <v/>
      </c>
      <c r="T8" s="87" t="str">
        <f>Global!JC8</f>
        <v/>
      </c>
      <c r="U8" s="87" t="str">
        <f>Global!JD8</f>
        <v/>
      </c>
      <c r="V8" s="87" t="str">
        <f>Global!JE8</f>
        <v/>
      </c>
      <c r="W8" s="87" t="str">
        <f>Global!JF8</f>
        <v/>
      </c>
      <c r="X8" s="87" t="str">
        <f>Global!JG8</f>
        <v/>
      </c>
      <c r="Y8" s="87" t="str">
        <f>Global!JH8</f>
        <v/>
      </c>
      <c r="Z8" s="87" t="str">
        <f>Global!JI8</f>
        <v/>
      </c>
      <c r="AA8" s="87" t="str">
        <f>Global!JJ8</f>
        <v/>
      </c>
      <c r="AB8" s="87" t="str">
        <f>Global!JK8</f>
        <v/>
      </c>
      <c r="AC8" s="87" t="str">
        <f>Global!JL8</f>
        <v/>
      </c>
      <c r="AD8" s="87" t="str">
        <f>Global!JM8</f>
        <v/>
      </c>
      <c r="AE8" s="87" t="str">
        <f>Global!JN8</f>
        <v/>
      </c>
      <c r="AF8" s="87" t="str">
        <f>Global!JO8</f>
        <v/>
      </c>
      <c r="AG8" s="87" t="str">
        <f>Global!JP8</f>
        <v/>
      </c>
      <c r="AH8" s="87" t="str">
        <f>Global!JQ8</f>
        <v/>
      </c>
      <c r="AI8" s="87" t="str">
        <f>Global!JR8</f>
        <v/>
      </c>
      <c r="AJ8" s="34"/>
      <c r="AK8" s="108">
        <f>COUNTIF(Septembre[[#This Row],[1]:[30]],"RTT")+(COUNTIF(Septembre[[#This Row],[1]:[30]],"dRTT")/2)</f>
        <v>0</v>
      </c>
      <c r="AL8" s="109">
        <f>COUNTIF(Septembre[[#This Row],[1]:[30]],"C")+(COUNTIF(Septembre[[#This Row],[1]:[30]],"DC")/2)</f>
        <v>0</v>
      </c>
      <c r="AM8" s="22">
        <f>COUNTIF(Septembre[[#This Row],[1]:[30]],"M")</f>
        <v>0</v>
      </c>
      <c r="AN8" s="22">
        <f>COUNTIF(Septembre[[#This Row],[1]:[30]],"AT")</f>
        <v>0</v>
      </c>
      <c r="AO8" s="84">
        <f>IF(AND(AM8=0,AN8=0),((10*(_xlfn.DAYS("30/09/2018","01/09/2018")+1))/365),((_xlfn.DAYS("30/09/2018","01/09/2018")+1-(AM8+AN8))*((10*(_xlfn.DAYS("30/09/2018","01/09/2018")+1))/365))/(_xlfn.DAYS("30/09/2018","01/09/2018")+1))</f>
        <v>0.82191780821917804</v>
      </c>
    </row>
    <row r="9" spans="1:41" ht="30" customHeight="1" x14ac:dyDescent="0.2">
      <c r="A9" s="13" t="s">
        <v>65</v>
      </c>
      <c r="B9" s="22" t="s">
        <v>130</v>
      </c>
      <c r="C9" s="22" t="s">
        <v>133</v>
      </c>
      <c r="D9" s="22" t="s">
        <v>134</v>
      </c>
      <c r="E9" s="44">
        <v>0</v>
      </c>
      <c r="F9" s="47" t="str">
        <f>Global!IO9</f>
        <v/>
      </c>
      <c r="G9" s="31" t="str">
        <f>Global!IP9</f>
        <v/>
      </c>
      <c r="H9" s="31" t="str">
        <f>Global!IQ9</f>
        <v/>
      </c>
      <c r="I9" s="31" t="str">
        <f>Global!IR9</f>
        <v/>
      </c>
      <c r="J9" s="31" t="str">
        <f>Global!IS9</f>
        <v/>
      </c>
      <c r="K9" s="31" t="str">
        <f>Global!IT9</f>
        <v/>
      </c>
      <c r="L9" s="31" t="str">
        <f>Global!IU9</f>
        <v/>
      </c>
      <c r="M9" s="31" t="str">
        <f>Global!IV9</f>
        <v/>
      </c>
      <c r="N9" s="31" t="str">
        <f>Global!IW9</f>
        <v/>
      </c>
      <c r="O9" s="31" t="str">
        <f>Global!IX9</f>
        <v/>
      </c>
      <c r="P9" s="31" t="str">
        <f>Global!IY9</f>
        <v/>
      </c>
      <c r="Q9" s="31" t="str">
        <f>Global!IZ9</f>
        <v/>
      </c>
      <c r="R9" s="31" t="str">
        <f>Global!JA9</f>
        <v/>
      </c>
      <c r="S9" s="31" t="str">
        <f>Global!JB9</f>
        <v/>
      </c>
      <c r="T9" s="31" t="str">
        <f>Global!JC9</f>
        <v/>
      </c>
      <c r="U9" s="31" t="str">
        <f>Global!JD9</f>
        <v/>
      </c>
      <c r="V9" s="31" t="str">
        <f>Global!JE9</f>
        <v/>
      </c>
      <c r="W9" s="31" t="str">
        <f>Global!JF9</f>
        <v/>
      </c>
      <c r="X9" s="31" t="str">
        <f>Global!JG9</f>
        <v/>
      </c>
      <c r="Y9" s="31" t="str">
        <f>Global!JH9</f>
        <v/>
      </c>
      <c r="Z9" s="31" t="str">
        <f>Global!JI9</f>
        <v/>
      </c>
      <c r="AA9" s="31" t="str">
        <f>Global!JJ9</f>
        <v/>
      </c>
      <c r="AB9" s="31" t="str">
        <f>Global!JK9</f>
        <v/>
      </c>
      <c r="AC9" s="31" t="str">
        <f>Global!JL9</f>
        <v/>
      </c>
      <c r="AD9" s="31" t="str">
        <f>Global!JM9</f>
        <v/>
      </c>
      <c r="AE9" s="31" t="str">
        <f>Global!JN9</f>
        <v/>
      </c>
      <c r="AF9" s="31" t="str">
        <f>Global!JO9</f>
        <v/>
      </c>
      <c r="AG9" s="31" t="str">
        <f>Global!JP9</f>
        <v/>
      </c>
      <c r="AH9" s="31" t="str">
        <f>Global!JQ9</f>
        <v/>
      </c>
      <c r="AI9" s="31" t="str">
        <f>Global!JR9</f>
        <v/>
      </c>
      <c r="AJ9" s="34"/>
      <c r="AK9" s="108">
        <f>COUNTIF(Septembre[[#This Row],[1]:[30]],"RTT")+(COUNTIF(Septembre[[#This Row],[1]:[30]],"dRTT")/2)</f>
        <v>0</v>
      </c>
      <c r="AL9" s="109">
        <f>COUNTIF(Septembre[[#This Row],[1]:[30]],"C")+(COUNTIF(Septembre[[#This Row],[1]:[30]],"DC")/2)</f>
        <v>0</v>
      </c>
      <c r="AM9" s="22">
        <f>COUNTIF(Septembre[[#This Row],[1]:[30]],"M")</f>
        <v>0</v>
      </c>
      <c r="AN9" s="22">
        <f>COUNTIF(Septembre[[#This Row],[1]:[30]],"AT")</f>
        <v>0</v>
      </c>
      <c r="AO9" s="84">
        <f t="shared" ref="AO9:AO56" si="0">IF(AND(AM9=0,AN9=0),((10*(_xlfn.DAYS("30/09/2018","01/09/2018")+1))/365),((_xlfn.DAYS("30/09/2018","01/09/2018")+1-(AM9+AN9))*((10*(_xlfn.DAYS("30/09/2018","01/09/2018")+1))/365))/(_xlfn.DAYS("30/09/2018","01/09/2018")+1))</f>
        <v>0.82191780821917804</v>
      </c>
    </row>
    <row r="10" spans="1:41" ht="30" customHeight="1" x14ac:dyDescent="0.2">
      <c r="A10" s="14" t="s">
        <v>66</v>
      </c>
      <c r="B10" s="22" t="s">
        <v>135</v>
      </c>
      <c r="C10" s="22" t="s">
        <v>136</v>
      </c>
      <c r="D10" s="22" t="s">
        <v>137</v>
      </c>
      <c r="E10" s="44">
        <v>0</v>
      </c>
      <c r="F10" s="47" t="str">
        <f>Global!IO10</f>
        <v/>
      </c>
      <c r="G10" s="31" t="str">
        <f>Global!IP10</f>
        <v/>
      </c>
      <c r="H10" s="31" t="str">
        <f>Global!IQ10</f>
        <v/>
      </c>
      <c r="I10" s="31" t="str">
        <f>Global!IR10</f>
        <v/>
      </c>
      <c r="J10" s="31" t="str">
        <f>Global!IS10</f>
        <v/>
      </c>
      <c r="K10" s="31" t="str">
        <f>Global!IT10</f>
        <v/>
      </c>
      <c r="L10" s="31" t="str">
        <f>Global!IU10</f>
        <v/>
      </c>
      <c r="M10" s="31" t="str">
        <f>Global!IV10</f>
        <v/>
      </c>
      <c r="N10" s="31" t="str">
        <f>Global!IW10</f>
        <v/>
      </c>
      <c r="O10" s="31" t="str">
        <f>Global!IX10</f>
        <v/>
      </c>
      <c r="P10" s="31" t="str">
        <f>Global!IY10</f>
        <v/>
      </c>
      <c r="Q10" s="31" t="str">
        <f>Global!IZ10</f>
        <v/>
      </c>
      <c r="R10" s="31" t="str">
        <f>Global!JA10</f>
        <v/>
      </c>
      <c r="S10" s="31" t="str">
        <f>Global!JB10</f>
        <v/>
      </c>
      <c r="T10" s="31" t="str">
        <f>Global!JC10</f>
        <v/>
      </c>
      <c r="U10" s="31" t="str">
        <f>Global!JD10</f>
        <v/>
      </c>
      <c r="V10" s="31" t="str">
        <f>Global!JE10</f>
        <v/>
      </c>
      <c r="W10" s="31" t="str">
        <f>Global!JF10</f>
        <v/>
      </c>
      <c r="X10" s="31" t="str">
        <f>Global!JG10</f>
        <v/>
      </c>
      <c r="Y10" s="31" t="str">
        <f>Global!JH10</f>
        <v/>
      </c>
      <c r="Z10" s="31" t="str">
        <f>Global!JI10</f>
        <v/>
      </c>
      <c r="AA10" s="31" t="str">
        <f>Global!JJ10</f>
        <v/>
      </c>
      <c r="AB10" s="31" t="str">
        <f>Global!JK10</f>
        <v/>
      </c>
      <c r="AC10" s="31" t="str">
        <f>Global!JL10</f>
        <v/>
      </c>
      <c r="AD10" s="31" t="str">
        <f>Global!JM10</f>
        <v/>
      </c>
      <c r="AE10" s="31" t="str">
        <f>Global!JN10</f>
        <v/>
      </c>
      <c r="AF10" s="31" t="str">
        <f>Global!JO10</f>
        <v/>
      </c>
      <c r="AG10" s="31" t="str">
        <f>Global!JP10</f>
        <v/>
      </c>
      <c r="AH10" s="31" t="str">
        <f>Global!JQ10</f>
        <v/>
      </c>
      <c r="AI10" s="31" t="str">
        <f>Global!JR10</f>
        <v/>
      </c>
      <c r="AJ10" s="34"/>
      <c r="AK10" s="108">
        <f>COUNTIF(Septembre[[#This Row],[1]:[30]],"RTT")+(COUNTIF(Septembre[[#This Row],[1]:[30]],"dRTT")/2)</f>
        <v>0</v>
      </c>
      <c r="AL10" s="109">
        <f>COUNTIF(Septembre[[#This Row],[1]:[30]],"C")+(COUNTIF(Septembre[[#This Row],[1]:[30]],"DC")/2)</f>
        <v>0</v>
      </c>
      <c r="AM10" s="22">
        <f>COUNTIF(Septembre[[#This Row],[1]:[30]],"M")</f>
        <v>0</v>
      </c>
      <c r="AN10" s="22">
        <f>COUNTIF(Septembre[[#This Row],[1]:[30]],"AT")</f>
        <v>0</v>
      </c>
      <c r="AO10" s="84">
        <f t="shared" si="0"/>
        <v>0.82191780821917804</v>
      </c>
    </row>
    <row r="11" spans="1:41" ht="30" customHeight="1" x14ac:dyDescent="0.2">
      <c r="A11" s="15" t="s">
        <v>67</v>
      </c>
      <c r="B11" s="22" t="s">
        <v>138</v>
      </c>
      <c r="C11" s="22" t="s">
        <v>139</v>
      </c>
      <c r="D11" s="22" t="s">
        <v>140</v>
      </c>
      <c r="E11" s="44">
        <v>0</v>
      </c>
      <c r="F11" s="47" t="str">
        <f>Global!IO11</f>
        <v/>
      </c>
      <c r="G11" s="31" t="str">
        <f>Global!IP11</f>
        <v/>
      </c>
      <c r="H11" s="31" t="str">
        <f>Global!IQ11</f>
        <v/>
      </c>
      <c r="I11" s="31" t="str">
        <f>Global!IR11</f>
        <v/>
      </c>
      <c r="J11" s="31" t="str">
        <f>Global!IS11</f>
        <v/>
      </c>
      <c r="K11" s="31" t="str">
        <f>Global!IT11</f>
        <v/>
      </c>
      <c r="L11" s="31" t="str">
        <f>Global!IU11</f>
        <v/>
      </c>
      <c r="M11" s="31" t="str">
        <f>Global!IV11</f>
        <v/>
      </c>
      <c r="N11" s="31" t="str">
        <f>Global!IW11</f>
        <v/>
      </c>
      <c r="O11" s="31" t="str">
        <f>Global!IX11</f>
        <v/>
      </c>
      <c r="P11" s="31" t="str">
        <f>Global!IY11</f>
        <v/>
      </c>
      <c r="Q11" s="31" t="str">
        <f>Global!IZ11</f>
        <v/>
      </c>
      <c r="R11" s="31" t="str">
        <f>Global!JA11</f>
        <v/>
      </c>
      <c r="S11" s="31" t="str">
        <f>Global!JB11</f>
        <v/>
      </c>
      <c r="T11" s="31" t="str">
        <f>Global!JC11</f>
        <v/>
      </c>
      <c r="U11" s="31" t="str">
        <f>Global!JD11</f>
        <v/>
      </c>
      <c r="V11" s="31" t="str">
        <f>Global!JE11</f>
        <v/>
      </c>
      <c r="W11" s="31" t="str">
        <f>Global!JF11</f>
        <v/>
      </c>
      <c r="X11" s="31" t="str">
        <f>Global!JG11</f>
        <v/>
      </c>
      <c r="Y11" s="31" t="str">
        <f>Global!JH11</f>
        <v/>
      </c>
      <c r="Z11" s="31" t="str">
        <f>Global!JI11</f>
        <v/>
      </c>
      <c r="AA11" s="31" t="str">
        <f>Global!JJ11</f>
        <v/>
      </c>
      <c r="AB11" s="31" t="str">
        <f>Global!JK11</f>
        <v/>
      </c>
      <c r="AC11" s="31" t="str">
        <f>Global!JL11</f>
        <v/>
      </c>
      <c r="AD11" s="31" t="str">
        <f>Global!JM11</f>
        <v/>
      </c>
      <c r="AE11" s="31" t="str">
        <f>Global!JN11</f>
        <v/>
      </c>
      <c r="AF11" s="31" t="str">
        <f>Global!JO11</f>
        <v/>
      </c>
      <c r="AG11" s="31" t="str">
        <f>Global!JP11</f>
        <v/>
      </c>
      <c r="AH11" s="31" t="str">
        <f>Global!JQ11</f>
        <v/>
      </c>
      <c r="AI11" s="31" t="str">
        <f>Global!JR11</f>
        <v/>
      </c>
      <c r="AJ11" s="34"/>
      <c r="AK11" s="108">
        <f>COUNTIF(Septembre[[#This Row],[1]:[30]],"RTT")+(COUNTIF(Septembre[[#This Row],[1]:[30]],"dRTT")/2)</f>
        <v>0</v>
      </c>
      <c r="AL11" s="109">
        <f>COUNTIF(Septembre[[#This Row],[1]:[30]],"C")+(COUNTIF(Septembre[[#This Row],[1]:[30]],"DC")/2)</f>
        <v>0</v>
      </c>
      <c r="AM11" s="22">
        <f>COUNTIF(Septembre[[#This Row],[1]:[30]],"M")</f>
        <v>0</v>
      </c>
      <c r="AN11" s="22">
        <f>COUNTIF(Septembre[[#This Row],[1]:[30]],"AT")</f>
        <v>0</v>
      </c>
      <c r="AO11" s="84">
        <f t="shared" si="0"/>
        <v>0.82191780821917804</v>
      </c>
    </row>
    <row r="12" spans="1:41" ht="30" customHeight="1" x14ac:dyDescent="0.2">
      <c r="A12" s="15" t="s">
        <v>68</v>
      </c>
      <c r="B12" s="22" t="s">
        <v>141</v>
      </c>
      <c r="C12" s="22" t="s">
        <v>142</v>
      </c>
      <c r="D12" s="22" t="s">
        <v>143</v>
      </c>
      <c r="E12" s="44">
        <v>0</v>
      </c>
      <c r="F12" s="47" t="str">
        <f>Global!IO12</f>
        <v/>
      </c>
      <c r="G12" s="31" t="str">
        <f>Global!IP12</f>
        <v/>
      </c>
      <c r="H12" s="31" t="str">
        <f>Global!IQ12</f>
        <v>C</v>
      </c>
      <c r="I12" s="31" t="str">
        <f>Global!IR12</f>
        <v>C</v>
      </c>
      <c r="J12" s="31" t="str">
        <f>Global!IS12</f>
        <v>C</v>
      </c>
      <c r="K12" s="31" t="str">
        <f>Global!IT12</f>
        <v>C</v>
      </c>
      <c r="L12" s="31" t="str">
        <f>Global!IU12</f>
        <v>C</v>
      </c>
      <c r="M12" s="31" t="str">
        <f>Global!IV12</f>
        <v/>
      </c>
      <c r="N12" s="31" t="str">
        <f>Global!IW12</f>
        <v/>
      </c>
      <c r="O12" s="31" t="str">
        <f>Global!IX12</f>
        <v/>
      </c>
      <c r="P12" s="31" t="str">
        <f>Global!IY12</f>
        <v/>
      </c>
      <c r="Q12" s="31" t="str">
        <f>Global!IZ12</f>
        <v/>
      </c>
      <c r="R12" s="31" t="str">
        <f>Global!JA12</f>
        <v/>
      </c>
      <c r="S12" s="31" t="str">
        <f>Global!JB12</f>
        <v/>
      </c>
      <c r="T12" s="31" t="str">
        <f>Global!JC12</f>
        <v/>
      </c>
      <c r="U12" s="31" t="str">
        <f>Global!JD12</f>
        <v/>
      </c>
      <c r="V12" s="31" t="str">
        <f>Global!JE12</f>
        <v/>
      </c>
      <c r="W12" s="31" t="str">
        <f>Global!JF12</f>
        <v/>
      </c>
      <c r="X12" s="31" t="str">
        <f>Global!JG12</f>
        <v/>
      </c>
      <c r="Y12" s="31" t="str">
        <f>Global!JH12</f>
        <v/>
      </c>
      <c r="Z12" s="31" t="str">
        <f>Global!JI12</f>
        <v/>
      </c>
      <c r="AA12" s="31" t="str">
        <f>Global!JJ12</f>
        <v/>
      </c>
      <c r="AB12" s="31" t="str">
        <f>Global!JK12</f>
        <v/>
      </c>
      <c r="AC12" s="31" t="str">
        <f>Global!JL12</f>
        <v/>
      </c>
      <c r="AD12" s="31" t="str">
        <f>Global!JM12</f>
        <v/>
      </c>
      <c r="AE12" s="31" t="str">
        <f>Global!JN12</f>
        <v/>
      </c>
      <c r="AF12" s="31" t="str">
        <f>Global!JO12</f>
        <v/>
      </c>
      <c r="AG12" s="31" t="str">
        <f>Global!JP12</f>
        <v/>
      </c>
      <c r="AH12" s="31" t="str">
        <f>Global!JQ12</f>
        <v/>
      </c>
      <c r="AI12" s="31" t="str">
        <f>Global!JR12</f>
        <v/>
      </c>
      <c r="AJ12" s="34"/>
      <c r="AK12" s="108">
        <f>COUNTIF(Septembre[[#This Row],[1]:[30]],"RTT")+(COUNTIF(Septembre[[#This Row],[1]:[30]],"dRTT")/2)</f>
        <v>0</v>
      </c>
      <c r="AL12" s="109">
        <f>COUNTIF(Septembre[[#This Row],[1]:[30]],"C")+(COUNTIF(Septembre[[#This Row],[1]:[30]],"DC")/2)</f>
        <v>5</v>
      </c>
      <c r="AM12" s="22">
        <f>COUNTIF(Septembre[[#This Row],[1]:[30]],"M")</f>
        <v>0</v>
      </c>
      <c r="AN12" s="22">
        <f>COUNTIF(Septembre[[#This Row],[1]:[30]],"AT")</f>
        <v>0</v>
      </c>
      <c r="AO12" s="84">
        <f t="shared" si="0"/>
        <v>0.82191780821917804</v>
      </c>
    </row>
    <row r="13" spans="1:41" ht="30" customHeight="1" x14ac:dyDescent="0.2">
      <c r="A13" s="13" t="s">
        <v>69</v>
      </c>
      <c r="B13" s="22" t="s">
        <v>144</v>
      </c>
      <c r="C13" s="22" t="s">
        <v>145</v>
      </c>
      <c r="D13" s="22" t="s">
        <v>146</v>
      </c>
      <c r="E13" s="44">
        <v>0</v>
      </c>
      <c r="F13" s="47" t="str">
        <f>Global!IO13</f>
        <v/>
      </c>
      <c r="G13" s="31" t="str">
        <f>Global!IP13</f>
        <v/>
      </c>
      <c r="H13" s="31" t="str">
        <f>Global!IQ13</f>
        <v/>
      </c>
      <c r="I13" s="31" t="str">
        <f>Global!IR13</f>
        <v/>
      </c>
      <c r="J13" s="31" t="str">
        <f>Global!IS13</f>
        <v/>
      </c>
      <c r="K13" s="31" t="str">
        <f>Global!IT13</f>
        <v/>
      </c>
      <c r="L13" s="31" t="str">
        <f>Global!IU13</f>
        <v/>
      </c>
      <c r="M13" s="31" t="str">
        <f>Global!IV13</f>
        <v/>
      </c>
      <c r="N13" s="31" t="str">
        <f>Global!IW13</f>
        <v/>
      </c>
      <c r="O13" s="31" t="str">
        <f>Global!IX13</f>
        <v/>
      </c>
      <c r="P13" s="31" t="str">
        <f>Global!IY13</f>
        <v/>
      </c>
      <c r="Q13" s="31" t="str">
        <f>Global!IZ13</f>
        <v/>
      </c>
      <c r="R13" s="31" t="str">
        <f>Global!JA13</f>
        <v/>
      </c>
      <c r="S13" s="31" t="str">
        <f>Global!JB13</f>
        <v/>
      </c>
      <c r="T13" s="31" t="str">
        <f>Global!JC13</f>
        <v/>
      </c>
      <c r="U13" s="31" t="str">
        <f>Global!JD13</f>
        <v/>
      </c>
      <c r="V13" s="31" t="str">
        <f>Global!JE13</f>
        <v/>
      </c>
      <c r="W13" s="31" t="str">
        <f>Global!JF13</f>
        <v/>
      </c>
      <c r="X13" s="31" t="str">
        <f>Global!JG13</f>
        <v/>
      </c>
      <c r="Y13" s="31" t="str">
        <f>Global!JH13</f>
        <v/>
      </c>
      <c r="Z13" s="31" t="str">
        <f>Global!JI13</f>
        <v/>
      </c>
      <c r="AA13" s="31" t="str">
        <f>Global!JJ13</f>
        <v/>
      </c>
      <c r="AB13" s="31" t="str">
        <f>Global!JK13</f>
        <v/>
      </c>
      <c r="AC13" s="31" t="str">
        <f>Global!JL13</f>
        <v/>
      </c>
      <c r="AD13" s="31" t="str">
        <f>Global!JM13</f>
        <v/>
      </c>
      <c r="AE13" s="31" t="str">
        <f>Global!JN13</f>
        <v/>
      </c>
      <c r="AF13" s="31" t="str">
        <f>Global!JO13</f>
        <v/>
      </c>
      <c r="AG13" s="31" t="str">
        <f>Global!JP13</f>
        <v/>
      </c>
      <c r="AH13" s="31" t="str">
        <f>Global!JQ13</f>
        <v/>
      </c>
      <c r="AI13" s="31" t="str">
        <f>Global!JR13</f>
        <v/>
      </c>
      <c r="AJ13" s="34"/>
      <c r="AK13" s="108">
        <f>COUNTIF(Septembre[[#This Row],[1]:[30]],"RTT")+(COUNTIF(Septembre[[#This Row],[1]:[30]],"dRTT")/2)</f>
        <v>0</v>
      </c>
      <c r="AL13" s="109">
        <f>COUNTIF(Septembre[[#This Row],[1]:[30]],"C")+(COUNTIF(Septembre[[#This Row],[1]:[30]],"DC")/2)</f>
        <v>0</v>
      </c>
      <c r="AM13" s="22">
        <f>COUNTIF(Septembre[[#This Row],[1]:[30]],"M")</f>
        <v>0</v>
      </c>
      <c r="AN13" s="22">
        <f>COUNTIF(Septembre[[#This Row],[1]:[30]],"AT")</f>
        <v>0</v>
      </c>
      <c r="AO13" s="84">
        <f t="shared" si="0"/>
        <v>0.82191780821917804</v>
      </c>
    </row>
    <row r="14" spans="1:41" ht="30" customHeight="1" x14ac:dyDescent="0.2">
      <c r="A14" s="15" t="s">
        <v>70</v>
      </c>
      <c r="B14" s="22" t="s">
        <v>147</v>
      </c>
      <c r="C14" s="22" t="s">
        <v>148</v>
      </c>
      <c r="D14" s="22" t="s">
        <v>149</v>
      </c>
      <c r="E14" s="44">
        <v>0</v>
      </c>
      <c r="F14" s="47" t="str">
        <f>Global!IO14</f>
        <v/>
      </c>
      <c r="G14" s="31" t="str">
        <f>Global!IP14</f>
        <v/>
      </c>
      <c r="H14" s="31" t="str">
        <f>Global!IQ14</f>
        <v/>
      </c>
      <c r="I14" s="31" t="str">
        <f>Global!IR14</f>
        <v/>
      </c>
      <c r="J14" s="31" t="str">
        <f>Global!IS14</f>
        <v/>
      </c>
      <c r="K14" s="31" t="str">
        <f>Global!IT14</f>
        <v/>
      </c>
      <c r="L14" s="31" t="str">
        <f>Global!IU14</f>
        <v/>
      </c>
      <c r="M14" s="31" t="str">
        <f>Global!IV14</f>
        <v/>
      </c>
      <c r="N14" s="31" t="str">
        <f>Global!IW14</f>
        <v/>
      </c>
      <c r="O14" s="31" t="str">
        <f>Global!IX14</f>
        <v/>
      </c>
      <c r="P14" s="31" t="str">
        <f>Global!IY14</f>
        <v/>
      </c>
      <c r="Q14" s="31" t="str">
        <f>Global!IZ14</f>
        <v/>
      </c>
      <c r="R14" s="31" t="str">
        <f>Global!JA14</f>
        <v/>
      </c>
      <c r="S14" s="31" t="str">
        <f>Global!JB14</f>
        <v/>
      </c>
      <c r="T14" s="31" t="str">
        <f>Global!JC14</f>
        <v/>
      </c>
      <c r="U14" s="31" t="str">
        <f>Global!JD14</f>
        <v/>
      </c>
      <c r="V14" s="31" t="str">
        <f>Global!JE14</f>
        <v/>
      </c>
      <c r="W14" s="31" t="str">
        <f>Global!JF14</f>
        <v/>
      </c>
      <c r="X14" s="31" t="str">
        <f>Global!JG14</f>
        <v/>
      </c>
      <c r="Y14" s="31" t="str">
        <f>Global!JH14</f>
        <v/>
      </c>
      <c r="Z14" s="31" t="str">
        <f>Global!JI14</f>
        <v/>
      </c>
      <c r="AA14" s="31" t="str">
        <f>Global!JJ14</f>
        <v/>
      </c>
      <c r="AB14" s="31" t="str">
        <f>Global!JK14</f>
        <v/>
      </c>
      <c r="AC14" s="31" t="str">
        <f>Global!JL14</f>
        <v/>
      </c>
      <c r="AD14" s="31" t="str">
        <f>Global!JM14</f>
        <v/>
      </c>
      <c r="AE14" s="31" t="str">
        <f>Global!JN14</f>
        <v/>
      </c>
      <c r="AF14" s="31" t="str">
        <f>Global!JO14</f>
        <v/>
      </c>
      <c r="AG14" s="31" t="str">
        <f>Global!JP14</f>
        <v/>
      </c>
      <c r="AH14" s="31" t="str">
        <f>Global!JQ14</f>
        <v/>
      </c>
      <c r="AI14" s="31" t="str">
        <f>Global!JR14</f>
        <v/>
      </c>
      <c r="AJ14" s="34"/>
      <c r="AK14" s="108">
        <f>COUNTIF(Septembre[[#This Row],[1]:[30]],"RTT")+(COUNTIF(Septembre[[#This Row],[1]:[30]],"dRTT")/2)</f>
        <v>0</v>
      </c>
      <c r="AL14" s="109">
        <f>COUNTIF(Septembre[[#This Row],[1]:[30]],"C")+(COUNTIF(Septembre[[#This Row],[1]:[30]],"DC")/2)</f>
        <v>0</v>
      </c>
      <c r="AM14" s="22">
        <f>COUNTIF(Septembre[[#This Row],[1]:[30]],"M")</f>
        <v>0</v>
      </c>
      <c r="AN14" s="22">
        <f>COUNTIF(Septembre[[#This Row],[1]:[30]],"AT")</f>
        <v>0</v>
      </c>
      <c r="AO14" s="84">
        <f t="shared" si="0"/>
        <v>0.82191780821917804</v>
      </c>
    </row>
    <row r="15" spans="1:41" ht="30" customHeight="1" x14ac:dyDescent="0.2">
      <c r="A15" s="15" t="s">
        <v>71</v>
      </c>
      <c r="B15" s="22" t="s">
        <v>150</v>
      </c>
      <c r="C15" s="22" t="s">
        <v>151</v>
      </c>
      <c r="D15" s="22" t="s">
        <v>152</v>
      </c>
      <c r="E15" s="44">
        <v>0</v>
      </c>
      <c r="F15" s="47" t="str">
        <f>Global!IO15</f>
        <v/>
      </c>
      <c r="G15" s="31" t="str">
        <f>Global!IP15</f>
        <v/>
      </c>
      <c r="H15" s="31" t="str">
        <f>Global!IQ15</f>
        <v/>
      </c>
      <c r="I15" s="31" t="str">
        <f>Global!IR15</f>
        <v/>
      </c>
      <c r="J15" s="31" t="str">
        <f>Global!IS15</f>
        <v/>
      </c>
      <c r="K15" s="31" t="str">
        <f>Global!IT15</f>
        <v/>
      </c>
      <c r="L15" s="31" t="str">
        <f>Global!IU15</f>
        <v/>
      </c>
      <c r="M15" s="31" t="str">
        <f>Global!IV15</f>
        <v/>
      </c>
      <c r="N15" s="31" t="str">
        <f>Global!IW15</f>
        <v/>
      </c>
      <c r="O15" s="31" t="str">
        <f>Global!IX15</f>
        <v/>
      </c>
      <c r="P15" s="31" t="str">
        <f>Global!IY15</f>
        <v/>
      </c>
      <c r="Q15" s="31" t="str">
        <f>Global!IZ15</f>
        <v/>
      </c>
      <c r="R15" s="31" t="str">
        <f>Global!JA15</f>
        <v/>
      </c>
      <c r="S15" s="31" t="str">
        <f>Global!JB15</f>
        <v/>
      </c>
      <c r="T15" s="31" t="str">
        <f>Global!JC15</f>
        <v/>
      </c>
      <c r="U15" s="31" t="str">
        <f>Global!JD15</f>
        <v/>
      </c>
      <c r="V15" s="31" t="str">
        <f>Global!JE15</f>
        <v/>
      </c>
      <c r="W15" s="31" t="str">
        <f>Global!JF15</f>
        <v/>
      </c>
      <c r="X15" s="31" t="str">
        <f>Global!JG15</f>
        <v/>
      </c>
      <c r="Y15" s="31" t="str">
        <f>Global!JH15</f>
        <v/>
      </c>
      <c r="Z15" s="31" t="str">
        <f>Global!JI15</f>
        <v/>
      </c>
      <c r="AA15" s="31" t="str">
        <f>Global!JJ15</f>
        <v/>
      </c>
      <c r="AB15" s="31" t="str">
        <f>Global!JK15</f>
        <v/>
      </c>
      <c r="AC15" s="31" t="str">
        <f>Global!JL15</f>
        <v/>
      </c>
      <c r="AD15" s="31" t="str">
        <f>Global!JM15</f>
        <v/>
      </c>
      <c r="AE15" s="31" t="str">
        <f>Global!JN15</f>
        <v/>
      </c>
      <c r="AF15" s="31" t="str">
        <f>Global!JO15</f>
        <v/>
      </c>
      <c r="AG15" s="31" t="str">
        <f>Global!JP15</f>
        <v/>
      </c>
      <c r="AH15" s="31" t="str">
        <f>Global!JQ15</f>
        <v/>
      </c>
      <c r="AI15" s="31" t="str">
        <f>Global!JR15</f>
        <v/>
      </c>
      <c r="AJ15" s="34"/>
      <c r="AK15" s="108">
        <f>COUNTIF(Septembre[[#This Row],[1]:[30]],"RTT")+(COUNTIF(Septembre[[#This Row],[1]:[30]],"dRTT")/2)</f>
        <v>0</v>
      </c>
      <c r="AL15" s="109">
        <f>COUNTIF(Septembre[[#This Row],[1]:[30]],"C")+(COUNTIF(Septembre[[#This Row],[1]:[30]],"DC")/2)</f>
        <v>0</v>
      </c>
      <c r="AM15" s="22">
        <f>COUNTIF(Septembre[[#This Row],[1]:[30]],"M")</f>
        <v>0</v>
      </c>
      <c r="AN15" s="22">
        <f>COUNTIF(Septembre[[#This Row],[1]:[30]],"AT")</f>
        <v>0</v>
      </c>
      <c r="AO15" s="84">
        <f t="shared" si="0"/>
        <v>0.82191780821917804</v>
      </c>
    </row>
    <row r="16" spans="1:41" ht="30" customHeight="1" x14ac:dyDescent="0.2">
      <c r="A16" s="15" t="s">
        <v>72</v>
      </c>
      <c r="B16" s="22" t="s">
        <v>153</v>
      </c>
      <c r="C16" s="22" t="s">
        <v>154</v>
      </c>
      <c r="D16" s="22" t="s">
        <v>155</v>
      </c>
      <c r="E16" s="44">
        <v>0</v>
      </c>
      <c r="F16" s="47" t="str">
        <f>Global!IO16</f>
        <v/>
      </c>
      <c r="G16" s="31" t="str">
        <f>Global!IP16</f>
        <v/>
      </c>
      <c r="H16" s="31" t="str">
        <f>Global!IQ16</f>
        <v/>
      </c>
      <c r="I16" s="31" t="str">
        <f>Global!IR16</f>
        <v/>
      </c>
      <c r="J16" s="31" t="str">
        <f>Global!IS16</f>
        <v/>
      </c>
      <c r="K16" s="31" t="str">
        <f>Global!IT16</f>
        <v/>
      </c>
      <c r="L16" s="31" t="str">
        <f>Global!IU16</f>
        <v/>
      </c>
      <c r="M16" s="31" t="str">
        <f>Global!IV16</f>
        <v/>
      </c>
      <c r="N16" s="31" t="str">
        <f>Global!IW16</f>
        <v/>
      </c>
      <c r="O16" s="31" t="str">
        <f>Global!IX16</f>
        <v/>
      </c>
      <c r="P16" s="31" t="str">
        <f>Global!IY16</f>
        <v/>
      </c>
      <c r="Q16" s="31" t="str">
        <f>Global!IZ16</f>
        <v/>
      </c>
      <c r="R16" s="31" t="str">
        <f>Global!JA16</f>
        <v/>
      </c>
      <c r="S16" s="31" t="str">
        <f>Global!JB16</f>
        <v/>
      </c>
      <c r="T16" s="31" t="str">
        <f>Global!JC16</f>
        <v/>
      </c>
      <c r="U16" s="31" t="str">
        <f>Global!JD16</f>
        <v/>
      </c>
      <c r="V16" s="31" t="str">
        <f>Global!JE16</f>
        <v/>
      </c>
      <c r="W16" s="31" t="str">
        <f>Global!JF16</f>
        <v/>
      </c>
      <c r="X16" s="31" t="str">
        <f>Global!JG16</f>
        <v/>
      </c>
      <c r="Y16" s="31" t="str">
        <f>Global!JH16</f>
        <v/>
      </c>
      <c r="Z16" s="31" t="str">
        <f>Global!JI16</f>
        <v/>
      </c>
      <c r="AA16" s="31" t="str">
        <f>Global!JJ16</f>
        <v/>
      </c>
      <c r="AB16" s="31" t="str">
        <f>Global!JK16</f>
        <v/>
      </c>
      <c r="AC16" s="31" t="str">
        <f>Global!JL16</f>
        <v/>
      </c>
      <c r="AD16" s="31" t="str">
        <f>Global!JM16</f>
        <v/>
      </c>
      <c r="AE16" s="31" t="str">
        <f>Global!JN16</f>
        <v/>
      </c>
      <c r="AF16" s="31" t="str">
        <f>Global!JO16</f>
        <v/>
      </c>
      <c r="AG16" s="31" t="str">
        <f>Global!JP16</f>
        <v/>
      </c>
      <c r="AH16" s="31" t="str">
        <f>Global!JQ16</f>
        <v/>
      </c>
      <c r="AI16" s="31" t="str">
        <f>Global!JR16</f>
        <v/>
      </c>
      <c r="AJ16" s="34"/>
      <c r="AK16" s="108">
        <f>COUNTIF(Septembre[[#This Row],[1]:[30]],"RTT")+(COUNTIF(Septembre[[#This Row],[1]:[30]],"dRTT")/2)</f>
        <v>0</v>
      </c>
      <c r="AL16" s="109">
        <f>COUNTIF(Septembre[[#This Row],[1]:[30]],"C")+(COUNTIF(Septembre[[#This Row],[1]:[30]],"DC")/2)</f>
        <v>0</v>
      </c>
      <c r="AM16" s="22">
        <f>COUNTIF(Septembre[[#This Row],[1]:[30]],"M")</f>
        <v>0</v>
      </c>
      <c r="AN16" s="22">
        <f>COUNTIF(Septembre[[#This Row],[1]:[30]],"AT")</f>
        <v>0</v>
      </c>
      <c r="AO16" s="84">
        <f t="shared" si="0"/>
        <v>0.82191780821917804</v>
      </c>
    </row>
    <row r="17" spans="1:41" ht="30" customHeight="1" x14ac:dyDescent="0.2">
      <c r="A17" s="15" t="s">
        <v>73</v>
      </c>
      <c r="B17" s="22" t="s">
        <v>156</v>
      </c>
      <c r="C17" s="22" t="s">
        <v>157</v>
      </c>
      <c r="D17" s="22" t="s">
        <v>158</v>
      </c>
      <c r="E17" s="44">
        <v>0</v>
      </c>
      <c r="F17" s="47" t="str">
        <f>Global!IO17</f>
        <v/>
      </c>
      <c r="G17" s="31" t="str">
        <f>Global!IP17</f>
        <v/>
      </c>
      <c r="H17" s="31" t="str">
        <f>Global!IQ17</f>
        <v/>
      </c>
      <c r="I17" s="31" t="str">
        <f>Global!IR17</f>
        <v/>
      </c>
      <c r="J17" s="31" t="str">
        <f>Global!IS17</f>
        <v/>
      </c>
      <c r="K17" s="31" t="str">
        <f>Global!IT17</f>
        <v/>
      </c>
      <c r="L17" s="31" t="str">
        <f>Global!IU17</f>
        <v/>
      </c>
      <c r="M17" s="31" t="str">
        <f>Global!IV17</f>
        <v/>
      </c>
      <c r="N17" s="31" t="str">
        <f>Global!IW17</f>
        <v/>
      </c>
      <c r="O17" s="31" t="str">
        <f>Global!IX17</f>
        <v/>
      </c>
      <c r="P17" s="31" t="str">
        <f>Global!IY17</f>
        <v/>
      </c>
      <c r="Q17" s="31" t="str">
        <f>Global!IZ17</f>
        <v/>
      </c>
      <c r="R17" s="31" t="str">
        <f>Global!JA17</f>
        <v/>
      </c>
      <c r="S17" s="31" t="str">
        <f>Global!JB17</f>
        <v/>
      </c>
      <c r="T17" s="31" t="str">
        <f>Global!JC17</f>
        <v/>
      </c>
      <c r="U17" s="31" t="str">
        <f>Global!JD17</f>
        <v/>
      </c>
      <c r="V17" s="31" t="str">
        <f>Global!JE17</f>
        <v/>
      </c>
      <c r="W17" s="31" t="str">
        <f>Global!JF17</f>
        <v/>
      </c>
      <c r="X17" s="31" t="str">
        <f>Global!JG17</f>
        <v/>
      </c>
      <c r="Y17" s="31" t="str">
        <f>Global!JH17</f>
        <v/>
      </c>
      <c r="Z17" s="31" t="str">
        <f>Global!JI17</f>
        <v/>
      </c>
      <c r="AA17" s="31" t="str">
        <f>Global!JJ17</f>
        <v/>
      </c>
      <c r="AB17" s="31" t="str">
        <f>Global!JK17</f>
        <v/>
      </c>
      <c r="AC17" s="31" t="str">
        <f>Global!JL17</f>
        <v/>
      </c>
      <c r="AD17" s="31" t="str">
        <f>Global!JM17</f>
        <v/>
      </c>
      <c r="AE17" s="31" t="str">
        <f>Global!JN17</f>
        <v/>
      </c>
      <c r="AF17" s="31" t="str">
        <f>Global!JO17</f>
        <v/>
      </c>
      <c r="AG17" s="31" t="str">
        <f>Global!JP17</f>
        <v/>
      </c>
      <c r="AH17" s="31" t="str">
        <f>Global!JQ17</f>
        <v/>
      </c>
      <c r="AI17" s="31" t="str">
        <f>Global!JR17</f>
        <v/>
      </c>
      <c r="AJ17" s="34"/>
      <c r="AK17" s="108">
        <f>COUNTIF(Septembre[[#This Row],[1]:[30]],"RTT")+(COUNTIF(Septembre[[#This Row],[1]:[30]],"dRTT")/2)</f>
        <v>0</v>
      </c>
      <c r="AL17" s="109">
        <f>COUNTIF(Septembre[[#This Row],[1]:[30]],"C")+(COUNTIF(Septembre[[#This Row],[1]:[30]],"DC")/2)</f>
        <v>0</v>
      </c>
      <c r="AM17" s="22">
        <f>COUNTIF(Septembre[[#This Row],[1]:[30]],"M")</f>
        <v>0</v>
      </c>
      <c r="AN17" s="22">
        <f>COUNTIF(Septembre[[#This Row],[1]:[30]],"AT")</f>
        <v>0</v>
      </c>
      <c r="AO17" s="84">
        <f t="shared" si="0"/>
        <v>0.82191780821917804</v>
      </c>
    </row>
    <row r="18" spans="1:41" ht="30" customHeight="1" x14ac:dyDescent="0.2">
      <c r="A18" s="15" t="s">
        <v>74</v>
      </c>
      <c r="B18" s="22" t="s">
        <v>159</v>
      </c>
      <c r="C18" s="22" t="s">
        <v>160</v>
      </c>
      <c r="D18" s="22" t="s">
        <v>161</v>
      </c>
      <c r="E18" s="44" t="s">
        <v>162</v>
      </c>
      <c r="F18" s="47" t="str">
        <f>Global!IO18</f>
        <v/>
      </c>
      <c r="G18" s="31" t="str">
        <f>Global!IP18</f>
        <v/>
      </c>
      <c r="H18" s="31" t="str">
        <f>Global!IQ18</f>
        <v/>
      </c>
      <c r="I18" s="31" t="str">
        <f>Global!IR18</f>
        <v/>
      </c>
      <c r="J18" s="31" t="str">
        <f>Global!IS18</f>
        <v/>
      </c>
      <c r="K18" s="31" t="str">
        <f>Global!IT18</f>
        <v/>
      </c>
      <c r="L18" s="31" t="str">
        <f>Global!IU18</f>
        <v/>
      </c>
      <c r="M18" s="31" t="str">
        <f>Global!IV18</f>
        <v/>
      </c>
      <c r="N18" s="31" t="str">
        <f>Global!IW18</f>
        <v/>
      </c>
      <c r="O18" s="31" t="str">
        <f>Global!IX18</f>
        <v/>
      </c>
      <c r="P18" s="31" t="str">
        <f>Global!IY18</f>
        <v/>
      </c>
      <c r="Q18" s="31" t="str">
        <f>Global!IZ18</f>
        <v/>
      </c>
      <c r="R18" s="31" t="str">
        <f>Global!JA18</f>
        <v/>
      </c>
      <c r="S18" s="31" t="str">
        <f>Global!JB18</f>
        <v/>
      </c>
      <c r="T18" s="31" t="str">
        <f>Global!JC18</f>
        <v/>
      </c>
      <c r="U18" s="31" t="str">
        <f>Global!JD18</f>
        <v/>
      </c>
      <c r="V18" s="31" t="str">
        <f>Global!JE18</f>
        <v/>
      </c>
      <c r="W18" s="31" t="str">
        <f>Global!JF18</f>
        <v/>
      </c>
      <c r="X18" s="31" t="str">
        <f>Global!JG18</f>
        <v/>
      </c>
      <c r="Y18" s="31" t="str">
        <f>Global!JH18</f>
        <v/>
      </c>
      <c r="Z18" s="31" t="str">
        <f>Global!JI18</f>
        <v/>
      </c>
      <c r="AA18" s="31" t="str">
        <f>Global!JJ18</f>
        <v/>
      </c>
      <c r="AB18" s="31" t="str">
        <f>Global!JK18</f>
        <v/>
      </c>
      <c r="AC18" s="31" t="str">
        <f>Global!JL18</f>
        <v/>
      </c>
      <c r="AD18" s="31" t="str">
        <f>Global!JM18</f>
        <v/>
      </c>
      <c r="AE18" s="31" t="str">
        <f>Global!JN18</f>
        <v/>
      </c>
      <c r="AF18" s="31" t="str">
        <f>Global!JO18</f>
        <v/>
      </c>
      <c r="AG18" s="31" t="str">
        <f>Global!JP18</f>
        <v/>
      </c>
      <c r="AH18" s="31" t="str">
        <f>Global!JQ18</f>
        <v/>
      </c>
      <c r="AI18" s="31" t="str">
        <f>Global!JR18</f>
        <v/>
      </c>
      <c r="AJ18" s="34"/>
      <c r="AK18" s="108">
        <f>COUNTIF(Septembre[[#This Row],[1]:[30]],"RTT")+(COUNTIF(Septembre[[#This Row],[1]:[30]],"dRTT")/2)</f>
        <v>0</v>
      </c>
      <c r="AL18" s="109">
        <f>COUNTIF(Septembre[[#This Row],[1]:[30]],"C")+(COUNTIF(Septembre[[#This Row],[1]:[30]],"DC")/2)</f>
        <v>0</v>
      </c>
      <c r="AM18" s="22">
        <f>COUNTIF(Septembre[[#This Row],[1]:[30]],"M")</f>
        <v>0</v>
      </c>
      <c r="AN18" s="22">
        <f>COUNTIF(Septembre[[#This Row],[1]:[30]],"AT")</f>
        <v>0</v>
      </c>
      <c r="AO18" s="84">
        <f t="shared" si="0"/>
        <v>0.82191780821917804</v>
      </c>
    </row>
    <row r="19" spans="1:41" ht="30" customHeight="1" x14ac:dyDescent="0.2">
      <c r="A19" s="15" t="s">
        <v>75</v>
      </c>
      <c r="B19" s="22" t="s">
        <v>163</v>
      </c>
      <c r="C19" s="22" t="s">
        <v>164</v>
      </c>
      <c r="D19" s="22" t="s">
        <v>165</v>
      </c>
      <c r="E19" s="44">
        <v>0</v>
      </c>
      <c r="F19" s="47" t="str">
        <f>Global!IO19</f>
        <v/>
      </c>
      <c r="G19" s="31" t="str">
        <f>Global!IP19</f>
        <v/>
      </c>
      <c r="H19" s="31" t="str">
        <f>Global!IQ19</f>
        <v/>
      </c>
      <c r="I19" s="31" t="str">
        <f>Global!IR19</f>
        <v/>
      </c>
      <c r="J19" s="31" t="str">
        <f>Global!IS19</f>
        <v/>
      </c>
      <c r="K19" s="31" t="str">
        <f>Global!IT19</f>
        <v/>
      </c>
      <c r="L19" s="31" t="str">
        <f>Global!IU19</f>
        <v/>
      </c>
      <c r="M19" s="31" t="str">
        <f>Global!IV19</f>
        <v/>
      </c>
      <c r="N19" s="31" t="str">
        <f>Global!IW19</f>
        <v/>
      </c>
      <c r="O19" s="31" t="str">
        <f>Global!IX19</f>
        <v/>
      </c>
      <c r="P19" s="31" t="str">
        <f>Global!IY19</f>
        <v/>
      </c>
      <c r="Q19" s="31" t="str">
        <f>Global!IZ19</f>
        <v/>
      </c>
      <c r="R19" s="31" t="str">
        <f>Global!JA19</f>
        <v/>
      </c>
      <c r="S19" s="31" t="str">
        <f>Global!JB19</f>
        <v/>
      </c>
      <c r="T19" s="31" t="str">
        <f>Global!JC19</f>
        <v/>
      </c>
      <c r="U19" s="31" t="str">
        <f>Global!JD19</f>
        <v/>
      </c>
      <c r="V19" s="31" t="str">
        <f>Global!JE19</f>
        <v/>
      </c>
      <c r="W19" s="31" t="str">
        <f>Global!JF19</f>
        <v/>
      </c>
      <c r="X19" s="31" t="str">
        <f>Global!JG19</f>
        <v/>
      </c>
      <c r="Y19" s="31" t="str">
        <f>Global!JH19</f>
        <v/>
      </c>
      <c r="Z19" s="31" t="str">
        <f>Global!JI19</f>
        <v/>
      </c>
      <c r="AA19" s="31" t="str">
        <f>Global!JJ19</f>
        <v/>
      </c>
      <c r="AB19" s="31" t="str">
        <f>Global!JK19</f>
        <v/>
      </c>
      <c r="AC19" s="31" t="str">
        <f>Global!JL19</f>
        <v/>
      </c>
      <c r="AD19" s="31" t="str">
        <f>Global!JM19</f>
        <v/>
      </c>
      <c r="AE19" s="31" t="str">
        <f>Global!JN19</f>
        <v/>
      </c>
      <c r="AF19" s="31" t="str">
        <f>Global!JO19</f>
        <v/>
      </c>
      <c r="AG19" s="31" t="str">
        <f>Global!JP19</f>
        <v/>
      </c>
      <c r="AH19" s="31" t="str">
        <f>Global!JQ19</f>
        <v/>
      </c>
      <c r="AI19" s="31" t="str">
        <f>Global!JR19</f>
        <v/>
      </c>
      <c r="AJ19" s="34"/>
      <c r="AK19" s="108">
        <f>COUNTIF(Septembre[[#This Row],[1]:[30]],"RTT")+(COUNTIF(Septembre[[#This Row],[1]:[30]],"dRTT")/2)</f>
        <v>0</v>
      </c>
      <c r="AL19" s="109">
        <f>COUNTIF(Septembre[[#This Row],[1]:[30]],"C")+(COUNTIF(Septembre[[#This Row],[1]:[30]],"DC")/2)</f>
        <v>0</v>
      </c>
      <c r="AM19" s="22">
        <f>COUNTIF(Septembre[[#This Row],[1]:[30]],"M")</f>
        <v>0</v>
      </c>
      <c r="AN19" s="22">
        <f>COUNTIF(Septembre[[#This Row],[1]:[30]],"AT")</f>
        <v>0</v>
      </c>
      <c r="AO19" s="84">
        <f t="shared" si="0"/>
        <v>0.82191780821917804</v>
      </c>
    </row>
    <row r="20" spans="1:41" ht="30" customHeight="1" x14ac:dyDescent="0.2">
      <c r="A20" s="15" t="s">
        <v>76</v>
      </c>
      <c r="B20" s="22" t="s">
        <v>166</v>
      </c>
      <c r="C20" s="22" t="s">
        <v>151</v>
      </c>
      <c r="D20" s="22" t="s">
        <v>167</v>
      </c>
      <c r="E20" s="44">
        <v>0</v>
      </c>
      <c r="F20" s="47" t="str">
        <f>Global!IO20</f>
        <v/>
      </c>
      <c r="G20" s="31" t="str">
        <f>Global!IP20</f>
        <v/>
      </c>
      <c r="H20" s="31" t="str">
        <f>Global!IQ20</f>
        <v/>
      </c>
      <c r="I20" s="31" t="str">
        <f>Global!IR20</f>
        <v/>
      </c>
      <c r="J20" s="31" t="str">
        <f>Global!IS20</f>
        <v/>
      </c>
      <c r="K20" s="31" t="str">
        <f>Global!IT20</f>
        <v/>
      </c>
      <c r="L20" s="31" t="str">
        <f>Global!IU20</f>
        <v/>
      </c>
      <c r="M20" s="31" t="str">
        <f>Global!IV20</f>
        <v/>
      </c>
      <c r="N20" s="31" t="str">
        <f>Global!IW20</f>
        <v/>
      </c>
      <c r="O20" s="31" t="str">
        <f>Global!IX20</f>
        <v/>
      </c>
      <c r="P20" s="31" t="str">
        <f>Global!IY20</f>
        <v/>
      </c>
      <c r="Q20" s="31" t="str">
        <f>Global!IZ20</f>
        <v/>
      </c>
      <c r="R20" s="31" t="str">
        <f>Global!JA20</f>
        <v/>
      </c>
      <c r="S20" s="31" t="str">
        <f>Global!JB20</f>
        <v/>
      </c>
      <c r="T20" s="31" t="str">
        <f>Global!JC20</f>
        <v/>
      </c>
      <c r="U20" s="31" t="str">
        <f>Global!JD20</f>
        <v/>
      </c>
      <c r="V20" s="31" t="str">
        <f>Global!JE20</f>
        <v/>
      </c>
      <c r="W20" s="31" t="str">
        <f>Global!JF20</f>
        <v/>
      </c>
      <c r="X20" s="31" t="str">
        <f>Global!JG20</f>
        <v/>
      </c>
      <c r="Y20" s="31" t="str">
        <f>Global!JH20</f>
        <v/>
      </c>
      <c r="Z20" s="31" t="str">
        <f>Global!JI20</f>
        <v/>
      </c>
      <c r="AA20" s="31" t="str">
        <f>Global!JJ20</f>
        <v/>
      </c>
      <c r="AB20" s="31" t="str">
        <f>Global!JK20</f>
        <v/>
      </c>
      <c r="AC20" s="31" t="str">
        <f>Global!JL20</f>
        <v/>
      </c>
      <c r="AD20" s="31" t="str">
        <f>Global!JM20</f>
        <v/>
      </c>
      <c r="AE20" s="31" t="str">
        <f>Global!JN20</f>
        <v/>
      </c>
      <c r="AF20" s="31" t="str">
        <f>Global!JO20</f>
        <v/>
      </c>
      <c r="AG20" s="31" t="str">
        <f>Global!JP20</f>
        <v/>
      </c>
      <c r="AH20" s="31" t="str">
        <f>Global!JQ20</f>
        <v/>
      </c>
      <c r="AI20" s="31" t="str">
        <f>Global!JR20</f>
        <v/>
      </c>
      <c r="AJ20" s="34"/>
      <c r="AK20" s="108">
        <f>COUNTIF(Septembre[[#This Row],[1]:[30]],"RTT")+(COUNTIF(Septembre[[#This Row],[1]:[30]],"dRTT")/2)</f>
        <v>0</v>
      </c>
      <c r="AL20" s="109">
        <f>COUNTIF(Septembre[[#This Row],[1]:[30]],"C")+(COUNTIF(Septembre[[#This Row],[1]:[30]],"DC")/2)</f>
        <v>0</v>
      </c>
      <c r="AM20" s="22">
        <f>COUNTIF(Septembre[[#This Row],[1]:[30]],"M")</f>
        <v>0</v>
      </c>
      <c r="AN20" s="22">
        <f>COUNTIF(Septembre[[#This Row],[1]:[30]],"AT")</f>
        <v>0</v>
      </c>
      <c r="AO20" s="84">
        <f t="shared" si="0"/>
        <v>0.82191780821917804</v>
      </c>
    </row>
    <row r="21" spans="1:41" ht="30" customHeight="1" x14ac:dyDescent="0.2">
      <c r="A21" s="15" t="s">
        <v>77</v>
      </c>
      <c r="B21" s="22" t="s">
        <v>168</v>
      </c>
      <c r="C21" s="22" t="s">
        <v>169</v>
      </c>
      <c r="D21" s="22" t="s">
        <v>170</v>
      </c>
      <c r="E21" s="44">
        <v>0</v>
      </c>
      <c r="F21" s="47" t="str">
        <f>Global!IO21</f>
        <v/>
      </c>
      <c r="G21" s="31" t="str">
        <f>Global!IP21</f>
        <v/>
      </c>
      <c r="H21" s="31" t="str">
        <f>Global!IQ21</f>
        <v/>
      </c>
      <c r="I21" s="31" t="str">
        <f>Global!IR21</f>
        <v/>
      </c>
      <c r="J21" s="31" t="str">
        <f>Global!IS21</f>
        <v/>
      </c>
      <c r="K21" s="31" t="str">
        <f>Global!IT21</f>
        <v/>
      </c>
      <c r="L21" s="31" t="str">
        <f>Global!IU21</f>
        <v/>
      </c>
      <c r="M21" s="31" t="str">
        <f>Global!IV21</f>
        <v/>
      </c>
      <c r="N21" s="31" t="str">
        <f>Global!IW21</f>
        <v/>
      </c>
      <c r="O21" s="31" t="str">
        <f>Global!IX21</f>
        <v/>
      </c>
      <c r="P21" s="31" t="str">
        <f>Global!IY21</f>
        <v/>
      </c>
      <c r="Q21" s="31" t="str">
        <f>Global!IZ21</f>
        <v/>
      </c>
      <c r="R21" s="31" t="str">
        <f>Global!JA21</f>
        <v/>
      </c>
      <c r="S21" s="31" t="str">
        <f>Global!JB21</f>
        <v/>
      </c>
      <c r="T21" s="31" t="str">
        <f>Global!JC21</f>
        <v/>
      </c>
      <c r="U21" s="31" t="str">
        <f>Global!JD21</f>
        <v/>
      </c>
      <c r="V21" s="31" t="str">
        <f>Global!JE21</f>
        <v/>
      </c>
      <c r="W21" s="31" t="str">
        <f>Global!JF21</f>
        <v/>
      </c>
      <c r="X21" s="31" t="str">
        <f>Global!JG21</f>
        <v/>
      </c>
      <c r="Y21" s="31" t="str">
        <f>Global!JH21</f>
        <v/>
      </c>
      <c r="Z21" s="31" t="str">
        <f>Global!JI21</f>
        <v/>
      </c>
      <c r="AA21" s="31" t="str">
        <f>Global!JJ21</f>
        <v/>
      </c>
      <c r="AB21" s="31" t="str">
        <f>Global!JK21</f>
        <v/>
      </c>
      <c r="AC21" s="31" t="str">
        <f>Global!JL21</f>
        <v/>
      </c>
      <c r="AD21" s="31" t="str">
        <f>Global!JM21</f>
        <v/>
      </c>
      <c r="AE21" s="31" t="str">
        <f>Global!JN21</f>
        <v/>
      </c>
      <c r="AF21" s="31" t="str">
        <f>Global!JO21</f>
        <v/>
      </c>
      <c r="AG21" s="31" t="str">
        <f>Global!JP21</f>
        <v/>
      </c>
      <c r="AH21" s="31" t="str">
        <f>Global!JQ21</f>
        <v/>
      </c>
      <c r="AI21" s="31" t="str">
        <f>Global!JR21</f>
        <v/>
      </c>
      <c r="AJ21" s="34"/>
      <c r="AK21" s="108">
        <f>COUNTIF(Septembre[[#This Row],[1]:[30]],"RTT")+(COUNTIF(Septembre[[#This Row],[1]:[30]],"dRTT")/2)</f>
        <v>0</v>
      </c>
      <c r="AL21" s="109">
        <f>COUNTIF(Septembre[[#This Row],[1]:[30]],"C")+(COUNTIF(Septembre[[#This Row],[1]:[30]],"DC")/2)</f>
        <v>0</v>
      </c>
      <c r="AM21" s="22">
        <f>COUNTIF(Septembre[[#This Row],[1]:[30]],"M")</f>
        <v>0</v>
      </c>
      <c r="AN21" s="22">
        <f>COUNTIF(Septembre[[#This Row],[1]:[30]],"AT")</f>
        <v>0</v>
      </c>
      <c r="AO21" s="84">
        <f t="shared" si="0"/>
        <v>0.82191780821917804</v>
      </c>
    </row>
    <row r="22" spans="1:41" ht="30" customHeight="1" x14ac:dyDescent="0.2">
      <c r="A22" s="13" t="s">
        <v>78</v>
      </c>
      <c r="B22" s="22" t="s">
        <v>171</v>
      </c>
      <c r="C22" s="22" t="s">
        <v>172</v>
      </c>
      <c r="D22" s="22" t="s">
        <v>173</v>
      </c>
      <c r="E22" s="44">
        <v>0</v>
      </c>
      <c r="F22" s="47" t="str">
        <f>Global!IO22</f>
        <v/>
      </c>
      <c r="G22" s="31" t="str">
        <f>Global!IP22</f>
        <v/>
      </c>
      <c r="H22" s="31" t="str">
        <f>Global!IQ22</f>
        <v/>
      </c>
      <c r="I22" s="31" t="str">
        <f>Global!IR22</f>
        <v/>
      </c>
      <c r="J22" s="31" t="str">
        <f>Global!IS22</f>
        <v/>
      </c>
      <c r="K22" s="31" t="str">
        <f>Global!IT22</f>
        <v/>
      </c>
      <c r="L22" s="31" t="str">
        <f>Global!IU22</f>
        <v/>
      </c>
      <c r="M22" s="31" t="str">
        <f>Global!IV22</f>
        <v/>
      </c>
      <c r="N22" s="31" t="str">
        <f>Global!IW22</f>
        <v/>
      </c>
      <c r="O22" s="31" t="str">
        <f>Global!IX22</f>
        <v/>
      </c>
      <c r="P22" s="31" t="str">
        <f>Global!IY22</f>
        <v/>
      </c>
      <c r="Q22" s="31" t="str">
        <f>Global!IZ22</f>
        <v/>
      </c>
      <c r="R22" s="31" t="str">
        <f>Global!JA22</f>
        <v/>
      </c>
      <c r="S22" s="31" t="str">
        <f>Global!JB22</f>
        <v/>
      </c>
      <c r="T22" s="31" t="str">
        <f>Global!JC22</f>
        <v/>
      </c>
      <c r="U22" s="31" t="str">
        <f>Global!JD22</f>
        <v/>
      </c>
      <c r="V22" s="31" t="str">
        <f>Global!JE22</f>
        <v/>
      </c>
      <c r="W22" s="31" t="str">
        <f>Global!JF22</f>
        <v/>
      </c>
      <c r="X22" s="31" t="str">
        <f>Global!JG22</f>
        <v/>
      </c>
      <c r="Y22" s="31" t="str">
        <f>Global!JH22</f>
        <v/>
      </c>
      <c r="Z22" s="31" t="str">
        <f>Global!JI22</f>
        <v/>
      </c>
      <c r="AA22" s="31" t="str">
        <f>Global!JJ22</f>
        <v/>
      </c>
      <c r="AB22" s="31" t="str">
        <f>Global!JK22</f>
        <v/>
      </c>
      <c r="AC22" s="31" t="str">
        <f>Global!JL22</f>
        <v/>
      </c>
      <c r="AD22" s="31" t="str">
        <f>Global!JM22</f>
        <v/>
      </c>
      <c r="AE22" s="31" t="str">
        <f>Global!JN22</f>
        <v/>
      </c>
      <c r="AF22" s="31" t="str">
        <f>Global!JO22</f>
        <v/>
      </c>
      <c r="AG22" s="31" t="str">
        <f>Global!JP22</f>
        <v/>
      </c>
      <c r="AH22" s="31" t="str">
        <f>Global!JQ22</f>
        <v/>
      </c>
      <c r="AI22" s="31" t="str">
        <f>Global!JR22</f>
        <v/>
      </c>
      <c r="AJ22" s="34"/>
      <c r="AK22" s="108">
        <f>COUNTIF(Septembre[[#This Row],[1]:[30]],"RTT")+(COUNTIF(Septembre[[#This Row],[1]:[30]],"dRTT")/2)</f>
        <v>0</v>
      </c>
      <c r="AL22" s="109">
        <f>COUNTIF(Septembre[[#This Row],[1]:[30]],"C")+(COUNTIF(Septembre[[#This Row],[1]:[30]],"DC")/2)</f>
        <v>0</v>
      </c>
      <c r="AM22" s="22">
        <f>COUNTIF(Septembre[[#This Row],[1]:[30]],"M")</f>
        <v>0</v>
      </c>
      <c r="AN22" s="22">
        <f>COUNTIF(Septembre[[#This Row],[1]:[30]],"AT")</f>
        <v>0</v>
      </c>
      <c r="AO22" s="84">
        <f t="shared" si="0"/>
        <v>0.82191780821917804</v>
      </c>
    </row>
    <row r="23" spans="1:41" ht="30" customHeight="1" x14ac:dyDescent="0.2">
      <c r="A23" s="13" t="s">
        <v>79</v>
      </c>
      <c r="B23" s="22" t="s">
        <v>174</v>
      </c>
      <c r="C23" s="22" t="s">
        <v>175</v>
      </c>
      <c r="D23" s="22" t="s">
        <v>176</v>
      </c>
      <c r="E23" s="44">
        <v>0</v>
      </c>
      <c r="F23" s="47" t="str">
        <f>Global!IO23</f>
        <v/>
      </c>
      <c r="G23" s="31" t="str">
        <f>Global!IP23</f>
        <v/>
      </c>
      <c r="H23" s="31" t="str">
        <f>Global!IQ23</f>
        <v/>
      </c>
      <c r="I23" s="31" t="str">
        <f>Global!IR23</f>
        <v/>
      </c>
      <c r="J23" s="31" t="str">
        <f>Global!IS23</f>
        <v/>
      </c>
      <c r="K23" s="31" t="str">
        <f>Global!IT23</f>
        <v/>
      </c>
      <c r="L23" s="31" t="str">
        <f>Global!IU23</f>
        <v/>
      </c>
      <c r="M23" s="31" t="str">
        <f>Global!IV23</f>
        <v/>
      </c>
      <c r="N23" s="31" t="str">
        <f>Global!IW23</f>
        <v/>
      </c>
      <c r="O23" s="31" t="str">
        <f>Global!IX23</f>
        <v/>
      </c>
      <c r="P23" s="31" t="str">
        <f>Global!IY23</f>
        <v/>
      </c>
      <c r="Q23" s="31" t="str">
        <f>Global!IZ23</f>
        <v/>
      </c>
      <c r="R23" s="31" t="str">
        <f>Global!JA23</f>
        <v/>
      </c>
      <c r="S23" s="31" t="str">
        <f>Global!JB23</f>
        <v/>
      </c>
      <c r="T23" s="31" t="str">
        <f>Global!JC23</f>
        <v/>
      </c>
      <c r="U23" s="31" t="str">
        <f>Global!JD23</f>
        <v/>
      </c>
      <c r="V23" s="31" t="str">
        <f>Global!JE23</f>
        <v/>
      </c>
      <c r="W23" s="31" t="str">
        <f>Global!JF23</f>
        <v/>
      </c>
      <c r="X23" s="31" t="str">
        <f>Global!JG23</f>
        <v/>
      </c>
      <c r="Y23" s="31" t="str">
        <f>Global!JH23</f>
        <v/>
      </c>
      <c r="Z23" s="31" t="str">
        <f>Global!JI23</f>
        <v/>
      </c>
      <c r="AA23" s="31" t="str">
        <f>Global!JJ23</f>
        <v/>
      </c>
      <c r="AB23" s="31" t="str">
        <f>Global!JK23</f>
        <v/>
      </c>
      <c r="AC23" s="31" t="str">
        <f>Global!JL23</f>
        <v/>
      </c>
      <c r="AD23" s="31" t="str">
        <f>Global!JM23</f>
        <v/>
      </c>
      <c r="AE23" s="31" t="str">
        <f>Global!JN23</f>
        <v/>
      </c>
      <c r="AF23" s="31" t="str">
        <f>Global!JO23</f>
        <v/>
      </c>
      <c r="AG23" s="31" t="str">
        <f>Global!JP23</f>
        <v/>
      </c>
      <c r="AH23" s="31" t="str">
        <f>Global!JQ23</f>
        <v/>
      </c>
      <c r="AI23" s="31" t="str">
        <f>Global!JR23</f>
        <v/>
      </c>
      <c r="AJ23" s="34"/>
      <c r="AK23" s="108">
        <f>COUNTIF(Septembre[[#This Row],[1]:[30]],"RTT")+(COUNTIF(Septembre[[#This Row],[1]:[30]],"dRTT")/2)</f>
        <v>0</v>
      </c>
      <c r="AL23" s="109">
        <f>COUNTIF(Septembre[[#This Row],[1]:[30]],"C")+(COUNTIF(Septembre[[#This Row],[1]:[30]],"DC")/2)</f>
        <v>0</v>
      </c>
      <c r="AM23" s="22">
        <f>COUNTIF(Septembre[[#This Row],[1]:[30]],"M")</f>
        <v>0</v>
      </c>
      <c r="AN23" s="22">
        <f>COUNTIF(Septembre[[#This Row],[1]:[30]],"AT")</f>
        <v>0</v>
      </c>
      <c r="AO23" s="84">
        <f t="shared" si="0"/>
        <v>0.82191780821917804</v>
      </c>
    </row>
    <row r="24" spans="1:41" ht="30" customHeight="1" x14ac:dyDescent="0.2">
      <c r="A24" s="15" t="s">
        <v>80</v>
      </c>
      <c r="B24" s="22" t="s">
        <v>177</v>
      </c>
      <c r="C24" s="22" t="s">
        <v>178</v>
      </c>
      <c r="D24" s="22" t="s">
        <v>179</v>
      </c>
      <c r="E24" s="44">
        <v>0</v>
      </c>
      <c r="F24" s="47" t="str">
        <f>Global!IO24</f>
        <v/>
      </c>
      <c r="G24" s="31" t="str">
        <f>Global!IP24</f>
        <v/>
      </c>
      <c r="H24" s="31" t="str">
        <f>Global!IQ24</f>
        <v>C</v>
      </c>
      <c r="I24" s="31" t="str">
        <f>Global!IR24</f>
        <v>C</v>
      </c>
      <c r="J24" s="31" t="str">
        <f>Global!IS24</f>
        <v>C</v>
      </c>
      <c r="K24" s="31" t="str">
        <f>Global!IT24</f>
        <v>C</v>
      </c>
      <c r="L24" s="31" t="str">
        <f>Global!IU24</f>
        <v>C</v>
      </c>
      <c r="M24" s="31" t="str">
        <f>Global!IV24</f>
        <v/>
      </c>
      <c r="N24" s="31" t="str">
        <f>Global!IW24</f>
        <v/>
      </c>
      <c r="O24" s="31" t="str">
        <f>Global!IX24</f>
        <v/>
      </c>
      <c r="P24" s="31" t="str">
        <f>Global!IY24</f>
        <v/>
      </c>
      <c r="Q24" s="31" t="str">
        <f>Global!IZ24</f>
        <v/>
      </c>
      <c r="R24" s="31" t="str">
        <f>Global!JA24</f>
        <v/>
      </c>
      <c r="S24" s="31" t="str">
        <f>Global!JB24</f>
        <v/>
      </c>
      <c r="T24" s="31" t="str">
        <f>Global!JC24</f>
        <v/>
      </c>
      <c r="U24" s="31" t="str">
        <f>Global!JD24</f>
        <v/>
      </c>
      <c r="V24" s="31" t="str">
        <f>Global!JE24</f>
        <v/>
      </c>
      <c r="W24" s="31" t="str">
        <f>Global!JF24</f>
        <v/>
      </c>
      <c r="X24" s="31" t="str">
        <f>Global!JG24</f>
        <v/>
      </c>
      <c r="Y24" s="31" t="str">
        <f>Global!JH24</f>
        <v/>
      </c>
      <c r="Z24" s="31" t="str">
        <f>Global!JI24</f>
        <v/>
      </c>
      <c r="AA24" s="31" t="str">
        <f>Global!JJ24</f>
        <v/>
      </c>
      <c r="AB24" s="31" t="str">
        <f>Global!JK24</f>
        <v/>
      </c>
      <c r="AC24" s="31" t="str">
        <f>Global!JL24</f>
        <v/>
      </c>
      <c r="AD24" s="31" t="str">
        <f>Global!JM24</f>
        <v/>
      </c>
      <c r="AE24" s="31" t="str">
        <f>Global!JN24</f>
        <v/>
      </c>
      <c r="AF24" s="31" t="str">
        <f>Global!JO24</f>
        <v/>
      </c>
      <c r="AG24" s="31" t="str">
        <f>Global!JP24</f>
        <v/>
      </c>
      <c r="AH24" s="31" t="str">
        <f>Global!JQ24</f>
        <v/>
      </c>
      <c r="AI24" s="31" t="str">
        <f>Global!JR24</f>
        <v/>
      </c>
      <c r="AJ24" s="34"/>
      <c r="AK24" s="108">
        <f>COUNTIF(Septembre[[#This Row],[1]:[30]],"RTT")+(COUNTIF(Septembre[[#This Row],[1]:[30]],"dRTT")/2)</f>
        <v>0</v>
      </c>
      <c r="AL24" s="109">
        <f>COUNTIF(Septembre[[#This Row],[1]:[30]],"C")+(COUNTIF(Septembre[[#This Row],[1]:[30]],"DC")/2)</f>
        <v>5</v>
      </c>
      <c r="AM24" s="22">
        <f>COUNTIF(Septembre[[#This Row],[1]:[30]],"M")</f>
        <v>0</v>
      </c>
      <c r="AN24" s="22">
        <f>COUNTIF(Septembre[[#This Row],[1]:[30]],"AT")</f>
        <v>0</v>
      </c>
      <c r="AO24" s="84">
        <f t="shared" si="0"/>
        <v>0.82191780821917804</v>
      </c>
    </row>
    <row r="25" spans="1:41" ht="30" customHeight="1" x14ac:dyDescent="0.2">
      <c r="A25" s="15" t="s">
        <v>81</v>
      </c>
      <c r="B25" s="22" t="s">
        <v>180</v>
      </c>
      <c r="C25" s="22" t="s">
        <v>157</v>
      </c>
      <c r="D25" s="22" t="s">
        <v>181</v>
      </c>
      <c r="E25" s="44">
        <v>0</v>
      </c>
      <c r="F25" s="47" t="str">
        <f>Global!IO25</f>
        <v/>
      </c>
      <c r="G25" s="31" t="str">
        <f>Global!IP25</f>
        <v/>
      </c>
      <c r="H25" s="31" t="str">
        <f>Global!IQ25</f>
        <v/>
      </c>
      <c r="I25" s="31" t="str">
        <f>Global!IR25</f>
        <v/>
      </c>
      <c r="J25" s="31" t="str">
        <f>Global!IS25</f>
        <v/>
      </c>
      <c r="K25" s="31" t="str">
        <f>Global!IT25</f>
        <v/>
      </c>
      <c r="L25" s="31" t="str">
        <f>Global!IU25</f>
        <v/>
      </c>
      <c r="M25" s="31" t="str">
        <f>Global!IV25</f>
        <v/>
      </c>
      <c r="N25" s="31" t="str">
        <f>Global!IW25</f>
        <v/>
      </c>
      <c r="O25" s="31" t="str">
        <f>Global!IX25</f>
        <v/>
      </c>
      <c r="P25" s="31" t="str">
        <f>Global!IY25</f>
        <v/>
      </c>
      <c r="Q25" s="31" t="str">
        <f>Global!IZ25</f>
        <v/>
      </c>
      <c r="R25" s="31" t="str">
        <f>Global!JA25</f>
        <v/>
      </c>
      <c r="S25" s="31" t="str">
        <f>Global!JB25</f>
        <v/>
      </c>
      <c r="T25" s="31" t="str">
        <f>Global!JC25</f>
        <v/>
      </c>
      <c r="U25" s="31" t="str">
        <f>Global!JD25</f>
        <v/>
      </c>
      <c r="V25" s="31" t="str">
        <f>Global!JE25</f>
        <v/>
      </c>
      <c r="W25" s="31" t="str">
        <f>Global!JF25</f>
        <v/>
      </c>
      <c r="X25" s="31" t="str">
        <f>Global!JG25</f>
        <v/>
      </c>
      <c r="Y25" s="31" t="str">
        <f>Global!JH25</f>
        <v/>
      </c>
      <c r="Z25" s="31" t="str">
        <f>Global!JI25</f>
        <v/>
      </c>
      <c r="AA25" s="31" t="str">
        <f>Global!JJ25</f>
        <v/>
      </c>
      <c r="AB25" s="31" t="str">
        <f>Global!JK25</f>
        <v/>
      </c>
      <c r="AC25" s="31" t="str">
        <f>Global!JL25</f>
        <v/>
      </c>
      <c r="AD25" s="31" t="str">
        <f>Global!JM25</f>
        <v/>
      </c>
      <c r="AE25" s="31" t="str">
        <f>Global!JN25</f>
        <v/>
      </c>
      <c r="AF25" s="31" t="str">
        <f>Global!JO25</f>
        <v/>
      </c>
      <c r="AG25" s="31" t="str">
        <f>Global!JP25</f>
        <v/>
      </c>
      <c r="AH25" s="31" t="str">
        <f>Global!JQ25</f>
        <v/>
      </c>
      <c r="AI25" s="31" t="str">
        <f>Global!JR25</f>
        <v/>
      </c>
      <c r="AJ25" s="34"/>
      <c r="AK25" s="108">
        <f>COUNTIF(Septembre[[#This Row],[1]:[30]],"RTT")+(COUNTIF(Septembre[[#This Row],[1]:[30]],"dRTT")/2)</f>
        <v>0</v>
      </c>
      <c r="AL25" s="109">
        <f>COUNTIF(Septembre[[#This Row],[1]:[30]],"C")+(COUNTIF(Septembre[[#This Row],[1]:[30]],"DC")/2)</f>
        <v>0</v>
      </c>
      <c r="AM25" s="22">
        <f>COUNTIF(Septembre[[#This Row],[1]:[30]],"M")</f>
        <v>0</v>
      </c>
      <c r="AN25" s="22">
        <f>COUNTIF(Septembre[[#This Row],[1]:[30]],"AT")</f>
        <v>0</v>
      </c>
      <c r="AO25" s="84">
        <f t="shared" si="0"/>
        <v>0.82191780821917804</v>
      </c>
    </row>
    <row r="26" spans="1:41" ht="30" customHeight="1" x14ac:dyDescent="0.2">
      <c r="A26" s="15" t="s">
        <v>82</v>
      </c>
      <c r="B26" s="22" t="s">
        <v>182</v>
      </c>
      <c r="C26" s="22" t="s">
        <v>183</v>
      </c>
      <c r="D26" s="22" t="s">
        <v>184</v>
      </c>
      <c r="E26" s="44">
        <v>0</v>
      </c>
      <c r="F26" s="47" t="str">
        <f>Global!IO26</f>
        <v/>
      </c>
      <c r="G26" s="31" t="str">
        <f>Global!IP26</f>
        <v/>
      </c>
      <c r="H26" s="31" t="str">
        <f>Global!IQ26</f>
        <v/>
      </c>
      <c r="I26" s="31" t="str">
        <f>Global!IR26</f>
        <v/>
      </c>
      <c r="J26" s="31" t="str">
        <f>Global!IS26</f>
        <v/>
      </c>
      <c r="K26" s="31" t="str">
        <f>Global!IT26</f>
        <v/>
      </c>
      <c r="L26" s="31" t="str">
        <f>Global!IU26</f>
        <v/>
      </c>
      <c r="M26" s="31" t="str">
        <f>Global!IV26</f>
        <v/>
      </c>
      <c r="N26" s="31" t="str">
        <f>Global!IW26</f>
        <v/>
      </c>
      <c r="O26" s="31" t="str">
        <f>Global!IX26</f>
        <v/>
      </c>
      <c r="P26" s="31" t="str">
        <f>Global!IY26</f>
        <v/>
      </c>
      <c r="Q26" s="31" t="str">
        <f>Global!IZ26</f>
        <v/>
      </c>
      <c r="R26" s="31" t="str">
        <f>Global!JA26</f>
        <v/>
      </c>
      <c r="S26" s="31" t="str">
        <f>Global!JB26</f>
        <v/>
      </c>
      <c r="T26" s="31" t="str">
        <f>Global!JC26</f>
        <v/>
      </c>
      <c r="U26" s="31" t="str">
        <f>Global!JD26</f>
        <v/>
      </c>
      <c r="V26" s="31" t="str">
        <f>Global!JE26</f>
        <v/>
      </c>
      <c r="W26" s="31" t="str">
        <f>Global!JF26</f>
        <v/>
      </c>
      <c r="X26" s="31" t="str">
        <f>Global!JG26</f>
        <v/>
      </c>
      <c r="Y26" s="31" t="str">
        <f>Global!JH26</f>
        <v/>
      </c>
      <c r="Z26" s="31" t="str">
        <f>Global!JI26</f>
        <v/>
      </c>
      <c r="AA26" s="31" t="str">
        <f>Global!JJ26</f>
        <v/>
      </c>
      <c r="AB26" s="31" t="str">
        <f>Global!JK26</f>
        <v/>
      </c>
      <c r="AC26" s="31" t="str">
        <f>Global!JL26</f>
        <v/>
      </c>
      <c r="AD26" s="31" t="str">
        <f>Global!JM26</f>
        <v/>
      </c>
      <c r="AE26" s="31" t="str">
        <f>Global!JN26</f>
        <v/>
      </c>
      <c r="AF26" s="31" t="str">
        <f>Global!JO26</f>
        <v/>
      </c>
      <c r="AG26" s="31" t="str">
        <f>Global!JP26</f>
        <v/>
      </c>
      <c r="AH26" s="31" t="str">
        <f>Global!JQ26</f>
        <v/>
      </c>
      <c r="AI26" s="31" t="str">
        <f>Global!JR26</f>
        <v/>
      </c>
      <c r="AJ26" s="34"/>
      <c r="AK26" s="108">
        <f>COUNTIF(Septembre[[#This Row],[1]:[30]],"RTT")+(COUNTIF(Septembre[[#This Row],[1]:[30]],"dRTT")/2)</f>
        <v>0</v>
      </c>
      <c r="AL26" s="109">
        <f>COUNTIF(Septembre[[#This Row],[1]:[30]],"C")+(COUNTIF(Septembre[[#This Row],[1]:[30]],"DC")/2)</f>
        <v>0</v>
      </c>
      <c r="AM26" s="22">
        <f>COUNTIF(Septembre[[#This Row],[1]:[30]],"M")</f>
        <v>0</v>
      </c>
      <c r="AN26" s="22">
        <f>COUNTIF(Septembre[[#This Row],[1]:[30]],"AT")</f>
        <v>0</v>
      </c>
      <c r="AO26" s="84">
        <f t="shared" si="0"/>
        <v>0.82191780821917804</v>
      </c>
    </row>
    <row r="27" spans="1:41" ht="30" customHeight="1" x14ac:dyDescent="0.2">
      <c r="A27" s="15" t="s">
        <v>83</v>
      </c>
      <c r="B27" s="22" t="s">
        <v>185</v>
      </c>
      <c r="C27" s="22" t="s">
        <v>186</v>
      </c>
      <c r="D27" s="22" t="s">
        <v>187</v>
      </c>
      <c r="E27" s="44">
        <v>0</v>
      </c>
      <c r="F27" s="47" t="str">
        <f>Global!IO27</f>
        <v/>
      </c>
      <c r="G27" s="31" t="str">
        <f>Global!IP27</f>
        <v/>
      </c>
      <c r="H27" s="31" t="str">
        <f>Global!IQ27</f>
        <v/>
      </c>
      <c r="I27" s="31" t="str">
        <f>Global!IR27</f>
        <v/>
      </c>
      <c r="J27" s="31" t="str">
        <f>Global!IS27</f>
        <v/>
      </c>
      <c r="K27" s="31" t="str">
        <f>Global!IT27</f>
        <v/>
      </c>
      <c r="L27" s="31" t="str">
        <f>Global!IU27</f>
        <v/>
      </c>
      <c r="M27" s="31" t="str">
        <f>Global!IV27</f>
        <v/>
      </c>
      <c r="N27" s="31" t="str">
        <f>Global!IW27</f>
        <v/>
      </c>
      <c r="O27" s="31" t="str">
        <f>Global!IX27</f>
        <v/>
      </c>
      <c r="P27" s="31" t="str">
        <f>Global!IY27</f>
        <v/>
      </c>
      <c r="Q27" s="31" t="str">
        <f>Global!IZ27</f>
        <v/>
      </c>
      <c r="R27" s="31" t="str">
        <f>Global!JA27</f>
        <v/>
      </c>
      <c r="S27" s="31" t="str">
        <f>Global!JB27</f>
        <v/>
      </c>
      <c r="T27" s="31" t="str">
        <f>Global!JC27</f>
        <v/>
      </c>
      <c r="U27" s="31" t="str">
        <f>Global!JD27</f>
        <v/>
      </c>
      <c r="V27" s="31" t="str">
        <f>Global!JE27</f>
        <v/>
      </c>
      <c r="W27" s="31" t="str">
        <f>Global!JF27</f>
        <v/>
      </c>
      <c r="X27" s="31" t="str">
        <f>Global!JG27</f>
        <v/>
      </c>
      <c r="Y27" s="31" t="str">
        <f>Global!JH27</f>
        <v/>
      </c>
      <c r="Z27" s="31" t="str">
        <f>Global!JI27</f>
        <v/>
      </c>
      <c r="AA27" s="31" t="str">
        <f>Global!JJ27</f>
        <v/>
      </c>
      <c r="AB27" s="31" t="str">
        <f>Global!JK27</f>
        <v/>
      </c>
      <c r="AC27" s="31" t="str">
        <f>Global!JL27</f>
        <v/>
      </c>
      <c r="AD27" s="31" t="str">
        <f>Global!JM27</f>
        <v/>
      </c>
      <c r="AE27" s="31" t="str">
        <f>Global!JN27</f>
        <v/>
      </c>
      <c r="AF27" s="31" t="str">
        <f>Global!JO27</f>
        <v/>
      </c>
      <c r="AG27" s="31" t="str">
        <f>Global!JP27</f>
        <v/>
      </c>
      <c r="AH27" s="31" t="str">
        <f>Global!JQ27</f>
        <v/>
      </c>
      <c r="AI27" s="31" t="str">
        <f>Global!JR27</f>
        <v/>
      </c>
      <c r="AJ27" s="34"/>
      <c r="AK27" s="108">
        <f>COUNTIF(Septembre[[#This Row],[1]:[30]],"RTT")+(COUNTIF(Septembre[[#This Row],[1]:[30]],"dRTT")/2)</f>
        <v>0</v>
      </c>
      <c r="AL27" s="109">
        <f>COUNTIF(Septembre[[#This Row],[1]:[30]],"C")+(COUNTIF(Septembre[[#This Row],[1]:[30]],"DC")/2)</f>
        <v>0</v>
      </c>
      <c r="AM27" s="22">
        <f>COUNTIF(Septembre[[#This Row],[1]:[30]],"M")</f>
        <v>0</v>
      </c>
      <c r="AN27" s="22">
        <f>COUNTIF(Septembre[[#This Row],[1]:[30]],"AT")</f>
        <v>0</v>
      </c>
      <c r="AO27" s="84">
        <f t="shared" si="0"/>
        <v>0.82191780821917804</v>
      </c>
    </row>
    <row r="28" spans="1:41" ht="30" customHeight="1" x14ac:dyDescent="0.2">
      <c r="A28" s="15" t="s">
        <v>84</v>
      </c>
      <c r="B28" s="22" t="s">
        <v>188</v>
      </c>
      <c r="C28" s="22" t="s">
        <v>189</v>
      </c>
      <c r="D28" s="22" t="s">
        <v>190</v>
      </c>
      <c r="E28" s="44">
        <v>0</v>
      </c>
      <c r="F28" s="47" t="str">
        <f>Global!IO28</f>
        <v/>
      </c>
      <c r="G28" s="31" t="str">
        <f>Global!IP28</f>
        <v/>
      </c>
      <c r="H28" s="31" t="str">
        <f>Global!IQ28</f>
        <v/>
      </c>
      <c r="I28" s="31" t="str">
        <f>Global!IR28</f>
        <v/>
      </c>
      <c r="J28" s="31" t="str">
        <f>Global!IS28</f>
        <v/>
      </c>
      <c r="K28" s="31" t="str">
        <f>Global!IT28</f>
        <v/>
      </c>
      <c r="L28" s="31" t="str">
        <f>Global!IU28</f>
        <v/>
      </c>
      <c r="M28" s="31" t="str">
        <f>Global!IV28</f>
        <v/>
      </c>
      <c r="N28" s="31" t="str">
        <f>Global!IW28</f>
        <v/>
      </c>
      <c r="O28" s="31" t="str">
        <f>Global!IX28</f>
        <v/>
      </c>
      <c r="P28" s="31" t="str">
        <f>Global!IY28</f>
        <v/>
      </c>
      <c r="Q28" s="31" t="str">
        <f>Global!IZ28</f>
        <v/>
      </c>
      <c r="R28" s="31" t="str">
        <f>Global!JA28</f>
        <v/>
      </c>
      <c r="S28" s="31" t="str">
        <f>Global!JB28</f>
        <v/>
      </c>
      <c r="T28" s="31" t="str">
        <f>Global!JC28</f>
        <v/>
      </c>
      <c r="U28" s="31" t="str">
        <f>Global!JD28</f>
        <v/>
      </c>
      <c r="V28" s="31" t="str">
        <f>Global!JE28</f>
        <v/>
      </c>
      <c r="W28" s="31" t="str">
        <f>Global!JF28</f>
        <v/>
      </c>
      <c r="X28" s="31" t="str">
        <f>Global!JG28</f>
        <v/>
      </c>
      <c r="Y28" s="31" t="str">
        <f>Global!JH28</f>
        <v/>
      </c>
      <c r="Z28" s="31" t="str">
        <f>Global!JI28</f>
        <v/>
      </c>
      <c r="AA28" s="31" t="str">
        <f>Global!JJ28</f>
        <v/>
      </c>
      <c r="AB28" s="31" t="str">
        <f>Global!JK28</f>
        <v/>
      </c>
      <c r="AC28" s="31" t="str">
        <f>Global!JL28</f>
        <v/>
      </c>
      <c r="AD28" s="31" t="str">
        <f>Global!JM28</f>
        <v/>
      </c>
      <c r="AE28" s="31" t="str">
        <f>Global!JN28</f>
        <v/>
      </c>
      <c r="AF28" s="31" t="str">
        <f>Global!JO28</f>
        <v/>
      </c>
      <c r="AG28" s="31" t="str">
        <f>Global!JP28</f>
        <v/>
      </c>
      <c r="AH28" s="31" t="str">
        <f>Global!JQ28</f>
        <v/>
      </c>
      <c r="AI28" s="31" t="str">
        <f>Global!JR28</f>
        <v/>
      </c>
      <c r="AJ28" s="34"/>
      <c r="AK28" s="108">
        <f>COUNTIF(Septembre[[#This Row],[1]:[30]],"RTT")+(COUNTIF(Septembre[[#This Row],[1]:[30]],"dRTT")/2)</f>
        <v>0</v>
      </c>
      <c r="AL28" s="109">
        <f>COUNTIF(Septembre[[#This Row],[1]:[30]],"C")+(COUNTIF(Septembre[[#This Row],[1]:[30]],"DC")/2)</f>
        <v>0</v>
      </c>
      <c r="AM28" s="22">
        <f>COUNTIF(Septembre[[#This Row],[1]:[30]],"M")</f>
        <v>0</v>
      </c>
      <c r="AN28" s="22">
        <f>COUNTIF(Septembre[[#This Row],[1]:[30]],"AT")</f>
        <v>0</v>
      </c>
      <c r="AO28" s="84">
        <f t="shared" si="0"/>
        <v>0.82191780821917804</v>
      </c>
    </row>
    <row r="29" spans="1:41" ht="30" customHeight="1" x14ac:dyDescent="0.2">
      <c r="A29" s="15" t="s">
        <v>85</v>
      </c>
      <c r="B29" s="22" t="s">
        <v>191</v>
      </c>
      <c r="C29" s="22" t="s">
        <v>192</v>
      </c>
      <c r="D29" s="22" t="s">
        <v>193</v>
      </c>
      <c r="E29" s="44">
        <v>0</v>
      </c>
      <c r="F29" s="47" t="str">
        <f>Global!IO29</f>
        <v/>
      </c>
      <c r="G29" s="31" t="str">
        <f>Global!IP29</f>
        <v/>
      </c>
      <c r="H29" s="31" t="str">
        <f>Global!IQ29</f>
        <v>C</v>
      </c>
      <c r="I29" s="31" t="str">
        <f>Global!IR29</f>
        <v>C</v>
      </c>
      <c r="J29" s="31" t="str">
        <f>Global!IS29</f>
        <v>C</v>
      </c>
      <c r="K29" s="31" t="str">
        <f>Global!IT29</f>
        <v>C</v>
      </c>
      <c r="L29" s="31" t="str">
        <f>Global!IU29</f>
        <v>C</v>
      </c>
      <c r="M29" s="31" t="str">
        <f>Global!IV29</f>
        <v/>
      </c>
      <c r="N29" s="31" t="str">
        <f>Global!IW29</f>
        <v/>
      </c>
      <c r="O29" s="31" t="str">
        <f>Global!IX29</f>
        <v>C</v>
      </c>
      <c r="P29" s="31" t="str">
        <f>Global!IY29</f>
        <v>C</v>
      </c>
      <c r="Q29" s="31" t="str">
        <f>Global!IZ29</f>
        <v>C</v>
      </c>
      <c r="R29" s="31" t="str">
        <f>Global!JA29</f>
        <v>C</v>
      </c>
      <c r="S29" s="31" t="str">
        <f>Global!JB29</f>
        <v>C</v>
      </c>
      <c r="T29" s="31" t="str">
        <f>Global!JC29</f>
        <v/>
      </c>
      <c r="U29" s="31" t="str">
        <f>Global!JD29</f>
        <v/>
      </c>
      <c r="V29" s="31" t="str">
        <f>Global!JE29</f>
        <v/>
      </c>
      <c r="W29" s="31" t="str">
        <f>Global!JF29</f>
        <v/>
      </c>
      <c r="X29" s="31" t="str">
        <f>Global!JG29</f>
        <v/>
      </c>
      <c r="Y29" s="31" t="str">
        <f>Global!JH29</f>
        <v/>
      </c>
      <c r="Z29" s="31" t="str">
        <f>Global!JI29</f>
        <v/>
      </c>
      <c r="AA29" s="31" t="str">
        <f>Global!JJ29</f>
        <v/>
      </c>
      <c r="AB29" s="31" t="str">
        <f>Global!JK29</f>
        <v/>
      </c>
      <c r="AC29" s="31" t="str">
        <f>Global!JL29</f>
        <v/>
      </c>
      <c r="AD29" s="31" t="str">
        <f>Global!JM29</f>
        <v/>
      </c>
      <c r="AE29" s="31" t="str">
        <f>Global!JN29</f>
        <v/>
      </c>
      <c r="AF29" s="31" t="str">
        <f>Global!JO29</f>
        <v/>
      </c>
      <c r="AG29" s="31" t="str">
        <f>Global!JP29</f>
        <v/>
      </c>
      <c r="AH29" s="31" t="str">
        <f>Global!JQ29</f>
        <v/>
      </c>
      <c r="AI29" s="31" t="str">
        <f>Global!JR29</f>
        <v/>
      </c>
      <c r="AJ29" s="34"/>
      <c r="AK29" s="108">
        <f>COUNTIF(Septembre[[#This Row],[1]:[30]],"RTT")+(COUNTIF(Septembre[[#This Row],[1]:[30]],"dRTT")/2)</f>
        <v>0</v>
      </c>
      <c r="AL29" s="109">
        <f>COUNTIF(Septembre[[#This Row],[1]:[30]],"C")+(COUNTIF(Septembre[[#This Row],[1]:[30]],"DC")/2)</f>
        <v>10</v>
      </c>
      <c r="AM29" s="22">
        <f>COUNTIF(Septembre[[#This Row],[1]:[30]],"M")</f>
        <v>0</v>
      </c>
      <c r="AN29" s="22">
        <f>COUNTIF(Septembre[[#This Row],[1]:[30]],"AT")</f>
        <v>0</v>
      </c>
      <c r="AO29" s="84">
        <f t="shared" si="0"/>
        <v>0.82191780821917804</v>
      </c>
    </row>
    <row r="30" spans="1:41" ht="30" customHeight="1" x14ac:dyDescent="0.2">
      <c r="A30" s="15" t="s">
        <v>86</v>
      </c>
      <c r="B30" s="22" t="s">
        <v>194</v>
      </c>
      <c r="C30" s="22" t="s">
        <v>192</v>
      </c>
      <c r="D30" s="22" t="s">
        <v>195</v>
      </c>
      <c r="E30" s="44" t="s">
        <v>162</v>
      </c>
      <c r="F30" s="47" t="str">
        <f>Global!IO30</f>
        <v/>
      </c>
      <c r="G30" s="31" t="str">
        <f>Global!IP30</f>
        <v/>
      </c>
      <c r="H30" s="31" t="str">
        <f>Global!IQ30</f>
        <v/>
      </c>
      <c r="I30" s="31" t="str">
        <f>Global!IR30</f>
        <v/>
      </c>
      <c r="J30" s="31" t="str">
        <f>Global!IS30</f>
        <v/>
      </c>
      <c r="K30" s="31" t="str">
        <f>Global!IT30</f>
        <v/>
      </c>
      <c r="L30" s="31" t="str">
        <f>Global!IU30</f>
        <v/>
      </c>
      <c r="M30" s="31" t="str">
        <f>Global!IV30</f>
        <v/>
      </c>
      <c r="N30" s="31" t="str">
        <f>Global!IW30</f>
        <v/>
      </c>
      <c r="O30" s="31" t="str">
        <f>Global!IX30</f>
        <v/>
      </c>
      <c r="P30" s="31" t="str">
        <f>Global!IY30</f>
        <v/>
      </c>
      <c r="Q30" s="31" t="str">
        <f>Global!IZ30</f>
        <v/>
      </c>
      <c r="R30" s="31" t="str">
        <f>Global!JA30</f>
        <v/>
      </c>
      <c r="S30" s="31" t="str">
        <f>Global!JB30</f>
        <v/>
      </c>
      <c r="T30" s="31" t="str">
        <f>Global!JC30</f>
        <v/>
      </c>
      <c r="U30" s="31" t="str">
        <f>Global!JD30</f>
        <v/>
      </c>
      <c r="V30" s="31" t="str">
        <f>Global!JE30</f>
        <v/>
      </c>
      <c r="W30" s="31" t="str">
        <f>Global!JF30</f>
        <v/>
      </c>
      <c r="X30" s="31" t="str">
        <f>Global!JG30</f>
        <v/>
      </c>
      <c r="Y30" s="31" t="str">
        <f>Global!JH30</f>
        <v/>
      </c>
      <c r="Z30" s="31" t="str">
        <f>Global!JI30</f>
        <v/>
      </c>
      <c r="AA30" s="31" t="str">
        <f>Global!JJ30</f>
        <v/>
      </c>
      <c r="AB30" s="31" t="str">
        <f>Global!JK30</f>
        <v/>
      </c>
      <c r="AC30" s="31" t="str">
        <f>Global!JL30</f>
        <v/>
      </c>
      <c r="AD30" s="31" t="str">
        <f>Global!JM30</f>
        <v/>
      </c>
      <c r="AE30" s="31" t="str">
        <f>Global!JN30</f>
        <v/>
      </c>
      <c r="AF30" s="31" t="str">
        <f>Global!JO30</f>
        <v/>
      </c>
      <c r="AG30" s="31" t="str">
        <f>Global!JP30</f>
        <v/>
      </c>
      <c r="AH30" s="31" t="str">
        <f>Global!JQ30</f>
        <v/>
      </c>
      <c r="AI30" s="31" t="str">
        <f>Global!JR30</f>
        <v/>
      </c>
      <c r="AJ30" s="34"/>
      <c r="AK30" s="108">
        <f>COUNTIF(Septembre[[#This Row],[1]:[30]],"RTT")+(COUNTIF(Septembre[[#This Row],[1]:[30]],"dRTT")/2)</f>
        <v>0</v>
      </c>
      <c r="AL30" s="109">
        <f>COUNTIF(Septembre[[#This Row],[1]:[30]],"C")+(COUNTIF(Septembre[[#This Row],[1]:[30]],"DC")/2)</f>
        <v>0</v>
      </c>
      <c r="AM30" s="22">
        <f>COUNTIF(Septembre[[#This Row],[1]:[30]],"M")</f>
        <v>0</v>
      </c>
      <c r="AN30" s="22">
        <f>COUNTIF(Septembre[[#This Row],[1]:[30]],"AT")</f>
        <v>0</v>
      </c>
      <c r="AO30" s="84">
        <f t="shared" si="0"/>
        <v>0.82191780821917804</v>
      </c>
    </row>
    <row r="31" spans="1:41" ht="30" customHeight="1" x14ac:dyDescent="0.2">
      <c r="A31" s="15" t="s">
        <v>87</v>
      </c>
      <c r="B31" s="22" t="s">
        <v>196</v>
      </c>
      <c r="C31" s="22" t="s">
        <v>197</v>
      </c>
      <c r="D31" s="22" t="s">
        <v>198</v>
      </c>
      <c r="E31" s="44" t="s">
        <v>162</v>
      </c>
      <c r="F31" s="47" t="str">
        <f>Global!IO31</f>
        <v/>
      </c>
      <c r="G31" s="31" t="str">
        <f>Global!IP31</f>
        <v/>
      </c>
      <c r="H31" s="31" t="str">
        <f>Global!IQ31</f>
        <v/>
      </c>
      <c r="I31" s="31" t="str">
        <f>Global!IR31</f>
        <v/>
      </c>
      <c r="J31" s="31" t="str">
        <f>Global!IS31</f>
        <v/>
      </c>
      <c r="K31" s="31" t="str">
        <f>Global!IT31</f>
        <v/>
      </c>
      <c r="L31" s="31" t="str">
        <f>Global!IU31</f>
        <v/>
      </c>
      <c r="M31" s="31" t="str">
        <f>Global!IV31</f>
        <v/>
      </c>
      <c r="N31" s="31" t="str">
        <f>Global!IW31</f>
        <v/>
      </c>
      <c r="O31" s="31" t="str">
        <f>Global!IX31</f>
        <v/>
      </c>
      <c r="P31" s="31" t="str">
        <f>Global!IY31</f>
        <v/>
      </c>
      <c r="Q31" s="31" t="str">
        <f>Global!IZ31</f>
        <v/>
      </c>
      <c r="R31" s="31" t="str">
        <f>Global!JA31</f>
        <v/>
      </c>
      <c r="S31" s="31" t="str">
        <f>Global!JB31</f>
        <v/>
      </c>
      <c r="T31" s="31" t="str">
        <f>Global!JC31</f>
        <v/>
      </c>
      <c r="U31" s="31" t="str">
        <f>Global!JD31</f>
        <v/>
      </c>
      <c r="V31" s="31" t="str">
        <f>Global!JE31</f>
        <v/>
      </c>
      <c r="W31" s="31" t="str">
        <f>Global!JF31</f>
        <v/>
      </c>
      <c r="X31" s="31" t="str">
        <f>Global!JG31</f>
        <v/>
      </c>
      <c r="Y31" s="31" t="str">
        <f>Global!JH31</f>
        <v/>
      </c>
      <c r="Z31" s="31" t="str">
        <f>Global!JI31</f>
        <v/>
      </c>
      <c r="AA31" s="31" t="str">
        <f>Global!JJ31</f>
        <v/>
      </c>
      <c r="AB31" s="31" t="str">
        <f>Global!JK31</f>
        <v/>
      </c>
      <c r="AC31" s="31" t="str">
        <f>Global!JL31</f>
        <v/>
      </c>
      <c r="AD31" s="31" t="str">
        <f>Global!JM31</f>
        <v/>
      </c>
      <c r="AE31" s="31" t="str">
        <f>Global!JN31</f>
        <v/>
      </c>
      <c r="AF31" s="31" t="str">
        <f>Global!JO31</f>
        <v/>
      </c>
      <c r="AG31" s="31" t="str">
        <f>Global!JP31</f>
        <v/>
      </c>
      <c r="AH31" s="31" t="str">
        <f>Global!JQ31</f>
        <v/>
      </c>
      <c r="AI31" s="31" t="str">
        <f>Global!JR31</f>
        <v/>
      </c>
      <c r="AJ31" s="34"/>
      <c r="AK31" s="108">
        <f>COUNTIF(Septembre[[#This Row],[1]:[30]],"RTT")+(COUNTIF(Septembre[[#This Row],[1]:[30]],"dRTT")/2)</f>
        <v>0</v>
      </c>
      <c r="AL31" s="109">
        <f>COUNTIF(Septembre[[#This Row],[1]:[30]],"C")+(COUNTIF(Septembre[[#This Row],[1]:[30]],"DC")/2)</f>
        <v>0</v>
      </c>
      <c r="AM31" s="22">
        <f>COUNTIF(Septembre[[#This Row],[1]:[30]],"M")</f>
        <v>0</v>
      </c>
      <c r="AN31" s="22">
        <f>COUNTIF(Septembre[[#This Row],[1]:[30]],"AT")</f>
        <v>0</v>
      </c>
      <c r="AO31" s="84">
        <f t="shared" si="0"/>
        <v>0.82191780821917804</v>
      </c>
    </row>
    <row r="32" spans="1:41" ht="30" customHeight="1" x14ac:dyDescent="0.2">
      <c r="A32" s="15" t="s">
        <v>88</v>
      </c>
      <c r="B32" s="22" t="s">
        <v>199</v>
      </c>
      <c r="C32" s="22" t="s">
        <v>200</v>
      </c>
      <c r="D32" s="22" t="s">
        <v>201</v>
      </c>
      <c r="E32" s="44">
        <v>0</v>
      </c>
      <c r="F32" s="47" t="str">
        <f>Global!IO32</f>
        <v/>
      </c>
      <c r="G32" s="31" t="str">
        <f>Global!IP32</f>
        <v/>
      </c>
      <c r="H32" s="31" t="str">
        <f>Global!IQ32</f>
        <v/>
      </c>
      <c r="I32" s="31" t="str">
        <f>Global!IR32</f>
        <v/>
      </c>
      <c r="J32" s="31" t="str">
        <f>Global!IS32</f>
        <v/>
      </c>
      <c r="K32" s="31" t="str">
        <f>Global!IT32</f>
        <v/>
      </c>
      <c r="L32" s="31" t="str">
        <f>Global!IU32</f>
        <v/>
      </c>
      <c r="M32" s="31" t="str">
        <f>Global!IV32</f>
        <v/>
      </c>
      <c r="N32" s="31" t="str">
        <f>Global!IW32</f>
        <v/>
      </c>
      <c r="O32" s="31" t="str">
        <f>Global!IX32</f>
        <v/>
      </c>
      <c r="P32" s="31" t="str">
        <f>Global!IY32</f>
        <v/>
      </c>
      <c r="Q32" s="31" t="str">
        <f>Global!IZ32</f>
        <v/>
      </c>
      <c r="R32" s="31" t="str">
        <f>Global!JA32</f>
        <v/>
      </c>
      <c r="S32" s="31" t="str">
        <f>Global!JB32</f>
        <v/>
      </c>
      <c r="T32" s="31" t="str">
        <f>Global!JC32</f>
        <v/>
      </c>
      <c r="U32" s="31" t="str">
        <f>Global!JD32</f>
        <v/>
      </c>
      <c r="V32" s="31" t="str">
        <f>Global!JE32</f>
        <v/>
      </c>
      <c r="W32" s="31" t="str">
        <f>Global!JF32</f>
        <v/>
      </c>
      <c r="X32" s="31" t="str">
        <f>Global!JG32</f>
        <v/>
      </c>
      <c r="Y32" s="31" t="str">
        <f>Global!JH32</f>
        <v/>
      </c>
      <c r="Z32" s="31" t="str">
        <f>Global!JI32</f>
        <v/>
      </c>
      <c r="AA32" s="31" t="str">
        <f>Global!JJ32</f>
        <v/>
      </c>
      <c r="AB32" s="31" t="str">
        <f>Global!JK32</f>
        <v/>
      </c>
      <c r="AC32" s="31" t="str">
        <f>Global!JL32</f>
        <v/>
      </c>
      <c r="AD32" s="31" t="str">
        <f>Global!JM32</f>
        <v/>
      </c>
      <c r="AE32" s="31" t="str">
        <f>Global!JN32</f>
        <v/>
      </c>
      <c r="AF32" s="31" t="str">
        <f>Global!JO32</f>
        <v/>
      </c>
      <c r="AG32" s="31" t="str">
        <f>Global!JP32</f>
        <v/>
      </c>
      <c r="AH32" s="31" t="str">
        <f>Global!JQ32</f>
        <v/>
      </c>
      <c r="AI32" s="31" t="str">
        <f>Global!JR32</f>
        <v/>
      </c>
      <c r="AJ32" s="34"/>
      <c r="AK32" s="108">
        <f>COUNTIF(Septembre[[#This Row],[1]:[30]],"RTT")+(COUNTIF(Septembre[[#This Row],[1]:[30]],"dRTT")/2)</f>
        <v>0</v>
      </c>
      <c r="AL32" s="109">
        <f>COUNTIF(Septembre[[#This Row],[1]:[30]],"C")+(COUNTIF(Septembre[[#This Row],[1]:[30]],"DC")/2)</f>
        <v>0</v>
      </c>
      <c r="AM32" s="22">
        <f>COUNTIF(Septembre[[#This Row],[1]:[30]],"M")</f>
        <v>0</v>
      </c>
      <c r="AN32" s="22">
        <f>COUNTIF(Septembre[[#This Row],[1]:[30]],"AT")</f>
        <v>0</v>
      </c>
      <c r="AO32" s="84">
        <f t="shared" si="0"/>
        <v>0.82191780821917804</v>
      </c>
    </row>
    <row r="33" spans="1:41" ht="30" customHeight="1" x14ac:dyDescent="0.2">
      <c r="A33" s="13" t="s">
        <v>89</v>
      </c>
      <c r="B33" s="22" t="s">
        <v>202</v>
      </c>
      <c r="C33" s="22" t="s">
        <v>172</v>
      </c>
      <c r="D33" s="22" t="s">
        <v>203</v>
      </c>
      <c r="E33" s="44">
        <v>0</v>
      </c>
      <c r="F33" s="47" t="str">
        <f>Global!IO33</f>
        <v/>
      </c>
      <c r="G33" s="31" t="str">
        <f>Global!IP33</f>
        <v/>
      </c>
      <c r="H33" s="31" t="str">
        <f>Global!IQ33</f>
        <v/>
      </c>
      <c r="I33" s="31" t="str">
        <f>Global!IR33</f>
        <v/>
      </c>
      <c r="J33" s="31" t="str">
        <f>Global!IS33</f>
        <v/>
      </c>
      <c r="K33" s="31" t="str">
        <f>Global!IT33</f>
        <v/>
      </c>
      <c r="L33" s="31" t="str">
        <f>Global!IU33</f>
        <v/>
      </c>
      <c r="M33" s="31" t="str">
        <f>Global!IV33</f>
        <v/>
      </c>
      <c r="N33" s="31" t="str">
        <f>Global!IW33</f>
        <v/>
      </c>
      <c r="O33" s="31" t="str">
        <f>Global!IX33</f>
        <v/>
      </c>
      <c r="P33" s="31" t="str">
        <f>Global!IY33</f>
        <v/>
      </c>
      <c r="Q33" s="31" t="str">
        <f>Global!IZ33</f>
        <v/>
      </c>
      <c r="R33" s="31" t="str">
        <f>Global!JA33</f>
        <v/>
      </c>
      <c r="S33" s="31" t="str">
        <f>Global!JB33</f>
        <v/>
      </c>
      <c r="T33" s="31" t="str">
        <f>Global!JC33</f>
        <v/>
      </c>
      <c r="U33" s="31" t="str">
        <f>Global!JD33</f>
        <v/>
      </c>
      <c r="V33" s="31" t="str">
        <f>Global!JE33</f>
        <v/>
      </c>
      <c r="W33" s="31" t="str">
        <f>Global!JF33</f>
        <v/>
      </c>
      <c r="X33" s="31" t="str">
        <f>Global!JG33</f>
        <v/>
      </c>
      <c r="Y33" s="31" t="str">
        <f>Global!JH33</f>
        <v/>
      </c>
      <c r="Z33" s="31" t="str">
        <f>Global!JI33</f>
        <v/>
      </c>
      <c r="AA33" s="31" t="str">
        <f>Global!JJ33</f>
        <v/>
      </c>
      <c r="AB33" s="31" t="str">
        <f>Global!JK33</f>
        <v/>
      </c>
      <c r="AC33" s="31" t="str">
        <f>Global!JL33</f>
        <v/>
      </c>
      <c r="AD33" s="31" t="str">
        <f>Global!JM33</f>
        <v/>
      </c>
      <c r="AE33" s="31" t="str">
        <f>Global!JN33</f>
        <v/>
      </c>
      <c r="AF33" s="31" t="str">
        <f>Global!JO33</f>
        <v/>
      </c>
      <c r="AG33" s="31" t="str">
        <f>Global!JP33</f>
        <v/>
      </c>
      <c r="AH33" s="31" t="str">
        <f>Global!JQ33</f>
        <v/>
      </c>
      <c r="AI33" s="31" t="str">
        <f>Global!JR33</f>
        <v/>
      </c>
      <c r="AJ33" s="34"/>
      <c r="AK33" s="108">
        <f>COUNTIF(Septembre[[#This Row],[1]:[30]],"RTT")+(COUNTIF(Septembre[[#This Row],[1]:[30]],"dRTT")/2)</f>
        <v>0</v>
      </c>
      <c r="AL33" s="109">
        <f>COUNTIF(Septembre[[#This Row],[1]:[30]],"C")+(COUNTIF(Septembre[[#This Row],[1]:[30]],"DC")/2)</f>
        <v>0</v>
      </c>
      <c r="AM33" s="22">
        <f>COUNTIF(Septembre[[#This Row],[1]:[30]],"M")</f>
        <v>0</v>
      </c>
      <c r="AN33" s="22">
        <f>COUNTIF(Septembre[[#This Row],[1]:[30]],"AT")</f>
        <v>0</v>
      </c>
      <c r="AO33" s="84">
        <f t="shared" si="0"/>
        <v>0.82191780821917804</v>
      </c>
    </row>
    <row r="34" spans="1:41" ht="30" customHeight="1" x14ac:dyDescent="0.2">
      <c r="A34" s="13" t="s">
        <v>90</v>
      </c>
      <c r="B34" s="22" t="s">
        <v>204</v>
      </c>
      <c r="C34" s="22" t="s">
        <v>205</v>
      </c>
      <c r="D34" s="22" t="s">
        <v>206</v>
      </c>
      <c r="E34" s="44" t="s">
        <v>162</v>
      </c>
      <c r="F34" s="47" t="str">
        <f>Global!IO34</f>
        <v/>
      </c>
      <c r="G34" s="31" t="str">
        <f>Global!IP34</f>
        <v/>
      </c>
      <c r="H34" s="31" t="str">
        <f>Global!IQ34</f>
        <v/>
      </c>
      <c r="I34" s="31" t="str">
        <f>Global!IR34</f>
        <v/>
      </c>
      <c r="J34" s="31" t="str">
        <f>Global!IS34</f>
        <v/>
      </c>
      <c r="K34" s="31" t="str">
        <f>Global!IT34</f>
        <v/>
      </c>
      <c r="L34" s="31" t="str">
        <f>Global!IU34</f>
        <v/>
      </c>
      <c r="M34" s="31" t="str">
        <f>Global!IV34</f>
        <v/>
      </c>
      <c r="N34" s="31" t="str">
        <f>Global!IW34</f>
        <v/>
      </c>
      <c r="O34" s="31" t="str">
        <f>Global!IX34</f>
        <v/>
      </c>
      <c r="P34" s="31" t="str">
        <f>Global!IY34</f>
        <v/>
      </c>
      <c r="Q34" s="31" t="str">
        <f>Global!IZ34</f>
        <v/>
      </c>
      <c r="R34" s="31" t="str">
        <f>Global!JA34</f>
        <v/>
      </c>
      <c r="S34" s="31" t="str">
        <f>Global!JB34</f>
        <v/>
      </c>
      <c r="T34" s="31" t="str">
        <f>Global!JC34</f>
        <v/>
      </c>
      <c r="U34" s="31" t="str">
        <f>Global!JD34</f>
        <v/>
      </c>
      <c r="V34" s="31" t="str">
        <f>Global!JE34</f>
        <v/>
      </c>
      <c r="W34" s="31" t="str">
        <f>Global!JF34</f>
        <v/>
      </c>
      <c r="X34" s="31" t="str">
        <f>Global!JG34</f>
        <v/>
      </c>
      <c r="Y34" s="31" t="str">
        <f>Global!JH34</f>
        <v/>
      </c>
      <c r="Z34" s="31" t="str">
        <f>Global!JI34</f>
        <v/>
      </c>
      <c r="AA34" s="31" t="str">
        <f>Global!JJ34</f>
        <v/>
      </c>
      <c r="AB34" s="31" t="str">
        <f>Global!JK34</f>
        <v/>
      </c>
      <c r="AC34" s="31" t="str">
        <f>Global!JL34</f>
        <v/>
      </c>
      <c r="AD34" s="31" t="str">
        <f>Global!JM34</f>
        <v/>
      </c>
      <c r="AE34" s="31" t="str">
        <f>Global!JN34</f>
        <v/>
      </c>
      <c r="AF34" s="31" t="str">
        <f>Global!JO34</f>
        <v/>
      </c>
      <c r="AG34" s="31" t="str">
        <f>Global!JP34</f>
        <v/>
      </c>
      <c r="AH34" s="31" t="str">
        <f>Global!JQ34</f>
        <v/>
      </c>
      <c r="AI34" s="31" t="str">
        <f>Global!JR34</f>
        <v/>
      </c>
      <c r="AJ34" s="34"/>
      <c r="AK34" s="108">
        <f>COUNTIF(Septembre[[#This Row],[1]:[30]],"RTT")+(COUNTIF(Septembre[[#This Row],[1]:[30]],"dRTT")/2)</f>
        <v>0</v>
      </c>
      <c r="AL34" s="109">
        <f>COUNTIF(Septembre[[#This Row],[1]:[30]],"C")+(COUNTIF(Septembre[[#This Row],[1]:[30]],"DC")/2)</f>
        <v>0</v>
      </c>
      <c r="AM34" s="22">
        <f>COUNTIF(Septembre[[#This Row],[1]:[30]],"M")</f>
        <v>0</v>
      </c>
      <c r="AN34" s="22">
        <f>COUNTIF(Septembre[[#This Row],[1]:[30]],"AT")</f>
        <v>0</v>
      </c>
      <c r="AO34" s="84">
        <f t="shared" si="0"/>
        <v>0.82191780821917804</v>
      </c>
    </row>
    <row r="35" spans="1:41" ht="30" customHeight="1" x14ac:dyDescent="0.2">
      <c r="A35" s="13" t="s">
        <v>91</v>
      </c>
      <c r="B35" s="22" t="s">
        <v>207</v>
      </c>
      <c r="C35" s="22" t="s">
        <v>208</v>
      </c>
      <c r="D35" s="22" t="s">
        <v>209</v>
      </c>
      <c r="E35" s="44" t="s">
        <v>162</v>
      </c>
      <c r="F35" s="47" t="str">
        <f>Global!IO35</f>
        <v/>
      </c>
      <c r="G35" s="31" t="str">
        <f>Global!IP35</f>
        <v/>
      </c>
      <c r="H35" s="31" t="str">
        <f>Global!IQ35</f>
        <v/>
      </c>
      <c r="I35" s="31" t="str">
        <f>Global!IR35</f>
        <v/>
      </c>
      <c r="J35" s="31" t="str">
        <f>Global!IS35</f>
        <v/>
      </c>
      <c r="K35" s="31" t="str">
        <f>Global!IT35</f>
        <v/>
      </c>
      <c r="L35" s="31" t="str">
        <f>Global!IU35</f>
        <v/>
      </c>
      <c r="M35" s="31" t="str">
        <f>Global!IV35</f>
        <v/>
      </c>
      <c r="N35" s="31" t="str">
        <f>Global!IW35</f>
        <v/>
      </c>
      <c r="O35" s="31" t="str">
        <f>Global!IX35</f>
        <v/>
      </c>
      <c r="P35" s="31" t="str">
        <f>Global!IY35</f>
        <v/>
      </c>
      <c r="Q35" s="31" t="str">
        <f>Global!IZ35</f>
        <v/>
      </c>
      <c r="R35" s="31" t="str">
        <f>Global!JA35</f>
        <v/>
      </c>
      <c r="S35" s="31" t="str">
        <f>Global!JB35</f>
        <v/>
      </c>
      <c r="T35" s="31" t="str">
        <f>Global!JC35</f>
        <v/>
      </c>
      <c r="U35" s="31" t="str">
        <f>Global!JD35</f>
        <v/>
      </c>
      <c r="V35" s="31" t="str">
        <f>Global!JE35</f>
        <v/>
      </c>
      <c r="W35" s="31" t="str">
        <f>Global!JF35</f>
        <v/>
      </c>
      <c r="X35" s="31" t="str">
        <f>Global!JG35</f>
        <v/>
      </c>
      <c r="Y35" s="31" t="str">
        <f>Global!JH35</f>
        <v/>
      </c>
      <c r="Z35" s="31" t="str">
        <f>Global!JI35</f>
        <v/>
      </c>
      <c r="AA35" s="31" t="str">
        <f>Global!JJ35</f>
        <v/>
      </c>
      <c r="AB35" s="31" t="str">
        <f>Global!JK35</f>
        <v/>
      </c>
      <c r="AC35" s="31" t="str">
        <f>Global!JL35</f>
        <v/>
      </c>
      <c r="AD35" s="31" t="str">
        <f>Global!JM35</f>
        <v/>
      </c>
      <c r="AE35" s="31" t="str">
        <f>Global!JN35</f>
        <v/>
      </c>
      <c r="AF35" s="31" t="str">
        <f>Global!JO35</f>
        <v/>
      </c>
      <c r="AG35" s="31" t="str">
        <f>Global!JP35</f>
        <v/>
      </c>
      <c r="AH35" s="31" t="str">
        <f>Global!JQ35</f>
        <v/>
      </c>
      <c r="AI35" s="31" t="str">
        <f>Global!JR35</f>
        <v/>
      </c>
      <c r="AJ35" s="34"/>
      <c r="AK35" s="108">
        <f>COUNTIF(Septembre[[#This Row],[1]:[30]],"RTT")+(COUNTIF(Septembre[[#This Row],[1]:[30]],"dRTT")/2)</f>
        <v>0</v>
      </c>
      <c r="AL35" s="109">
        <f>COUNTIF(Septembre[[#This Row],[1]:[30]],"C")+(COUNTIF(Septembre[[#This Row],[1]:[30]],"DC")/2)</f>
        <v>0</v>
      </c>
      <c r="AM35" s="22">
        <f>COUNTIF(Septembre[[#This Row],[1]:[30]],"M")</f>
        <v>0</v>
      </c>
      <c r="AN35" s="22">
        <f>COUNTIF(Septembre[[#This Row],[1]:[30]],"AT")</f>
        <v>0</v>
      </c>
      <c r="AO35" s="84">
        <f t="shared" si="0"/>
        <v>0.82191780821917804</v>
      </c>
    </row>
    <row r="36" spans="1:41" ht="30" customHeight="1" x14ac:dyDescent="0.2">
      <c r="A36" s="13" t="s">
        <v>92</v>
      </c>
      <c r="B36" s="22" t="s">
        <v>210</v>
      </c>
      <c r="C36" s="22" t="s">
        <v>211</v>
      </c>
      <c r="D36" s="22" t="s">
        <v>212</v>
      </c>
      <c r="E36" s="44">
        <v>0</v>
      </c>
      <c r="F36" s="47" t="str">
        <f>Global!IO36</f>
        <v/>
      </c>
      <c r="G36" s="31" t="str">
        <f>Global!IP36</f>
        <v/>
      </c>
      <c r="H36" s="31" t="str">
        <f>Global!IQ36</f>
        <v/>
      </c>
      <c r="I36" s="31" t="str">
        <f>Global!IR36</f>
        <v/>
      </c>
      <c r="J36" s="31" t="str">
        <f>Global!IS36</f>
        <v/>
      </c>
      <c r="K36" s="31" t="str">
        <f>Global!IT36</f>
        <v/>
      </c>
      <c r="L36" s="31" t="str">
        <f>Global!IU36</f>
        <v/>
      </c>
      <c r="M36" s="31" t="str">
        <f>Global!IV36</f>
        <v/>
      </c>
      <c r="N36" s="31" t="str">
        <f>Global!IW36</f>
        <v/>
      </c>
      <c r="O36" s="31" t="str">
        <f>Global!IX36</f>
        <v/>
      </c>
      <c r="P36" s="31" t="str">
        <f>Global!IY36</f>
        <v/>
      </c>
      <c r="Q36" s="31" t="str">
        <f>Global!IZ36</f>
        <v/>
      </c>
      <c r="R36" s="31" t="str">
        <f>Global!JA36</f>
        <v/>
      </c>
      <c r="S36" s="31" t="str">
        <f>Global!JB36</f>
        <v/>
      </c>
      <c r="T36" s="31" t="str">
        <f>Global!JC36</f>
        <v/>
      </c>
      <c r="U36" s="31" t="str">
        <f>Global!JD36</f>
        <v/>
      </c>
      <c r="V36" s="31" t="str">
        <f>Global!JE36</f>
        <v/>
      </c>
      <c r="W36" s="31" t="str">
        <f>Global!JF36</f>
        <v/>
      </c>
      <c r="X36" s="31" t="str">
        <f>Global!JG36</f>
        <v/>
      </c>
      <c r="Y36" s="31" t="str">
        <f>Global!JH36</f>
        <v/>
      </c>
      <c r="Z36" s="31" t="str">
        <f>Global!JI36</f>
        <v/>
      </c>
      <c r="AA36" s="31" t="str">
        <f>Global!JJ36</f>
        <v/>
      </c>
      <c r="AB36" s="31" t="str">
        <f>Global!JK36</f>
        <v/>
      </c>
      <c r="AC36" s="31" t="str">
        <f>Global!JL36</f>
        <v/>
      </c>
      <c r="AD36" s="31" t="str">
        <f>Global!JM36</f>
        <v/>
      </c>
      <c r="AE36" s="31" t="str">
        <f>Global!JN36</f>
        <v/>
      </c>
      <c r="AF36" s="31" t="str">
        <f>Global!JO36</f>
        <v/>
      </c>
      <c r="AG36" s="31" t="str">
        <f>Global!JP36</f>
        <v/>
      </c>
      <c r="AH36" s="31" t="str">
        <f>Global!JQ36</f>
        <v/>
      </c>
      <c r="AI36" s="31" t="str">
        <f>Global!JR36</f>
        <v/>
      </c>
      <c r="AJ36" s="34"/>
      <c r="AK36" s="108">
        <f>COUNTIF(Septembre[[#This Row],[1]:[30]],"RTT")+(COUNTIF(Septembre[[#This Row],[1]:[30]],"dRTT")/2)</f>
        <v>0</v>
      </c>
      <c r="AL36" s="109">
        <f>COUNTIF(Septembre[[#This Row],[1]:[30]],"C")+(COUNTIF(Septembre[[#This Row],[1]:[30]],"DC")/2)</f>
        <v>0</v>
      </c>
      <c r="AM36" s="22">
        <f>COUNTIF(Septembre[[#This Row],[1]:[30]],"M")</f>
        <v>0</v>
      </c>
      <c r="AN36" s="22">
        <f>COUNTIF(Septembre[[#This Row],[1]:[30]],"AT")</f>
        <v>0</v>
      </c>
      <c r="AO36" s="84">
        <f t="shared" si="0"/>
        <v>0.82191780821917804</v>
      </c>
    </row>
    <row r="37" spans="1:41" ht="30" customHeight="1" x14ac:dyDescent="0.2">
      <c r="A37" s="13" t="s">
        <v>93</v>
      </c>
      <c r="B37" s="22" t="s">
        <v>213</v>
      </c>
      <c r="C37" s="22" t="s">
        <v>148</v>
      </c>
      <c r="D37" s="22" t="s">
        <v>214</v>
      </c>
      <c r="E37" s="44">
        <v>0</v>
      </c>
      <c r="F37" s="47" t="str">
        <f>Global!IO37</f>
        <v/>
      </c>
      <c r="G37" s="31" t="str">
        <f>Global!IP37</f>
        <v/>
      </c>
      <c r="H37" s="31" t="str">
        <f>Global!IQ37</f>
        <v/>
      </c>
      <c r="I37" s="31" t="str">
        <f>Global!IR37</f>
        <v/>
      </c>
      <c r="J37" s="31" t="str">
        <f>Global!IS37</f>
        <v/>
      </c>
      <c r="K37" s="31" t="str">
        <f>Global!IT37</f>
        <v/>
      </c>
      <c r="L37" s="31" t="str">
        <f>Global!IU37</f>
        <v/>
      </c>
      <c r="M37" s="31" t="str">
        <f>Global!IV37</f>
        <v/>
      </c>
      <c r="N37" s="31" t="str">
        <f>Global!IW37</f>
        <v/>
      </c>
      <c r="O37" s="31" t="str">
        <f>Global!IX37</f>
        <v/>
      </c>
      <c r="P37" s="31" t="str">
        <f>Global!IY37</f>
        <v/>
      </c>
      <c r="Q37" s="31" t="str">
        <f>Global!IZ37</f>
        <v/>
      </c>
      <c r="R37" s="31" t="str">
        <f>Global!JA37</f>
        <v/>
      </c>
      <c r="S37" s="31" t="str">
        <f>Global!JB37</f>
        <v/>
      </c>
      <c r="T37" s="31" t="str">
        <f>Global!JC37</f>
        <v/>
      </c>
      <c r="U37" s="31" t="str">
        <f>Global!JD37</f>
        <v/>
      </c>
      <c r="V37" s="31" t="str">
        <f>Global!JE37</f>
        <v/>
      </c>
      <c r="W37" s="31" t="str">
        <f>Global!JF37</f>
        <v/>
      </c>
      <c r="X37" s="31" t="str">
        <f>Global!JG37</f>
        <v/>
      </c>
      <c r="Y37" s="31" t="str">
        <f>Global!JH37</f>
        <v/>
      </c>
      <c r="Z37" s="31" t="str">
        <f>Global!JI37</f>
        <v/>
      </c>
      <c r="AA37" s="31" t="str">
        <f>Global!JJ37</f>
        <v/>
      </c>
      <c r="AB37" s="31" t="str">
        <f>Global!JK37</f>
        <v/>
      </c>
      <c r="AC37" s="31" t="str">
        <f>Global!JL37</f>
        <v/>
      </c>
      <c r="AD37" s="31" t="str">
        <f>Global!JM37</f>
        <v/>
      </c>
      <c r="AE37" s="31" t="str">
        <f>Global!JN37</f>
        <v/>
      </c>
      <c r="AF37" s="31" t="str">
        <f>Global!JO37</f>
        <v/>
      </c>
      <c r="AG37" s="31" t="str">
        <f>Global!JP37</f>
        <v/>
      </c>
      <c r="AH37" s="31" t="str">
        <f>Global!JQ37</f>
        <v/>
      </c>
      <c r="AI37" s="31" t="str">
        <f>Global!JR37</f>
        <v/>
      </c>
      <c r="AJ37" s="34"/>
      <c r="AK37" s="108">
        <f>COUNTIF(Septembre[[#This Row],[1]:[30]],"RTT")+(COUNTIF(Septembre[[#This Row],[1]:[30]],"dRTT")/2)</f>
        <v>0</v>
      </c>
      <c r="AL37" s="109">
        <f>COUNTIF(Septembre[[#This Row],[1]:[30]],"C")+(COUNTIF(Septembre[[#This Row],[1]:[30]],"DC")/2)</f>
        <v>0</v>
      </c>
      <c r="AM37" s="22">
        <f>COUNTIF(Septembre[[#This Row],[1]:[30]],"M")</f>
        <v>0</v>
      </c>
      <c r="AN37" s="22">
        <f>COUNTIF(Septembre[[#This Row],[1]:[30]],"AT")</f>
        <v>0</v>
      </c>
      <c r="AO37" s="84">
        <f t="shared" si="0"/>
        <v>0.82191780821917804</v>
      </c>
    </row>
    <row r="38" spans="1:41" ht="30" customHeight="1" x14ac:dyDescent="0.2">
      <c r="A38" s="13" t="s">
        <v>94</v>
      </c>
      <c r="B38" s="22" t="s">
        <v>215</v>
      </c>
      <c r="C38" s="22" t="s">
        <v>216</v>
      </c>
      <c r="D38" s="22" t="s">
        <v>217</v>
      </c>
      <c r="E38" s="44">
        <v>0</v>
      </c>
      <c r="F38" s="47" t="str">
        <f>Global!IO38</f>
        <v/>
      </c>
      <c r="G38" s="31" t="str">
        <f>Global!IP38</f>
        <v/>
      </c>
      <c r="H38" s="31" t="str">
        <f>Global!IQ38</f>
        <v/>
      </c>
      <c r="I38" s="31" t="str">
        <f>Global!IR38</f>
        <v/>
      </c>
      <c r="J38" s="31" t="str">
        <f>Global!IS38</f>
        <v/>
      </c>
      <c r="K38" s="31" t="str">
        <f>Global!IT38</f>
        <v/>
      </c>
      <c r="L38" s="31" t="str">
        <f>Global!IU38</f>
        <v/>
      </c>
      <c r="M38" s="31" t="str">
        <f>Global!IV38</f>
        <v/>
      </c>
      <c r="N38" s="31" t="str">
        <f>Global!IW38</f>
        <v/>
      </c>
      <c r="O38" s="31" t="str">
        <f>Global!IX38</f>
        <v/>
      </c>
      <c r="P38" s="31" t="str">
        <f>Global!IY38</f>
        <v/>
      </c>
      <c r="Q38" s="31" t="str">
        <f>Global!IZ38</f>
        <v/>
      </c>
      <c r="R38" s="31" t="str">
        <f>Global!JA38</f>
        <v/>
      </c>
      <c r="S38" s="31" t="str">
        <f>Global!JB38</f>
        <v/>
      </c>
      <c r="T38" s="31" t="str">
        <f>Global!JC38</f>
        <v/>
      </c>
      <c r="U38" s="31" t="str">
        <f>Global!JD38</f>
        <v/>
      </c>
      <c r="V38" s="31" t="str">
        <f>Global!JE38</f>
        <v/>
      </c>
      <c r="W38" s="31" t="str">
        <f>Global!JF38</f>
        <v/>
      </c>
      <c r="X38" s="31" t="str">
        <f>Global!JG38</f>
        <v/>
      </c>
      <c r="Y38" s="31" t="str">
        <f>Global!JH38</f>
        <v/>
      </c>
      <c r="Z38" s="31" t="str">
        <f>Global!JI38</f>
        <v/>
      </c>
      <c r="AA38" s="31" t="str">
        <f>Global!JJ38</f>
        <v/>
      </c>
      <c r="AB38" s="31" t="str">
        <f>Global!JK38</f>
        <v/>
      </c>
      <c r="AC38" s="31" t="str">
        <f>Global!JL38</f>
        <v/>
      </c>
      <c r="AD38" s="31" t="str">
        <f>Global!JM38</f>
        <v/>
      </c>
      <c r="AE38" s="31" t="str">
        <f>Global!JN38</f>
        <v/>
      </c>
      <c r="AF38" s="31" t="str">
        <f>Global!JO38</f>
        <v/>
      </c>
      <c r="AG38" s="31" t="str">
        <f>Global!JP38</f>
        <v/>
      </c>
      <c r="AH38" s="31" t="str">
        <f>Global!JQ38</f>
        <v/>
      </c>
      <c r="AI38" s="31" t="str">
        <f>Global!JR38</f>
        <v/>
      </c>
      <c r="AJ38" s="34"/>
      <c r="AK38" s="108">
        <f>COUNTIF(Septembre[[#This Row],[1]:[30]],"RTT")+(COUNTIF(Septembre[[#This Row],[1]:[30]],"dRTT")/2)</f>
        <v>0</v>
      </c>
      <c r="AL38" s="109">
        <f>COUNTIF(Septembre[[#This Row],[1]:[30]],"C")+(COUNTIF(Septembre[[#This Row],[1]:[30]],"DC")/2)</f>
        <v>0</v>
      </c>
      <c r="AM38" s="22">
        <f>COUNTIF(Septembre[[#This Row],[1]:[30]],"M")</f>
        <v>0</v>
      </c>
      <c r="AN38" s="22">
        <f>COUNTIF(Septembre[[#This Row],[1]:[30]],"AT")</f>
        <v>0</v>
      </c>
      <c r="AO38" s="84">
        <f t="shared" si="0"/>
        <v>0.82191780821917804</v>
      </c>
    </row>
    <row r="39" spans="1:41" ht="30" customHeight="1" x14ac:dyDescent="0.2">
      <c r="A39" s="16" t="s">
        <v>95</v>
      </c>
      <c r="B39" s="22" t="s">
        <v>218</v>
      </c>
      <c r="C39" s="22" t="s">
        <v>219</v>
      </c>
      <c r="D39" s="22" t="s">
        <v>220</v>
      </c>
      <c r="E39" s="44">
        <v>0</v>
      </c>
      <c r="F39" s="47" t="str">
        <f>Global!IO39</f>
        <v/>
      </c>
      <c r="G39" s="31" t="str">
        <f>Global!IP39</f>
        <v/>
      </c>
      <c r="H39" s="31" t="str">
        <f>Global!IQ39</f>
        <v/>
      </c>
      <c r="I39" s="31" t="str">
        <f>Global!IR39</f>
        <v/>
      </c>
      <c r="J39" s="31" t="str">
        <f>Global!IS39</f>
        <v/>
      </c>
      <c r="K39" s="31" t="str">
        <f>Global!IT39</f>
        <v/>
      </c>
      <c r="L39" s="31" t="str">
        <f>Global!IU39</f>
        <v/>
      </c>
      <c r="M39" s="31" t="str">
        <f>Global!IV39</f>
        <v/>
      </c>
      <c r="N39" s="31" t="str">
        <f>Global!IW39</f>
        <v/>
      </c>
      <c r="O39" s="31" t="str">
        <f>Global!IX39</f>
        <v/>
      </c>
      <c r="P39" s="31" t="str">
        <f>Global!IY39</f>
        <v/>
      </c>
      <c r="Q39" s="31" t="str">
        <f>Global!IZ39</f>
        <v/>
      </c>
      <c r="R39" s="31" t="str">
        <f>Global!JA39</f>
        <v/>
      </c>
      <c r="S39" s="31" t="str">
        <f>Global!JB39</f>
        <v/>
      </c>
      <c r="T39" s="31" t="str">
        <f>Global!JC39</f>
        <v/>
      </c>
      <c r="U39" s="31" t="str">
        <f>Global!JD39</f>
        <v/>
      </c>
      <c r="V39" s="31" t="str">
        <f>Global!JE39</f>
        <v/>
      </c>
      <c r="W39" s="31" t="str">
        <f>Global!JF39</f>
        <v/>
      </c>
      <c r="X39" s="31" t="str">
        <f>Global!JG39</f>
        <v/>
      </c>
      <c r="Y39" s="31" t="str">
        <f>Global!JH39</f>
        <v/>
      </c>
      <c r="Z39" s="31" t="str">
        <f>Global!JI39</f>
        <v/>
      </c>
      <c r="AA39" s="31" t="str">
        <f>Global!JJ39</f>
        <v/>
      </c>
      <c r="AB39" s="31" t="str">
        <f>Global!JK39</f>
        <v/>
      </c>
      <c r="AC39" s="31" t="str">
        <f>Global!JL39</f>
        <v/>
      </c>
      <c r="AD39" s="31" t="str">
        <f>Global!JM39</f>
        <v/>
      </c>
      <c r="AE39" s="31" t="str">
        <f>Global!JN39</f>
        <v/>
      </c>
      <c r="AF39" s="31" t="str">
        <f>Global!JO39</f>
        <v/>
      </c>
      <c r="AG39" s="31" t="str">
        <f>Global!JP39</f>
        <v/>
      </c>
      <c r="AH39" s="31" t="str">
        <f>Global!JQ39</f>
        <v/>
      </c>
      <c r="AI39" s="31" t="str">
        <f>Global!JR39</f>
        <v/>
      </c>
      <c r="AJ39" s="34"/>
      <c r="AK39" s="108">
        <f>COUNTIF(Septembre[[#This Row],[1]:[30]],"RTT")+(COUNTIF(Septembre[[#This Row],[1]:[30]],"dRTT")/2)</f>
        <v>0</v>
      </c>
      <c r="AL39" s="109">
        <f>COUNTIF(Septembre[[#This Row],[1]:[30]],"C")+(COUNTIF(Septembre[[#This Row],[1]:[30]],"DC")/2)</f>
        <v>0</v>
      </c>
      <c r="AM39" s="22">
        <f>COUNTIF(Septembre[[#This Row],[1]:[30]],"M")</f>
        <v>0</v>
      </c>
      <c r="AN39" s="22">
        <f>COUNTIF(Septembre[[#This Row],[1]:[30]],"AT")</f>
        <v>0</v>
      </c>
      <c r="AO39" s="84">
        <f t="shared" si="0"/>
        <v>0.82191780821917804</v>
      </c>
    </row>
    <row r="40" spans="1:41" ht="30" customHeight="1" x14ac:dyDescent="0.2">
      <c r="A40" s="15" t="s">
        <v>96</v>
      </c>
      <c r="B40" s="22" t="s">
        <v>221</v>
      </c>
      <c r="C40" s="22" t="s">
        <v>222</v>
      </c>
      <c r="D40" s="22" t="s">
        <v>223</v>
      </c>
      <c r="E40" s="44">
        <v>0</v>
      </c>
      <c r="F40" s="47" t="str">
        <f>Global!IO40</f>
        <v/>
      </c>
      <c r="G40" s="31" t="str">
        <f>Global!IP40</f>
        <v/>
      </c>
      <c r="H40" s="31" t="str">
        <f>Global!IQ40</f>
        <v>C</v>
      </c>
      <c r="I40" s="31" t="str">
        <f>Global!IR40</f>
        <v>C</v>
      </c>
      <c r="J40" s="31" t="str">
        <f>Global!IS40</f>
        <v>C</v>
      </c>
      <c r="K40" s="31" t="str">
        <f>Global!IT40</f>
        <v>C</v>
      </c>
      <c r="L40" s="31" t="str">
        <f>Global!IU40</f>
        <v>C</v>
      </c>
      <c r="M40" s="31" t="str">
        <f>Global!IV40</f>
        <v/>
      </c>
      <c r="N40" s="31" t="str">
        <f>Global!IW40</f>
        <v/>
      </c>
      <c r="O40" s="31" t="str">
        <f>Global!IX40</f>
        <v>C</v>
      </c>
      <c r="P40" s="31" t="str">
        <f>Global!IY40</f>
        <v>C</v>
      </c>
      <c r="Q40" s="31" t="str">
        <f>Global!IZ40</f>
        <v>C</v>
      </c>
      <c r="R40" s="31" t="str">
        <f>Global!JA40</f>
        <v>C</v>
      </c>
      <c r="S40" s="31" t="str">
        <f>Global!JB40</f>
        <v>C</v>
      </c>
      <c r="T40" s="31" t="str">
        <f>Global!JC40</f>
        <v/>
      </c>
      <c r="U40" s="31" t="str">
        <f>Global!JD40</f>
        <v/>
      </c>
      <c r="V40" s="31" t="str">
        <f>Global!JE40</f>
        <v/>
      </c>
      <c r="W40" s="31" t="str">
        <f>Global!JF40</f>
        <v/>
      </c>
      <c r="X40" s="31" t="str">
        <f>Global!JG40</f>
        <v/>
      </c>
      <c r="Y40" s="31" t="str">
        <f>Global!JH40</f>
        <v/>
      </c>
      <c r="Z40" s="31" t="str">
        <f>Global!JI40</f>
        <v/>
      </c>
      <c r="AA40" s="31" t="str">
        <f>Global!JJ40</f>
        <v/>
      </c>
      <c r="AB40" s="31" t="str">
        <f>Global!JK40</f>
        <v/>
      </c>
      <c r="AC40" s="31" t="str">
        <f>Global!JL40</f>
        <v/>
      </c>
      <c r="AD40" s="31" t="str">
        <f>Global!JM40</f>
        <v/>
      </c>
      <c r="AE40" s="31" t="str">
        <f>Global!JN40</f>
        <v/>
      </c>
      <c r="AF40" s="31" t="str">
        <f>Global!JO40</f>
        <v/>
      </c>
      <c r="AG40" s="31" t="str">
        <f>Global!JP40</f>
        <v/>
      </c>
      <c r="AH40" s="31" t="str">
        <f>Global!JQ40</f>
        <v/>
      </c>
      <c r="AI40" s="31" t="str">
        <f>Global!JR40</f>
        <v/>
      </c>
      <c r="AJ40" s="34"/>
      <c r="AK40" s="108">
        <f>COUNTIF(Septembre[[#This Row],[1]:[30]],"RTT")+(COUNTIF(Septembre[[#This Row],[1]:[30]],"dRTT")/2)</f>
        <v>0</v>
      </c>
      <c r="AL40" s="109">
        <f>COUNTIF(Septembre[[#This Row],[1]:[30]],"C")+(COUNTIF(Septembre[[#This Row],[1]:[30]],"DC")/2)</f>
        <v>10</v>
      </c>
      <c r="AM40" s="22">
        <f>COUNTIF(Septembre[[#This Row],[1]:[30]],"M")</f>
        <v>0</v>
      </c>
      <c r="AN40" s="22">
        <f>COUNTIF(Septembre[[#This Row],[1]:[30]],"AT")</f>
        <v>0</v>
      </c>
      <c r="AO40" s="84">
        <f t="shared" si="0"/>
        <v>0.82191780821917804</v>
      </c>
    </row>
    <row r="41" spans="1:41" ht="30" customHeight="1" x14ac:dyDescent="0.2">
      <c r="A41" s="15" t="s">
        <v>97</v>
      </c>
      <c r="B41" s="22" t="s">
        <v>224</v>
      </c>
      <c r="C41" s="22" t="s">
        <v>225</v>
      </c>
      <c r="D41" s="22" t="s">
        <v>226</v>
      </c>
      <c r="E41" s="44">
        <v>0</v>
      </c>
      <c r="F41" s="47" t="str">
        <f>Global!IO41</f>
        <v/>
      </c>
      <c r="G41" s="31" t="str">
        <f>Global!IP41</f>
        <v/>
      </c>
      <c r="H41" s="31" t="str">
        <f>Global!IQ41</f>
        <v/>
      </c>
      <c r="I41" s="31" t="str">
        <f>Global!IR41</f>
        <v/>
      </c>
      <c r="J41" s="31" t="str">
        <f>Global!IS41</f>
        <v/>
      </c>
      <c r="K41" s="31" t="str">
        <f>Global!IT41</f>
        <v/>
      </c>
      <c r="L41" s="31" t="str">
        <f>Global!IU41</f>
        <v/>
      </c>
      <c r="M41" s="31" t="str">
        <f>Global!IV41</f>
        <v/>
      </c>
      <c r="N41" s="31" t="str">
        <f>Global!IW41</f>
        <v/>
      </c>
      <c r="O41" s="31" t="str">
        <f>Global!IX41</f>
        <v/>
      </c>
      <c r="P41" s="31" t="str">
        <f>Global!IY41</f>
        <v/>
      </c>
      <c r="Q41" s="31" t="str">
        <f>Global!IZ41</f>
        <v/>
      </c>
      <c r="R41" s="31" t="str">
        <f>Global!JA41</f>
        <v/>
      </c>
      <c r="S41" s="31" t="str">
        <f>Global!JB41</f>
        <v/>
      </c>
      <c r="T41" s="31" t="str">
        <f>Global!JC41</f>
        <v/>
      </c>
      <c r="U41" s="31" t="str">
        <f>Global!JD41</f>
        <v/>
      </c>
      <c r="V41" s="31" t="str">
        <f>Global!JE41</f>
        <v/>
      </c>
      <c r="W41" s="31" t="str">
        <f>Global!JF41</f>
        <v/>
      </c>
      <c r="X41" s="31" t="str">
        <f>Global!JG41</f>
        <v/>
      </c>
      <c r="Y41" s="31" t="str">
        <f>Global!JH41</f>
        <v/>
      </c>
      <c r="Z41" s="31" t="str">
        <f>Global!JI41</f>
        <v/>
      </c>
      <c r="AA41" s="31" t="str">
        <f>Global!JJ41</f>
        <v/>
      </c>
      <c r="AB41" s="31" t="str">
        <f>Global!JK41</f>
        <v/>
      </c>
      <c r="AC41" s="31" t="str">
        <f>Global!JL41</f>
        <v/>
      </c>
      <c r="AD41" s="31" t="str">
        <f>Global!JM41</f>
        <v/>
      </c>
      <c r="AE41" s="31" t="str">
        <f>Global!JN41</f>
        <v/>
      </c>
      <c r="AF41" s="31" t="str">
        <f>Global!JO41</f>
        <v/>
      </c>
      <c r="AG41" s="31" t="str">
        <f>Global!JP41</f>
        <v/>
      </c>
      <c r="AH41" s="31" t="str">
        <f>Global!JQ41</f>
        <v/>
      </c>
      <c r="AI41" s="31" t="str">
        <f>Global!JR41</f>
        <v/>
      </c>
      <c r="AJ41" s="34"/>
      <c r="AK41" s="108">
        <f>COUNTIF(Septembre[[#This Row],[1]:[30]],"RTT")+(COUNTIF(Septembre[[#This Row],[1]:[30]],"dRTT")/2)</f>
        <v>0</v>
      </c>
      <c r="AL41" s="109">
        <f>COUNTIF(Septembre[[#This Row],[1]:[30]],"C")+(COUNTIF(Septembre[[#This Row],[1]:[30]],"DC")/2)</f>
        <v>0</v>
      </c>
      <c r="AM41" s="22">
        <f>COUNTIF(Septembre[[#This Row],[1]:[30]],"M")</f>
        <v>0</v>
      </c>
      <c r="AN41" s="22">
        <f>COUNTIF(Septembre[[#This Row],[1]:[30]],"AT")</f>
        <v>0</v>
      </c>
      <c r="AO41" s="84">
        <f t="shared" si="0"/>
        <v>0.82191780821917804</v>
      </c>
    </row>
    <row r="42" spans="1:41" ht="30" customHeight="1" x14ac:dyDescent="0.2">
      <c r="A42" s="13" t="s">
        <v>98</v>
      </c>
      <c r="B42" s="22" t="s">
        <v>227</v>
      </c>
      <c r="C42" s="22" t="s">
        <v>228</v>
      </c>
      <c r="D42" s="22" t="s">
        <v>229</v>
      </c>
      <c r="E42" s="44">
        <v>0</v>
      </c>
      <c r="F42" s="47" t="str">
        <f>Global!IO42</f>
        <v/>
      </c>
      <c r="G42" s="31" t="str">
        <f>Global!IP42</f>
        <v/>
      </c>
      <c r="H42" s="31" t="str">
        <f>Global!IQ42</f>
        <v/>
      </c>
      <c r="I42" s="31" t="str">
        <f>Global!IR42</f>
        <v/>
      </c>
      <c r="J42" s="31" t="str">
        <f>Global!IS42</f>
        <v/>
      </c>
      <c r="K42" s="31" t="str">
        <f>Global!IT42</f>
        <v/>
      </c>
      <c r="L42" s="31" t="str">
        <f>Global!IU42</f>
        <v/>
      </c>
      <c r="M42" s="31" t="str">
        <f>Global!IV42</f>
        <v/>
      </c>
      <c r="N42" s="31" t="str">
        <f>Global!IW42</f>
        <v/>
      </c>
      <c r="O42" s="31" t="str">
        <f>Global!IX42</f>
        <v/>
      </c>
      <c r="P42" s="31" t="str">
        <f>Global!IY42</f>
        <v/>
      </c>
      <c r="Q42" s="31" t="str">
        <f>Global!IZ42</f>
        <v/>
      </c>
      <c r="R42" s="31" t="str">
        <f>Global!JA42</f>
        <v/>
      </c>
      <c r="S42" s="31" t="str">
        <f>Global!JB42</f>
        <v/>
      </c>
      <c r="T42" s="31" t="str">
        <f>Global!JC42</f>
        <v/>
      </c>
      <c r="U42" s="31" t="str">
        <f>Global!JD42</f>
        <v/>
      </c>
      <c r="V42" s="31" t="str">
        <f>Global!JE42</f>
        <v/>
      </c>
      <c r="W42" s="31" t="str">
        <f>Global!JF42</f>
        <v/>
      </c>
      <c r="X42" s="31" t="str">
        <f>Global!JG42</f>
        <v/>
      </c>
      <c r="Y42" s="31" t="str">
        <f>Global!JH42</f>
        <v/>
      </c>
      <c r="Z42" s="31" t="str">
        <f>Global!JI42</f>
        <v/>
      </c>
      <c r="AA42" s="31" t="str">
        <f>Global!JJ42</f>
        <v/>
      </c>
      <c r="AB42" s="31" t="str">
        <f>Global!JK42</f>
        <v/>
      </c>
      <c r="AC42" s="31" t="str">
        <f>Global!JL42</f>
        <v/>
      </c>
      <c r="AD42" s="31" t="str">
        <f>Global!JM42</f>
        <v/>
      </c>
      <c r="AE42" s="31" t="str">
        <f>Global!JN42</f>
        <v/>
      </c>
      <c r="AF42" s="31" t="str">
        <f>Global!JO42</f>
        <v/>
      </c>
      <c r="AG42" s="31" t="str">
        <f>Global!JP42</f>
        <v/>
      </c>
      <c r="AH42" s="31" t="str">
        <f>Global!JQ42</f>
        <v/>
      </c>
      <c r="AI42" s="31" t="str">
        <f>Global!JR42</f>
        <v/>
      </c>
      <c r="AJ42" s="34"/>
      <c r="AK42" s="108">
        <f>COUNTIF(Septembre[[#This Row],[1]:[30]],"RTT")+(COUNTIF(Septembre[[#This Row],[1]:[30]],"dRTT")/2)</f>
        <v>0</v>
      </c>
      <c r="AL42" s="109">
        <f>COUNTIF(Septembre[[#This Row],[1]:[30]],"C")+(COUNTIF(Septembre[[#This Row],[1]:[30]],"DC")/2)</f>
        <v>0</v>
      </c>
      <c r="AM42" s="22">
        <f>COUNTIF(Septembre[[#This Row],[1]:[30]],"M")</f>
        <v>0</v>
      </c>
      <c r="AN42" s="22">
        <f>COUNTIF(Septembre[[#This Row],[1]:[30]],"AT")</f>
        <v>0</v>
      </c>
      <c r="AO42" s="84">
        <f t="shared" si="0"/>
        <v>0.82191780821917804</v>
      </c>
    </row>
    <row r="43" spans="1:41" ht="30" customHeight="1" x14ac:dyDescent="0.2">
      <c r="A43" s="15" t="s">
        <v>99</v>
      </c>
      <c r="B43" s="22" t="s">
        <v>230</v>
      </c>
      <c r="C43" s="22" t="s">
        <v>231</v>
      </c>
      <c r="D43" s="22" t="s">
        <v>232</v>
      </c>
      <c r="E43" s="44">
        <v>0</v>
      </c>
      <c r="F43" s="47" t="str">
        <f>Global!IO43</f>
        <v/>
      </c>
      <c r="G43" s="31" t="str">
        <f>Global!IP43</f>
        <v/>
      </c>
      <c r="H43" s="31" t="str">
        <f>Global!IQ43</f>
        <v>C</v>
      </c>
      <c r="I43" s="31" t="str">
        <f>Global!IR43</f>
        <v>C</v>
      </c>
      <c r="J43" s="31" t="str">
        <f>Global!IS43</f>
        <v>C</v>
      </c>
      <c r="K43" s="31" t="str">
        <f>Global!IT43</f>
        <v>C</v>
      </c>
      <c r="L43" s="31" t="str">
        <f>Global!IU43</f>
        <v>C</v>
      </c>
      <c r="M43" s="31" t="str">
        <f>Global!IV43</f>
        <v/>
      </c>
      <c r="N43" s="31" t="str">
        <f>Global!IW43</f>
        <v/>
      </c>
      <c r="O43" s="31" t="str">
        <f>Global!IX43</f>
        <v>C</v>
      </c>
      <c r="P43" s="31" t="str">
        <f>Global!IY43</f>
        <v>C</v>
      </c>
      <c r="Q43" s="31" t="str">
        <f>Global!IZ43</f>
        <v>C</v>
      </c>
      <c r="R43" s="31" t="str">
        <f>Global!JA43</f>
        <v>C</v>
      </c>
      <c r="S43" s="31" t="str">
        <f>Global!JB43</f>
        <v>C</v>
      </c>
      <c r="T43" s="31" t="str">
        <f>Global!JC43</f>
        <v/>
      </c>
      <c r="U43" s="31" t="str">
        <f>Global!JD43</f>
        <v/>
      </c>
      <c r="V43" s="31" t="str">
        <f>Global!JE43</f>
        <v/>
      </c>
      <c r="W43" s="31" t="str">
        <f>Global!JF43</f>
        <v/>
      </c>
      <c r="X43" s="31" t="str">
        <f>Global!JG43</f>
        <v/>
      </c>
      <c r="Y43" s="31" t="str">
        <f>Global!JH43</f>
        <v/>
      </c>
      <c r="Z43" s="31" t="str">
        <f>Global!JI43</f>
        <v/>
      </c>
      <c r="AA43" s="31" t="str">
        <f>Global!JJ43</f>
        <v/>
      </c>
      <c r="AB43" s="31" t="str">
        <f>Global!JK43</f>
        <v/>
      </c>
      <c r="AC43" s="31" t="str">
        <f>Global!JL43</f>
        <v/>
      </c>
      <c r="AD43" s="31" t="str">
        <f>Global!JM43</f>
        <v/>
      </c>
      <c r="AE43" s="31" t="str">
        <f>Global!JN43</f>
        <v/>
      </c>
      <c r="AF43" s="31" t="str">
        <f>Global!JO43</f>
        <v/>
      </c>
      <c r="AG43" s="31" t="str">
        <f>Global!JP43</f>
        <v/>
      </c>
      <c r="AH43" s="31" t="str">
        <f>Global!JQ43</f>
        <v/>
      </c>
      <c r="AI43" s="31" t="str">
        <f>Global!JR43</f>
        <v/>
      </c>
      <c r="AJ43" s="34"/>
      <c r="AK43" s="108">
        <f>COUNTIF(Septembre[[#This Row],[1]:[30]],"RTT")+(COUNTIF(Septembre[[#This Row],[1]:[30]],"dRTT")/2)</f>
        <v>0</v>
      </c>
      <c r="AL43" s="109">
        <f>COUNTIF(Septembre[[#This Row],[1]:[30]],"C")+(COUNTIF(Septembre[[#This Row],[1]:[30]],"DC")/2)</f>
        <v>10</v>
      </c>
      <c r="AM43" s="22">
        <f>COUNTIF(Septembre[[#This Row],[1]:[30]],"M")</f>
        <v>0</v>
      </c>
      <c r="AN43" s="22">
        <f>COUNTIF(Septembre[[#This Row],[1]:[30]],"AT")</f>
        <v>0</v>
      </c>
      <c r="AO43" s="84">
        <f t="shared" si="0"/>
        <v>0.82191780821917804</v>
      </c>
    </row>
    <row r="44" spans="1:41" ht="30" customHeight="1" x14ac:dyDescent="0.2">
      <c r="A44" s="15" t="s">
        <v>100</v>
      </c>
      <c r="B44" s="22" t="s">
        <v>233</v>
      </c>
      <c r="C44" s="22" t="s">
        <v>234</v>
      </c>
      <c r="D44" s="22" t="s">
        <v>235</v>
      </c>
      <c r="E44" s="44">
        <v>0</v>
      </c>
      <c r="F44" s="47" t="str">
        <f>Global!IO44</f>
        <v/>
      </c>
      <c r="G44" s="31" t="str">
        <f>Global!IP44</f>
        <v/>
      </c>
      <c r="H44" s="31" t="str">
        <f>Global!IQ44</f>
        <v/>
      </c>
      <c r="I44" s="31" t="str">
        <f>Global!IR44</f>
        <v/>
      </c>
      <c r="J44" s="31" t="str">
        <f>Global!IS44</f>
        <v/>
      </c>
      <c r="K44" s="31" t="str">
        <f>Global!IT44</f>
        <v/>
      </c>
      <c r="L44" s="31" t="str">
        <f>Global!IU44</f>
        <v/>
      </c>
      <c r="M44" s="31" t="str">
        <f>Global!IV44</f>
        <v/>
      </c>
      <c r="N44" s="31" t="str">
        <f>Global!IW44</f>
        <v/>
      </c>
      <c r="O44" s="31" t="str">
        <f>Global!IX44</f>
        <v/>
      </c>
      <c r="P44" s="31" t="str">
        <f>Global!IY44</f>
        <v/>
      </c>
      <c r="Q44" s="31" t="str">
        <f>Global!IZ44</f>
        <v/>
      </c>
      <c r="R44" s="31" t="str">
        <f>Global!JA44</f>
        <v/>
      </c>
      <c r="S44" s="31" t="str">
        <f>Global!JB44</f>
        <v/>
      </c>
      <c r="T44" s="31" t="str">
        <f>Global!JC44</f>
        <v/>
      </c>
      <c r="U44" s="31" t="str">
        <f>Global!JD44</f>
        <v/>
      </c>
      <c r="V44" s="31" t="str">
        <f>Global!JE44</f>
        <v/>
      </c>
      <c r="W44" s="31" t="str">
        <f>Global!JF44</f>
        <v/>
      </c>
      <c r="X44" s="31" t="str">
        <f>Global!JG44</f>
        <v/>
      </c>
      <c r="Y44" s="31" t="str">
        <f>Global!JH44</f>
        <v/>
      </c>
      <c r="Z44" s="31" t="str">
        <f>Global!JI44</f>
        <v/>
      </c>
      <c r="AA44" s="31" t="str">
        <f>Global!JJ44</f>
        <v/>
      </c>
      <c r="AB44" s="31" t="str">
        <f>Global!JK44</f>
        <v/>
      </c>
      <c r="AC44" s="31" t="str">
        <f>Global!JL44</f>
        <v/>
      </c>
      <c r="AD44" s="31" t="str">
        <f>Global!JM44</f>
        <v/>
      </c>
      <c r="AE44" s="31" t="str">
        <f>Global!JN44</f>
        <v/>
      </c>
      <c r="AF44" s="31" t="str">
        <f>Global!JO44</f>
        <v/>
      </c>
      <c r="AG44" s="31" t="str">
        <f>Global!JP44</f>
        <v/>
      </c>
      <c r="AH44" s="31" t="str">
        <f>Global!JQ44</f>
        <v/>
      </c>
      <c r="AI44" s="31" t="str">
        <f>Global!JR44</f>
        <v/>
      </c>
      <c r="AJ44" s="34"/>
      <c r="AK44" s="108">
        <f>COUNTIF(Septembre[[#This Row],[1]:[30]],"RTT")+(COUNTIF(Septembre[[#This Row],[1]:[30]],"dRTT")/2)</f>
        <v>0</v>
      </c>
      <c r="AL44" s="109">
        <f>COUNTIF(Septembre[[#This Row],[1]:[30]],"C")+(COUNTIF(Septembre[[#This Row],[1]:[30]],"DC")/2)</f>
        <v>0</v>
      </c>
      <c r="AM44" s="22">
        <f>COUNTIF(Septembre[[#This Row],[1]:[30]],"M")</f>
        <v>0</v>
      </c>
      <c r="AN44" s="22">
        <f>COUNTIF(Septembre[[#This Row],[1]:[30]],"AT")</f>
        <v>0</v>
      </c>
      <c r="AO44" s="84">
        <f t="shared" si="0"/>
        <v>0.82191780821917804</v>
      </c>
    </row>
    <row r="45" spans="1:41" ht="30" customHeight="1" x14ac:dyDescent="0.2">
      <c r="A45" s="15" t="s">
        <v>101</v>
      </c>
      <c r="B45" s="22" t="s">
        <v>236</v>
      </c>
      <c r="C45" s="22" t="s">
        <v>237</v>
      </c>
      <c r="D45" s="22" t="s">
        <v>238</v>
      </c>
      <c r="E45" s="44">
        <v>0</v>
      </c>
      <c r="F45" s="47" t="str">
        <f>Global!IO45</f>
        <v/>
      </c>
      <c r="G45" s="31" t="str">
        <f>Global!IP45</f>
        <v/>
      </c>
      <c r="H45" s="31" t="str">
        <f>Global!IQ45</f>
        <v/>
      </c>
      <c r="I45" s="31" t="str">
        <f>Global!IR45</f>
        <v/>
      </c>
      <c r="J45" s="31" t="str">
        <f>Global!IS45</f>
        <v/>
      </c>
      <c r="K45" s="31" t="str">
        <f>Global!IT45</f>
        <v/>
      </c>
      <c r="L45" s="31" t="str">
        <f>Global!IU45</f>
        <v/>
      </c>
      <c r="M45" s="31" t="str">
        <f>Global!IV45</f>
        <v/>
      </c>
      <c r="N45" s="31" t="str">
        <f>Global!IW45</f>
        <v/>
      </c>
      <c r="O45" s="31" t="str">
        <f>Global!IX45</f>
        <v/>
      </c>
      <c r="P45" s="31" t="str">
        <f>Global!IY45</f>
        <v/>
      </c>
      <c r="Q45" s="31" t="str">
        <f>Global!IZ45</f>
        <v/>
      </c>
      <c r="R45" s="31" t="str">
        <f>Global!JA45</f>
        <v/>
      </c>
      <c r="S45" s="31" t="str">
        <f>Global!JB45</f>
        <v/>
      </c>
      <c r="T45" s="31" t="str">
        <f>Global!JC45</f>
        <v/>
      </c>
      <c r="U45" s="31" t="str">
        <f>Global!JD45</f>
        <v/>
      </c>
      <c r="V45" s="31" t="str">
        <f>Global!JE45</f>
        <v/>
      </c>
      <c r="W45" s="31" t="str">
        <f>Global!JF45</f>
        <v/>
      </c>
      <c r="X45" s="31" t="str">
        <f>Global!JG45</f>
        <v/>
      </c>
      <c r="Y45" s="31" t="str">
        <f>Global!JH45</f>
        <v/>
      </c>
      <c r="Z45" s="31" t="str">
        <f>Global!JI45</f>
        <v/>
      </c>
      <c r="AA45" s="31" t="str">
        <f>Global!JJ45</f>
        <v/>
      </c>
      <c r="AB45" s="31" t="str">
        <f>Global!JK45</f>
        <v/>
      </c>
      <c r="AC45" s="31" t="str">
        <f>Global!JL45</f>
        <v/>
      </c>
      <c r="AD45" s="31" t="str">
        <f>Global!JM45</f>
        <v/>
      </c>
      <c r="AE45" s="31" t="str">
        <f>Global!JN45</f>
        <v/>
      </c>
      <c r="AF45" s="31" t="str">
        <f>Global!JO45</f>
        <v/>
      </c>
      <c r="AG45" s="31" t="str">
        <f>Global!JP45</f>
        <v/>
      </c>
      <c r="AH45" s="31" t="str">
        <f>Global!JQ45</f>
        <v/>
      </c>
      <c r="AI45" s="31" t="str">
        <f>Global!JR45</f>
        <v/>
      </c>
      <c r="AJ45" s="34"/>
      <c r="AK45" s="108">
        <f>COUNTIF(Septembre[[#This Row],[1]:[30]],"RTT")+(COUNTIF(Septembre[[#This Row],[1]:[30]],"dRTT")/2)</f>
        <v>0</v>
      </c>
      <c r="AL45" s="109">
        <f>COUNTIF(Septembre[[#This Row],[1]:[30]],"C")+(COUNTIF(Septembre[[#This Row],[1]:[30]],"DC")/2)</f>
        <v>0</v>
      </c>
      <c r="AM45" s="22">
        <f>COUNTIF(Septembre[[#This Row],[1]:[30]],"M")</f>
        <v>0</v>
      </c>
      <c r="AN45" s="22">
        <f>COUNTIF(Septembre[[#This Row],[1]:[30]],"AT")</f>
        <v>0</v>
      </c>
      <c r="AO45" s="84">
        <f t="shared" si="0"/>
        <v>0.82191780821917804</v>
      </c>
    </row>
    <row r="46" spans="1:41" ht="30" customHeight="1" x14ac:dyDescent="0.2">
      <c r="A46" s="17" t="s">
        <v>102</v>
      </c>
      <c r="B46" s="17" t="s">
        <v>239</v>
      </c>
      <c r="C46" s="17" t="s">
        <v>240</v>
      </c>
      <c r="D46" s="17" t="s">
        <v>241</v>
      </c>
      <c r="E46" s="23">
        <v>0</v>
      </c>
      <c r="F46" s="47" t="str">
        <f>Global!IO46</f>
        <v/>
      </c>
      <c r="G46" s="31" t="str">
        <f>Global!IP46</f>
        <v/>
      </c>
      <c r="H46" s="31" t="str">
        <f>Global!IQ46</f>
        <v/>
      </c>
      <c r="I46" s="31" t="str">
        <f>Global!IR46</f>
        <v/>
      </c>
      <c r="J46" s="31" t="str">
        <f>Global!IS46</f>
        <v/>
      </c>
      <c r="K46" s="31" t="str">
        <f>Global!IT46</f>
        <v/>
      </c>
      <c r="L46" s="31" t="str">
        <f>Global!IU46</f>
        <v/>
      </c>
      <c r="M46" s="31" t="str">
        <f>Global!IV46</f>
        <v/>
      </c>
      <c r="N46" s="31" t="str">
        <f>Global!IW46</f>
        <v/>
      </c>
      <c r="O46" s="31" t="str">
        <f>Global!IX46</f>
        <v/>
      </c>
      <c r="P46" s="31" t="str">
        <f>Global!IY46</f>
        <v/>
      </c>
      <c r="Q46" s="31" t="str">
        <f>Global!IZ46</f>
        <v/>
      </c>
      <c r="R46" s="31" t="str">
        <f>Global!JA46</f>
        <v/>
      </c>
      <c r="S46" s="31" t="str">
        <f>Global!JB46</f>
        <v/>
      </c>
      <c r="T46" s="31" t="str">
        <f>Global!JC46</f>
        <v/>
      </c>
      <c r="U46" s="31" t="str">
        <f>Global!JD46</f>
        <v/>
      </c>
      <c r="V46" s="31" t="str">
        <f>Global!JE46</f>
        <v/>
      </c>
      <c r="W46" s="31" t="str">
        <f>Global!JF46</f>
        <v/>
      </c>
      <c r="X46" s="31" t="str">
        <f>Global!JG46</f>
        <v/>
      </c>
      <c r="Y46" s="31" t="str">
        <f>Global!JH46</f>
        <v/>
      </c>
      <c r="Z46" s="31" t="str">
        <f>Global!JI46</f>
        <v/>
      </c>
      <c r="AA46" s="31" t="str">
        <f>Global!JJ46</f>
        <v/>
      </c>
      <c r="AB46" s="31" t="str">
        <f>Global!JK46</f>
        <v/>
      </c>
      <c r="AC46" s="31" t="str">
        <f>Global!JL46</f>
        <v/>
      </c>
      <c r="AD46" s="31" t="str">
        <f>Global!JM46</f>
        <v/>
      </c>
      <c r="AE46" s="31" t="str">
        <f>Global!JN46</f>
        <v/>
      </c>
      <c r="AF46" s="31" t="str">
        <f>Global!JO46</f>
        <v/>
      </c>
      <c r="AG46" s="31" t="str">
        <f>Global!JP46</f>
        <v/>
      </c>
      <c r="AH46" s="31" t="str">
        <f>Global!JQ46</f>
        <v/>
      </c>
      <c r="AI46" s="31" t="str">
        <f>Global!JR46</f>
        <v/>
      </c>
      <c r="AJ46" s="34"/>
      <c r="AK46" s="108">
        <f>COUNTIF(Septembre[[#This Row],[1]:[30]],"RTT")+(COUNTIF(Septembre[[#This Row],[1]:[30]],"dRTT")/2)</f>
        <v>0</v>
      </c>
      <c r="AL46" s="109">
        <f>COUNTIF(Septembre[[#This Row],[1]:[30]],"C")+(COUNTIF(Septembre[[#This Row],[1]:[30]],"DC")/2)</f>
        <v>0</v>
      </c>
      <c r="AM46" s="22">
        <f>COUNTIF(Septembre[[#This Row],[1]:[30]],"M")</f>
        <v>0</v>
      </c>
      <c r="AN46" s="22">
        <f>COUNTIF(Septembre[[#This Row],[1]:[30]],"AT")</f>
        <v>0</v>
      </c>
      <c r="AO46" s="84">
        <f t="shared" si="0"/>
        <v>0.82191780821917804</v>
      </c>
    </row>
    <row r="47" spans="1:41" ht="30" customHeight="1" x14ac:dyDescent="0.2">
      <c r="A47" s="17" t="s">
        <v>103</v>
      </c>
      <c r="B47" s="17" t="s">
        <v>242</v>
      </c>
      <c r="C47" s="17" t="s">
        <v>243</v>
      </c>
      <c r="D47" s="17" t="s">
        <v>244</v>
      </c>
      <c r="E47" s="23">
        <v>0</v>
      </c>
      <c r="F47" s="47" t="str">
        <f>Global!IO47</f>
        <v/>
      </c>
      <c r="G47" s="31" t="str">
        <f>Global!IP47</f>
        <v/>
      </c>
      <c r="H47" s="31" t="str">
        <f>Global!IQ47</f>
        <v/>
      </c>
      <c r="I47" s="31" t="str">
        <f>Global!IR47</f>
        <v/>
      </c>
      <c r="J47" s="31" t="str">
        <f>Global!IS47</f>
        <v/>
      </c>
      <c r="K47" s="31" t="str">
        <f>Global!IT47</f>
        <v/>
      </c>
      <c r="L47" s="31" t="str">
        <f>Global!IU47</f>
        <v/>
      </c>
      <c r="M47" s="31" t="str">
        <f>Global!IV47</f>
        <v/>
      </c>
      <c r="N47" s="31" t="str">
        <f>Global!IW47</f>
        <v/>
      </c>
      <c r="O47" s="31" t="str">
        <f>Global!IX47</f>
        <v/>
      </c>
      <c r="P47" s="31" t="str">
        <f>Global!IY47</f>
        <v/>
      </c>
      <c r="Q47" s="31" t="str">
        <f>Global!IZ47</f>
        <v/>
      </c>
      <c r="R47" s="31" t="str">
        <f>Global!JA47</f>
        <v/>
      </c>
      <c r="S47" s="31" t="str">
        <f>Global!JB47</f>
        <v/>
      </c>
      <c r="T47" s="31" t="str">
        <f>Global!JC47</f>
        <v/>
      </c>
      <c r="U47" s="31" t="str">
        <f>Global!JD47</f>
        <v/>
      </c>
      <c r="V47" s="31" t="str">
        <f>Global!JE47</f>
        <v/>
      </c>
      <c r="W47" s="31" t="str">
        <f>Global!JF47</f>
        <v/>
      </c>
      <c r="X47" s="31" t="str">
        <f>Global!JG47</f>
        <v/>
      </c>
      <c r="Y47" s="31" t="str">
        <f>Global!JH47</f>
        <v/>
      </c>
      <c r="Z47" s="31" t="str">
        <f>Global!JI47</f>
        <v/>
      </c>
      <c r="AA47" s="31" t="str">
        <f>Global!JJ47</f>
        <v/>
      </c>
      <c r="AB47" s="31" t="str">
        <f>Global!JK47</f>
        <v/>
      </c>
      <c r="AC47" s="31" t="str">
        <f>Global!JL47</f>
        <v/>
      </c>
      <c r="AD47" s="31" t="str">
        <f>Global!JM47</f>
        <v/>
      </c>
      <c r="AE47" s="31" t="str">
        <f>Global!JN47</f>
        <v/>
      </c>
      <c r="AF47" s="31" t="str">
        <f>Global!JO47</f>
        <v/>
      </c>
      <c r="AG47" s="31" t="str">
        <f>Global!JP47</f>
        <v/>
      </c>
      <c r="AH47" s="31" t="str">
        <f>Global!JQ47</f>
        <v/>
      </c>
      <c r="AI47" s="31" t="str">
        <f>Global!JR47</f>
        <v/>
      </c>
      <c r="AJ47" s="34"/>
      <c r="AK47" s="108">
        <f>COUNTIF(Septembre[[#This Row],[1]:[30]],"RTT")+(COUNTIF(Septembre[[#This Row],[1]:[30]],"dRTT")/2)</f>
        <v>0</v>
      </c>
      <c r="AL47" s="109">
        <f>COUNTIF(Septembre[[#This Row],[1]:[30]],"C")+(COUNTIF(Septembre[[#This Row],[1]:[30]],"DC")/2)</f>
        <v>0</v>
      </c>
      <c r="AM47" s="22">
        <f>COUNTIF(Septembre[[#This Row],[1]:[30]],"M")</f>
        <v>0</v>
      </c>
      <c r="AN47" s="22">
        <f>COUNTIF(Septembre[[#This Row],[1]:[30]],"AT")</f>
        <v>0</v>
      </c>
      <c r="AO47" s="84">
        <f t="shared" si="0"/>
        <v>0.82191780821917804</v>
      </c>
    </row>
    <row r="48" spans="1:41" ht="30" customHeight="1" x14ac:dyDescent="0.2">
      <c r="A48" s="17" t="s">
        <v>104</v>
      </c>
      <c r="B48" s="17" t="s">
        <v>245</v>
      </c>
      <c r="C48" s="17" t="s">
        <v>246</v>
      </c>
      <c r="D48" s="17" t="s">
        <v>247</v>
      </c>
      <c r="E48" s="23">
        <v>0</v>
      </c>
      <c r="F48" s="47" t="str">
        <f>Global!IO48</f>
        <v/>
      </c>
      <c r="G48" s="31" t="str">
        <f>Global!IP48</f>
        <v/>
      </c>
      <c r="H48" s="31" t="str">
        <f>Global!IQ48</f>
        <v/>
      </c>
      <c r="I48" s="31" t="str">
        <f>Global!IR48</f>
        <v/>
      </c>
      <c r="J48" s="31" t="str">
        <f>Global!IS48</f>
        <v/>
      </c>
      <c r="K48" s="31" t="str">
        <f>Global!IT48</f>
        <v/>
      </c>
      <c r="L48" s="31" t="str">
        <f>Global!IU48</f>
        <v/>
      </c>
      <c r="M48" s="31" t="str">
        <f>Global!IV48</f>
        <v/>
      </c>
      <c r="N48" s="31" t="str">
        <f>Global!IW48</f>
        <v/>
      </c>
      <c r="O48" s="31" t="str">
        <f>Global!IX48</f>
        <v/>
      </c>
      <c r="P48" s="31" t="str">
        <f>Global!IY48</f>
        <v/>
      </c>
      <c r="Q48" s="31" t="str">
        <f>Global!IZ48</f>
        <v/>
      </c>
      <c r="R48" s="31" t="str">
        <f>Global!JA48</f>
        <v/>
      </c>
      <c r="S48" s="31" t="str">
        <f>Global!JB48</f>
        <v/>
      </c>
      <c r="T48" s="31" t="str">
        <f>Global!JC48</f>
        <v/>
      </c>
      <c r="U48" s="31" t="str">
        <f>Global!JD48</f>
        <v/>
      </c>
      <c r="V48" s="31" t="str">
        <f>Global!JE48</f>
        <v/>
      </c>
      <c r="W48" s="31" t="str">
        <f>Global!JF48</f>
        <v/>
      </c>
      <c r="X48" s="31" t="str">
        <f>Global!JG48</f>
        <v/>
      </c>
      <c r="Y48" s="31" t="str">
        <f>Global!JH48</f>
        <v/>
      </c>
      <c r="Z48" s="31" t="str">
        <f>Global!JI48</f>
        <v/>
      </c>
      <c r="AA48" s="31" t="str">
        <f>Global!JJ48</f>
        <v/>
      </c>
      <c r="AB48" s="31" t="str">
        <f>Global!JK48</f>
        <v/>
      </c>
      <c r="AC48" s="31" t="str">
        <f>Global!JL48</f>
        <v/>
      </c>
      <c r="AD48" s="31" t="str">
        <f>Global!JM48</f>
        <v/>
      </c>
      <c r="AE48" s="31" t="str">
        <f>Global!JN48</f>
        <v/>
      </c>
      <c r="AF48" s="31" t="str">
        <f>Global!JO48</f>
        <v/>
      </c>
      <c r="AG48" s="31" t="str">
        <f>Global!JP48</f>
        <v/>
      </c>
      <c r="AH48" s="31" t="str">
        <f>Global!JQ48</f>
        <v/>
      </c>
      <c r="AI48" s="31" t="str">
        <f>Global!JR48</f>
        <v/>
      </c>
      <c r="AJ48" s="34"/>
      <c r="AK48" s="108">
        <f>COUNTIF(Septembre[[#This Row],[1]:[30]],"RTT")+(COUNTIF(Septembre[[#This Row],[1]:[30]],"dRTT")/2)</f>
        <v>0</v>
      </c>
      <c r="AL48" s="109">
        <f>COUNTIF(Septembre[[#This Row],[1]:[30]],"C")+(COUNTIF(Septembre[[#This Row],[1]:[30]],"DC")/2)</f>
        <v>0</v>
      </c>
      <c r="AM48" s="22">
        <f>COUNTIF(Septembre[[#This Row],[1]:[30]],"M")</f>
        <v>0</v>
      </c>
      <c r="AN48" s="22">
        <f>COUNTIF(Septembre[[#This Row],[1]:[30]],"AT")</f>
        <v>0</v>
      </c>
      <c r="AO48" s="84">
        <f t="shared" si="0"/>
        <v>0.82191780821917804</v>
      </c>
    </row>
    <row r="49" spans="1:41" ht="30" customHeight="1" x14ac:dyDescent="0.2">
      <c r="A49" s="17" t="s">
        <v>105</v>
      </c>
      <c r="B49" s="17" t="s">
        <v>248</v>
      </c>
      <c r="C49" s="17" t="s">
        <v>249</v>
      </c>
      <c r="D49" s="17" t="s">
        <v>250</v>
      </c>
      <c r="E49" s="23">
        <v>0</v>
      </c>
      <c r="F49" s="47" t="str">
        <f>Global!IO49</f>
        <v/>
      </c>
      <c r="G49" s="31" t="str">
        <f>Global!IP49</f>
        <v/>
      </c>
      <c r="H49" s="31" t="str">
        <f>Global!IQ49</f>
        <v/>
      </c>
      <c r="I49" s="31" t="str">
        <f>Global!IR49</f>
        <v/>
      </c>
      <c r="J49" s="31" t="str">
        <f>Global!IS49</f>
        <v/>
      </c>
      <c r="K49" s="31" t="str">
        <f>Global!IT49</f>
        <v/>
      </c>
      <c r="L49" s="31" t="str">
        <f>Global!IU49</f>
        <v/>
      </c>
      <c r="M49" s="31" t="str">
        <f>Global!IV49</f>
        <v/>
      </c>
      <c r="N49" s="31" t="str">
        <f>Global!IW49</f>
        <v/>
      </c>
      <c r="O49" s="31" t="str">
        <f>Global!IX49</f>
        <v/>
      </c>
      <c r="P49" s="31" t="str">
        <f>Global!IY49</f>
        <v/>
      </c>
      <c r="Q49" s="31" t="str">
        <f>Global!IZ49</f>
        <v/>
      </c>
      <c r="R49" s="31" t="str">
        <f>Global!JA49</f>
        <v/>
      </c>
      <c r="S49" s="31" t="str">
        <f>Global!JB49</f>
        <v/>
      </c>
      <c r="T49" s="31" t="str">
        <f>Global!JC49</f>
        <v/>
      </c>
      <c r="U49" s="31" t="str">
        <f>Global!JD49</f>
        <v/>
      </c>
      <c r="V49" s="31" t="str">
        <f>Global!JE49</f>
        <v/>
      </c>
      <c r="W49" s="31" t="str">
        <f>Global!JF49</f>
        <v/>
      </c>
      <c r="X49" s="31" t="str">
        <f>Global!JG49</f>
        <v/>
      </c>
      <c r="Y49" s="31" t="str">
        <f>Global!JH49</f>
        <v/>
      </c>
      <c r="Z49" s="31" t="str">
        <f>Global!JI49</f>
        <v/>
      </c>
      <c r="AA49" s="31" t="str">
        <f>Global!JJ49</f>
        <v/>
      </c>
      <c r="AB49" s="31" t="str">
        <f>Global!JK49</f>
        <v/>
      </c>
      <c r="AC49" s="31" t="str">
        <f>Global!JL49</f>
        <v/>
      </c>
      <c r="AD49" s="31" t="str">
        <f>Global!JM49</f>
        <v/>
      </c>
      <c r="AE49" s="31" t="str">
        <f>Global!JN49</f>
        <v/>
      </c>
      <c r="AF49" s="31" t="str">
        <f>Global!JO49</f>
        <v/>
      </c>
      <c r="AG49" s="31" t="str">
        <f>Global!JP49</f>
        <v/>
      </c>
      <c r="AH49" s="31" t="str">
        <f>Global!JQ49</f>
        <v/>
      </c>
      <c r="AI49" s="31" t="str">
        <f>Global!JR49</f>
        <v/>
      </c>
      <c r="AJ49" s="34"/>
      <c r="AK49" s="108">
        <f>COUNTIF(Septembre[[#This Row],[1]:[30]],"RTT")+(COUNTIF(Septembre[[#This Row],[1]:[30]],"dRTT")/2)</f>
        <v>0</v>
      </c>
      <c r="AL49" s="109">
        <f>COUNTIF(Septembre[[#This Row],[1]:[30]],"C")+(COUNTIF(Septembre[[#This Row],[1]:[30]],"DC")/2)</f>
        <v>0</v>
      </c>
      <c r="AM49" s="22">
        <f>COUNTIF(Septembre[[#This Row],[1]:[30]],"M")</f>
        <v>0</v>
      </c>
      <c r="AN49" s="22">
        <f>COUNTIF(Septembre[[#This Row],[1]:[30]],"AT")</f>
        <v>0</v>
      </c>
      <c r="AO49" s="84">
        <f t="shared" si="0"/>
        <v>0.82191780821917804</v>
      </c>
    </row>
    <row r="50" spans="1:41" ht="30" customHeight="1" x14ac:dyDescent="0.2">
      <c r="A50" s="17" t="s">
        <v>106</v>
      </c>
      <c r="B50" s="17" t="s">
        <v>251</v>
      </c>
      <c r="C50" s="17" t="s">
        <v>252</v>
      </c>
      <c r="D50" s="17" t="s">
        <v>253</v>
      </c>
      <c r="E50" s="23">
        <v>0</v>
      </c>
      <c r="F50" s="47" t="str">
        <f>Global!IO50</f>
        <v/>
      </c>
      <c r="G50" s="31" t="str">
        <f>Global!IP50</f>
        <v/>
      </c>
      <c r="H50" s="31" t="str">
        <f>Global!IQ50</f>
        <v/>
      </c>
      <c r="I50" s="31" t="str">
        <f>Global!IR50</f>
        <v/>
      </c>
      <c r="J50" s="31" t="str">
        <f>Global!IS50</f>
        <v/>
      </c>
      <c r="K50" s="31" t="str">
        <f>Global!IT50</f>
        <v/>
      </c>
      <c r="L50" s="31" t="str">
        <f>Global!IU50</f>
        <v/>
      </c>
      <c r="M50" s="31" t="str">
        <f>Global!IV50</f>
        <v/>
      </c>
      <c r="N50" s="31" t="str">
        <f>Global!IW50</f>
        <v/>
      </c>
      <c r="O50" s="31" t="str">
        <f>Global!IX50</f>
        <v/>
      </c>
      <c r="P50" s="31" t="str">
        <f>Global!IY50</f>
        <v/>
      </c>
      <c r="Q50" s="31" t="str">
        <f>Global!IZ50</f>
        <v/>
      </c>
      <c r="R50" s="31" t="str">
        <f>Global!JA50</f>
        <v/>
      </c>
      <c r="S50" s="31" t="str">
        <f>Global!JB50</f>
        <v/>
      </c>
      <c r="T50" s="31" t="str">
        <f>Global!JC50</f>
        <v/>
      </c>
      <c r="U50" s="31" t="str">
        <f>Global!JD50</f>
        <v/>
      </c>
      <c r="V50" s="31" t="str">
        <f>Global!JE50</f>
        <v/>
      </c>
      <c r="W50" s="31" t="str">
        <f>Global!JF50</f>
        <v/>
      </c>
      <c r="X50" s="31" t="str">
        <f>Global!JG50</f>
        <v/>
      </c>
      <c r="Y50" s="31" t="str">
        <f>Global!JH50</f>
        <v/>
      </c>
      <c r="Z50" s="31" t="str">
        <f>Global!JI50</f>
        <v/>
      </c>
      <c r="AA50" s="31" t="str">
        <f>Global!JJ50</f>
        <v/>
      </c>
      <c r="AB50" s="31" t="str">
        <f>Global!JK50</f>
        <v/>
      </c>
      <c r="AC50" s="31" t="str">
        <f>Global!JL50</f>
        <v/>
      </c>
      <c r="AD50" s="31" t="str">
        <f>Global!JM50</f>
        <v/>
      </c>
      <c r="AE50" s="31" t="str">
        <f>Global!JN50</f>
        <v/>
      </c>
      <c r="AF50" s="31" t="str">
        <f>Global!JO50</f>
        <v/>
      </c>
      <c r="AG50" s="31" t="str">
        <f>Global!JP50</f>
        <v/>
      </c>
      <c r="AH50" s="31" t="str">
        <f>Global!JQ50</f>
        <v/>
      </c>
      <c r="AI50" s="31" t="str">
        <f>Global!JR50</f>
        <v/>
      </c>
      <c r="AJ50" s="34"/>
      <c r="AK50" s="108">
        <f>COUNTIF(Septembre[[#This Row],[1]:[30]],"RTT")+(COUNTIF(Septembre[[#This Row],[1]:[30]],"dRTT")/2)</f>
        <v>0</v>
      </c>
      <c r="AL50" s="109">
        <f>COUNTIF(Septembre[[#This Row],[1]:[30]],"C")+(COUNTIF(Septembre[[#This Row],[1]:[30]],"DC")/2)</f>
        <v>0</v>
      </c>
      <c r="AM50" s="22">
        <f>COUNTIF(Septembre[[#This Row],[1]:[30]],"M")</f>
        <v>0</v>
      </c>
      <c r="AN50" s="22">
        <f>COUNTIF(Septembre[[#This Row],[1]:[30]],"AT")</f>
        <v>0</v>
      </c>
      <c r="AO50" s="84">
        <f t="shared" si="0"/>
        <v>0.82191780821917804</v>
      </c>
    </row>
    <row r="51" spans="1:41" ht="30" customHeight="1" x14ac:dyDescent="0.2">
      <c r="A51" s="17" t="s">
        <v>107</v>
      </c>
      <c r="B51" s="17" t="s">
        <v>254</v>
      </c>
      <c r="C51" s="17" t="s">
        <v>255</v>
      </c>
      <c r="D51" s="17" t="s">
        <v>256</v>
      </c>
      <c r="E51" s="23">
        <v>0</v>
      </c>
      <c r="F51" s="47" t="str">
        <f>Global!IO51</f>
        <v/>
      </c>
      <c r="G51" s="31" t="str">
        <f>Global!IP51</f>
        <v/>
      </c>
      <c r="H51" s="31" t="str">
        <f>Global!IQ51</f>
        <v>C</v>
      </c>
      <c r="I51" s="31" t="str">
        <f>Global!IR51</f>
        <v>C</v>
      </c>
      <c r="J51" s="31" t="str">
        <f>Global!IS51</f>
        <v>C</v>
      </c>
      <c r="K51" s="31" t="str">
        <f>Global!IT51</f>
        <v>C</v>
      </c>
      <c r="L51" s="31" t="str">
        <f>Global!IU51</f>
        <v>C</v>
      </c>
      <c r="M51" s="31" t="str">
        <f>Global!IV51</f>
        <v/>
      </c>
      <c r="N51" s="31" t="str">
        <f>Global!IW51</f>
        <v/>
      </c>
      <c r="O51" s="31" t="str">
        <f>Global!IX51</f>
        <v>C</v>
      </c>
      <c r="P51" s="31" t="str">
        <f>Global!IY51</f>
        <v>C</v>
      </c>
      <c r="Q51" s="31" t="str">
        <f>Global!IZ51</f>
        <v>C</v>
      </c>
      <c r="R51" s="31" t="str">
        <f>Global!JA51</f>
        <v>C</v>
      </c>
      <c r="S51" s="31" t="str">
        <f>Global!JB51</f>
        <v>C</v>
      </c>
      <c r="T51" s="31" t="str">
        <f>Global!JC51</f>
        <v/>
      </c>
      <c r="U51" s="31" t="str">
        <f>Global!JD51</f>
        <v/>
      </c>
      <c r="V51" s="31" t="str">
        <f>Global!JE51</f>
        <v/>
      </c>
      <c r="W51" s="31" t="str">
        <f>Global!JF51</f>
        <v/>
      </c>
      <c r="X51" s="31" t="str">
        <f>Global!JG51</f>
        <v/>
      </c>
      <c r="Y51" s="31" t="str">
        <f>Global!JH51</f>
        <v/>
      </c>
      <c r="Z51" s="31" t="str">
        <f>Global!JI51</f>
        <v/>
      </c>
      <c r="AA51" s="31" t="str">
        <f>Global!JJ51</f>
        <v/>
      </c>
      <c r="AB51" s="31" t="str">
        <f>Global!JK51</f>
        <v/>
      </c>
      <c r="AC51" s="31" t="str">
        <f>Global!JL51</f>
        <v/>
      </c>
      <c r="AD51" s="31" t="str">
        <f>Global!JM51</f>
        <v/>
      </c>
      <c r="AE51" s="31" t="str">
        <f>Global!JN51</f>
        <v/>
      </c>
      <c r="AF51" s="31" t="str">
        <f>Global!JO51</f>
        <v/>
      </c>
      <c r="AG51" s="31" t="str">
        <f>Global!JP51</f>
        <v/>
      </c>
      <c r="AH51" s="31" t="str">
        <f>Global!JQ51</f>
        <v/>
      </c>
      <c r="AI51" s="31" t="str">
        <f>Global!JR51</f>
        <v/>
      </c>
      <c r="AJ51" s="34"/>
      <c r="AK51" s="108">
        <f>COUNTIF(Septembre[[#This Row],[1]:[30]],"RTT")+(COUNTIF(Septembre[[#This Row],[1]:[30]],"dRTT")/2)</f>
        <v>0</v>
      </c>
      <c r="AL51" s="109">
        <f>COUNTIF(Septembre[[#This Row],[1]:[30]],"C")+(COUNTIF(Septembre[[#This Row],[1]:[30]],"DC")/2)</f>
        <v>10</v>
      </c>
      <c r="AM51" s="22">
        <f>COUNTIF(Septembre[[#This Row],[1]:[30]],"M")</f>
        <v>0</v>
      </c>
      <c r="AN51" s="22">
        <f>COUNTIF(Septembre[[#This Row],[1]:[30]],"AT")</f>
        <v>0</v>
      </c>
      <c r="AO51" s="84">
        <f t="shared" si="0"/>
        <v>0.82191780821917804</v>
      </c>
    </row>
    <row r="52" spans="1:41" ht="30" customHeight="1" x14ac:dyDescent="0.2">
      <c r="A52" s="17" t="s">
        <v>108</v>
      </c>
      <c r="B52" s="17" t="s">
        <v>257</v>
      </c>
      <c r="C52" s="17" t="s">
        <v>258</v>
      </c>
      <c r="D52" s="17" t="s">
        <v>259</v>
      </c>
      <c r="E52" s="23">
        <v>0</v>
      </c>
      <c r="F52" s="47" t="str">
        <f>Global!IO52</f>
        <v/>
      </c>
      <c r="G52" s="31" t="str">
        <f>Global!IP52</f>
        <v/>
      </c>
      <c r="H52" s="31" t="str">
        <f>Global!IQ52</f>
        <v/>
      </c>
      <c r="I52" s="31" t="str">
        <f>Global!IR52</f>
        <v/>
      </c>
      <c r="J52" s="31" t="str">
        <f>Global!IS52</f>
        <v/>
      </c>
      <c r="K52" s="31" t="str">
        <f>Global!IT52</f>
        <v/>
      </c>
      <c r="L52" s="31" t="str">
        <f>Global!IU52</f>
        <v/>
      </c>
      <c r="M52" s="31" t="str">
        <f>Global!IV52</f>
        <v/>
      </c>
      <c r="N52" s="31" t="str">
        <f>Global!IW52</f>
        <v/>
      </c>
      <c r="O52" s="31" t="str">
        <f>Global!IX52</f>
        <v/>
      </c>
      <c r="P52" s="31" t="str">
        <f>Global!IY52</f>
        <v/>
      </c>
      <c r="Q52" s="31" t="str">
        <f>Global!IZ52</f>
        <v/>
      </c>
      <c r="R52" s="31" t="str">
        <f>Global!JA52</f>
        <v/>
      </c>
      <c r="S52" s="31" t="str">
        <f>Global!JB52</f>
        <v/>
      </c>
      <c r="T52" s="31" t="str">
        <f>Global!JC52</f>
        <v/>
      </c>
      <c r="U52" s="31" t="str">
        <f>Global!JD52</f>
        <v/>
      </c>
      <c r="V52" s="31" t="str">
        <f>Global!JE52</f>
        <v/>
      </c>
      <c r="W52" s="31" t="str">
        <f>Global!JF52</f>
        <v/>
      </c>
      <c r="X52" s="31" t="str">
        <f>Global!JG52</f>
        <v/>
      </c>
      <c r="Y52" s="31" t="str">
        <f>Global!JH52</f>
        <v/>
      </c>
      <c r="Z52" s="31" t="str">
        <f>Global!JI52</f>
        <v/>
      </c>
      <c r="AA52" s="31" t="str">
        <f>Global!JJ52</f>
        <v/>
      </c>
      <c r="AB52" s="31" t="str">
        <f>Global!JK52</f>
        <v/>
      </c>
      <c r="AC52" s="31" t="str">
        <f>Global!JL52</f>
        <v/>
      </c>
      <c r="AD52" s="31" t="str">
        <f>Global!JM52</f>
        <v/>
      </c>
      <c r="AE52" s="31" t="str">
        <f>Global!JN52</f>
        <v/>
      </c>
      <c r="AF52" s="31" t="str">
        <f>Global!JO52</f>
        <v/>
      </c>
      <c r="AG52" s="31" t="str">
        <f>Global!JP52</f>
        <v/>
      </c>
      <c r="AH52" s="31" t="str">
        <f>Global!JQ52</f>
        <v/>
      </c>
      <c r="AI52" s="31" t="str">
        <f>Global!JR52</f>
        <v/>
      </c>
      <c r="AJ52" s="34"/>
      <c r="AK52" s="108">
        <f>COUNTIF(Septembre[[#This Row],[1]:[30]],"RTT")+(COUNTIF(Septembre[[#This Row],[1]:[30]],"dRTT")/2)</f>
        <v>0</v>
      </c>
      <c r="AL52" s="109">
        <f>COUNTIF(Septembre[[#This Row],[1]:[30]],"C")+(COUNTIF(Septembre[[#This Row],[1]:[30]],"DC")/2)</f>
        <v>0</v>
      </c>
      <c r="AM52" s="22">
        <f>COUNTIF(Septembre[[#This Row],[1]:[30]],"M")</f>
        <v>0</v>
      </c>
      <c r="AN52" s="22">
        <f>COUNTIF(Septembre[[#This Row],[1]:[30]],"AT")</f>
        <v>0</v>
      </c>
      <c r="AO52" s="84">
        <f t="shared" si="0"/>
        <v>0.82191780821917804</v>
      </c>
    </row>
    <row r="53" spans="1:41" ht="30" customHeight="1" x14ac:dyDescent="0.2">
      <c r="A53" s="17" t="s">
        <v>109</v>
      </c>
      <c r="B53" s="17" t="s">
        <v>260</v>
      </c>
      <c r="C53" s="17" t="s">
        <v>261</v>
      </c>
      <c r="D53" s="17" t="s">
        <v>262</v>
      </c>
      <c r="E53" s="23">
        <v>0</v>
      </c>
      <c r="F53" s="47" t="str">
        <f>Global!IO53</f>
        <v/>
      </c>
      <c r="G53" s="31" t="str">
        <f>Global!IP53</f>
        <v/>
      </c>
      <c r="H53" s="31" t="str">
        <f>Global!IQ53</f>
        <v/>
      </c>
      <c r="I53" s="31" t="str">
        <f>Global!IR53</f>
        <v/>
      </c>
      <c r="J53" s="31" t="str">
        <f>Global!IS53</f>
        <v/>
      </c>
      <c r="K53" s="31" t="str">
        <f>Global!IT53</f>
        <v/>
      </c>
      <c r="L53" s="31" t="str">
        <f>Global!IU53</f>
        <v/>
      </c>
      <c r="M53" s="31" t="str">
        <f>Global!IV53</f>
        <v/>
      </c>
      <c r="N53" s="31" t="str">
        <f>Global!IW53</f>
        <v/>
      </c>
      <c r="O53" s="31" t="str">
        <f>Global!IX53</f>
        <v/>
      </c>
      <c r="P53" s="31" t="str">
        <f>Global!IY53</f>
        <v/>
      </c>
      <c r="Q53" s="31" t="str">
        <f>Global!IZ53</f>
        <v/>
      </c>
      <c r="R53" s="31" t="str">
        <f>Global!JA53</f>
        <v/>
      </c>
      <c r="S53" s="31" t="str">
        <f>Global!JB53</f>
        <v/>
      </c>
      <c r="T53" s="31" t="str">
        <f>Global!JC53</f>
        <v/>
      </c>
      <c r="U53" s="31" t="str">
        <f>Global!JD53</f>
        <v/>
      </c>
      <c r="V53" s="31" t="str">
        <f>Global!JE53</f>
        <v/>
      </c>
      <c r="W53" s="31" t="str">
        <f>Global!JF53</f>
        <v/>
      </c>
      <c r="X53" s="31" t="str">
        <f>Global!JG53</f>
        <v/>
      </c>
      <c r="Y53" s="31" t="str">
        <f>Global!JH53</f>
        <v/>
      </c>
      <c r="Z53" s="31" t="str">
        <f>Global!JI53</f>
        <v/>
      </c>
      <c r="AA53" s="31" t="str">
        <f>Global!JJ53</f>
        <v/>
      </c>
      <c r="AB53" s="31" t="str">
        <f>Global!JK53</f>
        <v/>
      </c>
      <c r="AC53" s="31" t="str">
        <f>Global!JL53</f>
        <v/>
      </c>
      <c r="AD53" s="31" t="str">
        <f>Global!JM53</f>
        <v/>
      </c>
      <c r="AE53" s="31" t="str">
        <f>Global!JN53</f>
        <v/>
      </c>
      <c r="AF53" s="31" t="str">
        <f>Global!JO53</f>
        <v/>
      </c>
      <c r="AG53" s="31" t="str">
        <f>Global!JP53</f>
        <v/>
      </c>
      <c r="AH53" s="31" t="str">
        <f>Global!JQ53</f>
        <v/>
      </c>
      <c r="AI53" s="31" t="str">
        <f>Global!JR53</f>
        <v/>
      </c>
      <c r="AJ53" s="34"/>
      <c r="AK53" s="108">
        <f>COUNTIF(Septembre[[#This Row],[1]:[30]],"RTT")+(COUNTIF(Septembre[[#This Row],[1]:[30]],"dRTT")/2)</f>
        <v>0</v>
      </c>
      <c r="AL53" s="109">
        <f>COUNTIF(Septembre[[#This Row],[1]:[30]],"C")+(COUNTIF(Septembre[[#This Row],[1]:[30]],"DC")/2)</f>
        <v>0</v>
      </c>
      <c r="AM53" s="22">
        <f>COUNTIF(Septembre[[#This Row],[1]:[30]],"M")</f>
        <v>0</v>
      </c>
      <c r="AN53" s="22">
        <f>COUNTIF(Septembre[[#This Row],[1]:[30]],"AT")</f>
        <v>0</v>
      </c>
      <c r="AO53" s="84">
        <f t="shared" si="0"/>
        <v>0.82191780821917804</v>
      </c>
    </row>
    <row r="54" spans="1:41" ht="30" customHeight="1" x14ac:dyDescent="0.2">
      <c r="A54" s="18" t="s">
        <v>110</v>
      </c>
      <c r="B54" s="18" t="s">
        <v>263</v>
      </c>
      <c r="C54" s="18" t="s">
        <v>264</v>
      </c>
      <c r="D54" s="18" t="s">
        <v>265</v>
      </c>
      <c r="E54" s="24">
        <v>0</v>
      </c>
      <c r="F54" s="47" t="str">
        <f>Global!IO54</f>
        <v/>
      </c>
      <c r="G54" s="31" t="str">
        <f>Global!IP54</f>
        <v/>
      </c>
      <c r="H54" s="31" t="str">
        <f>Global!IQ54</f>
        <v/>
      </c>
      <c r="I54" s="31" t="str">
        <f>Global!IR54</f>
        <v/>
      </c>
      <c r="J54" s="31" t="str">
        <f>Global!IS54</f>
        <v/>
      </c>
      <c r="K54" s="31" t="str">
        <f>Global!IT54</f>
        <v/>
      </c>
      <c r="L54" s="31" t="str">
        <f>Global!IU54</f>
        <v/>
      </c>
      <c r="M54" s="31" t="str">
        <f>Global!IV54</f>
        <v/>
      </c>
      <c r="N54" s="31" t="str">
        <f>Global!IW54</f>
        <v/>
      </c>
      <c r="O54" s="31" t="str">
        <f>Global!IX54</f>
        <v/>
      </c>
      <c r="P54" s="31" t="str">
        <f>Global!IY54</f>
        <v/>
      </c>
      <c r="Q54" s="31" t="str">
        <f>Global!IZ54</f>
        <v/>
      </c>
      <c r="R54" s="31" t="str">
        <f>Global!JA54</f>
        <v/>
      </c>
      <c r="S54" s="31" t="str">
        <f>Global!JB54</f>
        <v/>
      </c>
      <c r="T54" s="31" t="str">
        <f>Global!JC54</f>
        <v/>
      </c>
      <c r="U54" s="31" t="str">
        <f>Global!JD54</f>
        <v/>
      </c>
      <c r="V54" s="31" t="str">
        <f>Global!JE54</f>
        <v/>
      </c>
      <c r="W54" s="31" t="str">
        <f>Global!JF54</f>
        <v/>
      </c>
      <c r="X54" s="31" t="str">
        <f>Global!JG54</f>
        <v/>
      </c>
      <c r="Y54" s="31" t="str">
        <f>Global!JH54</f>
        <v/>
      </c>
      <c r="Z54" s="31" t="str">
        <f>Global!JI54</f>
        <v/>
      </c>
      <c r="AA54" s="31" t="str">
        <f>Global!JJ54</f>
        <v/>
      </c>
      <c r="AB54" s="31" t="str">
        <f>Global!JK54</f>
        <v/>
      </c>
      <c r="AC54" s="31" t="str">
        <f>Global!JL54</f>
        <v/>
      </c>
      <c r="AD54" s="31" t="str">
        <f>Global!JM54</f>
        <v/>
      </c>
      <c r="AE54" s="31" t="str">
        <f>Global!JN54</f>
        <v/>
      </c>
      <c r="AF54" s="31" t="str">
        <f>Global!JO54</f>
        <v/>
      </c>
      <c r="AG54" s="31" t="str">
        <f>Global!JP54</f>
        <v/>
      </c>
      <c r="AH54" s="31" t="str">
        <f>Global!JQ54</f>
        <v/>
      </c>
      <c r="AI54" s="31" t="str">
        <f>Global!JR54</f>
        <v/>
      </c>
      <c r="AJ54" s="34"/>
      <c r="AK54" s="108">
        <f>COUNTIF(Septembre[[#This Row],[1]:[30]],"RTT")+(COUNTIF(Septembre[[#This Row],[1]:[30]],"dRTT")/2)</f>
        <v>0</v>
      </c>
      <c r="AL54" s="109">
        <f>COUNTIF(Septembre[[#This Row],[1]:[30]],"C")+(COUNTIF(Septembre[[#This Row],[1]:[30]],"DC")/2)</f>
        <v>0</v>
      </c>
      <c r="AM54" s="22">
        <f>COUNTIF(Septembre[[#This Row],[1]:[30]],"M")</f>
        <v>0</v>
      </c>
      <c r="AN54" s="22">
        <f>COUNTIF(Septembre[[#This Row],[1]:[30]],"AT")</f>
        <v>0</v>
      </c>
      <c r="AO54" s="84">
        <f t="shared" si="0"/>
        <v>0.82191780821917804</v>
      </c>
    </row>
    <row r="55" spans="1:41" ht="30" customHeight="1" x14ac:dyDescent="0.2">
      <c r="A55" s="17" t="s">
        <v>111</v>
      </c>
      <c r="B55" s="17" t="s">
        <v>266</v>
      </c>
      <c r="C55" s="17" t="s">
        <v>267</v>
      </c>
      <c r="D55" s="17" t="s">
        <v>268</v>
      </c>
      <c r="E55" s="23">
        <v>0</v>
      </c>
      <c r="F55" s="47" t="str">
        <f>Global!IO55</f>
        <v/>
      </c>
      <c r="G55" s="31" t="str">
        <f>Global!IP55</f>
        <v/>
      </c>
      <c r="H55" s="31" t="str">
        <f>Global!IQ55</f>
        <v/>
      </c>
      <c r="I55" s="31" t="str">
        <f>Global!IR55</f>
        <v/>
      </c>
      <c r="J55" s="31" t="str">
        <f>Global!IS55</f>
        <v/>
      </c>
      <c r="K55" s="31" t="str">
        <f>Global!IT55</f>
        <v/>
      </c>
      <c r="L55" s="31" t="str">
        <f>Global!IU55</f>
        <v/>
      </c>
      <c r="M55" s="31" t="str">
        <f>Global!IV55</f>
        <v/>
      </c>
      <c r="N55" s="31" t="str">
        <f>Global!IW55</f>
        <v/>
      </c>
      <c r="O55" s="31" t="str">
        <f>Global!IX55</f>
        <v/>
      </c>
      <c r="P55" s="31" t="str">
        <f>Global!IY55</f>
        <v/>
      </c>
      <c r="Q55" s="31" t="str">
        <f>Global!IZ55</f>
        <v/>
      </c>
      <c r="R55" s="31" t="str">
        <f>Global!JA55</f>
        <v/>
      </c>
      <c r="S55" s="31" t="str">
        <f>Global!JB55</f>
        <v/>
      </c>
      <c r="T55" s="31" t="str">
        <f>Global!JC55</f>
        <v/>
      </c>
      <c r="U55" s="31" t="str">
        <f>Global!JD55</f>
        <v/>
      </c>
      <c r="V55" s="31" t="str">
        <f>Global!JE55</f>
        <v/>
      </c>
      <c r="W55" s="31" t="str">
        <f>Global!JF55</f>
        <v/>
      </c>
      <c r="X55" s="31" t="str">
        <f>Global!JG55</f>
        <v/>
      </c>
      <c r="Y55" s="31" t="str">
        <f>Global!JH55</f>
        <v/>
      </c>
      <c r="Z55" s="31" t="str">
        <f>Global!JI55</f>
        <v/>
      </c>
      <c r="AA55" s="31" t="str">
        <f>Global!JJ55</f>
        <v/>
      </c>
      <c r="AB55" s="31" t="str">
        <f>Global!JK55</f>
        <v/>
      </c>
      <c r="AC55" s="31" t="str">
        <f>Global!JL55</f>
        <v/>
      </c>
      <c r="AD55" s="31" t="str">
        <f>Global!JM55</f>
        <v/>
      </c>
      <c r="AE55" s="31" t="str">
        <f>Global!JN55</f>
        <v/>
      </c>
      <c r="AF55" s="31" t="str">
        <f>Global!JO55</f>
        <v/>
      </c>
      <c r="AG55" s="31" t="str">
        <f>Global!JP55</f>
        <v/>
      </c>
      <c r="AH55" s="31" t="str">
        <f>Global!JQ55</f>
        <v/>
      </c>
      <c r="AI55" s="31" t="str">
        <f>Global!JR55</f>
        <v/>
      </c>
      <c r="AJ55" s="34"/>
      <c r="AK55" s="108">
        <f>COUNTIF(Septembre[[#This Row],[1]:[30]],"RTT")+(COUNTIF(Septembre[[#This Row],[1]:[30]],"dRTT")/2)</f>
        <v>0</v>
      </c>
      <c r="AL55" s="109">
        <f>COUNTIF(Septembre[[#This Row],[1]:[30]],"C")+(COUNTIF(Septembre[[#This Row],[1]:[30]],"DC")/2)</f>
        <v>0</v>
      </c>
      <c r="AM55" s="22">
        <f>COUNTIF(Septembre[[#This Row],[1]:[30]],"M")</f>
        <v>0</v>
      </c>
      <c r="AN55" s="22">
        <f>COUNTIF(Septembre[[#This Row],[1]:[30]],"AT")</f>
        <v>0</v>
      </c>
      <c r="AO55" s="84">
        <f t="shared" si="0"/>
        <v>0.82191780821917804</v>
      </c>
    </row>
    <row r="56" spans="1:41" ht="30" customHeight="1" thickBot="1" x14ac:dyDescent="0.25">
      <c r="A56" s="17" t="s">
        <v>112</v>
      </c>
      <c r="B56" s="17" t="s">
        <v>269</v>
      </c>
      <c r="C56" s="17" t="s">
        <v>270</v>
      </c>
      <c r="D56" s="17" t="s">
        <v>271</v>
      </c>
      <c r="E56" s="23">
        <v>0</v>
      </c>
      <c r="F56" s="49" t="str">
        <f>Global!IO56</f>
        <v/>
      </c>
      <c r="G56" s="50" t="str">
        <f>Global!IP56</f>
        <v/>
      </c>
      <c r="H56" s="50" t="str">
        <f>Global!IQ56</f>
        <v>C</v>
      </c>
      <c r="I56" s="50" t="str">
        <f>Global!IR56</f>
        <v>C</v>
      </c>
      <c r="J56" s="50" t="str">
        <f>Global!IS56</f>
        <v>C</v>
      </c>
      <c r="K56" s="50" t="str">
        <f>Global!IT56</f>
        <v>C</v>
      </c>
      <c r="L56" s="50" t="str">
        <f>Global!IU56</f>
        <v>C</v>
      </c>
      <c r="M56" s="50" t="str">
        <f>Global!IV56</f>
        <v/>
      </c>
      <c r="N56" s="50" t="str">
        <f>Global!IW56</f>
        <v/>
      </c>
      <c r="O56" s="50" t="str">
        <f>Global!IX56</f>
        <v>C</v>
      </c>
      <c r="P56" s="50" t="str">
        <f>Global!IY56</f>
        <v>C</v>
      </c>
      <c r="Q56" s="50" t="str">
        <f>Global!IZ56</f>
        <v>C</v>
      </c>
      <c r="R56" s="50" t="str">
        <f>Global!JA56</f>
        <v>C</v>
      </c>
      <c r="S56" s="50" t="str">
        <f>Global!JB56</f>
        <v>C</v>
      </c>
      <c r="T56" s="50" t="str">
        <f>Global!JC56</f>
        <v/>
      </c>
      <c r="U56" s="50" t="str">
        <f>Global!JD56</f>
        <v/>
      </c>
      <c r="V56" s="50" t="str">
        <f>Global!JE56</f>
        <v/>
      </c>
      <c r="W56" s="50" t="str">
        <f>Global!JF56</f>
        <v/>
      </c>
      <c r="X56" s="50" t="str">
        <f>Global!JG56</f>
        <v/>
      </c>
      <c r="Y56" s="50" t="str">
        <f>Global!JH56</f>
        <v/>
      </c>
      <c r="Z56" s="50" t="str">
        <f>Global!JI56</f>
        <v/>
      </c>
      <c r="AA56" s="50" t="str">
        <f>Global!JJ56</f>
        <v/>
      </c>
      <c r="AB56" s="50" t="str">
        <f>Global!JK56</f>
        <v/>
      </c>
      <c r="AC56" s="50" t="str">
        <f>Global!JL56</f>
        <v/>
      </c>
      <c r="AD56" s="50" t="str">
        <f>Global!JM56</f>
        <v/>
      </c>
      <c r="AE56" s="50" t="str">
        <f>Global!JN56</f>
        <v/>
      </c>
      <c r="AF56" s="50" t="str">
        <f>Global!JO56</f>
        <v/>
      </c>
      <c r="AG56" s="50" t="str">
        <f>Global!JP56</f>
        <v/>
      </c>
      <c r="AH56" s="50" t="str">
        <f>Global!JQ56</f>
        <v/>
      </c>
      <c r="AI56" s="50" t="str">
        <f>Global!JR56</f>
        <v/>
      </c>
      <c r="AJ56" s="34"/>
      <c r="AK56" s="108">
        <f>COUNTIF(Septembre[[#This Row],[1]:[30]],"RTT")+(COUNTIF(Septembre[[#This Row],[1]:[30]],"dRTT")/2)</f>
        <v>0</v>
      </c>
      <c r="AL56" s="109">
        <f>COUNTIF(Septembre[[#This Row],[1]:[30]],"C")+(COUNTIF(Septembre[[#This Row],[1]:[30]],"DC")/2)</f>
        <v>10</v>
      </c>
      <c r="AM56" s="22">
        <f>COUNTIF(Septembre[[#This Row],[1]:[30]],"M")</f>
        <v>0</v>
      </c>
      <c r="AN56" s="22">
        <f>COUNTIF(Septembre[[#This Row],[1]:[30]],"AT")</f>
        <v>0</v>
      </c>
      <c r="AO56" s="84">
        <f t="shared" si="0"/>
        <v>0.82191780821917804</v>
      </c>
    </row>
    <row r="57" spans="1:41" x14ac:dyDescent="0.2">
      <c r="A57" s="1"/>
    </row>
  </sheetData>
  <mergeCells count="6">
    <mergeCell ref="F5:AJ5"/>
    <mergeCell ref="G3:H3"/>
    <mergeCell ref="J3:K3"/>
    <mergeCell ref="U3:V3"/>
    <mergeCell ref="AC3:AD3"/>
    <mergeCell ref="AH3:AI3"/>
  </mergeCells>
  <conditionalFormatting sqref="AJ8:AJ56">
    <cfRule type="expression" dxfId="69" priority="16">
      <formula>AJ8=""</formula>
    </cfRule>
  </conditionalFormatting>
  <conditionalFormatting sqref="AJ8:AJ56">
    <cfRule type="expression" dxfId="68" priority="17">
      <formula>AJ8=CléPersonnalisée2</formula>
    </cfRule>
    <cfRule type="expression" dxfId="67" priority="18">
      <formula>AJ8=CléPersonnalisée1</formula>
    </cfRule>
    <cfRule type="expression" dxfId="66" priority="19">
      <formula>AJ8=CléMaladie</formula>
    </cfRule>
    <cfRule type="expression" dxfId="65" priority="20">
      <formula>AJ8=CléPersonnel</formula>
    </cfRule>
    <cfRule type="expression" dxfId="64" priority="21">
      <formula>AJ8=CléCongé</formula>
    </cfRule>
  </conditionalFormatting>
  <conditionalFormatting sqref="F8:AI56">
    <cfRule type="expression" dxfId="63" priority="4">
      <formula>F8=CléPersonnalisée4</formula>
    </cfRule>
    <cfRule type="expression" dxfId="62" priority="5">
      <formula>F8=CléPersonnalisée5</formula>
    </cfRule>
    <cfRule type="expression" dxfId="61" priority="6">
      <formula>F8=CléPersonnalisée3</formula>
    </cfRule>
    <cfRule type="expression" dxfId="60" priority="7">
      <formula>F8=CléPersonnalisée2</formula>
    </cfRule>
    <cfRule type="expression" dxfId="59" priority="8">
      <formula>F8=CléPersonnalisée1</formula>
    </cfRule>
    <cfRule type="expression" dxfId="58" priority="9">
      <formula>F8=CléMaladie</formula>
    </cfRule>
    <cfRule type="expression" dxfId="57" priority="10">
      <formula>F8=CléPersonnel</formula>
    </cfRule>
    <cfRule type="expression" dxfId="56" priority="11" stopIfTrue="1">
      <formula>F8=CléCongé</formula>
    </cfRule>
    <cfRule type="expression" dxfId="55" priority="12" stopIfTrue="1">
      <formula>F8=CléDemiCongés</formula>
    </cfRule>
    <cfRule type="expression" dxfId="54" priority="13">
      <formula>F8=""</formula>
    </cfRule>
  </conditionalFormatting>
  <conditionalFormatting sqref="F6:AI56">
    <cfRule type="expression" dxfId="53" priority="2" stopIfTrue="1">
      <formula>WEEKDAY(F$1)=7</formula>
    </cfRule>
    <cfRule type="expression" dxfId="52"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678172B1-F073-0349-B9B8-03271CC37625}">
            <xm:f>F$1=VLOOKUP(F$1,JFériés!$D$1:$D$11,1,FALSE)</xm:f>
            <x14:dxf>
              <font>
                <color theme="1"/>
              </font>
              <fill>
                <patternFill>
                  <bgColor theme="5" tint="0.59996337778862885"/>
                </patternFill>
              </fill>
            </x14:dxf>
          </x14:cfRule>
          <xm:sqref>F6:AI56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2" enableFormatConditionsCalculation="0">
    <tabColor rgb="FFC3C79C"/>
    <pageSetUpPr fitToPage="1"/>
  </sheetPr>
  <dimension ref="A1:AO57"/>
  <sheetViews>
    <sheetView showGridLines="0" topLeftCell="A37"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DATE(AnnéeCalendrier,10,1)</f>
        <v>43374</v>
      </c>
      <c r="G1" s="62">
        <f>DATE(AnnéeCalendrier,10,2)</f>
        <v>43375</v>
      </c>
      <c r="H1" s="62">
        <f>DATE(AnnéeCalendrier,10,3)</f>
        <v>43376</v>
      </c>
      <c r="I1" s="62">
        <f>DATE(AnnéeCalendrier,10,4)</f>
        <v>43377</v>
      </c>
      <c r="J1" s="62">
        <f>DATE(AnnéeCalendrier,10,5)</f>
        <v>43378</v>
      </c>
      <c r="K1" s="62">
        <f>DATE(AnnéeCalendrier,10,6)</f>
        <v>43379</v>
      </c>
      <c r="L1" s="62">
        <f>DATE(AnnéeCalendrier,10,7)</f>
        <v>43380</v>
      </c>
      <c r="M1" s="62">
        <f>DATE(AnnéeCalendrier,10,8)</f>
        <v>43381</v>
      </c>
      <c r="N1" s="62">
        <f>DATE(AnnéeCalendrier,10,9)</f>
        <v>43382</v>
      </c>
      <c r="O1" s="62">
        <f>DATE(AnnéeCalendrier,10,10)</f>
        <v>43383</v>
      </c>
      <c r="P1" s="62">
        <f>DATE(AnnéeCalendrier,10,11)</f>
        <v>43384</v>
      </c>
      <c r="Q1" s="62">
        <f>DATE(AnnéeCalendrier,10,12)</f>
        <v>43385</v>
      </c>
      <c r="R1" s="62">
        <f>DATE(AnnéeCalendrier,10,13)</f>
        <v>43386</v>
      </c>
      <c r="S1" s="62">
        <f>DATE(AnnéeCalendrier,10,14)</f>
        <v>43387</v>
      </c>
      <c r="T1" s="62">
        <f>DATE(AnnéeCalendrier,10,15)</f>
        <v>43388</v>
      </c>
      <c r="U1" s="62">
        <f>DATE(AnnéeCalendrier,10,16)</f>
        <v>43389</v>
      </c>
      <c r="V1" s="62">
        <f>DATE(AnnéeCalendrier,10,17)</f>
        <v>43390</v>
      </c>
      <c r="W1" s="62">
        <f>DATE(AnnéeCalendrier,10,18)</f>
        <v>43391</v>
      </c>
      <c r="X1" s="62">
        <f>DATE(AnnéeCalendrier,10,19)</f>
        <v>43392</v>
      </c>
      <c r="Y1" s="62">
        <f>DATE(AnnéeCalendrier,10,20)</f>
        <v>43393</v>
      </c>
      <c r="Z1" s="62">
        <f>DATE(AnnéeCalendrier,10,21)</f>
        <v>43394</v>
      </c>
      <c r="AA1" s="62">
        <f>DATE(AnnéeCalendrier,10,22)</f>
        <v>43395</v>
      </c>
      <c r="AB1" s="62">
        <f>DATE(AnnéeCalendrier,10,23)</f>
        <v>43396</v>
      </c>
      <c r="AC1" s="62">
        <f>DATE(AnnéeCalendrier,10,24)</f>
        <v>43397</v>
      </c>
      <c r="AD1" s="62">
        <f>DATE(AnnéeCalendrier,10,25)</f>
        <v>43398</v>
      </c>
      <c r="AE1" s="62">
        <f>DATE(AnnéeCalendrier,10,26)</f>
        <v>43399</v>
      </c>
      <c r="AF1" s="62">
        <f>DATE(AnnéeCalendrier,10,27)</f>
        <v>43400</v>
      </c>
      <c r="AG1" s="62">
        <f>DATE(AnnéeCalendrier,10,28)</f>
        <v>43401</v>
      </c>
      <c r="AH1" s="62">
        <f>DATE(AnnéeCalendrier,10,29)</f>
        <v>43402</v>
      </c>
      <c r="AI1" s="62">
        <f>DATE(AnnéeCalendrier,10,30)</f>
        <v>43403</v>
      </c>
      <c r="AJ1" s="62">
        <f>DATE(AnnéeCalendrier,10,31)</f>
        <v>43404</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54</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45" t="str">
        <f>TEXT(WEEKDAY(DATE(AnnéeCalendrier,10,1),1),"jjj")</f>
        <v>lun</v>
      </c>
      <c r="G6" s="35" t="str">
        <f>TEXT(WEEKDAY(DATE(AnnéeCalendrier,10,2),1),"jjj")</f>
        <v>mar</v>
      </c>
      <c r="H6" s="35" t="str">
        <f>TEXT(WEEKDAY(DATE(AnnéeCalendrier,10,3),1),"jjj")</f>
        <v>mer</v>
      </c>
      <c r="I6" s="35" t="str">
        <f>TEXT(WEEKDAY(DATE(AnnéeCalendrier,10,4),1),"jjj")</f>
        <v>jeu</v>
      </c>
      <c r="J6" s="35" t="str">
        <f>TEXT(WEEKDAY(DATE(AnnéeCalendrier,10,5),1),"jjj")</f>
        <v>ven</v>
      </c>
      <c r="K6" s="35" t="str">
        <f>TEXT(WEEKDAY(DATE(AnnéeCalendrier,10,6),1),"jjj")</f>
        <v>sam</v>
      </c>
      <c r="L6" s="35" t="str">
        <f>TEXT(WEEKDAY(DATE(AnnéeCalendrier,10,7),1),"jjj")</f>
        <v>dim</v>
      </c>
      <c r="M6" s="35" t="str">
        <f>TEXT(WEEKDAY(DATE(AnnéeCalendrier,10,8),1),"jjj")</f>
        <v>lun</v>
      </c>
      <c r="N6" s="35" t="str">
        <f>TEXT(WEEKDAY(DATE(AnnéeCalendrier,10,9),1),"jjj")</f>
        <v>mar</v>
      </c>
      <c r="O6" s="35" t="str">
        <f>TEXT(WEEKDAY(DATE(AnnéeCalendrier,10,10),1),"jjj")</f>
        <v>mer</v>
      </c>
      <c r="P6" s="35" t="str">
        <f>TEXT(WEEKDAY(DATE(AnnéeCalendrier,10,11),1),"jjj")</f>
        <v>jeu</v>
      </c>
      <c r="Q6" s="35" t="str">
        <f>TEXT(WEEKDAY(DATE(AnnéeCalendrier,10,12),1),"jjj")</f>
        <v>ven</v>
      </c>
      <c r="R6" s="35" t="str">
        <f>TEXT(WEEKDAY(DATE(AnnéeCalendrier,10,13),1),"jjj")</f>
        <v>sam</v>
      </c>
      <c r="S6" s="35" t="str">
        <f>TEXT(WEEKDAY(DATE(AnnéeCalendrier,10,14),1),"jjj")</f>
        <v>dim</v>
      </c>
      <c r="T6" s="35" t="str">
        <f>TEXT(WEEKDAY(DATE(AnnéeCalendrier,10,15),1),"jjj")</f>
        <v>lun</v>
      </c>
      <c r="U6" s="35" t="str">
        <f>TEXT(WEEKDAY(DATE(AnnéeCalendrier,10,16),1),"jjj")</f>
        <v>mar</v>
      </c>
      <c r="V6" s="35" t="str">
        <f>TEXT(WEEKDAY(DATE(AnnéeCalendrier,10,17),1),"jjj")</f>
        <v>mer</v>
      </c>
      <c r="W6" s="35" t="str">
        <f>TEXT(WEEKDAY(DATE(AnnéeCalendrier,10,18),1),"jjj")</f>
        <v>jeu</v>
      </c>
      <c r="X6" s="35" t="str">
        <f>TEXT(WEEKDAY(DATE(AnnéeCalendrier,10,19),1),"jjj")</f>
        <v>ven</v>
      </c>
      <c r="Y6" s="35" t="str">
        <f>TEXT(WEEKDAY(DATE(AnnéeCalendrier,10,20),1),"jjj")</f>
        <v>sam</v>
      </c>
      <c r="Z6" s="35" t="str">
        <f>TEXT(WEEKDAY(DATE(AnnéeCalendrier,10,21),1),"jjj")</f>
        <v>dim</v>
      </c>
      <c r="AA6" s="35" t="str">
        <f>TEXT(WEEKDAY(DATE(AnnéeCalendrier,10,22),1),"jjj")</f>
        <v>lun</v>
      </c>
      <c r="AB6" s="35" t="str">
        <f>TEXT(WEEKDAY(DATE(AnnéeCalendrier,10,23),1),"jjj")</f>
        <v>mar</v>
      </c>
      <c r="AC6" s="35" t="str">
        <f>TEXT(WEEKDAY(DATE(AnnéeCalendrier,10,24),1),"jjj")</f>
        <v>mer</v>
      </c>
      <c r="AD6" s="35" t="str">
        <f>TEXT(WEEKDAY(DATE(AnnéeCalendrier,10,25),1),"jjj")</f>
        <v>jeu</v>
      </c>
      <c r="AE6" s="35" t="str">
        <f>TEXT(WEEKDAY(DATE(AnnéeCalendrier,10,26),1),"jjj")</f>
        <v>ven</v>
      </c>
      <c r="AF6" s="35" t="str">
        <f>TEXT(WEEKDAY(DATE(AnnéeCalendrier,10,27),1),"jjj")</f>
        <v>sam</v>
      </c>
      <c r="AG6" s="35" t="str">
        <f>TEXT(WEEKDAY(DATE(AnnéeCalendrier,10,28),1),"jjj")</f>
        <v>dim</v>
      </c>
      <c r="AH6" s="35" t="str">
        <f>TEXT(WEEKDAY(DATE(AnnéeCalendrier,10,29),1),"jjj")</f>
        <v>lun</v>
      </c>
      <c r="AI6" s="35" t="str">
        <f>TEXT(WEEKDAY(DATE(AnnéeCalendrier,10,30),1),"jjj")</f>
        <v>mar</v>
      </c>
      <c r="AJ6" s="46" t="str">
        <f>TEXT(WEEKDAY(DATE(AnnéeCalendrier,10,31),1),"jjj")</f>
        <v>mer</v>
      </c>
      <c r="AK6" s="10"/>
    </row>
    <row r="7" spans="1:41" ht="15" customHeight="1" thickBot="1" x14ac:dyDescent="0.25">
      <c r="A7" s="36" t="s">
        <v>63</v>
      </c>
      <c r="B7" s="36" t="s">
        <v>128</v>
      </c>
      <c r="C7" s="36" t="s">
        <v>129</v>
      </c>
      <c r="D7" s="36" t="s">
        <v>13</v>
      </c>
      <c r="E7" s="43" t="s">
        <v>113</v>
      </c>
      <c r="F7" s="76" t="s">
        <v>14</v>
      </c>
      <c r="G7" s="75" t="s">
        <v>15</v>
      </c>
      <c r="H7" s="75" t="s">
        <v>16</v>
      </c>
      <c r="I7" s="75" t="s">
        <v>17</v>
      </c>
      <c r="J7" s="75" t="s">
        <v>18</v>
      </c>
      <c r="K7" s="75" t="s">
        <v>19</v>
      </c>
      <c r="L7" s="75" t="s">
        <v>20</v>
      </c>
      <c r="M7" s="75" t="s">
        <v>21</v>
      </c>
      <c r="N7" s="75" t="s">
        <v>22</v>
      </c>
      <c r="O7" s="75" t="s">
        <v>23</v>
      </c>
      <c r="P7" s="75" t="s">
        <v>24</v>
      </c>
      <c r="Q7" s="75" t="s">
        <v>25</v>
      </c>
      <c r="R7" s="75" t="s">
        <v>26</v>
      </c>
      <c r="S7" s="75" t="s">
        <v>27</v>
      </c>
      <c r="T7" s="75" t="s">
        <v>28</v>
      </c>
      <c r="U7" s="75" t="s">
        <v>29</v>
      </c>
      <c r="V7" s="75" t="s">
        <v>30</v>
      </c>
      <c r="W7" s="75" t="s">
        <v>31</v>
      </c>
      <c r="X7" s="75" t="s">
        <v>32</v>
      </c>
      <c r="Y7" s="75" t="s">
        <v>33</v>
      </c>
      <c r="Z7" s="75" t="s">
        <v>34</v>
      </c>
      <c r="AA7" s="75" t="s">
        <v>35</v>
      </c>
      <c r="AB7" s="75" t="s">
        <v>36</v>
      </c>
      <c r="AC7" s="75" t="s">
        <v>37</v>
      </c>
      <c r="AD7" s="75" t="s">
        <v>38</v>
      </c>
      <c r="AE7" s="75" t="s">
        <v>39</v>
      </c>
      <c r="AF7" s="75" t="s">
        <v>40</v>
      </c>
      <c r="AG7" s="75" t="s">
        <v>41</v>
      </c>
      <c r="AH7" s="75" t="s">
        <v>42</v>
      </c>
      <c r="AI7" s="75" t="s">
        <v>43</v>
      </c>
      <c r="AJ7" s="77"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Global!JS8</f>
        <v/>
      </c>
      <c r="G8" s="79" t="str">
        <f>Global!JT8</f>
        <v/>
      </c>
      <c r="H8" s="79" t="str">
        <f>Global!JU8</f>
        <v/>
      </c>
      <c r="I8" s="79" t="str">
        <f>Global!JV8</f>
        <v/>
      </c>
      <c r="J8" s="79" t="str">
        <f>Global!JW8</f>
        <v/>
      </c>
      <c r="K8" s="79" t="str">
        <f>Global!JX8</f>
        <v/>
      </c>
      <c r="L8" s="79" t="str">
        <f>Global!JY8</f>
        <v/>
      </c>
      <c r="M8" s="79" t="str">
        <f>Global!JZ8</f>
        <v/>
      </c>
      <c r="N8" s="79" t="str">
        <f>Global!KA8</f>
        <v/>
      </c>
      <c r="O8" s="79" t="str">
        <f>Global!KB8</f>
        <v/>
      </c>
      <c r="P8" s="79" t="str">
        <f>Global!KC8</f>
        <v/>
      </c>
      <c r="Q8" s="79" t="str">
        <f>Global!KD8</f>
        <v/>
      </c>
      <c r="R8" s="79" t="str">
        <f>Global!KE8</f>
        <v/>
      </c>
      <c r="S8" s="79" t="str">
        <f>Global!KF8</f>
        <v/>
      </c>
      <c r="T8" s="79" t="str">
        <f>Global!KG8</f>
        <v/>
      </c>
      <c r="U8" s="79" t="str">
        <f>Global!KH8</f>
        <v/>
      </c>
      <c r="V8" s="79" t="str">
        <f>Global!KI8</f>
        <v/>
      </c>
      <c r="W8" s="79" t="str">
        <f>Global!KJ8</f>
        <v/>
      </c>
      <c r="X8" s="79" t="str">
        <f>Global!KK8</f>
        <v/>
      </c>
      <c r="Y8" s="79" t="str">
        <f>Global!KL8</f>
        <v/>
      </c>
      <c r="Z8" s="79" t="str">
        <f>Global!KM8</f>
        <v/>
      </c>
      <c r="AA8" s="79" t="str">
        <f>Global!KN8</f>
        <v/>
      </c>
      <c r="AB8" s="79" t="str">
        <f>Global!KO8</f>
        <v/>
      </c>
      <c r="AC8" s="79" t="str">
        <f>Global!KP8</f>
        <v/>
      </c>
      <c r="AD8" s="79" t="str">
        <f>Global!KQ8</f>
        <v/>
      </c>
      <c r="AE8" s="79" t="str">
        <f>Global!KR8</f>
        <v/>
      </c>
      <c r="AF8" s="79" t="str">
        <f>Global!KS8</f>
        <v/>
      </c>
      <c r="AG8" s="79" t="str">
        <f>Global!KT8</f>
        <v/>
      </c>
      <c r="AH8" s="79" t="str">
        <f>Global!KU8</f>
        <v/>
      </c>
      <c r="AI8" s="79" t="str">
        <f>Global!KV8</f>
        <v/>
      </c>
      <c r="AJ8" s="80" t="str">
        <f>Global!KW8</f>
        <v/>
      </c>
      <c r="AK8" s="108">
        <f>COUNTIF(Octobre[[#This Row],[1]:[31]],"RTT")+(COUNTIF(Octobre[[#This Row],[1]:[31]],"dRTT")/2)</f>
        <v>0</v>
      </c>
      <c r="AL8" s="109">
        <f>COUNTIF(Octobre[[#This Row],[1]:[31]],"C")+(COUNTIF(Octobre[[#This Row],[1]:[31]],"DC")/2)</f>
        <v>0</v>
      </c>
      <c r="AM8" s="22">
        <f>COUNTIF(Octobre[[#This Row],[1]:[31]],"M")</f>
        <v>0</v>
      </c>
      <c r="AN8" s="22">
        <f>COUNTIF(Octobre[[#This Row],[1]:[31]],"AT")</f>
        <v>0</v>
      </c>
      <c r="AO8" s="84">
        <f>IF(AND(Octobre[[#This Row],[Maladie]]=0,Octobre[[#This Row],[AT]]=0),((10*(_xlfn.DAYS("31/10/2018","01/10/2018")+1))/365),((_xlfn.DAYS("31/10/2018","01/10/2018")+1-(Octobre[[#This Row],[Maladie]]+Octobre[[#This Row],[AT]]))*((10*(_xlfn.DAYS("31/10/2018","01/10/2018")+1))/365))/(_xlfn.DAYS("31/10/2018","01/10/2018")+1))</f>
        <v>0.84931506849315064</v>
      </c>
    </row>
    <row r="9" spans="1:41" ht="30" customHeight="1" x14ac:dyDescent="0.2">
      <c r="A9" s="13" t="s">
        <v>65</v>
      </c>
      <c r="B9" s="22" t="s">
        <v>130</v>
      </c>
      <c r="C9" s="22" t="s">
        <v>133</v>
      </c>
      <c r="D9" s="22" t="s">
        <v>134</v>
      </c>
      <c r="E9" s="44">
        <v>0</v>
      </c>
      <c r="F9" s="47" t="str">
        <f>Global!JS9</f>
        <v/>
      </c>
      <c r="G9" s="31" t="str">
        <f>Global!JT9</f>
        <v/>
      </c>
      <c r="H9" s="31" t="str">
        <f>Global!JU9</f>
        <v/>
      </c>
      <c r="I9" s="31" t="str">
        <f>Global!JV9</f>
        <v/>
      </c>
      <c r="J9" s="31" t="str">
        <f>Global!JW9</f>
        <v/>
      </c>
      <c r="K9" s="31" t="str">
        <f>Global!JX9</f>
        <v/>
      </c>
      <c r="L9" s="31" t="str">
        <f>Global!JY9</f>
        <v/>
      </c>
      <c r="M9" s="31" t="str">
        <f>Global!JZ9</f>
        <v/>
      </c>
      <c r="N9" s="31" t="str">
        <f>Global!KA9</f>
        <v/>
      </c>
      <c r="O9" s="31" t="str">
        <f>Global!KB9</f>
        <v/>
      </c>
      <c r="P9" s="31" t="str">
        <f>Global!KC9</f>
        <v/>
      </c>
      <c r="Q9" s="31" t="str">
        <f>Global!KD9</f>
        <v/>
      </c>
      <c r="R9" s="31" t="str">
        <f>Global!KE9</f>
        <v/>
      </c>
      <c r="S9" s="31" t="str">
        <f>Global!KF9</f>
        <v/>
      </c>
      <c r="T9" s="31" t="str">
        <f>Global!KG9</f>
        <v/>
      </c>
      <c r="U9" s="31" t="str">
        <f>Global!KH9</f>
        <v/>
      </c>
      <c r="V9" s="31" t="str">
        <f>Global!KI9</f>
        <v/>
      </c>
      <c r="W9" s="31" t="str">
        <f>Global!KJ9</f>
        <v/>
      </c>
      <c r="X9" s="31" t="str">
        <f>Global!KK9</f>
        <v/>
      </c>
      <c r="Y9" s="31" t="str">
        <f>Global!KL9</f>
        <v/>
      </c>
      <c r="Z9" s="31" t="str">
        <f>Global!KM9</f>
        <v/>
      </c>
      <c r="AA9" s="31" t="str">
        <f>Global!KN9</f>
        <v/>
      </c>
      <c r="AB9" s="31" t="str">
        <f>Global!KO9</f>
        <v/>
      </c>
      <c r="AC9" s="31" t="str">
        <f>Global!KP9</f>
        <v/>
      </c>
      <c r="AD9" s="31" t="str">
        <f>Global!KQ9</f>
        <v/>
      </c>
      <c r="AE9" s="31" t="str">
        <f>Global!KR9</f>
        <v/>
      </c>
      <c r="AF9" s="31" t="str">
        <f>Global!KS9</f>
        <v/>
      </c>
      <c r="AG9" s="31" t="str">
        <f>Global!KT9</f>
        <v/>
      </c>
      <c r="AH9" s="31" t="str">
        <f>Global!KU9</f>
        <v/>
      </c>
      <c r="AI9" s="31" t="str">
        <f>Global!KV9</f>
        <v/>
      </c>
      <c r="AJ9" s="48" t="str">
        <f>Global!KW9</f>
        <v/>
      </c>
      <c r="AK9" s="108">
        <f>COUNTIF(Octobre[[#This Row],[1]:[31]],"RTT")+(COUNTIF(Octobre[[#This Row],[1]:[31]],"dRTT")/2)</f>
        <v>0</v>
      </c>
      <c r="AL9" s="109">
        <f>COUNTIF(Octobre[[#This Row],[1]:[31]],"C")+(COUNTIF(Octobre[[#This Row],[1]:[31]],"DC")/2)</f>
        <v>0</v>
      </c>
      <c r="AM9" s="22">
        <f>COUNTIF(Octobre[[#This Row],[1]:[31]],"M")</f>
        <v>0</v>
      </c>
      <c r="AN9" s="22">
        <f>COUNTIF(Octobre[[#This Row],[1]:[31]],"AT")</f>
        <v>0</v>
      </c>
      <c r="AO9" s="84">
        <f>IF(AND(Octobre[[#This Row],[Maladie]]=0,Octobre[[#This Row],[AT]]=0),((10*(_xlfn.DAYS("31/10/2018","01/10/2018")+1))/365),((_xlfn.DAYS("31/10/2018","01/10/2018")+1-(Octobre[[#This Row],[Maladie]]+Octobre[[#This Row],[AT]]))*((10*(_xlfn.DAYS("31/10/2018","01/10/2018")+1))/365))/(_xlfn.DAYS("31/10/2018","01/10/2018")+1))</f>
        <v>0.84931506849315064</v>
      </c>
    </row>
    <row r="10" spans="1:41" ht="30" customHeight="1" x14ac:dyDescent="0.2">
      <c r="A10" s="14" t="s">
        <v>66</v>
      </c>
      <c r="B10" s="22" t="s">
        <v>135</v>
      </c>
      <c r="C10" s="22" t="s">
        <v>136</v>
      </c>
      <c r="D10" s="22" t="s">
        <v>137</v>
      </c>
      <c r="E10" s="44">
        <v>0</v>
      </c>
      <c r="F10" s="47" t="str">
        <f>Global!JS10</f>
        <v/>
      </c>
      <c r="G10" s="31" t="str">
        <f>Global!JT10</f>
        <v/>
      </c>
      <c r="H10" s="31" t="str">
        <f>Global!JU10</f>
        <v/>
      </c>
      <c r="I10" s="31" t="str">
        <f>Global!JV10</f>
        <v/>
      </c>
      <c r="J10" s="31" t="str">
        <f>Global!JW10</f>
        <v/>
      </c>
      <c r="K10" s="31" t="str">
        <f>Global!JX10</f>
        <v/>
      </c>
      <c r="L10" s="31" t="str">
        <f>Global!JY10</f>
        <v/>
      </c>
      <c r="M10" s="31" t="str">
        <f>Global!JZ10</f>
        <v/>
      </c>
      <c r="N10" s="31" t="str">
        <f>Global!KA10</f>
        <v/>
      </c>
      <c r="O10" s="31" t="str">
        <f>Global!KB10</f>
        <v/>
      </c>
      <c r="P10" s="31" t="str">
        <f>Global!KC10</f>
        <v/>
      </c>
      <c r="Q10" s="31" t="str">
        <f>Global!KD10</f>
        <v/>
      </c>
      <c r="R10" s="31" t="str">
        <f>Global!KE10</f>
        <v/>
      </c>
      <c r="S10" s="31" t="str">
        <f>Global!KF10</f>
        <v/>
      </c>
      <c r="T10" s="31" t="str">
        <f>Global!KG10</f>
        <v/>
      </c>
      <c r="U10" s="31" t="str">
        <f>Global!KH10</f>
        <v/>
      </c>
      <c r="V10" s="31" t="str">
        <f>Global!KI10</f>
        <v/>
      </c>
      <c r="W10" s="31" t="str">
        <f>Global!KJ10</f>
        <v/>
      </c>
      <c r="X10" s="31" t="str">
        <f>Global!KK10</f>
        <v/>
      </c>
      <c r="Y10" s="31" t="str">
        <f>Global!KL10</f>
        <v/>
      </c>
      <c r="Z10" s="31" t="str">
        <f>Global!KM10</f>
        <v/>
      </c>
      <c r="AA10" s="31" t="str">
        <f>Global!KN10</f>
        <v/>
      </c>
      <c r="AB10" s="31" t="str">
        <f>Global!KO10</f>
        <v/>
      </c>
      <c r="AC10" s="31" t="str">
        <f>Global!KP10</f>
        <v/>
      </c>
      <c r="AD10" s="31" t="str">
        <f>Global!KQ10</f>
        <v/>
      </c>
      <c r="AE10" s="31" t="str">
        <f>Global!KR10</f>
        <v/>
      </c>
      <c r="AF10" s="31" t="str">
        <f>Global!KS10</f>
        <v/>
      </c>
      <c r="AG10" s="31" t="str">
        <f>Global!KT10</f>
        <v/>
      </c>
      <c r="AH10" s="31" t="str">
        <f>Global!KU10</f>
        <v/>
      </c>
      <c r="AI10" s="31" t="str">
        <f>Global!KV10</f>
        <v/>
      </c>
      <c r="AJ10" s="48" t="str">
        <f>Global!KW10</f>
        <v/>
      </c>
      <c r="AK10" s="108">
        <f>COUNTIF(Octobre[[#This Row],[1]:[31]],"RTT")+(COUNTIF(Octobre[[#This Row],[1]:[31]],"dRTT")/2)</f>
        <v>0</v>
      </c>
      <c r="AL10" s="109">
        <f>COUNTIF(Octobre[[#This Row],[1]:[31]],"C")+(COUNTIF(Octobre[[#This Row],[1]:[31]],"DC")/2)</f>
        <v>0</v>
      </c>
      <c r="AM10" s="22">
        <f>COUNTIF(Octobre[[#This Row],[1]:[31]],"M")</f>
        <v>0</v>
      </c>
      <c r="AN10" s="22">
        <f>COUNTIF(Octobre[[#This Row],[1]:[31]],"AT")</f>
        <v>0</v>
      </c>
      <c r="AO10" s="84">
        <f>IF(AND(Octobre[[#This Row],[Maladie]]=0,Octobre[[#This Row],[AT]]=0),((10*(_xlfn.DAYS("31/10/2018","01/10/2018")+1))/365),((_xlfn.DAYS("31/10/2018","01/10/2018")+1-(Octobre[[#This Row],[Maladie]]+Octobre[[#This Row],[AT]]))*((10*(_xlfn.DAYS("31/10/2018","01/10/2018")+1))/365))/(_xlfn.DAYS("31/10/2018","01/10/2018")+1))</f>
        <v>0.84931506849315064</v>
      </c>
    </row>
    <row r="11" spans="1:41" ht="30" customHeight="1" x14ac:dyDescent="0.2">
      <c r="A11" s="15" t="s">
        <v>67</v>
      </c>
      <c r="B11" s="22" t="s">
        <v>138</v>
      </c>
      <c r="C11" s="22" t="s">
        <v>139</v>
      </c>
      <c r="D11" s="22" t="s">
        <v>140</v>
      </c>
      <c r="E11" s="44">
        <v>0</v>
      </c>
      <c r="F11" s="47" t="str">
        <f>Global!JS11</f>
        <v/>
      </c>
      <c r="G11" s="31" t="str">
        <f>Global!JT11</f>
        <v/>
      </c>
      <c r="H11" s="31" t="str">
        <f>Global!JU11</f>
        <v/>
      </c>
      <c r="I11" s="31" t="str">
        <f>Global!JV11</f>
        <v/>
      </c>
      <c r="J11" s="31" t="str">
        <f>Global!JW11</f>
        <v/>
      </c>
      <c r="K11" s="31" t="str">
        <f>Global!JX11</f>
        <v/>
      </c>
      <c r="L11" s="31" t="str">
        <f>Global!JY11</f>
        <v/>
      </c>
      <c r="M11" s="31" t="str">
        <f>Global!JZ11</f>
        <v/>
      </c>
      <c r="N11" s="31" t="str">
        <f>Global!KA11</f>
        <v/>
      </c>
      <c r="O11" s="31" t="str">
        <f>Global!KB11</f>
        <v/>
      </c>
      <c r="P11" s="31" t="str">
        <f>Global!KC11</f>
        <v/>
      </c>
      <c r="Q11" s="31" t="str">
        <f>Global!KD11</f>
        <v/>
      </c>
      <c r="R11" s="31" t="str">
        <f>Global!KE11</f>
        <v/>
      </c>
      <c r="S11" s="31" t="str">
        <f>Global!KF11</f>
        <v/>
      </c>
      <c r="T11" s="31" t="str">
        <f>Global!KG11</f>
        <v/>
      </c>
      <c r="U11" s="31" t="str">
        <f>Global!KH11</f>
        <v/>
      </c>
      <c r="V11" s="31" t="str">
        <f>Global!KI11</f>
        <v/>
      </c>
      <c r="W11" s="31" t="str">
        <f>Global!KJ11</f>
        <v/>
      </c>
      <c r="X11" s="31" t="str">
        <f>Global!KK11</f>
        <v/>
      </c>
      <c r="Y11" s="31" t="str">
        <f>Global!KL11</f>
        <v/>
      </c>
      <c r="Z11" s="31" t="str">
        <f>Global!KM11</f>
        <v/>
      </c>
      <c r="AA11" s="31" t="str">
        <f>Global!KN11</f>
        <v/>
      </c>
      <c r="AB11" s="31" t="str">
        <f>Global!KO11</f>
        <v/>
      </c>
      <c r="AC11" s="31" t="str">
        <f>Global!KP11</f>
        <v/>
      </c>
      <c r="AD11" s="31" t="str">
        <f>Global!KQ11</f>
        <v/>
      </c>
      <c r="AE11" s="31" t="str">
        <f>Global!KR11</f>
        <v/>
      </c>
      <c r="AF11" s="31" t="str">
        <f>Global!KS11</f>
        <v/>
      </c>
      <c r="AG11" s="31" t="str">
        <f>Global!KT11</f>
        <v/>
      </c>
      <c r="AH11" s="31" t="str">
        <f>Global!KU11</f>
        <v/>
      </c>
      <c r="AI11" s="31" t="str">
        <f>Global!KV11</f>
        <v/>
      </c>
      <c r="AJ11" s="48" t="str">
        <f>Global!KW11</f>
        <v/>
      </c>
      <c r="AK11" s="108">
        <f>COUNTIF(Octobre[[#This Row],[1]:[31]],"RTT")+(COUNTIF(Octobre[[#This Row],[1]:[31]],"dRTT")/2)</f>
        <v>0</v>
      </c>
      <c r="AL11" s="109">
        <f>COUNTIF(Octobre[[#This Row],[1]:[31]],"C")+(COUNTIF(Octobre[[#This Row],[1]:[31]],"DC")/2)</f>
        <v>0</v>
      </c>
      <c r="AM11" s="22">
        <f>COUNTIF(Octobre[[#This Row],[1]:[31]],"M")</f>
        <v>0</v>
      </c>
      <c r="AN11" s="22">
        <f>COUNTIF(Octobre[[#This Row],[1]:[31]],"AT")</f>
        <v>0</v>
      </c>
      <c r="AO11" s="84">
        <f>IF(AND(Octobre[[#This Row],[Maladie]]=0,Octobre[[#This Row],[AT]]=0),((10*(_xlfn.DAYS("31/10/2018","01/10/2018")+1))/365),((_xlfn.DAYS("31/10/2018","01/10/2018")+1-(Octobre[[#This Row],[Maladie]]+Octobre[[#This Row],[AT]]))*((10*(_xlfn.DAYS("31/10/2018","01/10/2018")+1))/365))/(_xlfn.DAYS("31/10/2018","01/10/2018")+1))</f>
        <v>0.84931506849315064</v>
      </c>
    </row>
    <row r="12" spans="1:41" ht="30" customHeight="1" x14ac:dyDescent="0.2">
      <c r="A12" s="15" t="s">
        <v>68</v>
      </c>
      <c r="B12" s="22" t="s">
        <v>141</v>
      </c>
      <c r="C12" s="22" t="s">
        <v>142</v>
      </c>
      <c r="D12" s="22" t="s">
        <v>143</v>
      </c>
      <c r="E12" s="44">
        <v>0</v>
      </c>
      <c r="F12" s="47" t="str">
        <f>Global!JS12</f>
        <v/>
      </c>
      <c r="G12" s="31" t="str">
        <f>Global!JT12</f>
        <v/>
      </c>
      <c r="H12" s="31" t="str">
        <f>Global!JU12</f>
        <v/>
      </c>
      <c r="I12" s="31" t="str">
        <f>Global!JV12</f>
        <v/>
      </c>
      <c r="J12" s="31" t="str">
        <f>Global!JW12</f>
        <v/>
      </c>
      <c r="K12" s="31" t="str">
        <f>Global!JX12</f>
        <v/>
      </c>
      <c r="L12" s="31" t="str">
        <f>Global!JY12</f>
        <v/>
      </c>
      <c r="M12" s="31" t="str">
        <f>Global!JZ12</f>
        <v/>
      </c>
      <c r="N12" s="31" t="str">
        <f>Global!KA12</f>
        <v/>
      </c>
      <c r="O12" s="31" t="str">
        <f>Global!KB12</f>
        <v/>
      </c>
      <c r="P12" s="31" t="str">
        <f>Global!KC12</f>
        <v/>
      </c>
      <c r="Q12" s="31" t="str">
        <f>Global!KD12</f>
        <v/>
      </c>
      <c r="R12" s="31" t="str">
        <f>Global!KE12</f>
        <v/>
      </c>
      <c r="S12" s="31" t="str">
        <f>Global!KF12</f>
        <v/>
      </c>
      <c r="T12" s="31" t="str">
        <f>Global!KG12</f>
        <v/>
      </c>
      <c r="U12" s="31" t="str">
        <f>Global!KH12</f>
        <v/>
      </c>
      <c r="V12" s="31" t="str">
        <f>Global!KI12</f>
        <v/>
      </c>
      <c r="W12" s="31" t="str">
        <f>Global!KJ12</f>
        <v/>
      </c>
      <c r="X12" s="31" t="str">
        <f>Global!KK12</f>
        <v/>
      </c>
      <c r="Y12" s="31" t="str">
        <f>Global!KL12</f>
        <v/>
      </c>
      <c r="Z12" s="31" t="str">
        <f>Global!KM12</f>
        <v/>
      </c>
      <c r="AA12" s="31" t="str">
        <f>Global!KN12</f>
        <v/>
      </c>
      <c r="AB12" s="31" t="str">
        <f>Global!KO12</f>
        <v/>
      </c>
      <c r="AC12" s="31" t="str">
        <f>Global!KP12</f>
        <v/>
      </c>
      <c r="AD12" s="31" t="str">
        <f>Global!KQ12</f>
        <v/>
      </c>
      <c r="AE12" s="31" t="str">
        <f>Global!KR12</f>
        <v/>
      </c>
      <c r="AF12" s="31" t="str">
        <f>Global!KS12</f>
        <v/>
      </c>
      <c r="AG12" s="31" t="str">
        <f>Global!KT12</f>
        <v/>
      </c>
      <c r="AH12" s="31" t="str">
        <f>Global!KU12</f>
        <v/>
      </c>
      <c r="AI12" s="31" t="str">
        <f>Global!KV12</f>
        <v/>
      </c>
      <c r="AJ12" s="48" t="str">
        <f>Global!KW12</f>
        <v/>
      </c>
      <c r="AK12" s="108">
        <f>COUNTIF(Octobre[[#This Row],[1]:[31]],"RTT")+(COUNTIF(Octobre[[#This Row],[1]:[31]],"dRTT")/2)</f>
        <v>0</v>
      </c>
      <c r="AL12" s="109">
        <f>COUNTIF(Octobre[[#This Row],[1]:[31]],"C")+(COUNTIF(Octobre[[#This Row],[1]:[31]],"DC")/2)</f>
        <v>0</v>
      </c>
      <c r="AM12" s="22">
        <f>COUNTIF(Octobre[[#This Row],[1]:[31]],"M")</f>
        <v>0</v>
      </c>
      <c r="AN12" s="22">
        <f>COUNTIF(Octobre[[#This Row],[1]:[31]],"AT")</f>
        <v>0</v>
      </c>
      <c r="AO12" s="84">
        <f>IF(AND(Octobre[[#This Row],[Maladie]]=0,Octobre[[#This Row],[AT]]=0),((10*(_xlfn.DAYS("31/10/2018","01/10/2018")+1))/365),((_xlfn.DAYS("31/10/2018","01/10/2018")+1-(Octobre[[#This Row],[Maladie]]+Octobre[[#This Row],[AT]]))*((10*(_xlfn.DAYS("31/10/2018","01/10/2018")+1))/365))/(_xlfn.DAYS("31/10/2018","01/10/2018")+1))</f>
        <v>0.84931506849315064</v>
      </c>
    </row>
    <row r="13" spans="1:41" ht="30" customHeight="1" x14ac:dyDescent="0.2">
      <c r="A13" s="13" t="s">
        <v>69</v>
      </c>
      <c r="B13" s="22" t="s">
        <v>144</v>
      </c>
      <c r="C13" s="22" t="s">
        <v>145</v>
      </c>
      <c r="D13" s="22" t="s">
        <v>146</v>
      </c>
      <c r="E13" s="44">
        <v>0</v>
      </c>
      <c r="F13" s="47" t="str">
        <f>Global!JS13</f>
        <v/>
      </c>
      <c r="G13" s="31" t="str">
        <f>Global!JT13</f>
        <v/>
      </c>
      <c r="H13" s="31" t="str">
        <f>Global!JU13</f>
        <v/>
      </c>
      <c r="I13" s="31" t="str">
        <f>Global!JV13</f>
        <v/>
      </c>
      <c r="J13" s="31" t="str">
        <f>Global!JW13</f>
        <v/>
      </c>
      <c r="K13" s="31" t="str">
        <f>Global!JX13</f>
        <v/>
      </c>
      <c r="L13" s="31" t="str">
        <f>Global!JY13</f>
        <v/>
      </c>
      <c r="M13" s="31" t="str">
        <f>Global!JZ13</f>
        <v/>
      </c>
      <c r="N13" s="31" t="str">
        <f>Global!KA13</f>
        <v/>
      </c>
      <c r="O13" s="31" t="str">
        <f>Global!KB13</f>
        <v/>
      </c>
      <c r="P13" s="31" t="str">
        <f>Global!KC13</f>
        <v/>
      </c>
      <c r="Q13" s="31" t="str">
        <f>Global!KD13</f>
        <v/>
      </c>
      <c r="R13" s="31" t="str">
        <f>Global!KE13</f>
        <v/>
      </c>
      <c r="S13" s="31" t="str">
        <f>Global!KF13</f>
        <v/>
      </c>
      <c r="T13" s="31" t="str">
        <f>Global!KG13</f>
        <v/>
      </c>
      <c r="U13" s="31" t="str">
        <f>Global!KH13</f>
        <v/>
      </c>
      <c r="V13" s="31" t="str">
        <f>Global!KI13</f>
        <v/>
      </c>
      <c r="W13" s="31" t="str">
        <f>Global!KJ13</f>
        <v/>
      </c>
      <c r="X13" s="31" t="str">
        <f>Global!KK13</f>
        <v/>
      </c>
      <c r="Y13" s="31" t="str">
        <f>Global!KL13</f>
        <v/>
      </c>
      <c r="Z13" s="31" t="str">
        <f>Global!KM13</f>
        <v/>
      </c>
      <c r="AA13" s="31" t="str">
        <f>Global!KN13</f>
        <v/>
      </c>
      <c r="AB13" s="31" t="str">
        <f>Global!KO13</f>
        <v/>
      </c>
      <c r="AC13" s="31" t="str">
        <f>Global!KP13</f>
        <v/>
      </c>
      <c r="AD13" s="31" t="str">
        <f>Global!KQ13</f>
        <v/>
      </c>
      <c r="AE13" s="31" t="str">
        <f>Global!KR13</f>
        <v/>
      </c>
      <c r="AF13" s="31" t="str">
        <f>Global!KS13</f>
        <v/>
      </c>
      <c r="AG13" s="31" t="str">
        <f>Global!KT13</f>
        <v/>
      </c>
      <c r="AH13" s="31" t="str">
        <f>Global!KU13</f>
        <v/>
      </c>
      <c r="AI13" s="31" t="str">
        <f>Global!KV13</f>
        <v/>
      </c>
      <c r="AJ13" s="48" t="str">
        <f>Global!KW13</f>
        <v/>
      </c>
      <c r="AK13" s="108">
        <f>COUNTIF(Octobre[[#This Row],[1]:[31]],"RTT")+(COUNTIF(Octobre[[#This Row],[1]:[31]],"dRTT")/2)</f>
        <v>0</v>
      </c>
      <c r="AL13" s="109">
        <f>COUNTIF(Octobre[[#This Row],[1]:[31]],"C")+(COUNTIF(Octobre[[#This Row],[1]:[31]],"DC")/2)</f>
        <v>0</v>
      </c>
      <c r="AM13" s="22">
        <f>COUNTIF(Octobre[[#This Row],[1]:[31]],"M")</f>
        <v>0</v>
      </c>
      <c r="AN13" s="22">
        <f>COUNTIF(Octobre[[#This Row],[1]:[31]],"AT")</f>
        <v>0</v>
      </c>
      <c r="AO13" s="84">
        <f>IF(AND(Octobre[[#This Row],[Maladie]]=0,Octobre[[#This Row],[AT]]=0),((10*(_xlfn.DAYS("31/10/2018","01/10/2018")+1))/365),((_xlfn.DAYS("31/10/2018","01/10/2018")+1-(Octobre[[#This Row],[Maladie]]+Octobre[[#This Row],[AT]]))*((10*(_xlfn.DAYS("31/10/2018","01/10/2018")+1))/365))/(_xlfn.DAYS("31/10/2018","01/10/2018")+1))</f>
        <v>0.84931506849315064</v>
      </c>
    </row>
    <row r="14" spans="1:41" ht="30" customHeight="1" x14ac:dyDescent="0.2">
      <c r="A14" s="15" t="s">
        <v>70</v>
      </c>
      <c r="B14" s="22" t="s">
        <v>147</v>
      </c>
      <c r="C14" s="22" t="s">
        <v>148</v>
      </c>
      <c r="D14" s="22" t="s">
        <v>149</v>
      </c>
      <c r="E14" s="44">
        <v>0</v>
      </c>
      <c r="F14" s="47" t="str">
        <f>Global!JS14</f>
        <v/>
      </c>
      <c r="G14" s="31" t="str">
        <f>Global!JT14</f>
        <v/>
      </c>
      <c r="H14" s="31" t="str">
        <f>Global!JU14</f>
        <v/>
      </c>
      <c r="I14" s="31" t="str">
        <f>Global!JV14</f>
        <v/>
      </c>
      <c r="J14" s="31" t="str">
        <f>Global!JW14</f>
        <v/>
      </c>
      <c r="K14" s="31" t="str">
        <f>Global!JX14</f>
        <v/>
      </c>
      <c r="L14" s="31" t="str">
        <f>Global!JY14</f>
        <v/>
      </c>
      <c r="M14" s="31" t="str">
        <f>Global!JZ14</f>
        <v/>
      </c>
      <c r="N14" s="31" t="str">
        <f>Global!KA14</f>
        <v/>
      </c>
      <c r="O14" s="31" t="str">
        <f>Global!KB14</f>
        <v/>
      </c>
      <c r="P14" s="31" t="str">
        <f>Global!KC14</f>
        <v/>
      </c>
      <c r="Q14" s="31" t="str">
        <f>Global!KD14</f>
        <v/>
      </c>
      <c r="R14" s="31" t="str">
        <f>Global!KE14</f>
        <v/>
      </c>
      <c r="S14" s="31" t="str">
        <f>Global!KF14</f>
        <v/>
      </c>
      <c r="T14" s="31" t="str">
        <f>Global!KG14</f>
        <v/>
      </c>
      <c r="U14" s="31" t="str">
        <f>Global!KH14</f>
        <v/>
      </c>
      <c r="V14" s="31" t="str">
        <f>Global!KI14</f>
        <v/>
      </c>
      <c r="W14" s="31" t="str">
        <f>Global!KJ14</f>
        <v/>
      </c>
      <c r="X14" s="31" t="str">
        <f>Global!KK14</f>
        <v/>
      </c>
      <c r="Y14" s="31" t="str">
        <f>Global!KL14</f>
        <v/>
      </c>
      <c r="Z14" s="31" t="str">
        <f>Global!KM14</f>
        <v/>
      </c>
      <c r="AA14" s="31" t="str">
        <f>Global!KN14</f>
        <v/>
      </c>
      <c r="AB14" s="31" t="str">
        <f>Global!KO14</f>
        <v/>
      </c>
      <c r="AC14" s="31" t="str">
        <f>Global!KP14</f>
        <v/>
      </c>
      <c r="AD14" s="31" t="str">
        <f>Global!KQ14</f>
        <v/>
      </c>
      <c r="AE14" s="31" t="str">
        <f>Global!KR14</f>
        <v/>
      </c>
      <c r="AF14" s="31" t="str">
        <f>Global!KS14</f>
        <v/>
      </c>
      <c r="AG14" s="31" t="str">
        <f>Global!KT14</f>
        <v/>
      </c>
      <c r="AH14" s="31" t="str">
        <f>Global!KU14</f>
        <v/>
      </c>
      <c r="AI14" s="31" t="str">
        <f>Global!KV14</f>
        <v/>
      </c>
      <c r="AJ14" s="48" t="str">
        <f>Global!KW14</f>
        <v/>
      </c>
      <c r="AK14" s="108">
        <f>COUNTIF(Octobre[[#This Row],[1]:[31]],"RTT")+(COUNTIF(Octobre[[#This Row],[1]:[31]],"dRTT")/2)</f>
        <v>0</v>
      </c>
      <c r="AL14" s="109">
        <f>COUNTIF(Octobre[[#This Row],[1]:[31]],"C")+(COUNTIF(Octobre[[#This Row],[1]:[31]],"DC")/2)</f>
        <v>0</v>
      </c>
      <c r="AM14" s="22">
        <f>COUNTIF(Octobre[[#This Row],[1]:[31]],"M")</f>
        <v>0</v>
      </c>
      <c r="AN14" s="22">
        <f>COUNTIF(Octobre[[#This Row],[1]:[31]],"AT")</f>
        <v>0</v>
      </c>
      <c r="AO14" s="84">
        <f>IF(AND(Octobre[[#This Row],[Maladie]]=0,Octobre[[#This Row],[AT]]=0),((10*(_xlfn.DAYS("31/10/2018","01/10/2018")+1))/365),((_xlfn.DAYS("31/10/2018","01/10/2018")+1-(Octobre[[#This Row],[Maladie]]+Octobre[[#This Row],[AT]]))*((10*(_xlfn.DAYS("31/10/2018","01/10/2018")+1))/365))/(_xlfn.DAYS("31/10/2018","01/10/2018")+1))</f>
        <v>0.84931506849315064</v>
      </c>
    </row>
    <row r="15" spans="1:41" ht="30" customHeight="1" x14ac:dyDescent="0.2">
      <c r="A15" s="15" t="s">
        <v>71</v>
      </c>
      <c r="B15" s="22" t="s">
        <v>150</v>
      </c>
      <c r="C15" s="22" t="s">
        <v>151</v>
      </c>
      <c r="D15" s="22" t="s">
        <v>152</v>
      </c>
      <c r="E15" s="44">
        <v>0</v>
      </c>
      <c r="F15" s="47" t="str">
        <f>Global!JS15</f>
        <v/>
      </c>
      <c r="G15" s="31" t="str">
        <f>Global!JT15</f>
        <v/>
      </c>
      <c r="H15" s="31" t="str">
        <f>Global!JU15</f>
        <v/>
      </c>
      <c r="I15" s="31" t="str">
        <f>Global!JV15</f>
        <v/>
      </c>
      <c r="J15" s="31" t="str">
        <f>Global!JW15</f>
        <v/>
      </c>
      <c r="K15" s="31" t="str">
        <f>Global!JX15</f>
        <v/>
      </c>
      <c r="L15" s="31" t="str">
        <f>Global!JY15</f>
        <v/>
      </c>
      <c r="M15" s="31" t="str">
        <f>Global!JZ15</f>
        <v/>
      </c>
      <c r="N15" s="31" t="str">
        <f>Global!KA15</f>
        <v/>
      </c>
      <c r="O15" s="31" t="str">
        <f>Global!KB15</f>
        <v/>
      </c>
      <c r="P15" s="31" t="str">
        <f>Global!KC15</f>
        <v/>
      </c>
      <c r="Q15" s="31" t="str">
        <f>Global!KD15</f>
        <v/>
      </c>
      <c r="R15" s="31" t="str">
        <f>Global!KE15</f>
        <v/>
      </c>
      <c r="S15" s="31" t="str">
        <f>Global!KF15</f>
        <v/>
      </c>
      <c r="T15" s="31" t="str">
        <f>Global!KG15</f>
        <v/>
      </c>
      <c r="U15" s="31" t="str">
        <f>Global!KH15</f>
        <v/>
      </c>
      <c r="V15" s="31" t="str">
        <f>Global!KI15</f>
        <v/>
      </c>
      <c r="W15" s="31" t="str">
        <f>Global!KJ15</f>
        <v/>
      </c>
      <c r="X15" s="31" t="str">
        <f>Global!KK15</f>
        <v/>
      </c>
      <c r="Y15" s="31" t="str">
        <f>Global!KL15</f>
        <v/>
      </c>
      <c r="Z15" s="31" t="str">
        <f>Global!KM15</f>
        <v/>
      </c>
      <c r="AA15" s="31" t="str">
        <f>Global!KN15</f>
        <v/>
      </c>
      <c r="AB15" s="31" t="str">
        <f>Global!KO15</f>
        <v/>
      </c>
      <c r="AC15" s="31" t="str">
        <f>Global!KP15</f>
        <v/>
      </c>
      <c r="AD15" s="31" t="str">
        <f>Global!KQ15</f>
        <v/>
      </c>
      <c r="AE15" s="31" t="str">
        <f>Global!KR15</f>
        <v/>
      </c>
      <c r="AF15" s="31" t="str">
        <f>Global!KS15</f>
        <v/>
      </c>
      <c r="AG15" s="31" t="str">
        <f>Global!KT15</f>
        <v/>
      </c>
      <c r="AH15" s="31" t="str">
        <f>Global!KU15</f>
        <v/>
      </c>
      <c r="AI15" s="31" t="str">
        <f>Global!KV15</f>
        <v/>
      </c>
      <c r="AJ15" s="48" t="str">
        <f>Global!KW15</f>
        <v/>
      </c>
      <c r="AK15" s="108">
        <f>COUNTIF(Octobre[[#This Row],[1]:[31]],"RTT")+(COUNTIF(Octobre[[#This Row],[1]:[31]],"dRTT")/2)</f>
        <v>0</v>
      </c>
      <c r="AL15" s="109">
        <f>COUNTIF(Octobre[[#This Row],[1]:[31]],"C")+(COUNTIF(Octobre[[#This Row],[1]:[31]],"DC")/2)</f>
        <v>0</v>
      </c>
      <c r="AM15" s="22">
        <f>COUNTIF(Octobre[[#This Row],[1]:[31]],"M")</f>
        <v>0</v>
      </c>
      <c r="AN15" s="22">
        <f>COUNTIF(Octobre[[#This Row],[1]:[31]],"AT")</f>
        <v>0</v>
      </c>
      <c r="AO15" s="84">
        <f>IF(AND(Octobre[[#This Row],[Maladie]]=0,Octobre[[#This Row],[AT]]=0),((10*(_xlfn.DAYS("31/10/2018","01/10/2018")+1))/365),((_xlfn.DAYS("31/10/2018","01/10/2018")+1-(Octobre[[#This Row],[Maladie]]+Octobre[[#This Row],[AT]]))*((10*(_xlfn.DAYS("31/10/2018","01/10/2018")+1))/365))/(_xlfn.DAYS("31/10/2018","01/10/2018")+1))</f>
        <v>0.84931506849315064</v>
      </c>
    </row>
    <row r="16" spans="1:41" ht="30" customHeight="1" x14ac:dyDescent="0.2">
      <c r="A16" s="15" t="s">
        <v>72</v>
      </c>
      <c r="B16" s="22" t="s">
        <v>153</v>
      </c>
      <c r="C16" s="22" t="s">
        <v>154</v>
      </c>
      <c r="D16" s="22" t="s">
        <v>155</v>
      </c>
      <c r="E16" s="44">
        <v>0</v>
      </c>
      <c r="F16" s="47" t="str">
        <f>Global!JS16</f>
        <v/>
      </c>
      <c r="G16" s="31" t="str">
        <f>Global!JT16</f>
        <v/>
      </c>
      <c r="H16" s="31" t="str">
        <f>Global!JU16</f>
        <v/>
      </c>
      <c r="I16" s="31" t="str">
        <f>Global!JV16</f>
        <v/>
      </c>
      <c r="J16" s="31" t="str">
        <f>Global!JW16</f>
        <v/>
      </c>
      <c r="K16" s="31" t="str">
        <f>Global!JX16</f>
        <v/>
      </c>
      <c r="L16" s="31" t="str">
        <f>Global!JY16</f>
        <v/>
      </c>
      <c r="M16" s="31" t="str">
        <f>Global!JZ16</f>
        <v/>
      </c>
      <c r="N16" s="31" t="str">
        <f>Global!KA16</f>
        <v/>
      </c>
      <c r="O16" s="31" t="str">
        <f>Global!KB16</f>
        <v/>
      </c>
      <c r="P16" s="31" t="str">
        <f>Global!KC16</f>
        <v/>
      </c>
      <c r="Q16" s="31" t="str">
        <f>Global!KD16</f>
        <v/>
      </c>
      <c r="R16" s="31" t="str">
        <f>Global!KE16</f>
        <v/>
      </c>
      <c r="S16" s="31" t="str">
        <f>Global!KF16</f>
        <v/>
      </c>
      <c r="T16" s="31" t="str">
        <f>Global!KG16</f>
        <v/>
      </c>
      <c r="U16" s="31" t="str">
        <f>Global!KH16</f>
        <v/>
      </c>
      <c r="V16" s="31" t="str">
        <f>Global!KI16</f>
        <v/>
      </c>
      <c r="W16" s="31" t="str">
        <f>Global!KJ16</f>
        <v/>
      </c>
      <c r="X16" s="31" t="str">
        <f>Global!KK16</f>
        <v/>
      </c>
      <c r="Y16" s="31" t="str">
        <f>Global!KL16</f>
        <v/>
      </c>
      <c r="Z16" s="31" t="str">
        <f>Global!KM16</f>
        <v/>
      </c>
      <c r="AA16" s="31" t="str">
        <f>Global!KN16</f>
        <v/>
      </c>
      <c r="AB16" s="31" t="str">
        <f>Global!KO16</f>
        <v/>
      </c>
      <c r="AC16" s="31" t="str">
        <f>Global!KP16</f>
        <v/>
      </c>
      <c r="AD16" s="31" t="str">
        <f>Global!KQ16</f>
        <v/>
      </c>
      <c r="AE16" s="31" t="str">
        <f>Global!KR16</f>
        <v/>
      </c>
      <c r="AF16" s="31" t="str">
        <f>Global!KS16</f>
        <v/>
      </c>
      <c r="AG16" s="31" t="str">
        <f>Global!KT16</f>
        <v/>
      </c>
      <c r="AH16" s="31" t="str">
        <f>Global!KU16</f>
        <v/>
      </c>
      <c r="AI16" s="31" t="str">
        <f>Global!KV16</f>
        <v/>
      </c>
      <c r="AJ16" s="48" t="str">
        <f>Global!KW16</f>
        <v/>
      </c>
      <c r="AK16" s="108">
        <f>COUNTIF(Octobre[[#This Row],[1]:[31]],"RTT")+(COUNTIF(Octobre[[#This Row],[1]:[31]],"dRTT")/2)</f>
        <v>0</v>
      </c>
      <c r="AL16" s="109">
        <f>COUNTIF(Octobre[[#This Row],[1]:[31]],"C")+(COUNTIF(Octobre[[#This Row],[1]:[31]],"DC")/2)</f>
        <v>0</v>
      </c>
      <c r="AM16" s="22">
        <f>COUNTIF(Octobre[[#This Row],[1]:[31]],"M")</f>
        <v>0</v>
      </c>
      <c r="AN16" s="22">
        <f>COUNTIF(Octobre[[#This Row],[1]:[31]],"AT")</f>
        <v>0</v>
      </c>
      <c r="AO16" s="84">
        <f>IF(AND(Octobre[[#This Row],[Maladie]]=0,Octobre[[#This Row],[AT]]=0),((10*(_xlfn.DAYS("31/10/2018","01/10/2018")+1))/365),((_xlfn.DAYS("31/10/2018","01/10/2018")+1-(Octobre[[#This Row],[Maladie]]+Octobre[[#This Row],[AT]]))*((10*(_xlfn.DAYS("31/10/2018","01/10/2018")+1))/365))/(_xlfn.DAYS("31/10/2018","01/10/2018")+1))</f>
        <v>0.84931506849315064</v>
      </c>
    </row>
    <row r="17" spans="1:41" ht="30" customHeight="1" x14ac:dyDescent="0.2">
      <c r="A17" s="15" t="s">
        <v>73</v>
      </c>
      <c r="B17" s="22" t="s">
        <v>156</v>
      </c>
      <c r="C17" s="22" t="s">
        <v>157</v>
      </c>
      <c r="D17" s="22" t="s">
        <v>158</v>
      </c>
      <c r="E17" s="44">
        <v>0</v>
      </c>
      <c r="F17" s="47" t="str">
        <f>Global!JS17</f>
        <v/>
      </c>
      <c r="G17" s="31" t="str">
        <f>Global!JT17</f>
        <v/>
      </c>
      <c r="H17" s="31" t="str">
        <f>Global!JU17</f>
        <v/>
      </c>
      <c r="I17" s="31" t="str">
        <f>Global!JV17</f>
        <v/>
      </c>
      <c r="J17" s="31" t="str">
        <f>Global!JW17</f>
        <v/>
      </c>
      <c r="K17" s="31" t="str">
        <f>Global!JX17</f>
        <v/>
      </c>
      <c r="L17" s="31" t="str">
        <f>Global!JY17</f>
        <v/>
      </c>
      <c r="M17" s="31" t="str">
        <f>Global!JZ17</f>
        <v/>
      </c>
      <c r="N17" s="31" t="str">
        <f>Global!KA17</f>
        <v/>
      </c>
      <c r="O17" s="31" t="str">
        <f>Global!KB17</f>
        <v/>
      </c>
      <c r="P17" s="31" t="str">
        <f>Global!KC17</f>
        <v/>
      </c>
      <c r="Q17" s="31" t="str">
        <f>Global!KD17</f>
        <v/>
      </c>
      <c r="R17" s="31" t="str">
        <f>Global!KE17</f>
        <v/>
      </c>
      <c r="S17" s="31" t="str">
        <f>Global!KF17</f>
        <v/>
      </c>
      <c r="T17" s="31" t="str">
        <f>Global!KG17</f>
        <v/>
      </c>
      <c r="U17" s="31" t="str">
        <f>Global!KH17</f>
        <v/>
      </c>
      <c r="V17" s="31" t="str">
        <f>Global!KI17</f>
        <v/>
      </c>
      <c r="W17" s="31" t="str">
        <f>Global!KJ17</f>
        <v/>
      </c>
      <c r="X17" s="31" t="str">
        <f>Global!KK17</f>
        <v/>
      </c>
      <c r="Y17" s="31" t="str">
        <f>Global!KL17</f>
        <v/>
      </c>
      <c r="Z17" s="31" t="str">
        <f>Global!KM17</f>
        <v/>
      </c>
      <c r="AA17" s="31" t="str">
        <f>Global!KN17</f>
        <v/>
      </c>
      <c r="AB17" s="31" t="str">
        <f>Global!KO17</f>
        <v/>
      </c>
      <c r="AC17" s="31" t="str">
        <f>Global!KP17</f>
        <v/>
      </c>
      <c r="AD17" s="31" t="str">
        <f>Global!KQ17</f>
        <v/>
      </c>
      <c r="AE17" s="31" t="str">
        <f>Global!KR17</f>
        <v/>
      </c>
      <c r="AF17" s="31" t="str">
        <f>Global!KS17</f>
        <v/>
      </c>
      <c r="AG17" s="31" t="str">
        <f>Global!KT17</f>
        <v/>
      </c>
      <c r="AH17" s="31" t="str">
        <f>Global!KU17</f>
        <v/>
      </c>
      <c r="AI17" s="31" t="str">
        <f>Global!KV17</f>
        <v/>
      </c>
      <c r="AJ17" s="48" t="str">
        <f>Global!KW17</f>
        <v/>
      </c>
      <c r="AK17" s="108">
        <f>COUNTIF(Octobre[[#This Row],[1]:[31]],"RTT")+(COUNTIF(Octobre[[#This Row],[1]:[31]],"dRTT")/2)</f>
        <v>0</v>
      </c>
      <c r="AL17" s="109">
        <f>COUNTIF(Octobre[[#This Row],[1]:[31]],"C")+(COUNTIF(Octobre[[#This Row],[1]:[31]],"DC")/2)</f>
        <v>0</v>
      </c>
      <c r="AM17" s="22">
        <f>COUNTIF(Octobre[[#This Row],[1]:[31]],"M")</f>
        <v>0</v>
      </c>
      <c r="AN17" s="22">
        <f>COUNTIF(Octobre[[#This Row],[1]:[31]],"AT")</f>
        <v>0</v>
      </c>
      <c r="AO17" s="84">
        <f>IF(AND(Octobre[[#This Row],[Maladie]]=0,Octobre[[#This Row],[AT]]=0),((10*(_xlfn.DAYS("31/10/2018","01/10/2018")+1))/365),((_xlfn.DAYS("31/10/2018","01/10/2018")+1-(Octobre[[#This Row],[Maladie]]+Octobre[[#This Row],[AT]]))*((10*(_xlfn.DAYS("31/10/2018","01/10/2018")+1))/365))/(_xlfn.DAYS("31/10/2018","01/10/2018")+1))</f>
        <v>0.84931506849315064</v>
      </c>
    </row>
    <row r="18" spans="1:41" ht="30" customHeight="1" x14ac:dyDescent="0.2">
      <c r="A18" s="15" t="s">
        <v>74</v>
      </c>
      <c r="B18" s="22" t="s">
        <v>159</v>
      </c>
      <c r="C18" s="22" t="s">
        <v>160</v>
      </c>
      <c r="D18" s="22" t="s">
        <v>161</v>
      </c>
      <c r="E18" s="44" t="s">
        <v>162</v>
      </c>
      <c r="F18" s="47" t="str">
        <f>Global!JS18</f>
        <v/>
      </c>
      <c r="G18" s="31" t="str">
        <f>Global!JT18</f>
        <v/>
      </c>
      <c r="H18" s="31" t="str">
        <f>Global!JU18</f>
        <v/>
      </c>
      <c r="I18" s="31" t="str">
        <f>Global!JV18</f>
        <v/>
      </c>
      <c r="J18" s="31" t="str">
        <f>Global!JW18</f>
        <v/>
      </c>
      <c r="K18" s="31" t="str">
        <f>Global!JX18</f>
        <v/>
      </c>
      <c r="L18" s="31" t="str">
        <f>Global!JY18</f>
        <v/>
      </c>
      <c r="M18" s="31" t="str">
        <f>Global!JZ18</f>
        <v/>
      </c>
      <c r="N18" s="31" t="str">
        <f>Global!KA18</f>
        <v/>
      </c>
      <c r="O18" s="31" t="str">
        <f>Global!KB18</f>
        <v/>
      </c>
      <c r="P18" s="31" t="str">
        <f>Global!KC18</f>
        <v/>
      </c>
      <c r="Q18" s="31" t="str">
        <f>Global!KD18</f>
        <v/>
      </c>
      <c r="R18" s="31" t="str">
        <f>Global!KE18</f>
        <v/>
      </c>
      <c r="S18" s="31" t="str">
        <f>Global!KF18</f>
        <v/>
      </c>
      <c r="T18" s="31" t="str">
        <f>Global!KG18</f>
        <v/>
      </c>
      <c r="U18" s="31" t="str">
        <f>Global!KH18</f>
        <v/>
      </c>
      <c r="V18" s="31" t="str">
        <f>Global!KI18</f>
        <v/>
      </c>
      <c r="W18" s="31" t="str">
        <f>Global!KJ18</f>
        <v/>
      </c>
      <c r="X18" s="31" t="str">
        <f>Global!KK18</f>
        <v/>
      </c>
      <c r="Y18" s="31" t="str">
        <f>Global!KL18</f>
        <v/>
      </c>
      <c r="Z18" s="31" t="str">
        <f>Global!KM18</f>
        <v/>
      </c>
      <c r="AA18" s="31" t="str">
        <f>Global!KN18</f>
        <v/>
      </c>
      <c r="AB18" s="31" t="str">
        <f>Global!KO18</f>
        <v/>
      </c>
      <c r="AC18" s="31" t="str">
        <f>Global!KP18</f>
        <v/>
      </c>
      <c r="AD18" s="31" t="str">
        <f>Global!KQ18</f>
        <v/>
      </c>
      <c r="AE18" s="31" t="str">
        <f>Global!KR18</f>
        <v/>
      </c>
      <c r="AF18" s="31" t="str">
        <f>Global!KS18</f>
        <v/>
      </c>
      <c r="AG18" s="31" t="str">
        <f>Global!KT18</f>
        <v/>
      </c>
      <c r="AH18" s="31" t="str">
        <f>Global!KU18</f>
        <v/>
      </c>
      <c r="AI18" s="31" t="str">
        <f>Global!KV18</f>
        <v/>
      </c>
      <c r="AJ18" s="48" t="str">
        <f>Global!KW18</f>
        <v/>
      </c>
      <c r="AK18" s="108">
        <f>COUNTIF(Octobre[[#This Row],[1]:[31]],"RTT")+(COUNTIF(Octobre[[#This Row],[1]:[31]],"dRTT")/2)</f>
        <v>0</v>
      </c>
      <c r="AL18" s="109">
        <f>COUNTIF(Octobre[[#This Row],[1]:[31]],"C")+(COUNTIF(Octobre[[#This Row],[1]:[31]],"DC")/2)</f>
        <v>0</v>
      </c>
      <c r="AM18" s="22">
        <f>COUNTIF(Octobre[[#This Row],[1]:[31]],"M")</f>
        <v>0</v>
      </c>
      <c r="AN18" s="22">
        <f>COUNTIF(Octobre[[#This Row],[1]:[31]],"AT")</f>
        <v>0</v>
      </c>
      <c r="AO18" s="84">
        <f>IF(AND(Octobre[[#This Row],[Maladie]]=0,Octobre[[#This Row],[AT]]=0),((10*(_xlfn.DAYS("31/10/2018","01/10/2018")+1))/365),((_xlfn.DAYS("31/10/2018","01/10/2018")+1-(Octobre[[#This Row],[Maladie]]+Octobre[[#This Row],[AT]]))*((10*(_xlfn.DAYS("31/10/2018","01/10/2018")+1))/365))/(_xlfn.DAYS("31/10/2018","01/10/2018")+1))</f>
        <v>0.84931506849315064</v>
      </c>
    </row>
    <row r="19" spans="1:41" ht="30" customHeight="1" x14ac:dyDescent="0.2">
      <c r="A19" s="15" t="s">
        <v>75</v>
      </c>
      <c r="B19" s="22" t="s">
        <v>163</v>
      </c>
      <c r="C19" s="22" t="s">
        <v>164</v>
      </c>
      <c r="D19" s="22" t="s">
        <v>165</v>
      </c>
      <c r="E19" s="44">
        <v>0</v>
      </c>
      <c r="F19" s="47" t="str">
        <f>Global!JS19</f>
        <v/>
      </c>
      <c r="G19" s="31" t="str">
        <f>Global!JT19</f>
        <v/>
      </c>
      <c r="H19" s="31" t="str">
        <f>Global!JU19</f>
        <v/>
      </c>
      <c r="I19" s="31" t="str">
        <f>Global!JV19</f>
        <v/>
      </c>
      <c r="J19" s="31" t="str">
        <f>Global!JW19</f>
        <v/>
      </c>
      <c r="K19" s="31" t="str">
        <f>Global!JX19</f>
        <v/>
      </c>
      <c r="L19" s="31" t="str">
        <f>Global!JY19</f>
        <v/>
      </c>
      <c r="M19" s="31" t="str">
        <f>Global!JZ19</f>
        <v/>
      </c>
      <c r="N19" s="31" t="str">
        <f>Global!KA19</f>
        <v/>
      </c>
      <c r="O19" s="31" t="str">
        <f>Global!KB19</f>
        <v/>
      </c>
      <c r="P19" s="31" t="str">
        <f>Global!KC19</f>
        <v/>
      </c>
      <c r="Q19" s="31" t="str">
        <f>Global!KD19</f>
        <v/>
      </c>
      <c r="R19" s="31" t="str">
        <f>Global!KE19</f>
        <v/>
      </c>
      <c r="S19" s="31" t="str">
        <f>Global!KF19</f>
        <v/>
      </c>
      <c r="T19" s="31" t="str">
        <f>Global!KG19</f>
        <v/>
      </c>
      <c r="U19" s="31" t="str">
        <f>Global!KH19</f>
        <v/>
      </c>
      <c r="V19" s="31" t="str">
        <f>Global!KI19</f>
        <v/>
      </c>
      <c r="W19" s="31" t="str">
        <f>Global!KJ19</f>
        <v/>
      </c>
      <c r="X19" s="31" t="str">
        <f>Global!KK19</f>
        <v/>
      </c>
      <c r="Y19" s="31" t="str">
        <f>Global!KL19</f>
        <v/>
      </c>
      <c r="Z19" s="31" t="str">
        <f>Global!KM19</f>
        <v/>
      </c>
      <c r="AA19" s="31" t="str">
        <f>Global!KN19</f>
        <v/>
      </c>
      <c r="AB19" s="31" t="str">
        <f>Global!KO19</f>
        <v/>
      </c>
      <c r="AC19" s="31" t="str">
        <f>Global!KP19</f>
        <v/>
      </c>
      <c r="AD19" s="31" t="str">
        <f>Global!KQ19</f>
        <v/>
      </c>
      <c r="AE19" s="31" t="str">
        <f>Global!KR19</f>
        <v/>
      </c>
      <c r="AF19" s="31" t="str">
        <f>Global!KS19</f>
        <v/>
      </c>
      <c r="AG19" s="31" t="str">
        <f>Global!KT19</f>
        <v/>
      </c>
      <c r="AH19" s="31" t="str">
        <f>Global!KU19</f>
        <v/>
      </c>
      <c r="AI19" s="31" t="str">
        <f>Global!KV19</f>
        <v/>
      </c>
      <c r="AJ19" s="48" t="str">
        <f>Global!KW19</f>
        <v/>
      </c>
      <c r="AK19" s="108">
        <f>COUNTIF(Octobre[[#This Row],[1]:[31]],"RTT")+(COUNTIF(Octobre[[#This Row],[1]:[31]],"dRTT")/2)</f>
        <v>0</v>
      </c>
      <c r="AL19" s="109">
        <f>COUNTIF(Octobre[[#This Row],[1]:[31]],"C")+(COUNTIF(Octobre[[#This Row],[1]:[31]],"DC")/2)</f>
        <v>0</v>
      </c>
      <c r="AM19" s="22">
        <f>COUNTIF(Octobre[[#This Row],[1]:[31]],"M")</f>
        <v>0</v>
      </c>
      <c r="AN19" s="22">
        <f>COUNTIF(Octobre[[#This Row],[1]:[31]],"AT")</f>
        <v>0</v>
      </c>
      <c r="AO19" s="84">
        <f>IF(AND(Octobre[[#This Row],[Maladie]]=0,Octobre[[#This Row],[AT]]=0),((10*(_xlfn.DAYS("31/10/2018","01/10/2018")+1))/365),((_xlfn.DAYS("31/10/2018","01/10/2018")+1-(Octobre[[#This Row],[Maladie]]+Octobre[[#This Row],[AT]]))*((10*(_xlfn.DAYS("31/10/2018","01/10/2018")+1))/365))/(_xlfn.DAYS("31/10/2018","01/10/2018")+1))</f>
        <v>0.84931506849315064</v>
      </c>
    </row>
    <row r="20" spans="1:41" ht="30" customHeight="1" x14ac:dyDescent="0.2">
      <c r="A20" s="15" t="s">
        <v>76</v>
      </c>
      <c r="B20" s="22" t="s">
        <v>166</v>
      </c>
      <c r="C20" s="22" t="s">
        <v>151</v>
      </c>
      <c r="D20" s="22" t="s">
        <v>167</v>
      </c>
      <c r="E20" s="44">
        <v>0</v>
      </c>
      <c r="F20" s="47" t="str">
        <f>Global!JS20</f>
        <v/>
      </c>
      <c r="G20" s="31" t="str">
        <f>Global!JT20</f>
        <v/>
      </c>
      <c r="H20" s="31" t="str">
        <f>Global!JU20</f>
        <v/>
      </c>
      <c r="I20" s="31" t="str">
        <f>Global!JV20</f>
        <v/>
      </c>
      <c r="J20" s="31" t="str">
        <f>Global!JW20</f>
        <v/>
      </c>
      <c r="K20" s="31" t="str">
        <f>Global!JX20</f>
        <v/>
      </c>
      <c r="L20" s="31" t="str">
        <f>Global!JY20</f>
        <v/>
      </c>
      <c r="M20" s="31" t="str">
        <f>Global!JZ20</f>
        <v/>
      </c>
      <c r="N20" s="31" t="str">
        <f>Global!KA20</f>
        <v/>
      </c>
      <c r="O20" s="31" t="str">
        <f>Global!KB20</f>
        <v/>
      </c>
      <c r="P20" s="31" t="str">
        <f>Global!KC20</f>
        <v/>
      </c>
      <c r="Q20" s="31" t="str">
        <f>Global!KD20</f>
        <v/>
      </c>
      <c r="R20" s="31" t="str">
        <f>Global!KE20</f>
        <v/>
      </c>
      <c r="S20" s="31" t="str">
        <f>Global!KF20</f>
        <v/>
      </c>
      <c r="T20" s="31" t="str">
        <f>Global!KG20</f>
        <v/>
      </c>
      <c r="U20" s="31" t="str">
        <f>Global!KH20</f>
        <v/>
      </c>
      <c r="V20" s="31" t="str">
        <f>Global!KI20</f>
        <v/>
      </c>
      <c r="W20" s="31" t="str">
        <f>Global!KJ20</f>
        <v/>
      </c>
      <c r="X20" s="31" t="str">
        <f>Global!KK20</f>
        <v/>
      </c>
      <c r="Y20" s="31" t="str">
        <f>Global!KL20</f>
        <v/>
      </c>
      <c r="Z20" s="31" t="str">
        <f>Global!KM20</f>
        <v/>
      </c>
      <c r="AA20" s="31" t="str">
        <f>Global!KN20</f>
        <v/>
      </c>
      <c r="AB20" s="31" t="str">
        <f>Global!KO20</f>
        <v/>
      </c>
      <c r="AC20" s="31" t="str">
        <f>Global!KP20</f>
        <v/>
      </c>
      <c r="AD20" s="31" t="str">
        <f>Global!KQ20</f>
        <v/>
      </c>
      <c r="AE20" s="31" t="str">
        <f>Global!KR20</f>
        <v/>
      </c>
      <c r="AF20" s="31" t="str">
        <f>Global!KS20</f>
        <v/>
      </c>
      <c r="AG20" s="31" t="str">
        <f>Global!KT20</f>
        <v/>
      </c>
      <c r="AH20" s="31" t="str">
        <f>Global!KU20</f>
        <v/>
      </c>
      <c r="AI20" s="31" t="str">
        <f>Global!KV20</f>
        <v/>
      </c>
      <c r="AJ20" s="48" t="str">
        <f>Global!KW20</f>
        <v/>
      </c>
      <c r="AK20" s="108">
        <f>COUNTIF(Octobre[[#This Row],[1]:[31]],"RTT")+(COUNTIF(Octobre[[#This Row],[1]:[31]],"dRTT")/2)</f>
        <v>0</v>
      </c>
      <c r="AL20" s="109">
        <f>COUNTIF(Octobre[[#This Row],[1]:[31]],"C")+(COUNTIF(Octobre[[#This Row],[1]:[31]],"DC")/2)</f>
        <v>0</v>
      </c>
      <c r="AM20" s="22">
        <f>COUNTIF(Octobre[[#This Row],[1]:[31]],"M")</f>
        <v>0</v>
      </c>
      <c r="AN20" s="22">
        <f>COUNTIF(Octobre[[#This Row],[1]:[31]],"AT")</f>
        <v>0</v>
      </c>
      <c r="AO20" s="84">
        <f>IF(AND(Octobre[[#This Row],[Maladie]]=0,Octobre[[#This Row],[AT]]=0),((10*(_xlfn.DAYS("31/10/2018","01/10/2018")+1))/365),((_xlfn.DAYS("31/10/2018","01/10/2018")+1-(Octobre[[#This Row],[Maladie]]+Octobre[[#This Row],[AT]]))*((10*(_xlfn.DAYS("31/10/2018","01/10/2018")+1))/365))/(_xlfn.DAYS("31/10/2018","01/10/2018")+1))</f>
        <v>0.84931506849315064</v>
      </c>
    </row>
    <row r="21" spans="1:41" ht="30" customHeight="1" x14ac:dyDescent="0.2">
      <c r="A21" s="15" t="s">
        <v>77</v>
      </c>
      <c r="B21" s="22" t="s">
        <v>168</v>
      </c>
      <c r="C21" s="22" t="s">
        <v>169</v>
      </c>
      <c r="D21" s="22" t="s">
        <v>170</v>
      </c>
      <c r="E21" s="44">
        <v>0</v>
      </c>
      <c r="F21" s="47" t="str">
        <f>Global!JS21</f>
        <v/>
      </c>
      <c r="G21" s="31" t="str">
        <f>Global!JT21</f>
        <v/>
      </c>
      <c r="H21" s="31" t="str">
        <f>Global!JU21</f>
        <v/>
      </c>
      <c r="I21" s="31" t="str">
        <f>Global!JV21</f>
        <v/>
      </c>
      <c r="J21" s="31" t="str">
        <f>Global!JW21</f>
        <v/>
      </c>
      <c r="K21" s="31" t="str">
        <f>Global!JX21</f>
        <v/>
      </c>
      <c r="L21" s="31" t="str">
        <f>Global!JY21</f>
        <v/>
      </c>
      <c r="M21" s="31" t="str">
        <f>Global!JZ21</f>
        <v/>
      </c>
      <c r="N21" s="31" t="str">
        <f>Global!KA21</f>
        <v/>
      </c>
      <c r="O21" s="31" t="str">
        <f>Global!KB21</f>
        <v/>
      </c>
      <c r="P21" s="31" t="str">
        <f>Global!KC21</f>
        <v/>
      </c>
      <c r="Q21" s="31" t="str">
        <f>Global!KD21</f>
        <v/>
      </c>
      <c r="R21" s="31" t="str">
        <f>Global!KE21</f>
        <v/>
      </c>
      <c r="S21" s="31" t="str">
        <f>Global!KF21</f>
        <v/>
      </c>
      <c r="T21" s="31" t="str">
        <f>Global!KG21</f>
        <v/>
      </c>
      <c r="U21" s="31" t="str">
        <f>Global!KH21</f>
        <v/>
      </c>
      <c r="V21" s="31" t="str">
        <f>Global!KI21</f>
        <v/>
      </c>
      <c r="W21" s="31" t="str">
        <f>Global!KJ21</f>
        <v/>
      </c>
      <c r="X21" s="31" t="str">
        <f>Global!KK21</f>
        <v/>
      </c>
      <c r="Y21" s="31" t="str">
        <f>Global!KL21</f>
        <v/>
      </c>
      <c r="Z21" s="31" t="str">
        <f>Global!KM21</f>
        <v/>
      </c>
      <c r="AA21" s="31" t="str">
        <f>Global!KN21</f>
        <v/>
      </c>
      <c r="AB21" s="31" t="str">
        <f>Global!KO21</f>
        <v/>
      </c>
      <c r="AC21" s="31" t="str">
        <f>Global!KP21</f>
        <v/>
      </c>
      <c r="AD21" s="31" t="str">
        <f>Global!KQ21</f>
        <v/>
      </c>
      <c r="AE21" s="31" t="str">
        <f>Global!KR21</f>
        <v/>
      </c>
      <c r="AF21" s="31" t="str">
        <f>Global!KS21</f>
        <v/>
      </c>
      <c r="AG21" s="31" t="str">
        <f>Global!KT21</f>
        <v/>
      </c>
      <c r="AH21" s="31" t="str">
        <f>Global!KU21</f>
        <v/>
      </c>
      <c r="AI21" s="31" t="str">
        <f>Global!KV21</f>
        <v/>
      </c>
      <c r="AJ21" s="48" t="str">
        <f>Global!KW21</f>
        <v/>
      </c>
      <c r="AK21" s="108">
        <f>COUNTIF(Octobre[[#This Row],[1]:[31]],"RTT")+(COUNTIF(Octobre[[#This Row],[1]:[31]],"dRTT")/2)</f>
        <v>0</v>
      </c>
      <c r="AL21" s="109">
        <f>COUNTIF(Octobre[[#This Row],[1]:[31]],"C")+(COUNTIF(Octobre[[#This Row],[1]:[31]],"DC")/2)</f>
        <v>0</v>
      </c>
      <c r="AM21" s="22">
        <f>COUNTIF(Octobre[[#This Row],[1]:[31]],"M")</f>
        <v>0</v>
      </c>
      <c r="AN21" s="22">
        <f>COUNTIF(Octobre[[#This Row],[1]:[31]],"AT")</f>
        <v>0</v>
      </c>
      <c r="AO21" s="84">
        <f>IF(AND(Octobre[[#This Row],[Maladie]]=0,Octobre[[#This Row],[AT]]=0),((10*(_xlfn.DAYS("31/10/2018","01/10/2018")+1))/365),((_xlfn.DAYS("31/10/2018","01/10/2018")+1-(Octobre[[#This Row],[Maladie]]+Octobre[[#This Row],[AT]]))*((10*(_xlfn.DAYS("31/10/2018","01/10/2018")+1))/365))/(_xlfn.DAYS("31/10/2018","01/10/2018")+1))</f>
        <v>0.84931506849315064</v>
      </c>
    </row>
    <row r="22" spans="1:41" ht="30" customHeight="1" x14ac:dyDescent="0.2">
      <c r="A22" s="13" t="s">
        <v>78</v>
      </c>
      <c r="B22" s="22" t="s">
        <v>171</v>
      </c>
      <c r="C22" s="22" t="s">
        <v>172</v>
      </c>
      <c r="D22" s="22" t="s">
        <v>173</v>
      </c>
      <c r="E22" s="44">
        <v>0</v>
      </c>
      <c r="F22" s="47" t="str">
        <f>Global!JS22</f>
        <v/>
      </c>
      <c r="G22" s="31" t="str">
        <f>Global!JT22</f>
        <v/>
      </c>
      <c r="H22" s="31" t="str">
        <f>Global!JU22</f>
        <v/>
      </c>
      <c r="I22" s="31" t="str">
        <f>Global!JV22</f>
        <v/>
      </c>
      <c r="J22" s="31" t="str">
        <f>Global!JW22</f>
        <v/>
      </c>
      <c r="K22" s="31" t="str">
        <f>Global!JX22</f>
        <v/>
      </c>
      <c r="L22" s="31" t="str">
        <f>Global!JY22</f>
        <v/>
      </c>
      <c r="M22" s="31" t="str">
        <f>Global!JZ22</f>
        <v/>
      </c>
      <c r="N22" s="31" t="str">
        <f>Global!KA22</f>
        <v/>
      </c>
      <c r="O22" s="31" t="str">
        <f>Global!KB22</f>
        <v/>
      </c>
      <c r="P22" s="31" t="str">
        <f>Global!KC22</f>
        <v/>
      </c>
      <c r="Q22" s="31" t="str">
        <f>Global!KD22</f>
        <v/>
      </c>
      <c r="R22" s="31" t="str">
        <f>Global!KE22</f>
        <v/>
      </c>
      <c r="S22" s="31" t="str">
        <f>Global!KF22</f>
        <v/>
      </c>
      <c r="T22" s="31" t="str">
        <f>Global!KG22</f>
        <v/>
      </c>
      <c r="U22" s="31" t="str">
        <f>Global!KH22</f>
        <v/>
      </c>
      <c r="V22" s="31" t="str">
        <f>Global!KI22</f>
        <v/>
      </c>
      <c r="W22" s="31" t="str">
        <f>Global!KJ22</f>
        <v/>
      </c>
      <c r="X22" s="31" t="str">
        <f>Global!KK22</f>
        <v/>
      </c>
      <c r="Y22" s="31" t="str">
        <f>Global!KL22</f>
        <v/>
      </c>
      <c r="Z22" s="31" t="str">
        <f>Global!KM22</f>
        <v/>
      </c>
      <c r="AA22" s="31" t="str">
        <f>Global!KN22</f>
        <v/>
      </c>
      <c r="AB22" s="31" t="str">
        <f>Global!KO22</f>
        <v/>
      </c>
      <c r="AC22" s="31" t="str">
        <f>Global!KP22</f>
        <v/>
      </c>
      <c r="AD22" s="31" t="str">
        <f>Global!KQ22</f>
        <v/>
      </c>
      <c r="AE22" s="31" t="str">
        <f>Global!KR22</f>
        <v/>
      </c>
      <c r="AF22" s="31" t="str">
        <f>Global!KS22</f>
        <v/>
      </c>
      <c r="AG22" s="31" t="str">
        <f>Global!KT22</f>
        <v/>
      </c>
      <c r="AH22" s="31" t="str">
        <f>Global!KU22</f>
        <v/>
      </c>
      <c r="AI22" s="31" t="str">
        <f>Global!KV22</f>
        <v/>
      </c>
      <c r="AJ22" s="48" t="str">
        <f>Global!KW22</f>
        <v/>
      </c>
      <c r="AK22" s="108">
        <f>COUNTIF(Octobre[[#This Row],[1]:[31]],"RTT")+(COUNTIF(Octobre[[#This Row],[1]:[31]],"dRTT")/2)</f>
        <v>0</v>
      </c>
      <c r="AL22" s="109">
        <f>COUNTIF(Octobre[[#This Row],[1]:[31]],"C")+(COUNTIF(Octobre[[#This Row],[1]:[31]],"DC")/2)</f>
        <v>0</v>
      </c>
      <c r="AM22" s="22">
        <f>COUNTIF(Octobre[[#This Row],[1]:[31]],"M")</f>
        <v>0</v>
      </c>
      <c r="AN22" s="22">
        <f>COUNTIF(Octobre[[#This Row],[1]:[31]],"AT")</f>
        <v>0</v>
      </c>
      <c r="AO22" s="84">
        <f>IF(AND(Octobre[[#This Row],[Maladie]]=0,Octobre[[#This Row],[AT]]=0),((10*(_xlfn.DAYS("31/10/2018","01/10/2018")+1))/365),((_xlfn.DAYS("31/10/2018","01/10/2018")+1-(Octobre[[#This Row],[Maladie]]+Octobre[[#This Row],[AT]]))*((10*(_xlfn.DAYS("31/10/2018","01/10/2018")+1))/365))/(_xlfn.DAYS("31/10/2018","01/10/2018")+1))</f>
        <v>0.84931506849315064</v>
      </c>
    </row>
    <row r="23" spans="1:41" ht="30" customHeight="1" x14ac:dyDescent="0.2">
      <c r="A23" s="13" t="s">
        <v>79</v>
      </c>
      <c r="B23" s="22" t="s">
        <v>174</v>
      </c>
      <c r="C23" s="22" t="s">
        <v>175</v>
      </c>
      <c r="D23" s="22" t="s">
        <v>176</v>
      </c>
      <c r="E23" s="44">
        <v>0</v>
      </c>
      <c r="F23" s="47" t="str">
        <f>Global!JS23</f>
        <v/>
      </c>
      <c r="G23" s="31" t="str">
        <f>Global!JT23</f>
        <v/>
      </c>
      <c r="H23" s="31" t="str">
        <f>Global!JU23</f>
        <v/>
      </c>
      <c r="I23" s="31" t="str">
        <f>Global!JV23</f>
        <v/>
      </c>
      <c r="J23" s="31" t="str">
        <f>Global!JW23</f>
        <v/>
      </c>
      <c r="K23" s="31" t="str">
        <f>Global!JX23</f>
        <v/>
      </c>
      <c r="L23" s="31" t="str">
        <f>Global!JY23</f>
        <v/>
      </c>
      <c r="M23" s="31" t="str">
        <f>Global!JZ23</f>
        <v/>
      </c>
      <c r="N23" s="31" t="str">
        <f>Global!KA23</f>
        <v/>
      </c>
      <c r="O23" s="31" t="str">
        <f>Global!KB23</f>
        <v/>
      </c>
      <c r="P23" s="31" t="str">
        <f>Global!KC23</f>
        <v/>
      </c>
      <c r="Q23" s="31" t="str">
        <f>Global!KD23</f>
        <v/>
      </c>
      <c r="R23" s="31" t="str">
        <f>Global!KE23</f>
        <v/>
      </c>
      <c r="S23" s="31" t="str">
        <f>Global!KF23</f>
        <v/>
      </c>
      <c r="T23" s="31" t="str">
        <f>Global!KG23</f>
        <v/>
      </c>
      <c r="U23" s="31" t="str">
        <f>Global!KH23</f>
        <v/>
      </c>
      <c r="V23" s="31" t="str">
        <f>Global!KI23</f>
        <v/>
      </c>
      <c r="W23" s="31" t="str">
        <f>Global!KJ23</f>
        <v/>
      </c>
      <c r="X23" s="31" t="str">
        <f>Global!KK23</f>
        <v/>
      </c>
      <c r="Y23" s="31" t="str">
        <f>Global!KL23</f>
        <v/>
      </c>
      <c r="Z23" s="31" t="str">
        <f>Global!KM23</f>
        <v/>
      </c>
      <c r="AA23" s="31" t="str">
        <f>Global!KN23</f>
        <v/>
      </c>
      <c r="AB23" s="31" t="str">
        <f>Global!KO23</f>
        <v/>
      </c>
      <c r="AC23" s="31" t="str">
        <f>Global!KP23</f>
        <v/>
      </c>
      <c r="AD23" s="31" t="str">
        <f>Global!KQ23</f>
        <v/>
      </c>
      <c r="AE23" s="31" t="str">
        <f>Global!KR23</f>
        <v/>
      </c>
      <c r="AF23" s="31" t="str">
        <f>Global!KS23</f>
        <v/>
      </c>
      <c r="AG23" s="31" t="str">
        <f>Global!KT23</f>
        <v/>
      </c>
      <c r="AH23" s="31" t="str">
        <f>Global!KU23</f>
        <v/>
      </c>
      <c r="AI23" s="31" t="str">
        <f>Global!KV23</f>
        <v/>
      </c>
      <c r="AJ23" s="48" t="str">
        <f>Global!KW23</f>
        <v/>
      </c>
      <c r="AK23" s="108">
        <f>COUNTIF(Octobre[[#This Row],[1]:[31]],"RTT")+(COUNTIF(Octobre[[#This Row],[1]:[31]],"dRTT")/2)</f>
        <v>0</v>
      </c>
      <c r="AL23" s="109">
        <f>COUNTIF(Octobre[[#This Row],[1]:[31]],"C")+(COUNTIF(Octobre[[#This Row],[1]:[31]],"DC")/2)</f>
        <v>0</v>
      </c>
      <c r="AM23" s="22">
        <f>COUNTIF(Octobre[[#This Row],[1]:[31]],"M")</f>
        <v>0</v>
      </c>
      <c r="AN23" s="22">
        <f>COUNTIF(Octobre[[#This Row],[1]:[31]],"AT")</f>
        <v>0</v>
      </c>
      <c r="AO23" s="84">
        <f>IF(AND(Octobre[[#This Row],[Maladie]]=0,Octobre[[#This Row],[AT]]=0),((10*(_xlfn.DAYS("31/10/2018","01/10/2018")+1))/365),((_xlfn.DAYS("31/10/2018","01/10/2018")+1-(Octobre[[#This Row],[Maladie]]+Octobre[[#This Row],[AT]]))*((10*(_xlfn.DAYS("31/10/2018","01/10/2018")+1))/365))/(_xlfn.DAYS("31/10/2018","01/10/2018")+1))</f>
        <v>0.84931506849315064</v>
      </c>
    </row>
    <row r="24" spans="1:41" ht="30" customHeight="1" x14ac:dyDescent="0.2">
      <c r="A24" s="15" t="s">
        <v>80</v>
      </c>
      <c r="B24" s="22" t="s">
        <v>177</v>
      </c>
      <c r="C24" s="22" t="s">
        <v>178</v>
      </c>
      <c r="D24" s="22" t="s">
        <v>179</v>
      </c>
      <c r="E24" s="44">
        <v>0</v>
      </c>
      <c r="F24" s="47" t="str">
        <f>Global!JS24</f>
        <v/>
      </c>
      <c r="G24" s="31" t="str">
        <f>Global!JT24</f>
        <v/>
      </c>
      <c r="H24" s="31" t="str">
        <f>Global!JU24</f>
        <v/>
      </c>
      <c r="I24" s="31" t="str">
        <f>Global!JV24</f>
        <v/>
      </c>
      <c r="J24" s="31" t="str">
        <f>Global!JW24</f>
        <v/>
      </c>
      <c r="K24" s="31" t="str">
        <f>Global!JX24</f>
        <v/>
      </c>
      <c r="L24" s="31" t="str">
        <f>Global!JY24</f>
        <v/>
      </c>
      <c r="M24" s="31" t="str">
        <f>Global!JZ24</f>
        <v/>
      </c>
      <c r="N24" s="31" t="str">
        <f>Global!KA24</f>
        <v/>
      </c>
      <c r="O24" s="31" t="str">
        <f>Global!KB24</f>
        <v/>
      </c>
      <c r="P24" s="31" t="str">
        <f>Global!KC24</f>
        <v/>
      </c>
      <c r="Q24" s="31" t="str">
        <f>Global!KD24</f>
        <v/>
      </c>
      <c r="R24" s="31" t="str">
        <f>Global!KE24</f>
        <v/>
      </c>
      <c r="S24" s="31" t="str">
        <f>Global!KF24</f>
        <v/>
      </c>
      <c r="T24" s="31" t="str">
        <f>Global!KG24</f>
        <v/>
      </c>
      <c r="U24" s="31" t="str">
        <f>Global!KH24</f>
        <v/>
      </c>
      <c r="V24" s="31" t="str">
        <f>Global!KI24</f>
        <v/>
      </c>
      <c r="W24" s="31" t="str">
        <f>Global!KJ24</f>
        <v/>
      </c>
      <c r="X24" s="31" t="str">
        <f>Global!KK24</f>
        <v/>
      </c>
      <c r="Y24" s="31" t="str">
        <f>Global!KL24</f>
        <v/>
      </c>
      <c r="Z24" s="31" t="str">
        <f>Global!KM24</f>
        <v/>
      </c>
      <c r="AA24" s="31" t="str">
        <f>Global!KN24</f>
        <v/>
      </c>
      <c r="AB24" s="31" t="str">
        <f>Global!KO24</f>
        <v/>
      </c>
      <c r="AC24" s="31" t="str">
        <f>Global!KP24</f>
        <v/>
      </c>
      <c r="AD24" s="31" t="str">
        <f>Global!KQ24</f>
        <v/>
      </c>
      <c r="AE24" s="31" t="str">
        <f>Global!KR24</f>
        <v/>
      </c>
      <c r="AF24" s="31" t="str">
        <f>Global!KS24</f>
        <v/>
      </c>
      <c r="AG24" s="31" t="str">
        <f>Global!KT24</f>
        <v/>
      </c>
      <c r="AH24" s="31" t="str">
        <f>Global!KU24</f>
        <v/>
      </c>
      <c r="AI24" s="31" t="str">
        <f>Global!KV24</f>
        <v/>
      </c>
      <c r="AJ24" s="48" t="str">
        <f>Global!KW24</f>
        <v/>
      </c>
      <c r="AK24" s="108">
        <f>COUNTIF(Octobre[[#This Row],[1]:[31]],"RTT")+(COUNTIF(Octobre[[#This Row],[1]:[31]],"dRTT")/2)</f>
        <v>0</v>
      </c>
      <c r="AL24" s="109">
        <f>COUNTIF(Octobre[[#This Row],[1]:[31]],"C")+(COUNTIF(Octobre[[#This Row],[1]:[31]],"DC")/2)</f>
        <v>0</v>
      </c>
      <c r="AM24" s="22">
        <f>COUNTIF(Octobre[[#This Row],[1]:[31]],"M")</f>
        <v>0</v>
      </c>
      <c r="AN24" s="22">
        <f>COUNTIF(Octobre[[#This Row],[1]:[31]],"AT")</f>
        <v>0</v>
      </c>
      <c r="AO24" s="84">
        <f>IF(AND(Octobre[[#This Row],[Maladie]]=0,Octobre[[#This Row],[AT]]=0),((10*(_xlfn.DAYS("31/10/2018","01/10/2018")+1))/365),((_xlfn.DAYS("31/10/2018","01/10/2018")+1-(Octobre[[#This Row],[Maladie]]+Octobre[[#This Row],[AT]]))*((10*(_xlfn.DAYS("31/10/2018","01/10/2018")+1))/365))/(_xlfn.DAYS("31/10/2018","01/10/2018")+1))</f>
        <v>0.84931506849315064</v>
      </c>
    </row>
    <row r="25" spans="1:41" ht="30" customHeight="1" x14ac:dyDescent="0.2">
      <c r="A25" s="15" t="s">
        <v>81</v>
      </c>
      <c r="B25" s="22" t="s">
        <v>180</v>
      </c>
      <c r="C25" s="22" t="s">
        <v>157</v>
      </c>
      <c r="D25" s="22" t="s">
        <v>181</v>
      </c>
      <c r="E25" s="44">
        <v>0</v>
      </c>
      <c r="F25" s="47" t="str">
        <f>Global!JS25</f>
        <v/>
      </c>
      <c r="G25" s="31" t="str">
        <f>Global!JT25</f>
        <v/>
      </c>
      <c r="H25" s="31" t="str">
        <f>Global!JU25</f>
        <v/>
      </c>
      <c r="I25" s="31" t="str">
        <f>Global!JV25</f>
        <v/>
      </c>
      <c r="J25" s="31" t="str">
        <f>Global!JW25</f>
        <v/>
      </c>
      <c r="K25" s="31" t="str">
        <f>Global!JX25</f>
        <v/>
      </c>
      <c r="L25" s="31" t="str">
        <f>Global!JY25</f>
        <v/>
      </c>
      <c r="M25" s="31" t="str">
        <f>Global!JZ25</f>
        <v/>
      </c>
      <c r="N25" s="31" t="str">
        <f>Global!KA25</f>
        <v/>
      </c>
      <c r="O25" s="31" t="str">
        <f>Global!KB25</f>
        <v/>
      </c>
      <c r="P25" s="31" t="str">
        <f>Global!KC25</f>
        <v/>
      </c>
      <c r="Q25" s="31" t="str">
        <f>Global!KD25</f>
        <v/>
      </c>
      <c r="R25" s="31" t="str">
        <f>Global!KE25</f>
        <v/>
      </c>
      <c r="S25" s="31" t="str">
        <f>Global!KF25</f>
        <v/>
      </c>
      <c r="T25" s="31" t="str">
        <f>Global!KG25</f>
        <v/>
      </c>
      <c r="U25" s="31" t="str">
        <f>Global!KH25</f>
        <v/>
      </c>
      <c r="V25" s="31" t="str">
        <f>Global!KI25</f>
        <v/>
      </c>
      <c r="W25" s="31" t="str">
        <f>Global!KJ25</f>
        <v/>
      </c>
      <c r="X25" s="31" t="str">
        <f>Global!KK25</f>
        <v/>
      </c>
      <c r="Y25" s="31" t="str">
        <f>Global!KL25</f>
        <v/>
      </c>
      <c r="Z25" s="31" t="str">
        <f>Global!KM25</f>
        <v/>
      </c>
      <c r="AA25" s="31" t="str">
        <f>Global!KN25</f>
        <v/>
      </c>
      <c r="AB25" s="31" t="str">
        <f>Global!KO25</f>
        <v/>
      </c>
      <c r="AC25" s="31" t="str">
        <f>Global!KP25</f>
        <v/>
      </c>
      <c r="AD25" s="31" t="str">
        <f>Global!KQ25</f>
        <v/>
      </c>
      <c r="AE25" s="31" t="str">
        <f>Global!KR25</f>
        <v/>
      </c>
      <c r="AF25" s="31" t="str">
        <f>Global!KS25</f>
        <v/>
      </c>
      <c r="AG25" s="31" t="str">
        <f>Global!KT25</f>
        <v/>
      </c>
      <c r="AH25" s="31" t="str">
        <f>Global!KU25</f>
        <v/>
      </c>
      <c r="AI25" s="31" t="str">
        <f>Global!KV25</f>
        <v/>
      </c>
      <c r="AJ25" s="48" t="str">
        <f>Global!KW25</f>
        <v/>
      </c>
      <c r="AK25" s="108">
        <f>COUNTIF(Octobre[[#This Row],[1]:[31]],"RTT")+(COUNTIF(Octobre[[#This Row],[1]:[31]],"dRTT")/2)</f>
        <v>0</v>
      </c>
      <c r="AL25" s="109">
        <f>COUNTIF(Octobre[[#This Row],[1]:[31]],"C")+(COUNTIF(Octobre[[#This Row],[1]:[31]],"DC")/2)</f>
        <v>0</v>
      </c>
      <c r="AM25" s="22">
        <f>COUNTIF(Octobre[[#This Row],[1]:[31]],"M")</f>
        <v>0</v>
      </c>
      <c r="AN25" s="22">
        <f>COUNTIF(Octobre[[#This Row],[1]:[31]],"AT")</f>
        <v>0</v>
      </c>
      <c r="AO25" s="84">
        <f>IF(AND(Octobre[[#This Row],[Maladie]]=0,Octobre[[#This Row],[AT]]=0),((10*(_xlfn.DAYS("31/10/2018","01/10/2018")+1))/365),((_xlfn.DAYS("31/10/2018","01/10/2018")+1-(Octobre[[#This Row],[Maladie]]+Octobre[[#This Row],[AT]]))*((10*(_xlfn.DAYS("31/10/2018","01/10/2018")+1))/365))/(_xlfn.DAYS("31/10/2018","01/10/2018")+1))</f>
        <v>0.84931506849315064</v>
      </c>
    </row>
    <row r="26" spans="1:41" ht="30" customHeight="1" x14ac:dyDescent="0.2">
      <c r="A26" s="15" t="s">
        <v>82</v>
      </c>
      <c r="B26" s="22" t="s">
        <v>182</v>
      </c>
      <c r="C26" s="22" t="s">
        <v>183</v>
      </c>
      <c r="D26" s="22" t="s">
        <v>184</v>
      </c>
      <c r="E26" s="44">
        <v>0</v>
      </c>
      <c r="F26" s="47" t="str">
        <f>Global!JS26</f>
        <v/>
      </c>
      <c r="G26" s="31" t="str">
        <f>Global!JT26</f>
        <v/>
      </c>
      <c r="H26" s="31" t="str">
        <f>Global!JU26</f>
        <v/>
      </c>
      <c r="I26" s="31" t="str">
        <f>Global!JV26</f>
        <v/>
      </c>
      <c r="J26" s="31" t="str">
        <f>Global!JW26</f>
        <v/>
      </c>
      <c r="K26" s="31" t="str">
        <f>Global!JX26</f>
        <v/>
      </c>
      <c r="L26" s="31" t="str">
        <f>Global!JY26</f>
        <v/>
      </c>
      <c r="M26" s="31" t="str">
        <f>Global!JZ26</f>
        <v/>
      </c>
      <c r="N26" s="31" t="str">
        <f>Global!KA26</f>
        <v/>
      </c>
      <c r="O26" s="31" t="str">
        <f>Global!KB26</f>
        <v/>
      </c>
      <c r="P26" s="31" t="str">
        <f>Global!KC26</f>
        <v/>
      </c>
      <c r="Q26" s="31" t="str">
        <f>Global!KD26</f>
        <v/>
      </c>
      <c r="R26" s="31" t="str">
        <f>Global!KE26</f>
        <v/>
      </c>
      <c r="S26" s="31" t="str">
        <f>Global!KF26</f>
        <v/>
      </c>
      <c r="T26" s="31" t="str">
        <f>Global!KG26</f>
        <v/>
      </c>
      <c r="U26" s="31" t="str">
        <f>Global!KH26</f>
        <v/>
      </c>
      <c r="V26" s="31" t="str">
        <f>Global!KI26</f>
        <v/>
      </c>
      <c r="W26" s="31" t="str">
        <f>Global!KJ26</f>
        <v/>
      </c>
      <c r="X26" s="31" t="str">
        <f>Global!KK26</f>
        <v/>
      </c>
      <c r="Y26" s="31" t="str">
        <f>Global!KL26</f>
        <v/>
      </c>
      <c r="Z26" s="31" t="str">
        <f>Global!KM26</f>
        <v/>
      </c>
      <c r="AA26" s="31" t="str">
        <f>Global!KN26</f>
        <v/>
      </c>
      <c r="AB26" s="31" t="str">
        <f>Global!KO26</f>
        <v/>
      </c>
      <c r="AC26" s="31" t="str">
        <f>Global!KP26</f>
        <v/>
      </c>
      <c r="AD26" s="31" t="str">
        <f>Global!KQ26</f>
        <v/>
      </c>
      <c r="AE26" s="31" t="str">
        <f>Global!KR26</f>
        <v/>
      </c>
      <c r="AF26" s="31" t="str">
        <f>Global!KS26</f>
        <v/>
      </c>
      <c r="AG26" s="31" t="str">
        <f>Global!KT26</f>
        <v/>
      </c>
      <c r="AH26" s="31" t="str">
        <f>Global!KU26</f>
        <v/>
      </c>
      <c r="AI26" s="31" t="str">
        <f>Global!KV26</f>
        <v/>
      </c>
      <c r="AJ26" s="48" t="str">
        <f>Global!KW26</f>
        <v/>
      </c>
      <c r="AK26" s="108">
        <f>COUNTIF(Octobre[[#This Row],[1]:[31]],"RTT")+(COUNTIF(Octobre[[#This Row],[1]:[31]],"dRTT")/2)</f>
        <v>0</v>
      </c>
      <c r="AL26" s="109">
        <f>COUNTIF(Octobre[[#This Row],[1]:[31]],"C")+(COUNTIF(Octobre[[#This Row],[1]:[31]],"DC")/2)</f>
        <v>0</v>
      </c>
      <c r="AM26" s="22">
        <f>COUNTIF(Octobre[[#This Row],[1]:[31]],"M")</f>
        <v>0</v>
      </c>
      <c r="AN26" s="22">
        <f>COUNTIF(Octobre[[#This Row],[1]:[31]],"AT")</f>
        <v>0</v>
      </c>
      <c r="AO26" s="84">
        <f>IF(AND(Octobre[[#This Row],[Maladie]]=0,Octobre[[#This Row],[AT]]=0),((10*(_xlfn.DAYS("31/10/2018","01/10/2018")+1))/365),((_xlfn.DAYS("31/10/2018","01/10/2018")+1-(Octobre[[#This Row],[Maladie]]+Octobre[[#This Row],[AT]]))*((10*(_xlfn.DAYS("31/10/2018","01/10/2018")+1))/365))/(_xlfn.DAYS("31/10/2018","01/10/2018")+1))</f>
        <v>0.84931506849315064</v>
      </c>
    </row>
    <row r="27" spans="1:41" ht="30" customHeight="1" x14ac:dyDescent="0.2">
      <c r="A27" s="15" t="s">
        <v>83</v>
      </c>
      <c r="B27" s="22" t="s">
        <v>185</v>
      </c>
      <c r="C27" s="22" t="s">
        <v>186</v>
      </c>
      <c r="D27" s="22" t="s">
        <v>187</v>
      </c>
      <c r="E27" s="44">
        <v>0</v>
      </c>
      <c r="F27" s="47" t="str">
        <f>Global!JS27</f>
        <v/>
      </c>
      <c r="G27" s="31" t="str">
        <f>Global!JT27</f>
        <v/>
      </c>
      <c r="H27" s="31" t="str">
        <f>Global!JU27</f>
        <v/>
      </c>
      <c r="I27" s="31" t="str">
        <f>Global!JV27</f>
        <v/>
      </c>
      <c r="J27" s="31" t="str">
        <f>Global!JW27</f>
        <v/>
      </c>
      <c r="K27" s="31" t="str">
        <f>Global!JX27</f>
        <v/>
      </c>
      <c r="L27" s="31" t="str">
        <f>Global!JY27</f>
        <v/>
      </c>
      <c r="M27" s="31" t="str">
        <f>Global!JZ27</f>
        <v/>
      </c>
      <c r="N27" s="31" t="str">
        <f>Global!KA27</f>
        <v/>
      </c>
      <c r="O27" s="31" t="str">
        <f>Global!KB27</f>
        <v/>
      </c>
      <c r="P27" s="31" t="str">
        <f>Global!KC27</f>
        <v/>
      </c>
      <c r="Q27" s="31" t="str">
        <f>Global!KD27</f>
        <v/>
      </c>
      <c r="R27" s="31" t="str">
        <f>Global!KE27</f>
        <v/>
      </c>
      <c r="S27" s="31" t="str">
        <f>Global!KF27</f>
        <v/>
      </c>
      <c r="T27" s="31" t="str">
        <f>Global!KG27</f>
        <v/>
      </c>
      <c r="U27" s="31" t="str">
        <f>Global!KH27</f>
        <v/>
      </c>
      <c r="V27" s="31" t="str">
        <f>Global!KI27</f>
        <v/>
      </c>
      <c r="W27" s="31" t="str">
        <f>Global!KJ27</f>
        <v/>
      </c>
      <c r="X27" s="31" t="str">
        <f>Global!KK27</f>
        <v/>
      </c>
      <c r="Y27" s="31" t="str">
        <f>Global!KL27</f>
        <v/>
      </c>
      <c r="Z27" s="31" t="str">
        <f>Global!KM27</f>
        <v/>
      </c>
      <c r="AA27" s="31" t="str">
        <f>Global!KN27</f>
        <v/>
      </c>
      <c r="AB27" s="31" t="str">
        <f>Global!KO27</f>
        <v/>
      </c>
      <c r="AC27" s="31" t="str">
        <f>Global!KP27</f>
        <v/>
      </c>
      <c r="AD27" s="31" t="str">
        <f>Global!KQ27</f>
        <v/>
      </c>
      <c r="AE27" s="31" t="str">
        <f>Global!KR27</f>
        <v/>
      </c>
      <c r="AF27" s="31" t="str">
        <f>Global!KS27</f>
        <v/>
      </c>
      <c r="AG27" s="31" t="str">
        <f>Global!KT27</f>
        <v/>
      </c>
      <c r="AH27" s="31" t="str">
        <f>Global!KU27</f>
        <v/>
      </c>
      <c r="AI27" s="31" t="str">
        <f>Global!KV27</f>
        <v/>
      </c>
      <c r="AJ27" s="48" t="str">
        <f>Global!KW27</f>
        <v/>
      </c>
      <c r="AK27" s="108">
        <f>COUNTIF(Octobre[[#This Row],[1]:[31]],"RTT")+(COUNTIF(Octobre[[#This Row],[1]:[31]],"dRTT")/2)</f>
        <v>0</v>
      </c>
      <c r="AL27" s="109">
        <f>COUNTIF(Octobre[[#This Row],[1]:[31]],"C")+(COUNTIF(Octobre[[#This Row],[1]:[31]],"DC")/2)</f>
        <v>0</v>
      </c>
      <c r="AM27" s="22">
        <f>COUNTIF(Octobre[[#This Row],[1]:[31]],"M")</f>
        <v>0</v>
      </c>
      <c r="AN27" s="22">
        <f>COUNTIF(Octobre[[#This Row],[1]:[31]],"AT")</f>
        <v>0</v>
      </c>
      <c r="AO27" s="84">
        <f>IF(AND(Octobre[[#This Row],[Maladie]]=0,Octobre[[#This Row],[AT]]=0),((10*(_xlfn.DAYS("31/10/2018","01/10/2018")+1))/365),((_xlfn.DAYS("31/10/2018","01/10/2018")+1-(Octobre[[#This Row],[Maladie]]+Octobre[[#This Row],[AT]]))*((10*(_xlfn.DAYS("31/10/2018","01/10/2018")+1))/365))/(_xlfn.DAYS("31/10/2018","01/10/2018")+1))</f>
        <v>0.84931506849315064</v>
      </c>
    </row>
    <row r="28" spans="1:41" ht="30" customHeight="1" x14ac:dyDescent="0.2">
      <c r="A28" s="15" t="s">
        <v>84</v>
      </c>
      <c r="B28" s="22" t="s">
        <v>188</v>
      </c>
      <c r="C28" s="22" t="s">
        <v>189</v>
      </c>
      <c r="D28" s="22" t="s">
        <v>190</v>
      </c>
      <c r="E28" s="44">
        <v>0</v>
      </c>
      <c r="F28" s="47" t="str">
        <f>Global!JS28</f>
        <v/>
      </c>
      <c r="G28" s="31" t="str">
        <f>Global!JT28</f>
        <v/>
      </c>
      <c r="H28" s="31" t="str">
        <f>Global!JU28</f>
        <v/>
      </c>
      <c r="I28" s="31" t="str">
        <f>Global!JV28</f>
        <v/>
      </c>
      <c r="J28" s="31" t="str">
        <f>Global!JW28</f>
        <v/>
      </c>
      <c r="K28" s="31" t="str">
        <f>Global!JX28</f>
        <v/>
      </c>
      <c r="L28" s="31" t="str">
        <f>Global!JY28</f>
        <v/>
      </c>
      <c r="M28" s="31" t="str">
        <f>Global!JZ28</f>
        <v/>
      </c>
      <c r="N28" s="31" t="str">
        <f>Global!KA28</f>
        <v/>
      </c>
      <c r="O28" s="31" t="str">
        <f>Global!KB28</f>
        <v/>
      </c>
      <c r="P28" s="31" t="str">
        <f>Global!KC28</f>
        <v/>
      </c>
      <c r="Q28" s="31" t="str">
        <f>Global!KD28</f>
        <v/>
      </c>
      <c r="R28" s="31" t="str">
        <f>Global!KE28</f>
        <v/>
      </c>
      <c r="S28" s="31" t="str">
        <f>Global!KF28</f>
        <v/>
      </c>
      <c r="T28" s="31" t="str">
        <f>Global!KG28</f>
        <v/>
      </c>
      <c r="U28" s="31" t="str">
        <f>Global!KH28</f>
        <v/>
      </c>
      <c r="V28" s="31" t="str">
        <f>Global!KI28</f>
        <v/>
      </c>
      <c r="W28" s="31" t="str">
        <f>Global!KJ28</f>
        <v/>
      </c>
      <c r="X28" s="31" t="str">
        <f>Global!KK28</f>
        <v/>
      </c>
      <c r="Y28" s="31" t="str">
        <f>Global!KL28</f>
        <v/>
      </c>
      <c r="Z28" s="31" t="str">
        <f>Global!KM28</f>
        <v/>
      </c>
      <c r="AA28" s="31" t="str">
        <f>Global!KN28</f>
        <v/>
      </c>
      <c r="AB28" s="31" t="str">
        <f>Global!KO28</f>
        <v/>
      </c>
      <c r="AC28" s="31" t="str">
        <f>Global!KP28</f>
        <v/>
      </c>
      <c r="AD28" s="31" t="str">
        <f>Global!KQ28</f>
        <v/>
      </c>
      <c r="AE28" s="31" t="str">
        <f>Global!KR28</f>
        <v/>
      </c>
      <c r="AF28" s="31" t="str">
        <f>Global!KS28</f>
        <v/>
      </c>
      <c r="AG28" s="31" t="str">
        <f>Global!KT28</f>
        <v/>
      </c>
      <c r="AH28" s="31" t="str">
        <f>Global!KU28</f>
        <v/>
      </c>
      <c r="AI28" s="31" t="str">
        <f>Global!KV28</f>
        <v/>
      </c>
      <c r="AJ28" s="48" t="str">
        <f>Global!KW28</f>
        <v/>
      </c>
      <c r="AK28" s="108">
        <f>COUNTIF(Octobre[[#This Row],[1]:[31]],"RTT")+(COUNTIF(Octobre[[#This Row],[1]:[31]],"dRTT")/2)</f>
        <v>0</v>
      </c>
      <c r="AL28" s="109">
        <f>COUNTIF(Octobre[[#This Row],[1]:[31]],"C")+(COUNTIF(Octobre[[#This Row],[1]:[31]],"DC")/2)</f>
        <v>0</v>
      </c>
      <c r="AM28" s="22">
        <f>COUNTIF(Octobre[[#This Row],[1]:[31]],"M")</f>
        <v>0</v>
      </c>
      <c r="AN28" s="22">
        <f>COUNTIF(Octobre[[#This Row],[1]:[31]],"AT")</f>
        <v>0</v>
      </c>
      <c r="AO28" s="84">
        <f>IF(AND(Octobre[[#This Row],[Maladie]]=0,Octobre[[#This Row],[AT]]=0),((10*(_xlfn.DAYS("31/10/2018","01/10/2018")+1))/365),((_xlfn.DAYS("31/10/2018","01/10/2018")+1-(Octobre[[#This Row],[Maladie]]+Octobre[[#This Row],[AT]]))*((10*(_xlfn.DAYS("31/10/2018","01/10/2018")+1))/365))/(_xlfn.DAYS("31/10/2018","01/10/2018")+1))</f>
        <v>0.84931506849315064</v>
      </c>
    </row>
    <row r="29" spans="1:41" ht="30" customHeight="1" x14ac:dyDescent="0.2">
      <c r="A29" s="15" t="s">
        <v>85</v>
      </c>
      <c r="B29" s="22" t="s">
        <v>191</v>
      </c>
      <c r="C29" s="22" t="s">
        <v>192</v>
      </c>
      <c r="D29" s="22" t="s">
        <v>193</v>
      </c>
      <c r="E29" s="44">
        <v>0</v>
      </c>
      <c r="F29" s="47" t="str">
        <f>Global!JS29</f>
        <v/>
      </c>
      <c r="G29" s="31" t="str">
        <f>Global!JT29</f>
        <v/>
      </c>
      <c r="H29" s="31" t="str">
        <f>Global!JU29</f>
        <v/>
      </c>
      <c r="I29" s="31" t="str">
        <f>Global!JV29</f>
        <v/>
      </c>
      <c r="J29" s="31" t="str">
        <f>Global!JW29</f>
        <v/>
      </c>
      <c r="K29" s="31" t="str">
        <f>Global!JX29</f>
        <v/>
      </c>
      <c r="L29" s="31" t="str">
        <f>Global!JY29</f>
        <v/>
      </c>
      <c r="M29" s="31" t="str">
        <f>Global!JZ29</f>
        <v/>
      </c>
      <c r="N29" s="31" t="str">
        <f>Global!KA29</f>
        <v/>
      </c>
      <c r="O29" s="31" t="str">
        <f>Global!KB29</f>
        <v/>
      </c>
      <c r="P29" s="31" t="str">
        <f>Global!KC29</f>
        <v/>
      </c>
      <c r="Q29" s="31" t="str">
        <f>Global!KD29</f>
        <v/>
      </c>
      <c r="R29" s="31" t="str">
        <f>Global!KE29</f>
        <v/>
      </c>
      <c r="S29" s="31" t="str">
        <f>Global!KF29</f>
        <v/>
      </c>
      <c r="T29" s="31" t="str">
        <f>Global!KG29</f>
        <v/>
      </c>
      <c r="U29" s="31" t="str">
        <f>Global!KH29</f>
        <v/>
      </c>
      <c r="V29" s="31" t="str">
        <f>Global!KI29</f>
        <v/>
      </c>
      <c r="W29" s="31" t="str">
        <f>Global!KJ29</f>
        <v/>
      </c>
      <c r="X29" s="31" t="str">
        <f>Global!KK29</f>
        <v/>
      </c>
      <c r="Y29" s="31" t="str">
        <f>Global!KL29</f>
        <v/>
      </c>
      <c r="Z29" s="31" t="str">
        <f>Global!KM29</f>
        <v/>
      </c>
      <c r="AA29" s="31" t="str">
        <f>Global!KN29</f>
        <v/>
      </c>
      <c r="AB29" s="31" t="str">
        <f>Global!KO29</f>
        <v/>
      </c>
      <c r="AC29" s="31" t="str">
        <f>Global!KP29</f>
        <v/>
      </c>
      <c r="AD29" s="31" t="str">
        <f>Global!KQ29</f>
        <v/>
      </c>
      <c r="AE29" s="31" t="str">
        <f>Global!KR29</f>
        <v/>
      </c>
      <c r="AF29" s="31" t="str">
        <f>Global!KS29</f>
        <v/>
      </c>
      <c r="AG29" s="31" t="str">
        <f>Global!KT29</f>
        <v/>
      </c>
      <c r="AH29" s="31" t="str">
        <f>Global!KU29</f>
        <v/>
      </c>
      <c r="AI29" s="31" t="str">
        <f>Global!KV29</f>
        <v/>
      </c>
      <c r="AJ29" s="48" t="str">
        <f>Global!KW29</f>
        <v/>
      </c>
      <c r="AK29" s="108">
        <f>COUNTIF(Octobre[[#This Row],[1]:[31]],"RTT")+(COUNTIF(Octobre[[#This Row],[1]:[31]],"dRTT")/2)</f>
        <v>0</v>
      </c>
      <c r="AL29" s="109">
        <f>COUNTIF(Octobre[[#This Row],[1]:[31]],"C")+(COUNTIF(Octobre[[#This Row],[1]:[31]],"DC")/2)</f>
        <v>0</v>
      </c>
      <c r="AM29" s="22">
        <f>COUNTIF(Octobre[[#This Row],[1]:[31]],"M")</f>
        <v>0</v>
      </c>
      <c r="AN29" s="22">
        <f>COUNTIF(Octobre[[#This Row],[1]:[31]],"AT")</f>
        <v>0</v>
      </c>
      <c r="AO29" s="84">
        <f>IF(AND(Octobre[[#This Row],[Maladie]]=0,Octobre[[#This Row],[AT]]=0),((10*(_xlfn.DAYS("31/10/2018","01/10/2018")+1))/365),((_xlfn.DAYS("31/10/2018","01/10/2018")+1-(Octobre[[#This Row],[Maladie]]+Octobre[[#This Row],[AT]]))*((10*(_xlfn.DAYS("31/10/2018","01/10/2018")+1))/365))/(_xlfn.DAYS("31/10/2018","01/10/2018")+1))</f>
        <v>0.84931506849315064</v>
      </c>
    </row>
    <row r="30" spans="1:41" ht="30" customHeight="1" x14ac:dyDescent="0.2">
      <c r="A30" s="15" t="s">
        <v>86</v>
      </c>
      <c r="B30" s="22" t="s">
        <v>194</v>
      </c>
      <c r="C30" s="22" t="s">
        <v>192</v>
      </c>
      <c r="D30" s="22" t="s">
        <v>195</v>
      </c>
      <c r="E30" s="44" t="s">
        <v>162</v>
      </c>
      <c r="F30" s="47" t="str">
        <f>Global!JS30</f>
        <v/>
      </c>
      <c r="G30" s="31" t="str">
        <f>Global!JT30</f>
        <v/>
      </c>
      <c r="H30" s="31" t="str">
        <f>Global!JU30</f>
        <v/>
      </c>
      <c r="I30" s="31" t="str">
        <f>Global!JV30</f>
        <v/>
      </c>
      <c r="J30" s="31" t="str">
        <f>Global!JW30</f>
        <v/>
      </c>
      <c r="K30" s="31" t="str">
        <f>Global!JX30</f>
        <v/>
      </c>
      <c r="L30" s="31" t="str">
        <f>Global!JY30</f>
        <v/>
      </c>
      <c r="M30" s="31" t="str">
        <f>Global!JZ30</f>
        <v/>
      </c>
      <c r="N30" s="31" t="str">
        <f>Global!KA30</f>
        <v/>
      </c>
      <c r="O30" s="31" t="str">
        <f>Global!KB30</f>
        <v/>
      </c>
      <c r="P30" s="31" t="str">
        <f>Global!KC30</f>
        <v/>
      </c>
      <c r="Q30" s="31" t="str">
        <f>Global!KD30</f>
        <v/>
      </c>
      <c r="R30" s="31" t="str">
        <f>Global!KE30</f>
        <v/>
      </c>
      <c r="S30" s="31" t="str">
        <f>Global!KF30</f>
        <v/>
      </c>
      <c r="T30" s="31" t="str">
        <f>Global!KG30</f>
        <v/>
      </c>
      <c r="U30" s="31" t="str">
        <f>Global!KH30</f>
        <v/>
      </c>
      <c r="V30" s="31" t="str">
        <f>Global!KI30</f>
        <v/>
      </c>
      <c r="W30" s="31" t="str">
        <f>Global!KJ30</f>
        <v/>
      </c>
      <c r="X30" s="31" t="str">
        <f>Global!KK30</f>
        <v/>
      </c>
      <c r="Y30" s="31" t="str">
        <f>Global!KL30</f>
        <v/>
      </c>
      <c r="Z30" s="31" t="str">
        <f>Global!KM30</f>
        <v/>
      </c>
      <c r="AA30" s="31" t="str">
        <f>Global!KN30</f>
        <v/>
      </c>
      <c r="AB30" s="31" t="str">
        <f>Global!KO30</f>
        <v/>
      </c>
      <c r="AC30" s="31" t="str">
        <f>Global!KP30</f>
        <v/>
      </c>
      <c r="AD30" s="31" t="str">
        <f>Global!KQ30</f>
        <v/>
      </c>
      <c r="AE30" s="31" t="str">
        <f>Global!KR30</f>
        <v/>
      </c>
      <c r="AF30" s="31" t="str">
        <f>Global!KS30</f>
        <v/>
      </c>
      <c r="AG30" s="31" t="str">
        <f>Global!KT30</f>
        <v/>
      </c>
      <c r="AH30" s="31" t="str">
        <f>Global!KU30</f>
        <v/>
      </c>
      <c r="AI30" s="31" t="str">
        <f>Global!KV30</f>
        <v/>
      </c>
      <c r="AJ30" s="48" t="str">
        <f>Global!KW30</f>
        <v/>
      </c>
      <c r="AK30" s="108">
        <f>COUNTIF(Octobre[[#This Row],[1]:[31]],"RTT")+(COUNTIF(Octobre[[#This Row],[1]:[31]],"dRTT")/2)</f>
        <v>0</v>
      </c>
      <c r="AL30" s="109">
        <f>COUNTIF(Octobre[[#This Row],[1]:[31]],"C")+(COUNTIF(Octobre[[#This Row],[1]:[31]],"DC")/2)</f>
        <v>0</v>
      </c>
      <c r="AM30" s="22">
        <f>COUNTIF(Octobre[[#This Row],[1]:[31]],"M")</f>
        <v>0</v>
      </c>
      <c r="AN30" s="22">
        <f>COUNTIF(Octobre[[#This Row],[1]:[31]],"AT")</f>
        <v>0</v>
      </c>
      <c r="AO30" s="84">
        <f>IF(AND(Octobre[[#This Row],[Maladie]]=0,Octobre[[#This Row],[AT]]=0),((10*(_xlfn.DAYS("31/10/2018","01/10/2018")+1))/365),((_xlfn.DAYS("31/10/2018","01/10/2018")+1-(Octobre[[#This Row],[Maladie]]+Octobre[[#This Row],[AT]]))*((10*(_xlfn.DAYS("31/10/2018","01/10/2018")+1))/365))/(_xlfn.DAYS("31/10/2018","01/10/2018")+1))</f>
        <v>0.84931506849315064</v>
      </c>
    </row>
    <row r="31" spans="1:41" ht="30" customHeight="1" x14ac:dyDescent="0.2">
      <c r="A31" s="15" t="s">
        <v>87</v>
      </c>
      <c r="B31" s="22" t="s">
        <v>196</v>
      </c>
      <c r="C31" s="22" t="s">
        <v>197</v>
      </c>
      <c r="D31" s="22" t="s">
        <v>198</v>
      </c>
      <c r="E31" s="44" t="s">
        <v>162</v>
      </c>
      <c r="F31" s="47" t="str">
        <f>Global!JS31</f>
        <v/>
      </c>
      <c r="G31" s="31" t="str">
        <f>Global!JT31</f>
        <v/>
      </c>
      <c r="H31" s="31" t="str">
        <f>Global!JU31</f>
        <v/>
      </c>
      <c r="I31" s="31" t="str">
        <f>Global!JV31</f>
        <v/>
      </c>
      <c r="J31" s="31" t="str">
        <f>Global!JW31</f>
        <v/>
      </c>
      <c r="K31" s="31" t="str">
        <f>Global!JX31</f>
        <v/>
      </c>
      <c r="L31" s="31" t="str">
        <f>Global!JY31</f>
        <v/>
      </c>
      <c r="M31" s="31" t="str">
        <f>Global!JZ31</f>
        <v/>
      </c>
      <c r="N31" s="31" t="str">
        <f>Global!KA31</f>
        <v/>
      </c>
      <c r="O31" s="31" t="str">
        <f>Global!KB31</f>
        <v/>
      </c>
      <c r="P31" s="31" t="str">
        <f>Global!KC31</f>
        <v/>
      </c>
      <c r="Q31" s="31" t="str">
        <f>Global!KD31</f>
        <v/>
      </c>
      <c r="R31" s="31" t="str">
        <f>Global!KE31</f>
        <v/>
      </c>
      <c r="S31" s="31" t="str">
        <f>Global!KF31</f>
        <v/>
      </c>
      <c r="T31" s="31" t="str">
        <f>Global!KG31</f>
        <v/>
      </c>
      <c r="U31" s="31" t="str">
        <f>Global!KH31</f>
        <v/>
      </c>
      <c r="V31" s="31" t="str">
        <f>Global!KI31</f>
        <v/>
      </c>
      <c r="W31" s="31" t="str">
        <f>Global!KJ31</f>
        <v/>
      </c>
      <c r="X31" s="31" t="str">
        <f>Global!KK31</f>
        <v/>
      </c>
      <c r="Y31" s="31" t="str">
        <f>Global!KL31</f>
        <v/>
      </c>
      <c r="Z31" s="31" t="str">
        <f>Global!KM31</f>
        <v/>
      </c>
      <c r="AA31" s="31" t="str">
        <f>Global!KN31</f>
        <v/>
      </c>
      <c r="AB31" s="31" t="str">
        <f>Global!KO31</f>
        <v/>
      </c>
      <c r="AC31" s="31" t="str">
        <f>Global!KP31</f>
        <v/>
      </c>
      <c r="AD31" s="31" t="str">
        <f>Global!KQ31</f>
        <v/>
      </c>
      <c r="AE31" s="31" t="str">
        <f>Global!KR31</f>
        <v/>
      </c>
      <c r="AF31" s="31" t="str">
        <f>Global!KS31</f>
        <v/>
      </c>
      <c r="AG31" s="31" t="str">
        <f>Global!KT31</f>
        <v/>
      </c>
      <c r="AH31" s="31" t="str">
        <f>Global!KU31</f>
        <v/>
      </c>
      <c r="AI31" s="31" t="str">
        <f>Global!KV31</f>
        <v/>
      </c>
      <c r="AJ31" s="48" t="str">
        <f>Global!KW31</f>
        <v/>
      </c>
      <c r="AK31" s="108">
        <f>COUNTIF(Octobre[[#This Row],[1]:[31]],"RTT")+(COUNTIF(Octobre[[#This Row],[1]:[31]],"dRTT")/2)</f>
        <v>0</v>
      </c>
      <c r="AL31" s="109">
        <f>COUNTIF(Octobre[[#This Row],[1]:[31]],"C")+(COUNTIF(Octobre[[#This Row],[1]:[31]],"DC")/2)</f>
        <v>0</v>
      </c>
      <c r="AM31" s="22">
        <f>COUNTIF(Octobre[[#This Row],[1]:[31]],"M")</f>
        <v>0</v>
      </c>
      <c r="AN31" s="22">
        <f>COUNTIF(Octobre[[#This Row],[1]:[31]],"AT")</f>
        <v>0</v>
      </c>
      <c r="AO31" s="84">
        <f>IF(AND(Octobre[[#This Row],[Maladie]]=0,Octobre[[#This Row],[AT]]=0),((10*(_xlfn.DAYS("31/10/2018","01/10/2018")+1))/365),((_xlfn.DAYS("31/10/2018","01/10/2018")+1-(Octobre[[#This Row],[Maladie]]+Octobre[[#This Row],[AT]]))*((10*(_xlfn.DAYS("31/10/2018","01/10/2018")+1))/365))/(_xlfn.DAYS("31/10/2018","01/10/2018")+1))</f>
        <v>0.84931506849315064</v>
      </c>
    </row>
    <row r="32" spans="1:41" ht="30" customHeight="1" x14ac:dyDescent="0.2">
      <c r="A32" s="15" t="s">
        <v>88</v>
      </c>
      <c r="B32" s="22" t="s">
        <v>199</v>
      </c>
      <c r="C32" s="22" t="s">
        <v>200</v>
      </c>
      <c r="D32" s="22" t="s">
        <v>201</v>
      </c>
      <c r="E32" s="44">
        <v>0</v>
      </c>
      <c r="F32" s="47" t="str">
        <f>Global!JS32</f>
        <v/>
      </c>
      <c r="G32" s="31" t="str">
        <f>Global!JT32</f>
        <v/>
      </c>
      <c r="H32" s="31" t="str">
        <f>Global!JU32</f>
        <v/>
      </c>
      <c r="I32" s="31" t="str">
        <f>Global!JV32</f>
        <v/>
      </c>
      <c r="J32" s="31" t="str">
        <f>Global!JW32</f>
        <v/>
      </c>
      <c r="K32" s="31" t="str">
        <f>Global!JX32</f>
        <v/>
      </c>
      <c r="L32" s="31" t="str">
        <f>Global!JY32</f>
        <v/>
      </c>
      <c r="M32" s="31" t="str">
        <f>Global!JZ32</f>
        <v/>
      </c>
      <c r="N32" s="31" t="str">
        <f>Global!KA32</f>
        <v/>
      </c>
      <c r="O32" s="31" t="str">
        <f>Global!KB32</f>
        <v/>
      </c>
      <c r="P32" s="31" t="str">
        <f>Global!KC32</f>
        <v/>
      </c>
      <c r="Q32" s="31" t="str">
        <f>Global!KD32</f>
        <v/>
      </c>
      <c r="R32" s="31" t="str">
        <f>Global!KE32</f>
        <v/>
      </c>
      <c r="S32" s="31" t="str">
        <f>Global!KF32</f>
        <v/>
      </c>
      <c r="T32" s="31" t="str">
        <f>Global!KG32</f>
        <v/>
      </c>
      <c r="U32" s="31" t="str">
        <f>Global!KH32</f>
        <v/>
      </c>
      <c r="V32" s="31" t="str">
        <f>Global!KI32</f>
        <v/>
      </c>
      <c r="W32" s="31" t="str">
        <f>Global!KJ32</f>
        <v/>
      </c>
      <c r="X32" s="31" t="str">
        <f>Global!KK32</f>
        <v/>
      </c>
      <c r="Y32" s="31" t="str">
        <f>Global!KL32</f>
        <v/>
      </c>
      <c r="Z32" s="31" t="str">
        <f>Global!KM32</f>
        <v/>
      </c>
      <c r="AA32" s="31" t="str">
        <f>Global!KN32</f>
        <v/>
      </c>
      <c r="AB32" s="31" t="str">
        <f>Global!KO32</f>
        <v/>
      </c>
      <c r="AC32" s="31" t="str">
        <f>Global!KP32</f>
        <v/>
      </c>
      <c r="AD32" s="31" t="str">
        <f>Global!KQ32</f>
        <v/>
      </c>
      <c r="AE32" s="31" t="str">
        <f>Global!KR32</f>
        <v/>
      </c>
      <c r="AF32" s="31" t="str">
        <f>Global!KS32</f>
        <v/>
      </c>
      <c r="AG32" s="31" t="str">
        <f>Global!KT32</f>
        <v/>
      </c>
      <c r="AH32" s="31" t="str">
        <f>Global!KU32</f>
        <v/>
      </c>
      <c r="AI32" s="31" t="str">
        <f>Global!KV32</f>
        <v/>
      </c>
      <c r="AJ32" s="48" t="str">
        <f>Global!KW32</f>
        <v/>
      </c>
      <c r="AK32" s="108">
        <f>COUNTIF(Octobre[[#This Row],[1]:[31]],"RTT")+(COUNTIF(Octobre[[#This Row],[1]:[31]],"dRTT")/2)</f>
        <v>0</v>
      </c>
      <c r="AL32" s="109">
        <f>COUNTIF(Octobre[[#This Row],[1]:[31]],"C")+(COUNTIF(Octobre[[#This Row],[1]:[31]],"DC")/2)</f>
        <v>0</v>
      </c>
      <c r="AM32" s="22">
        <f>COUNTIF(Octobre[[#This Row],[1]:[31]],"M")</f>
        <v>0</v>
      </c>
      <c r="AN32" s="22">
        <f>COUNTIF(Octobre[[#This Row],[1]:[31]],"AT")</f>
        <v>0</v>
      </c>
      <c r="AO32" s="84">
        <f>IF(AND(Octobre[[#This Row],[Maladie]]=0,Octobre[[#This Row],[AT]]=0),((10*(_xlfn.DAYS("31/10/2018","01/10/2018")+1))/365),((_xlfn.DAYS("31/10/2018","01/10/2018")+1-(Octobre[[#This Row],[Maladie]]+Octobre[[#This Row],[AT]]))*((10*(_xlfn.DAYS("31/10/2018","01/10/2018")+1))/365))/(_xlfn.DAYS("31/10/2018","01/10/2018")+1))</f>
        <v>0.84931506849315064</v>
      </c>
    </row>
    <row r="33" spans="1:41" ht="30" customHeight="1" x14ac:dyDescent="0.2">
      <c r="A33" s="13" t="s">
        <v>89</v>
      </c>
      <c r="B33" s="22" t="s">
        <v>202</v>
      </c>
      <c r="C33" s="22" t="s">
        <v>172</v>
      </c>
      <c r="D33" s="22" t="s">
        <v>203</v>
      </c>
      <c r="E33" s="44">
        <v>0</v>
      </c>
      <c r="F33" s="47" t="str">
        <f>Global!JS33</f>
        <v/>
      </c>
      <c r="G33" s="31" t="str">
        <f>Global!JT33</f>
        <v/>
      </c>
      <c r="H33" s="31" t="str">
        <f>Global!JU33</f>
        <v/>
      </c>
      <c r="I33" s="31" t="str">
        <f>Global!JV33</f>
        <v/>
      </c>
      <c r="J33" s="31" t="str">
        <f>Global!JW33</f>
        <v/>
      </c>
      <c r="K33" s="31" t="str">
        <f>Global!JX33</f>
        <v/>
      </c>
      <c r="L33" s="31" t="str">
        <f>Global!JY33</f>
        <v/>
      </c>
      <c r="M33" s="31" t="str">
        <f>Global!JZ33</f>
        <v/>
      </c>
      <c r="N33" s="31" t="str">
        <f>Global!KA33</f>
        <v/>
      </c>
      <c r="O33" s="31" t="str">
        <f>Global!KB33</f>
        <v/>
      </c>
      <c r="P33" s="31" t="str">
        <f>Global!KC33</f>
        <v/>
      </c>
      <c r="Q33" s="31" t="str">
        <f>Global!KD33</f>
        <v/>
      </c>
      <c r="R33" s="31" t="str">
        <f>Global!KE33</f>
        <v/>
      </c>
      <c r="S33" s="31" t="str">
        <f>Global!KF33</f>
        <v/>
      </c>
      <c r="T33" s="31" t="str">
        <f>Global!KG33</f>
        <v/>
      </c>
      <c r="U33" s="31" t="str">
        <f>Global!KH33</f>
        <v/>
      </c>
      <c r="V33" s="31" t="str">
        <f>Global!KI33</f>
        <v/>
      </c>
      <c r="W33" s="31" t="str">
        <f>Global!KJ33</f>
        <v/>
      </c>
      <c r="X33" s="31" t="str">
        <f>Global!KK33</f>
        <v/>
      </c>
      <c r="Y33" s="31" t="str">
        <f>Global!KL33</f>
        <v/>
      </c>
      <c r="Z33" s="31" t="str">
        <f>Global!KM33</f>
        <v/>
      </c>
      <c r="AA33" s="31" t="str">
        <f>Global!KN33</f>
        <v/>
      </c>
      <c r="AB33" s="31" t="str">
        <f>Global!KO33</f>
        <v/>
      </c>
      <c r="AC33" s="31" t="str">
        <f>Global!KP33</f>
        <v/>
      </c>
      <c r="AD33" s="31" t="str">
        <f>Global!KQ33</f>
        <v/>
      </c>
      <c r="AE33" s="31" t="str">
        <f>Global!KR33</f>
        <v/>
      </c>
      <c r="AF33" s="31" t="str">
        <f>Global!KS33</f>
        <v/>
      </c>
      <c r="AG33" s="31" t="str">
        <f>Global!KT33</f>
        <v/>
      </c>
      <c r="AH33" s="31" t="str">
        <f>Global!KU33</f>
        <v/>
      </c>
      <c r="AI33" s="31" t="str">
        <f>Global!KV33</f>
        <v/>
      </c>
      <c r="AJ33" s="48" t="str">
        <f>Global!KW33</f>
        <v/>
      </c>
      <c r="AK33" s="108">
        <f>COUNTIF(Octobre[[#This Row],[1]:[31]],"RTT")+(COUNTIF(Octobre[[#This Row],[1]:[31]],"dRTT")/2)</f>
        <v>0</v>
      </c>
      <c r="AL33" s="109">
        <f>COUNTIF(Octobre[[#This Row],[1]:[31]],"C")+(COUNTIF(Octobre[[#This Row],[1]:[31]],"DC")/2)</f>
        <v>0</v>
      </c>
      <c r="AM33" s="22">
        <f>COUNTIF(Octobre[[#This Row],[1]:[31]],"M")</f>
        <v>0</v>
      </c>
      <c r="AN33" s="22">
        <f>COUNTIF(Octobre[[#This Row],[1]:[31]],"AT")</f>
        <v>0</v>
      </c>
      <c r="AO33" s="84">
        <f>IF(AND(Octobre[[#This Row],[Maladie]]=0,Octobre[[#This Row],[AT]]=0),((10*(_xlfn.DAYS("31/10/2018","01/10/2018")+1))/365),((_xlfn.DAYS("31/10/2018","01/10/2018")+1-(Octobre[[#This Row],[Maladie]]+Octobre[[#This Row],[AT]]))*((10*(_xlfn.DAYS("31/10/2018","01/10/2018")+1))/365))/(_xlfn.DAYS("31/10/2018","01/10/2018")+1))</f>
        <v>0.84931506849315064</v>
      </c>
    </row>
    <row r="34" spans="1:41" ht="30" customHeight="1" x14ac:dyDescent="0.2">
      <c r="A34" s="13" t="s">
        <v>90</v>
      </c>
      <c r="B34" s="22" t="s">
        <v>204</v>
      </c>
      <c r="C34" s="22" t="s">
        <v>205</v>
      </c>
      <c r="D34" s="22" t="s">
        <v>206</v>
      </c>
      <c r="E34" s="44" t="s">
        <v>162</v>
      </c>
      <c r="F34" s="47" t="str">
        <f>Global!JS34</f>
        <v/>
      </c>
      <c r="G34" s="31" t="str">
        <f>Global!JT34</f>
        <v/>
      </c>
      <c r="H34" s="31" t="str">
        <f>Global!JU34</f>
        <v/>
      </c>
      <c r="I34" s="31" t="str">
        <f>Global!JV34</f>
        <v/>
      </c>
      <c r="J34" s="31" t="str">
        <f>Global!JW34</f>
        <v/>
      </c>
      <c r="K34" s="31" t="str">
        <f>Global!JX34</f>
        <v/>
      </c>
      <c r="L34" s="31" t="str">
        <f>Global!JY34</f>
        <v/>
      </c>
      <c r="M34" s="31" t="str">
        <f>Global!JZ34</f>
        <v/>
      </c>
      <c r="N34" s="31" t="str">
        <f>Global!KA34</f>
        <v/>
      </c>
      <c r="O34" s="31" t="str">
        <f>Global!KB34</f>
        <v/>
      </c>
      <c r="P34" s="31" t="str">
        <f>Global!KC34</f>
        <v/>
      </c>
      <c r="Q34" s="31" t="str">
        <f>Global!KD34</f>
        <v/>
      </c>
      <c r="R34" s="31" t="str">
        <f>Global!KE34</f>
        <v/>
      </c>
      <c r="S34" s="31" t="str">
        <f>Global!KF34</f>
        <v/>
      </c>
      <c r="T34" s="31" t="str">
        <f>Global!KG34</f>
        <v/>
      </c>
      <c r="U34" s="31" t="str">
        <f>Global!KH34</f>
        <v/>
      </c>
      <c r="V34" s="31" t="str">
        <f>Global!KI34</f>
        <v/>
      </c>
      <c r="W34" s="31" t="str">
        <f>Global!KJ34</f>
        <v/>
      </c>
      <c r="X34" s="31" t="str">
        <f>Global!KK34</f>
        <v/>
      </c>
      <c r="Y34" s="31" t="str">
        <f>Global!KL34</f>
        <v/>
      </c>
      <c r="Z34" s="31" t="str">
        <f>Global!KM34</f>
        <v/>
      </c>
      <c r="AA34" s="31" t="str">
        <f>Global!KN34</f>
        <v/>
      </c>
      <c r="AB34" s="31" t="str">
        <f>Global!KO34</f>
        <v/>
      </c>
      <c r="AC34" s="31" t="str">
        <f>Global!KP34</f>
        <v/>
      </c>
      <c r="AD34" s="31" t="str">
        <f>Global!KQ34</f>
        <v/>
      </c>
      <c r="AE34" s="31" t="str">
        <f>Global!KR34</f>
        <v/>
      </c>
      <c r="AF34" s="31" t="str">
        <f>Global!KS34</f>
        <v/>
      </c>
      <c r="AG34" s="31" t="str">
        <f>Global!KT34</f>
        <v/>
      </c>
      <c r="AH34" s="31" t="str">
        <f>Global!KU34</f>
        <v/>
      </c>
      <c r="AI34" s="31" t="str">
        <f>Global!KV34</f>
        <v/>
      </c>
      <c r="AJ34" s="48" t="str">
        <f>Global!KW34</f>
        <v/>
      </c>
      <c r="AK34" s="108">
        <f>COUNTIF(Octobre[[#This Row],[1]:[31]],"RTT")+(COUNTIF(Octobre[[#This Row],[1]:[31]],"dRTT")/2)</f>
        <v>0</v>
      </c>
      <c r="AL34" s="109">
        <f>COUNTIF(Octobre[[#This Row],[1]:[31]],"C")+(COUNTIF(Octobre[[#This Row],[1]:[31]],"DC")/2)</f>
        <v>0</v>
      </c>
      <c r="AM34" s="22">
        <f>COUNTIF(Octobre[[#This Row],[1]:[31]],"M")</f>
        <v>0</v>
      </c>
      <c r="AN34" s="22">
        <f>COUNTIF(Octobre[[#This Row],[1]:[31]],"AT")</f>
        <v>0</v>
      </c>
      <c r="AO34" s="84">
        <f>IF(AND(Octobre[[#This Row],[Maladie]]=0,Octobre[[#This Row],[AT]]=0),((10*(_xlfn.DAYS("31/10/2018","01/10/2018")+1))/365),((_xlfn.DAYS("31/10/2018","01/10/2018")+1-(Octobre[[#This Row],[Maladie]]+Octobre[[#This Row],[AT]]))*((10*(_xlfn.DAYS("31/10/2018","01/10/2018")+1))/365))/(_xlfn.DAYS("31/10/2018","01/10/2018")+1))</f>
        <v>0.84931506849315064</v>
      </c>
    </row>
    <row r="35" spans="1:41" ht="30" customHeight="1" x14ac:dyDescent="0.2">
      <c r="A35" s="13" t="s">
        <v>91</v>
      </c>
      <c r="B35" s="22" t="s">
        <v>207</v>
      </c>
      <c r="C35" s="22" t="s">
        <v>208</v>
      </c>
      <c r="D35" s="22" t="s">
        <v>209</v>
      </c>
      <c r="E35" s="44" t="s">
        <v>162</v>
      </c>
      <c r="F35" s="47" t="str">
        <f>Global!JS35</f>
        <v/>
      </c>
      <c r="G35" s="31" t="str">
        <f>Global!JT35</f>
        <v/>
      </c>
      <c r="H35" s="31" t="str">
        <f>Global!JU35</f>
        <v/>
      </c>
      <c r="I35" s="31" t="str">
        <f>Global!JV35</f>
        <v/>
      </c>
      <c r="J35" s="31" t="str">
        <f>Global!JW35</f>
        <v/>
      </c>
      <c r="K35" s="31" t="str">
        <f>Global!JX35</f>
        <v/>
      </c>
      <c r="L35" s="31" t="str">
        <f>Global!JY35</f>
        <v/>
      </c>
      <c r="M35" s="31" t="str">
        <f>Global!JZ35</f>
        <v/>
      </c>
      <c r="N35" s="31" t="str">
        <f>Global!KA35</f>
        <v/>
      </c>
      <c r="O35" s="31" t="str">
        <f>Global!KB35</f>
        <v/>
      </c>
      <c r="P35" s="31" t="str">
        <f>Global!KC35</f>
        <v/>
      </c>
      <c r="Q35" s="31" t="str">
        <f>Global!KD35</f>
        <v/>
      </c>
      <c r="R35" s="31" t="str">
        <f>Global!KE35</f>
        <v/>
      </c>
      <c r="S35" s="31" t="str">
        <f>Global!KF35</f>
        <v/>
      </c>
      <c r="T35" s="31" t="str">
        <f>Global!KG35</f>
        <v/>
      </c>
      <c r="U35" s="31" t="str">
        <f>Global!KH35</f>
        <v/>
      </c>
      <c r="V35" s="31" t="str">
        <f>Global!KI35</f>
        <v/>
      </c>
      <c r="W35" s="31" t="str">
        <f>Global!KJ35</f>
        <v/>
      </c>
      <c r="X35" s="31" t="str">
        <f>Global!KK35</f>
        <v/>
      </c>
      <c r="Y35" s="31" t="str">
        <f>Global!KL35</f>
        <v/>
      </c>
      <c r="Z35" s="31" t="str">
        <f>Global!KM35</f>
        <v/>
      </c>
      <c r="AA35" s="31" t="str">
        <f>Global!KN35</f>
        <v/>
      </c>
      <c r="AB35" s="31" t="str">
        <f>Global!KO35</f>
        <v/>
      </c>
      <c r="AC35" s="31" t="str">
        <f>Global!KP35</f>
        <v/>
      </c>
      <c r="AD35" s="31" t="str">
        <f>Global!KQ35</f>
        <v/>
      </c>
      <c r="AE35" s="31" t="str">
        <f>Global!KR35</f>
        <v/>
      </c>
      <c r="AF35" s="31" t="str">
        <f>Global!KS35</f>
        <v/>
      </c>
      <c r="AG35" s="31" t="str">
        <f>Global!KT35</f>
        <v/>
      </c>
      <c r="AH35" s="31" t="str">
        <f>Global!KU35</f>
        <v/>
      </c>
      <c r="AI35" s="31" t="str">
        <f>Global!KV35</f>
        <v/>
      </c>
      <c r="AJ35" s="48" t="str">
        <f>Global!KW35</f>
        <v/>
      </c>
      <c r="AK35" s="108">
        <f>COUNTIF(Octobre[[#This Row],[1]:[31]],"RTT")+(COUNTIF(Octobre[[#This Row],[1]:[31]],"dRTT")/2)</f>
        <v>0</v>
      </c>
      <c r="AL35" s="109">
        <f>COUNTIF(Octobre[[#This Row],[1]:[31]],"C")+(COUNTIF(Octobre[[#This Row],[1]:[31]],"DC")/2)</f>
        <v>0</v>
      </c>
      <c r="AM35" s="22">
        <f>COUNTIF(Octobre[[#This Row],[1]:[31]],"M")</f>
        <v>0</v>
      </c>
      <c r="AN35" s="22">
        <f>COUNTIF(Octobre[[#This Row],[1]:[31]],"AT")</f>
        <v>0</v>
      </c>
      <c r="AO35" s="84">
        <f>IF(AND(Octobre[[#This Row],[Maladie]]=0,Octobre[[#This Row],[AT]]=0),((10*(_xlfn.DAYS("31/10/2018","01/10/2018")+1))/365),((_xlfn.DAYS("31/10/2018","01/10/2018")+1-(Octobre[[#This Row],[Maladie]]+Octobre[[#This Row],[AT]]))*((10*(_xlfn.DAYS("31/10/2018","01/10/2018")+1))/365))/(_xlfn.DAYS("31/10/2018","01/10/2018")+1))</f>
        <v>0.84931506849315064</v>
      </c>
    </row>
    <row r="36" spans="1:41" ht="30" customHeight="1" x14ac:dyDescent="0.2">
      <c r="A36" s="13" t="s">
        <v>92</v>
      </c>
      <c r="B36" s="22" t="s">
        <v>210</v>
      </c>
      <c r="C36" s="22" t="s">
        <v>211</v>
      </c>
      <c r="D36" s="22" t="s">
        <v>212</v>
      </c>
      <c r="E36" s="44">
        <v>0</v>
      </c>
      <c r="F36" s="47" t="str">
        <f>Global!JS36</f>
        <v/>
      </c>
      <c r="G36" s="31" t="str">
        <f>Global!JT36</f>
        <v/>
      </c>
      <c r="H36" s="31" t="str">
        <f>Global!JU36</f>
        <v/>
      </c>
      <c r="I36" s="31" t="str">
        <f>Global!JV36</f>
        <v/>
      </c>
      <c r="J36" s="31" t="str">
        <f>Global!JW36</f>
        <v/>
      </c>
      <c r="K36" s="31" t="str">
        <f>Global!JX36</f>
        <v/>
      </c>
      <c r="L36" s="31" t="str">
        <f>Global!JY36</f>
        <v/>
      </c>
      <c r="M36" s="31" t="str">
        <f>Global!JZ36</f>
        <v/>
      </c>
      <c r="N36" s="31" t="str">
        <f>Global!KA36</f>
        <v/>
      </c>
      <c r="O36" s="31" t="str">
        <f>Global!KB36</f>
        <v/>
      </c>
      <c r="P36" s="31" t="str">
        <f>Global!KC36</f>
        <v/>
      </c>
      <c r="Q36" s="31" t="str">
        <f>Global!KD36</f>
        <v/>
      </c>
      <c r="R36" s="31" t="str">
        <f>Global!KE36</f>
        <v/>
      </c>
      <c r="S36" s="31" t="str">
        <f>Global!KF36</f>
        <v/>
      </c>
      <c r="T36" s="31" t="str">
        <f>Global!KG36</f>
        <v/>
      </c>
      <c r="U36" s="31" t="str">
        <f>Global!KH36</f>
        <v/>
      </c>
      <c r="V36" s="31" t="str">
        <f>Global!KI36</f>
        <v/>
      </c>
      <c r="W36" s="31" t="str">
        <f>Global!KJ36</f>
        <v/>
      </c>
      <c r="X36" s="31" t="str">
        <f>Global!KK36</f>
        <v/>
      </c>
      <c r="Y36" s="31" t="str">
        <f>Global!KL36</f>
        <v/>
      </c>
      <c r="Z36" s="31" t="str">
        <f>Global!KM36</f>
        <v/>
      </c>
      <c r="AA36" s="31" t="str">
        <f>Global!KN36</f>
        <v/>
      </c>
      <c r="AB36" s="31" t="str">
        <f>Global!KO36</f>
        <v/>
      </c>
      <c r="AC36" s="31" t="str">
        <f>Global!KP36</f>
        <v/>
      </c>
      <c r="AD36" s="31" t="str">
        <f>Global!KQ36</f>
        <v/>
      </c>
      <c r="AE36" s="31" t="str">
        <f>Global!KR36</f>
        <v/>
      </c>
      <c r="AF36" s="31" t="str">
        <f>Global!KS36</f>
        <v/>
      </c>
      <c r="AG36" s="31" t="str">
        <f>Global!KT36</f>
        <v/>
      </c>
      <c r="AH36" s="31" t="str">
        <f>Global!KU36</f>
        <v/>
      </c>
      <c r="AI36" s="31" t="str">
        <f>Global!KV36</f>
        <v/>
      </c>
      <c r="AJ36" s="48" t="str">
        <f>Global!KW36</f>
        <v/>
      </c>
      <c r="AK36" s="108">
        <f>COUNTIF(Octobre[[#This Row],[1]:[31]],"RTT")+(COUNTIF(Octobre[[#This Row],[1]:[31]],"dRTT")/2)</f>
        <v>0</v>
      </c>
      <c r="AL36" s="109">
        <f>COUNTIF(Octobre[[#This Row],[1]:[31]],"C")+(COUNTIF(Octobre[[#This Row],[1]:[31]],"DC")/2)</f>
        <v>0</v>
      </c>
      <c r="AM36" s="22">
        <f>COUNTIF(Octobre[[#This Row],[1]:[31]],"M")</f>
        <v>0</v>
      </c>
      <c r="AN36" s="22">
        <f>COUNTIF(Octobre[[#This Row],[1]:[31]],"AT")</f>
        <v>0</v>
      </c>
      <c r="AO36" s="84">
        <f>IF(AND(Octobre[[#This Row],[Maladie]]=0,Octobre[[#This Row],[AT]]=0),((10*(_xlfn.DAYS("31/10/2018","01/10/2018")+1))/365),((_xlfn.DAYS("31/10/2018","01/10/2018")+1-(Octobre[[#This Row],[Maladie]]+Octobre[[#This Row],[AT]]))*((10*(_xlfn.DAYS("31/10/2018","01/10/2018")+1))/365))/(_xlfn.DAYS("31/10/2018","01/10/2018")+1))</f>
        <v>0.84931506849315064</v>
      </c>
    </row>
    <row r="37" spans="1:41" ht="30" customHeight="1" x14ac:dyDescent="0.2">
      <c r="A37" s="13" t="s">
        <v>93</v>
      </c>
      <c r="B37" s="22" t="s">
        <v>213</v>
      </c>
      <c r="C37" s="22" t="s">
        <v>148</v>
      </c>
      <c r="D37" s="22" t="s">
        <v>214</v>
      </c>
      <c r="E37" s="44">
        <v>0</v>
      </c>
      <c r="F37" s="47" t="str">
        <f>Global!JS37</f>
        <v/>
      </c>
      <c r="G37" s="31" t="str">
        <f>Global!JT37</f>
        <v/>
      </c>
      <c r="H37" s="31" t="str">
        <f>Global!JU37</f>
        <v/>
      </c>
      <c r="I37" s="31" t="str">
        <f>Global!JV37</f>
        <v/>
      </c>
      <c r="J37" s="31" t="str">
        <f>Global!JW37</f>
        <v/>
      </c>
      <c r="K37" s="31" t="str">
        <f>Global!JX37</f>
        <v/>
      </c>
      <c r="L37" s="31" t="str">
        <f>Global!JY37</f>
        <v/>
      </c>
      <c r="M37" s="31" t="str">
        <f>Global!JZ37</f>
        <v/>
      </c>
      <c r="N37" s="31" t="str">
        <f>Global!KA37</f>
        <v/>
      </c>
      <c r="O37" s="31" t="str">
        <f>Global!KB37</f>
        <v/>
      </c>
      <c r="P37" s="31" t="str">
        <f>Global!KC37</f>
        <v/>
      </c>
      <c r="Q37" s="31" t="str">
        <f>Global!KD37</f>
        <v/>
      </c>
      <c r="R37" s="31" t="str">
        <f>Global!KE37</f>
        <v/>
      </c>
      <c r="S37" s="31" t="str">
        <f>Global!KF37</f>
        <v/>
      </c>
      <c r="T37" s="31" t="str">
        <f>Global!KG37</f>
        <v/>
      </c>
      <c r="U37" s="31" t="str">
        <f>Global!KH37</f>
        <v/>
      </c>
      <c r="V37" s="31" t="str">
        <f>Global!KI37</f>
        <v/>
      </c>
      <c r="W37" s="31" t="str">
        <f>Global!KJ37</f>
        <v/>
      </c>
      <c r="X37" s="31" t="str">
        <f>Global!KK37</f>
        <v/>
      </c>
      <c r="Y37" s="31" t="str">
        <f>Global!KL37</f>
        <v/>
      </c>
      <c r="Z37" s="31" t="str">
        <f>Global!KM37</f>
        <v/>
      </c>
      <c r="AA37" s="31" t="str">
        <f>Global!KN37</f>
        <v/>
      </c>
      <c r="AB37" s="31" t="str">
        <f>Global!KO37</f>
        <v/>
      </c>
      <c r="AC37" s="31" t="str">
        <f>Global!KP37</f>
        <v/>
      </c>
      <c r="AD37" s="31" t="str">
        <f>Global!KQ37</f>
        <v/>
      </c>
      <c r="AE37" s="31" t="str">
        <f>Global!KR37</f>
        <v/>
      </c>
      <c r="AF37" s="31" t="str">
        <f>Global!KS37</f>
        <v/>
      </c>
      <c r="AG37" s="31" t="str">
        <f>Global!KT37</f>
        <v/>
      </c>
      <c r="AH37" s="31" t="str">
        <f>Global!KU37</f>
        <v/>
      </c>
      <c r="AI37" s="31" t="str">
        <f>Global!KV37</f>
        <v/>
      </c>
      <c r="AJ37" s="48" t="str">
        <f>Global!KW37</f>
        <v/>
      </c>
      <c r="AK37" s="108">
        <f>COUNTIF(Octobre[[#This Row],[1]:[31]],"RTT")+(COUNTIF(Octobre[[#This Row],[1]:[31]],"dRTT")/2)</f>
        <v>0</v>
      </c>
      <c r="AL37" s="109">
        <f>COUNTIF(Octobre[[#This Row],[1]:[31]],"C")+(COUNTIF(Octobre[[#This Row],[1]:[31]],"DC")/2)</f>
        <v>0</v>
      </c>
      <c r="AM37" s="22">
        <f>COUNTIF(Octobre[[#This Row],[1]:[31]],"M")</f>
        <v>0</v>
      </c>
      <c r="AN37" s="22">
        <f>COUNTIF(Octobre[[#This Row],[1]:[31]],"AT")</f>
        <v>0</v>
      </c>
      <c r="AO37" s="84">
        <f>IF(AND(Octobre[[#This Row],[Maladie]]=0,Octobre[[#This Row],[AT]]=0),((10*(_xlfn.DAYS("31/10/2018","01/10/2018")+1))/365),((_xlfn.DAYS("31/10/2018","01/10/2018")+1-(Octobre[[#This Row],[Maladie]]+Octobre[[#This Row],[AT]]))*((10*(_xlfn.DAYS("31/10/2018","01/10/2018")+1))/365))/(_xlfn.DAYS("31/10/2018","01/10/2018")+1))</f>
        <v>0.84931506849315064</v>
      </c>
    </row>
    <row r="38" spans="1:41" ht="30" customHeight="1" x14ac:dyDescent="0.2">
      <c r="A38" s="13" t="s">
        <v>94</v>
      </c>
      <c r="B38" s="22" t="s">
        <v>215</v>
      </c>
      <c r="C38" s="22" t="s">
        <v>216</v>
      </c>
      <c r="D38" s="22" t="s">
        <v>217</v>
      </c>
      <c r="E38" s="44">
        <v>0</v>
      </c>
      <c r="F38" s="47" t="str">
        <f>Global!JS38</f>
        <v/>
      </c>
      <c r="G38" s="31" t="str">
        <f>Global!JT38</f>
        <v/>
      </c>
      <c r="H38" s="31" t="str">
        <f>Global!JU38</f>
        <v/>
      </c>
      <c r="I38" s="31" t="str">
        <f>Global!JV38</f>
        <v/>
      </c>
      <c r="J38" s="31" t="str">
        <f>Global!JW38</f>
        <v/>
      </c>
      <c r="K38" s="31" t="str">
        <f>Global!JX38</f>
        <v/>
      </c>
      <c r="L38" s="31" t="str">
        <f>Global!JY38</f>
        <v/>
      </c>
      <c r="M38" s="31" t="str">
        <f>Global!JZ38</f>
        <v/>
      </c>
      <c r="N38" s="31" t="str">
        <f>Global!KA38</f>
        <v/>
      </c>
      <c r="O38" s="31" t="str">
        <f>Global!KB38</f>
        <v/>
      </c>
      <c r="P38" s="31" t="str">
        <f>Global!KC38</f>
        <v/>
      </c>
      <c r="Q38" s="31" t="str">
        <f>Global!KD38</f>
        <v/>
      </c>
      <c r="R38" s="31" t="str">
        <f>Global!KE38</f>
        <v/>
      </c>
      <c r="S38" s="31" t="str">
        <f>Global!KF38</f>
        <v/>
      </c>
      <c r="T38" s="31" t="str">
        <f>Global!KG38</f>
        <v/>
      </c>
      <c r="U38" s="31" t="str">
        <f>Global!KH38</f>
        <v/>
      </c>
      <c r="V38" s="31" t="str">
        <f>Global!KI38</f>
        <v/>
      </c>
      <c r="W38" s="31" t="str">
        <f>Global!KJ38</f>
        <v/>
      </c>
      <c r="X38" s="31" t="str">
        <f>Global!KK38</f>
        <v/>
      </c>
      <c r="Y38" s="31" t="str">
        <f>Global!KL38</f>
        <v/>
      </c>
      <c r="Z38" s="31" t="str">
        <f>Global!KM38</f>
        <v/>
      </c>
      <c r="AA38" s="31" t="str">
        <f>Global!KN38</f>
        <v/>
      </c>
      <c r="AB38" s="31" t="str">
        <f>Global!KO38</f>
        <v/>
      </c>
      <c r="AC38" s="31" t="str">
        <f>Global!KP38</f>
        <v/>
      </c>
      <c r="AD38" s="31" t="str">
        <f>Global!KQ38</f>
        <v/>
      </c>
      <c r="AE38" s="31" t="str">
        <f>Global!KR38</f>
        <v/>
      </c>
      <c r="AF38" s="31" t="str">
        <f>Global!KS38</f>
        <v/>
      </c>
      <c r="AG38" s="31" t="str">
        <f>Global!KT38</f>
        <v/>
      </c>
      <c r="AH38" s="31" t="str">
        <f>Global!KU38</f>
        <v/>
      </c>
      <c r="AI38" s="31" t="str">
        <f>Global!KV38</f>
        <v/>
      </c>
      <c r="AJ38" s="48" t="str">
        <f>Global!KW38</f>
        <v/>
      </c>
      <c r="AK38" s="108">
        <f>COUNTIF(Octobre[[#This Row],[1]:[31]],"RTT")+(COUNTIF(Octobre[[#This Row],[1]:[31]],"dRTT")/2)</f>
        <v>0</v>
      </c>
      <c r="AL38" s="109">
        <f>COUNTIF(Octobre[[#This Row],[1]:[31]],"C")+(COUNTIF(Octobre[[#This Row],[1]:[31]],"DC")/2)</f>
        <v>0</v>
      </c>
      <c r="AM38" s="22">
        <f>COUNTIF(Octobre[[#This Row],[1]:[31]],"M")</f>
        <v>0</v>
      </c>
      <c r="AN38" s="22">
        <f>COUNTIF(Octobre[[#This Row],[1]:[31]],"AT")</f>
        <v>0</v>
      </c>
      <c r="AO38" s="84">
        <f>IF(AND(Octobre[[#This Row],[Maladie]]=0,Octobre[[#This Row],[AT]]=0),((10*(_xlfn.DAYS("31/10/2018","01/10/2018")+1))/365),((_xlfn.DAYS("31/10/2018","01/10/2018")+1-(Octobre[[#This Row],[Maladie]]+Octobre[[#This Row],[AT]]))*((10*(_xlfn.DAYS("31/10/2018","01/10/2018")+1))/365))/(_xlfn.DAYS("31/10/2018","01/10/2018")+1))</f>
        <v>0.84931506849315064</v>
      </c>
    </row>
    <row r="39" spans="1:41" ht="30" customHeight="1" x14ac:dyDescent="0.2">
      <c r="A39" s="16" t="s">
        <v>95</v>
      </c>
      <c r="B39" s="22" t="s">
        <v>218</v>
      </c>
      <c r="C39" s="22" t="s">
        <v>219</v>
      </c>
      <c r="D39" s="22" t="s">
        <v>220</v>
      </c>
      <c r="E39" s="44">
        <v>0</v>
      </c>
      <c r="F39" s="47" t="str">
        <f>Global!JS39</f>
        <v>C</v>
      </c>
      <c r="G39" s="31" t="str">
        <f>Global!JT39</f>
        <v>C</v>
      </c>
      <c r="H39" s="31" t="str">
        <f>Global!JU39</f>
        <v>C</v>
      </c>
      <c r="I39" s="31" t="str">
        <f>Global!JV39</f>
        <v>C</v>
      </c>
      <c r="J39" s="31" t="str">
        <f>Global!JW39</f>
        <v>C</v>
      </c>
      <c r="K39" s="31" t="str">
        <f>Global!JX39</f>
        <v/>
      </c>
      <c r="L39" s="31" t="str">
        <f>Global!JY39</f>
        <v/>
      </c>
      <c r="M39" s="31" t="str">
        <f>Global!JZ39</f>
        <v>C</v>
      </c>
      <c r="N39" s="31" t="str">
        <f>Global!KA39</f>
        <v>C</v>
      </c>
      <c r="O39" s="31" t="str">
        <f>Global!KB39</f>
        <v>C</v>
      </c>
      <c r="P39" s="31" t="str">
        <f>Global!KC39</f>
        <v>C</v>
      </c>
      <c r="Q39" s="31" t="str">
        <f>Global!KD39</f>
        <v>C</v>
      </c>
      <c r="R39" s="31" t="str">
        <f>Global!KE39</f>
        <v/>
      </c>
      <c r="S39" s="31" t="str">
        <f>Global!KF39</f>
        <v/>
      </c>
      <c r="T39" s="31" t="str">
        <f>Global!KG39</f>
        <v/>
      </c>
      <c r="U39" s="31" t="str">
        <f>Global!KH39</f>
        <v/>
      </c>
      <c r="V39" s="31" t="str">
        <f>Global!KI39</f>
        <v/>
      </c>
      <c r="W39" s="31" t="str">
        <f>Global!KJ39</f>
        <v/>
      </c>
      <c r="X39" s="31" t="str">
        <f>Global!KK39</f>
        <v/>
      </c>
      <c r="Y39" s="31" t="str">
        <f>Global!KL39</f>
        <v/>
      </c>
      <c r="Z39" s="31" t="str">
        <f>Global!KM39</f>
        <v/>
      </c>
      <c r="AA39" s="31" t="str">
        <f>Global!KN39</f>
        <v/>
      </c>
      <c r="AB39" s="31" t="str">
        <f>Global!KO39</f>
        <v/>
      </c>
      <c r="AC39" s="31" t="str">
        <f>Global!KP39</f>
        <v/>
      </c>
      <c r="AD39" s="31" t="str">
        <f>Global!KQ39</f>
        <v/>
      </c>
      <c r="AE39" s="31" t="str">
        <f>Global!KR39</f>
        <v/>
      </c>
      <c r="AF39" s="31" t="str">
        <f>Global!KS39</f>
        <v/>
      </c>
      <c r="AG39" s="31" t="str">
        <f>Global!KT39</f>
        <v/>
      </c>
      <c r="AH39" s="31" t="str">
        <f>Global!KU39</f>
        <v/>
      </c>
      <c r="AI39" s="31" t="str">
        <f>Global!KV39</f>
        <v/>
      </c>
      <c r="AJ39" s="48" t="str">
        <f>Global!KW39</f>
        <v/>
      </c>
      <c r="AK39" s="108">
        <f>COUNTIF(Octobre[[#This Row],[1]:[31]],"RTT")+(COUNTIF(Octobre[[#This Row],[1]:[31]],"dRTT")/2)</f>
        <v>0</v>
      </c>
      <c r="AL39" s="109">
        <f>COUNTIF(Octobre[[#This Row],[1]:[31]],"C")+(COUNTIF(Octobre[[#This Row],[1]:[31]],"DC")/2)</f>
        <v>10</v>
      </c>
      <c r="AM39" s="22">
        <f>COUNTIF(Octobre[[#This Row],[1]:[31]],"M")</f>
        <v>0</v>
      </c>
      <c r="AN39" s="22">
        <f>COUNTIF(Octobre[[#This Row],[1]:[31]],"AT")</f>
        <v>0</v>
      </c>
      <c r="AO39" s="84">
        <f>IF(AND(Octobre[[#This Row],[Maladie]]=0,Octobre[[#This Row],[AT]]=0),((10*(_xlfn.DAYS("31/10/2018","01/10/2018")+1))/365),((_xlfn.DAYS("31/10/2018","01/10/2018")+1-(Octobre[[#This Row],[Maladie]]+Octobre[[#This Row],[AT]]))*((10*(_xlfn.DAYS("31/10/2018","01/10/2018")+1))/365))/(_xlfn.DAYS("31/10/2018","01/10/2018")+1))</f>
        <v>0.84931506849315064</v>
      </c>
    </row>
    <row r="40" spans="1:41" ht="30" customHeight="1" x14ac:dyDescent="0.2">
      <c r="A40" s="15" t="s">
        <v>96</v>
      </c>
      <c r="B40" s="22" t="s">
        <v>221</v>
      </c>
      <c r="C40" s="22" t="s">
        <v>222</v>
      </c>
      <c r="D40" s="22" t="s">
        <v>223</v>
      </c>
      <c r="E40" s="44">
        <v>0</v>
      </c>
      <c r="F40" s="47" t="str">
        <f>Global!JS40</f>
        <v/>
      </c>
      <c r="G40" s="31" t="str">
        <f>Global!JT40</f>
        <v/>
      </c>
      <c r="H40" s="31" t="str">
        <f>Global!JU40</f>
        <v/>
      </c>
      <c r="I40" s="31" t="str">
        <f>Global!JV40</f>
        <v/>
      </c>
      <c r="J40" s="31" t="str">
        <f>Global!JW40</f>
        <v/>
      </c>
      <c r="K40" s="31" t="str">
        <f>Global!JX40</f>
        <v/>
      </c>
      <c r="L40" s="31" t="str">
        <f>Global!JY40</f>
        <v/>
      </c>
      <c r="M40" s="31" t="str">
        <f>Global!JZ40</f>
        <v/>
      </c>
      <c r="N40" s="31" t="str">
        <f>Global!KA40</f>
        <v/>
      </c>
      <c r="O40" s="31" t="str">
        <f>Global!KB40</f>
        <v/>
      </c>
      <c r="P40" s="31" t="str">
        <f>Global!KC40</f>
        <v/>
      </c>
      <c r="Q40" s="31" t="str">
        <f>Global!KD40</f>
        <v/>
      </c>
      <c r="R40" s="31" t="str">
        <f>Global!KE40</f>
        <v/>
      </c>
      <c r="S40" s="31" t="str">
        <f>Global!KF40</f>
        <v/>
      </c>
      <c r="T40" s="31" t="str">
        <f>Global!KG40</f>
        <v/>
      </c>
      <c r="U40" s="31" t="str">
        <f>Global!KH40</f>
        <v/>
      </c>
      <c r="V40" s="31" t="str">
        <f>Global!KI40</f>
        <v/>
      </c>
      <c r="W40" s="31" t="str">
        <f>Global!KJ40</f>
        <v/>
      </c>
      <c r="X40" s="31" t="str">
        <f>Global!KK40</f>
        <v/>
      </c>
      <c r="Y40" s="31" t="str">
        <f>Global!KL40</f>
        <v/>
      </c>
      <c r="Z40" s="31" t="str">
        <f>Global!KM40</f>
        <v/>
      </c>
      <c r="AA40" s="31" t="str">
        <f>Global!KN40</f>
        <v/>
      </c>
      <c r="AB40" s="31" t="str">
        <f>Global!KO40</f>
        <v/>
      </c>
      <c r="AC40" s="31" t="str">
        <f>Global!KP40</f>
        <v/>
      </c>
      <c r="AD40" s="31" t="str">
        <f>Global!KQ40</f>
        <v/>
      </c>
      <c r="AE40" s="31" t="str">
        <f>Global!KR40</f>
        <v/>
      </c>
      <c r="AF40" s="31" t="str">
        <f>Global!KS40</f>
        <v/>
      </c>
      <c r="AG40" s="31" t="str">
        <f>Global!KT40</f>
        <v/>
      </c>
      <c r="AH40" s="31" t="str">
        <f>Global!KU40</f>
        <v/>
      </c>
      <c r="AI40" s="31" t="str">
        <f>Global!KV40</f>
        <v/>
      </c>
      <c r="AJ40" s="48" t="str">
        <f>Global!KW40</f>
        <v/>
      </c>
      <c r="AK40" s="108">
        <f>COUNTIF(Octobre[[#This Row],[1]:[31]],"RTT")+(COUNTIF(Octobre[[#This Row],[1]:[31]],"dRTT")/2)</f>
        <v>0</v>
      </c>
      <c r="AL40" s="109">
        <f>COUNTIF(Octobre[[#This Row],[1]:[31]],"C")+(COUNTIF(Octobre[[#This Row],[1]:[31]],"DC")/2)</f>
        <v>0</v>
      </c>
      <c r="AM40" s="22">
        <f>COUNTIF(Octobre[[#This Row],[1]:[31]],"M")</f>
        <v>0</v>
      </c>
      <c r="AN40" s="22">
        <f>COUNTIF(Octobre[[#This Row],[1]:[31]],"AT")</f>
        <v>0</v>
      </c>
      <c r="AO40" s="84">
        <f>IF(AND(Octobre[[#This Row],[Maladie]]=0,Octobre[[#This Row],[AT]]=0),((10*(_xlfn.DAYS("31/10/2018","01/10/2018")+1))/365),((_xlfn.DAYS("31/10/2018","01/10/2018")+1-(Octobre[[#This Row],[Maladie]]+Octobre[[#This Row],[AT]]))*((10*(_xlfn.DAYS("31/10/2018","01/10/2018")+1))/365))/(_xlfn.DAYS("31/10/2018","01/10/2018")+1))</f>
        <v>0.84931506849315064</v>
      </c>
    </row>
    <row r="41" spans="1:41" ht="30" customHeight="1" x14ac:dyDescent="0.2">
      <c r="A41" s="15" t="s">
        <v>97</v>
      </c>
      <c r="B41" s="22" t="s">
        <v>224</v>
      </c>
      <c r="C41" s="22" t="s">
        <v>225</v>
      </c>
      <c r="D41" s="22" t="s">
        <v>226</v>
      </c>
      <c r="E41" s="44">
        <v>0</v>
      </c>
      <c r="F41" s="47" t="str">
        <f>Global!JS41</f>
        <v/>
      </c>
      <c r="G41" s="31" t="str">
        <f>Global!JT41</f>
        <v/>
      </c>
      <c r="H41" s="31" t="str">
        <f>Global!JU41</f>
        <v/>
      </c>
      <c r="I41" s="31" t="str">
        <f>Global!JV41</f>
        <v/>
      </c>
      <c r="J41" s="31" t="str">
        <f>Global!JW41</f>
        <v/>
      </c>
      <c r="K41" s="31" t="str">
        <f>Global!JX41</f>
        <v/>
      </c>
      <c r="L41" s="31" t="str">
        <f>Global!JY41</f>
        <v/>
      </c>
      <c r="M41" s="31" t="str">
        <f>Global!JZ41</f>
        <v/>
      </c>
      <c r="N41" s="31" t="str">
        <f>Global!KA41</f>
        <v/>
      </c>
      <c r="O41" s="31" t="str">
        <f>Global!KB41</f>
        <v/>
      </c>
      <c r="P41" s="31" t="str">
        <f>Global!KC41</f>
        <v/>
      </c>
      <c r="Q41" s="31" t="str">
        <f>Global!KD41</f>
        <v/>
      </c>
      <c r="R41" s="31" t="str">
        <f>Global!KE41</f>
        <v/>
      </c>
      <c r="S41" s="31" t="str">
        <f>Global!KF41</f>
        <v/>
      </c>
      <c r="T41" s="31" t="str">
        <f>Global!KG41</f>
        <v/>
      </c>
      <c r="U41" s="31" t="str">
        <f>Global!KH41</f>
        <v/>
      </c>
      <c r="V41" s="31" t="str">
        <f>Global!KI41</f>
        <v/>
      </c>
      <c r="W41" s="31" t="str">
        <f>Global!KJ41</f>
        <v/>
      </c>
      <c r="X41" s="31" t="str">
        <f>Global!KK41</f>
        <v/>
      </c>
      <c r="Y41" s="31" t="str">
        <f>Global!KL41</f>
        <v/>
      </c>
      <c r="Z41" s="31" t="str">
        <f>Global!KM41</f>
        <v/>
      </c>
      <c r="AA41" s="31" t="str">
        <f>Global!KN41</f>
        <v/>
      </c>
      <c r="AB41" s="31" t="str">
        <f>Global!KO41</f>
        <v/>
      </c>
      <c r="AC41" s="31" t="str">
        <f>Global!KP41</f>
        <v/>
      </c>
      <c r="AD41" s="31" t="str">
        <f>Global!KQ41</f>
        <v/>
      </c>
      <c r="AE41" s="31" t="str">
        <f>Global!KR41</f>
        <v/>
      </c>
      <c r="AF41" s="31" t="str">
        <f>Global!KS41</f>
        <v/>
      </c>
      <c r="AG41" s="31" t="str">
        <f>Global!KT41</f>
        <v/>
      </c>
      <c r="AH41" s="31" t="str">
        <f>Global!KU41</f>
        <v/>
      </c>
      <c r="AI41" s="31" t="str">
        <f>Global!KV41</f>
        <v/>
      </c>
      <c r="AJ41" s="48" t="str">
        <f>Global!KW41</f>
        <v/>
      </c>
      <c r="AK41" s="108">
        <f>COUNTIF(Octobre[[#This Row],[1]:[31]],"RTT")+(COUNTIF(Octobre[[#This Row],[1]:[31]],"dRTT")/2)</f>
        <v>0</v>
      </c>
      <c r="AL41" s="109">
        <f>COUNTIF(Octobre[[#This Row],[1]:[31]],"C")+(COUNTIF(Octobre[[#This Row],[1]:[31]],"DC")/2)</f>
        <v>0</v>
      </c>
      <c r="AM41" s="22">
        <f>COUNTIF(Octobre[[#This Row],[1]:[31]],"M")</f>
        <v>0</v>
      </c>
      <c r="AN41" s="22">
        <f>COUNTIF(Octobre[[#This Row],[1]:[31]],"AT")</f>
        <v>0</v>
      </c>
      <c r="AO41" s="84">
        <f>IF(AND(Octobre[[#This Row],[Maladie]]=0,Octobre[[#This Row],[AT]]=0),((10*(_xlfn.DAYS("31/10/2018","01/10/2018")+1))/365),((_xlfn.DAYS("31/10/2018","01/10/2018")+1-(Octobre[[#This Row],[Maladie]]+Octobre[[#This Row],[AT]]))*((10*(_xlfn.DAYS("31/10/2018","01/10/2018")+1))/365))/(_xlfn.DAYS("31/10/2018","01/10/2018")+1))</f>
        <v>0.84931506849315064</v>
      </c>
    </row>
    <row r="42" spans="1:41" ht="30" customHeight="1" x14ac:dyDescent="0.2">
      <c r="A42" s="13" t="s">
        <v>98</v>
      </c>
      <c r="B42" s="22" t="s">
        <v>227</v>
      </c>
      <c r="C42" s="22" t="s">
        <v>228</v>
      </c>
      <c r="D42" s="22" t="s">
        <v>229</v>
      </c>
      <c r="E42" s="44">
        <v>0</v>
      </c>
      <c r="F42" s="47" t="str">
        <f>Global!JS42</f>
        <v/>
      </c>
      <c r="G42" s="31" t="str">
        <f>Global!JT42</f>
        <v/>
      </c>
      <c r="H42" s="31" t="str">
        <f>Global!JU42</f>
        <v/>
      </c>
      <c r="I42" s="31" t="str">
        <f>Global!JV42</f>
        <v/>
      </c>
      <c r="J42" s="31" t="str">
        <f>Global!JW42</f>
        <v/>
      </c>
      <c r="K42" s="31" t="str">
        <f>Global!JX42</f>
        <v/>
      </c>
      <c r="L42" s="31" t="str">
        <f>Global!JY42</f>
        <v/>
      </c>
      <c r="M42" s="31" t="str">
        <f>Global!JZ42</f>
        <v/>
      </c>
      <c r="N42" s="31" t="str">
        <f>Global!KA42</f>
        <v/>
      </c>
      <c r="O42" s="31" t="str">
        <f>Global!KB42</f>
        <v/>
      </c>
      <c r="P42" s="31" t="str">
        <f>Global!KC42</f>
        <v/>
      </c>
      <c r="Q42" s="31" t="str">
        <f>Global!KD42</f>
        <v/>
      </c>
      <c r="R42" s="31" t="str">
        <f>Global!KE42</f>
        <v/>
      </c>
      <c r="S42" s="31" t="str">
        <f>Global!KF42</f>
        <v/>
      </c>
      <c r="T42" s="31" t="str">
        <f>Global!KG42</f>
        <v/>
      </c>
      <c r="U42" s="31" t="str">
        <f>Global!KH42</f>
        <v/>
      </c>
      <c r="V42" s="31" t="str">
        <f>Global!KI42</f>
        <v/>
      </c>
      <c r="W42" s="31" t="str">
        <f>Global!KJ42</f>
        <v/>
      </c>
      <c r="X42" s="31" t="str">
        <f>Global!KK42</f>
        <v/>
      </c>
      <c r="Y42" s="31" t="str">
        <f>Global!KL42</f>
        <v/>
      </c>
      <c r="Z42" s="31" t="str">
        <f>Global!KM42</f>
        <v/>
      </c>
      <c r="AA42" s="31" t="str">
        <f>Global!KN42</f>
        <v/>
      </c>
      <c r="AB42" s="31" t="str">
        <f>Global!KO42</f>
        <v/>
      </c>
      <c r="AC42" s="31" t="str">
        <f>Global!KP42</f>
        <v/>
      </c>
      <c r="AD42" s="31" t="str">
        <f>Global!KQ42</f>
        <v/>
      </c>
      <c r="AE42" s="31" t="str">
        <f>Global!KR42</f>
        <v/>
      </c>
      <c r="AF42" s="31" t="str">
        <f>Global!KS42</f>
        <v/>
      </c>
      <c r="AG42" s="31" t="str">
        <f>Global!KT42</f>
        <v/>
      </c>
      <c r="AH42" s="31" t="str">
        <f>Global!KU42</f>
        <v/>
      </c>
      <c r="AI42" s="31" t="str">
        <f>Global!KV42</f>
        <v/>
      </c>
      <c r="AJ42" s="48" t="str">
        <f>Global!KW42</f>
        <v/>
      </c>
      <c r="AK42" s="108">
        <f>COUNTIF(Octobre[[#This Row],[1]:[31]],"RTT")+(COUNTIF(Octobre[[#This Row],[1]:[31]],"dRTT")/2)</f>
        <v>0</v>
      </c>
      <c r="AL42" s="109">
        <f>COUNTIF(Octobre[[#This Row],[1]:[31]],"C")+(COUNTIF(Octobre[[#This Row],[1]:[31]],"DC")/2)</f>
        <v>0</v>
      </c>
      <c r="AM42" s="22">
        <f>COUNTIF(Octobre[[#This Row],[1]:[31]],"M")</f>
        <v>0</v>
      </c>
      <c r="AN42" s="22">
        <f>COUNTIF(Octobre[[#This Row],[1]:[31]],"AT")</f>
        <v>0</v>
      </c>
      <c r="AO42" s="84">
        <f>IF(AND(Octobre[[#This Row],[Maladie]]=0,Octobre[[#This Row],[AT]]=0),((10*(_xlfn.DAYS("31/10/2018","01/10/2018")+1))/365),((_xlfn.DAYS("31/10/2018","01/10/2018")+1-(Octobre[[#This Row],[Maladie]]+Octobre[[#This Row],[AT]]))*((10*(_xlfn.DAYS("31/10/2018","01/10/2018")+1))/365))/(_xlfn.DAYS("31/10/2018","01/10/2018")+1))</f>
        <v>0.84931506849315064</v>
      </c>
    </row>
    <row r="43" spans="1:41" ht="30" customHeight="1" x14ac:dyDescent="0.2">
      <c r="A43" s="15" t="s">
        <v>99</v>
      </c>
      <c r="B43" s="22" t="s">
        <v>230</v>
      </c>
      <c r="C43" s="22" t="s">
        <v>231</v>
      </c>
      <c r="D43" s="22" t="s">
        <v>232</v>
      </c>
      <c r="E43" s="44">
        <v>0</v>
      </c>
      <c r="F43" s="47" t="str">
        <f>Global!JS43</f>
        <v/>
      </c>
      <c r="G43" s="31" t="str">
        <f>Global!JT43</f>
        <v/>
      </c>
      <c r="H43" s="31" t="str">
        <f>Global!JU43</f>
        <v/>
      </c>
      <c r="I43" s="31" t="str">
        <f>Global!JV43</f>
        <v/>
      </c>
      <c r="J43" s="31" t="str">
        <f>Global!JW43</f>
        <v/>
      </c>
      <c r="K43" s="31" t="str">
        <f>Global!JX43</f>
        <v/>
      </c>
      <c r="L43" s="31" t="str">
        <f>Global!JY43</f>
        <v/>
      </c>
      <c r="M43" s="31" t="str">
        <f>Global!JZ43</f>
        <v/>
      </c>
      <c r="N43" s="31" t="str">
        <f>Global!KA43</f>
        <v/>
      </c>
      <c r="O43" s="31" t="str">
        <f>Global!KB43</f>
        <v/>
      </c>
      <c r="P43" s="31" t="str">
        <f>Global!KC43</f>
        <v/>
      </c>
      <c r="Q43" s="31" t="str">
        <f>Global!KD43</f>
        <v/>
      </c>
      <c r="R43" s="31" t="str">
        <f>Global!KE43</f>
        <v/>
      </c>
      <c r="S43" s="31" t="str">
        <f>Global!KF43</f>
        <v/>
      </c>
      <c r="T43" s="31" t="str">
        <f>Global!KG43</f>
        <v/>
      </c>
      <c r="U43" s="31" t="str">
        <f>Global!KH43</f>
        <v/>
      </c>
      <c r="V43" s="31" t="str">
        <f>Global!KI43</f>
        <v/>
      </c>
      <c r="W43" s="31" t="str">
        <f>Global!KJ43</f>
        <v/>
      </c>
      <c r="X43" s="31" t="str">
        <f>Global!KK43</f>
        <v/>
      </c>
      <c r="Y43" s="31" t="str">
        <f>Global!KL43</f>
        <v/>
      </c>
      <c r="Z43" s="31" t="str">
        <f>Global!KM43</f>
        <v/>
      </c>
      <c r="AA43" s="31" t="str">
        <f>Global!KN43</f>
        <v/>
      </c>
      <c r="AB43" s="31" t="str">
        <f>Global!KO43</f>
        <v/>
      </c>
      <c r="AC43" s="31" t="str">
        <f>Global!KP43</f>
        <v/>
      </c>
      <c r="AD43" s="31" t="str">
        <f>Global!KQ43</f>
        <v/>
      </c>
      <c r="AE43" s="31" t="str">
        <f>Global!KR43</f>
        <v/>
      </c>
      <c r="AF43" s="31" t="str">
        <f>Global!KS43</f>
        <v/>
      </c>
      <c r="AG43" s="31" t="str">
        <f>Global!KT43</f>
        <v/>
      </c>
      <c r="AH43" s="31" t="str">
        <f>Global!KU43</f>
        <v/>
      </c>
      <c r="AI43" s="31" t="str">
        <f>Global!KV43</f>
        <v/>
      </c>
      <c r="AJ43" s="48" t="str">
        <f>Global!KW43</f>
        <v/>
      </c>
      <c r="AK43" s="108">
        <f>COUNTIF(Octobre[[#This Row],[1]:[31]],"RTT")+(COUNTIF(Octobre[[#This Row],[1]:[31]],"dRTT")/2)</f>
        <v>0</v>
      </c>
      <c r="AL43" s="109">
        <f>COUNTIF(Octobre[[#This Row],[1]:[31]],"C")+(COUNTIF(Octobre[[#This Row],[1]:[31]],"DC")/2)</f>
        <v>0</v>
      </c>
      <c r="AM43" s="22">
        <f>COUNTIF(Octobre[[#This Row],[1]:[31]],"M")</f>
        <v>0</v>
      </c>
      <c r="AN43" s="22">
        <f>COUNTIF(Octobre[[#This Row],[1]:[31]],"AT")</f>
        <v>0</v>
      </c>
      <c r="AO43" s="84">
        <f>IF(AND(Octobre[[#This Row],[Maladie]]=0,Octobre[[#This Row],[AT]]=0),((10*(_xlfn.DAYS("31/10/2018","01/10/2018")+1))/365),((_xlfn.DAYS("31/10/2018","01/10/2018")+1-(Octobre[[#This Row],[Maladie]]+Octobre[[#This Row],[AT]]))*((10*(_xlfn.DAYS("31/10/2018","01/10/2018")+1))/365))/(_xlfn.DAYS("31/10/2018","01/10/2018")+1))</f>
        <v>0.84931506849315064</v>
      </c>
    </row>
    <row r="44" spans="1:41" ht="30" customHeight="1" x14ac:dyDescent="0.2">
      <c r="A44" s="15" t="s">
        <v>100</v>
      </c>
      <c r="B44" s="22" t="s">
        <v>233</v>
      </c>
      <c r="C44" s="22" t="s">
        <v>234</v>
      </c>
      <c r="D44" s="22" t="s">
        <v>235</v>
      </c>
      <c r="E44" s="44">
        <v>0</v>
      </c>
      <c r="F44" s="47" t="str">
        <f>Global!JS44</f>
        <v/>
      </c>
      <c r="G44" s="31" t="str">
        <f>Global!JT44</f>
        <v/>
      </c>
      <c r="H44" s="31" t="str">
        <f>Global!JU44</f>
        <v/>
      </c>
      <c r="I44" s="31" t="str">
        <f>Global!JV44</f>
        <v/>
      </c>
      <c r="J44" s="31" t="str">
        <f>Global!JW44</f>
        <v/>
      </c>
      <c r="K44" s="31" t="str">
        <f>Global!JX44</f>
        <v/>
      </c>
      <c r="L44" s="31" t="str">
        <f>Global!JY44</f>
        <v/>
      </c>
      <c r="M44" s="31" t="str">
        <f>Global!JZ44</f>
        <v/>
      </c>
      <c r="N44" s="31" t="str">
        <f>Global!KA44</f>
        <v/>
      </c>
      <c r="O44" s="31" t="str">
        <f>Global!KB44</f>
        <v/>
      </c>
      <c r="P44" s="31" t="str">
        <f>Global!KC44</f>
        <v/>
      </c>
      <c r="Q44" s="31" t="str">
        <f>Global!KD44</f>
        <v/>
      </c>
      <c r="R44" s="31" t="str">
        <f>Global!KE44</f>
        <v/>
      </c>
      <c r="S44" s="31" t="str">
        <f>Global!KF44</f>
        <v/>
      </c>
      <c r="T44" s="31" t="str">
        <f>Global!KG44</f>
        <v/>
      </c>
      <c r="U44" s="31" t="str">
        <f>Global!KH44</f>
        <v/>
      </c>
      <c r="V44" s="31" t="str">
        <f>Global!KI44</f>
        <v/>
      </c>
      <c r="W44" s="31" t="str">
        <f>Global!KJ44</f>
        <v/>
      </c>
      <c r="X44" s="31" t="str">
        <f>Global!KK44</f>
        <v/>
      </c>
      <c r="Y44" s="31" t="str">
        <f>Global!KL44</f>
        <v/>
      </c>
      <c r="Z44" s="31" t="str">
        <f>Global!KM44</f>
        <v/>
      </c>
      <c r="AA44" s="31" t="str">
        <f>Global!KN44</f>
        <v/>
      </c>
      <c r="AB44" s="31" t="str">
        <f>Global!KO44</f>
        <v/>
      </c>
      <c r="AC44" s="31" t="str">
        <f>Global!KP44</f>
        <v/>
      </c>
      <c r="AD44" s="31" t="str">
        <f>Global!KQ44</f>
        <v/>
      </c>
      <c r="AE44" s="31" t="str">
        <f>Global!KR44</f>
        <v/>
      </c>
      <c r="AF44" s="31" t="str">
        <f>Global!KS44</f>
        <v/>
      </c>
      <c r="AG44" s="31" t="str">
        <f>Global!KT44</f>
        <v/>
      </c>
      <c r="AH44" s="31" t="str">
        <f>Global!KU44</f>
        <v/>
      </c>
      <c r="AI44" s="31" t="str">
        <f>Global!KV44</f>
        <v/>
      </c>
      <c r="AJ44" s="48" t="str">
        <f>Global!KW44</f>
        <v/>
      </c>
      <c r="AK44" s="108">
        <f>COUNTIF(Octobre[[#This Row],[1]:[31]],"RTT")+(COUNTIF(Octobre[[#This Row],[1]:[31]],"dRTT")/2)</f>
        <v>0</v>
      </c>
      <c r="AL44" s="109">
        <f>COUNTIF(Octobre[[#This Row],[1]:[31]],"C")+(COUNTIF(Octobre[[#This Row],[1]:[31]],"DC")/2)</f>
        <v>0</v>
      </c>
      <c r="AM44" s="22">
        <f>COUNTIF(Octobre[[#This Row],[1]:[31]],"M")</f>
        <v>0</v>
      </c>
      <c r="AN44" s="22">
        <f>COUNTIF(Octobre[[#This Row],[1]:[31]],"AT")</f>
        <v>0</v>
      </c>
      <c r="AO44" s="84">
        <f>IF(AND(Octobre[[#This Row],[Maladie]]=0,Octobre[[#This Row],[AT]]=0),((10*(_xlfn.DAYS("31/10/2018","01/10/2018")+1))/365),((_xlfn.DAYS("31/10/2018","01/10/2018")+1-(Octobre[[#This Row],[Maladie]]+Octobre[[#This Row],[AT]]))*((10*(_xlfn.DAYS("31/10/2018","01/10/2018")+1))/365))/(_xlfn.DAYS("31/10/2018","01/10/2018")+1))</f>
        <v>0.84931506849315064</v>
      </c>
    </row>
    <row r="45" spans="1:41" ht="30" customHeight="1" x14ac:dyDescent="0.2">
      <c r="A45" s="15" t="s">
        <v>101</v>
      </c>
      <c r="B45" s="22" t="s">
        <v>236</v>
      </c>
      <c r="C45" s="22" t="s">
        <v>237</v>
      </c>
      <c r="D45" s="22" t="s">
        <v>238</v>
      </c>
      <c r="E45" s="44">
        <v>0</v>
      </c>
      <c r="F45" s="47" t="str">
        <f>Global!JS45</f>
        <v/>
      </c>
      <c r="G45" s="31" t="str">
        <f>Global!JT45</f>
        <v/>
      </c>
      <c r="H45" s="31" t="str">
        <f>Global!JU45</f>
        <v/>
      </c>
      <c r="I45" s="31" t="str">
        <f>Global!JV45</f>
        <v/>
      </c>
      <c r="J45" s="31" t="str">
        <f>Global!JW45</f>
        <v/>
      </c>
      <c r="K45" s="31" t="str">
        <f>Global!JX45</f>
        <v/>
      </c>
      <c r="L45" s="31" t="str">
        <f>Global!JY45</f>
        <v/>
      </c>
      <c r="M45" s="31" t="str">
        <f>Global!JZ45</f>
        <v/>
      </c>
      <c r="N45" s="31" t="str">
        <f>Global!KA45</f>
        <v/>
      </c>
      <c r="O45" s="31" t="str">
        <f>Global!KB45</f>
        <v/>
      </c>
      <c r="P45" s="31" t="str">
        <f>Global!KC45</f>
        <v/>
      </c>
      <c r="Q45" s="31" t="str">
        <f>Global!KD45</f>
        <v/>
      </c>
      <c r="R45" s="31" t="str">
        <f>Global!KE45</f>
        <v/>
      </c>
      <c r="S45" s="31" t="str">
        <f>Global!KF45</f>
        <v/>
      </c>
      <c r="T45" s="31" t="str">
        <f>Global!KG45</f>
        <v/>
      </c>
      <c r="U45" s="31" t="str">
        <f>Global!KH45</f>
        <v/>
      </c>
      <c r="V45" s="31" t="str">
        <f>Global!KI45</f>
        <v/>
      </c>
      <c r="W45" s="31" t="str">
        <f>Global!KJ45</f>
        <v/>
      </c>
      <c r="X45" s="31" t="str">
        <f>Global!KK45</f>
        <v/>
      </c>
      <c r="Y45" s="31" t="str">
        <f>Global!KL45</f>
        <v/>
      </c>
      <c r="Z45" s="31" t="str">
        <f>Global!KM45</f>
        <v/>
      </c>
      <c r="AA45" s="31" t="str">
        <f>Global!KN45</f>
        <v/>
      </c>
      <c r="AB45" s="31" t="str">
        <f>Global!KO45</f>
        <v/>
      </c>
      <c r="AC45" s="31" t="str">
        <f>Global!KP45</f>
        <v/>
      </c>
      <c r="AD45" s="31" t="str">
        <f>Global!KQ45</f>
        <v/>
      </c>
      <c r="AE45" s="31" t="str">
        <f>Global!KR45</f>
        <v/>
      </c>
      <c r="AF45" s="31" t="str">
        <f>Global!KS45</f>
        <v/>
      </c>
      <c r="AG45" s="31" t="str">
        <f>Global!KT45</f>
        <v/>
      </c>
      <c r="AH45" s="31" t="str">
        <f>Global!KU45</f>
        <v/>
      </c>
      <c r="AI45" s="31" t="str">
        <f>Global!KV45</f>
        <v/>
      </c>
      <c r="AJ45" s="48" t="str">
        <f>Global!KW45</f>
        <v/>
      </c>
      <c r="AK45" s="108">
        <f>COUNTIF(Octobre[[#This Row],[1]:[31]],"RTT")+(COUNTIF(Octobre[[#This Row],[1]:[31]],"dRTT")/2)</f>
        <v>0</v>
      </c>
      <c r="AL45" s="109">
        <f>COUNTIF(Octobre[[#This Row],[1]:[31]],"C")+(COUNTIF(Octobre[[#This Row],[1]:[31]],"DC")/2)</f>
        <v>0</v>
      </c>
      <c r="AM45" s="22">
        <f>COUNTIF(Octobre[[#This Row],[1]:[31]],"M")</f>
        <v>0</v>
      </c>
      <c r="AN45" s="22">
        <f>COUNTIF(Octobre[[#This Row],[1]:[31]],"AT")</f>
        <v>0</v>
      </c>
      <c r="AO45" s="84">
        <f>IF(AND(Octobre[[#This Row],[Maladie]]=0,Octobre[[#This Row],[AT]]=0),((10*(_xlfn.DAYS("31/10/2018","01/10/2018")+1))/365),((_xlfn.DAYS("31/10/2018","01/10/2018")+1-(Octobre[[#This Row],[Maladie]]+Octobre[[#This Row],[AT]]))*((10*(_xlfn.DAYS("31/10/2018","01/10/2018")+1))/365))/(_xlfn.DAYS("31/10/2018","01/10/2018")+1))</f>
        <v>0.84931506849315064</v>
      </c>
    </row>
    <row r="46" spans="1:41" ht="30" customHeight="1" x14ac:dyDescent="0.2">
      <c r="A46" s="17" t="s">
        <v>102</v>
      </c>
      <c r="B46" s="17" t="s">
        <v>239</v>
      </c>
      <c r="C46" s="17" t="s">
        <v>240</v>
      </c>
      <c r="D46" s="17" t="s">
        <v>241</v>
      </c>
      <c r="E46" s="23">
        <v>0</v>
      </c>
      <c r="F46" s="47" t="str">
        <f>Global!JS46</f>
        <v/>
      </c>
      <c r="G46" s="31" t="str">
        <f>Global!JT46</f>
        <v/>
      </c>
      <c r="H46" s="31" t="str">
        <f>Global!JU46</f>
        <v/>
      </c>
      <c r="I46" s="31" t="str">
        <f>Global!JV46</f>
        <v/>
      </c>
      <c r="J46" s="31" t="str">
        <f>Global!JW46</f>
        <v/>
      </c>
      <c r="K46" s="31" t="str">
        <f>Global!JX46</f>
        <v/>
      </c>
      <c r="L46" s="31" t="str">
        <f>Global!JY46</f>
        <v/>
      </c>
      <c r="M46" s="31" t="str">
        <f>Global!JZ46</f>
        <v/>
      </c>
      <c r="N46" s="31" t="str">
        <f>Global!KA46</f>
        <v/>
      </c>
      <c r="O46" s="31" t="str">
        <f>Global!KB46</f>
        <v/>
      </c>
      <c r="P46" s="31" t="str">
        <f>Global!KC46</f>
        <v/>
      </c>
      <c r="Q46" s="31" t="str">
        <f>Global!KD46</f>
        <v/>
      </c>
      <c r="R46" s="31" t="str">
        <f>Global!KE46</f>
        <v/>
      </c>
      <c r="S46" s="31" t="str">
        <f>Global!KF46</f>
        <v/>
      </c>
      <c r="T46" s="31" t="str">
        <f>Global!KG46</f>
        <v/>
      </c>
      <c r="U46" s="31" t="str">
        <f>Global!KH46</f>
        <v/>
      </c>
      <c r="V46" s="31" t="str">
        <f>Global!KI46</f>
        <v/>
      </c>
      <c r="W46" s="31" t="str">
        <f>Global!KJ46</f>
        <v/>
      </c>
      <c r="X46" s="31" t="str">
        <f>Global!KK46</f>
        <v/>
      </c>
      <c r="Y46" s="31" t="str">
        <f>Global!KL46</f>
        <v/>
      </c>
      <c r="Z46" s="31" t="str">
        <f>Global!KM46</f>
        <v/>
      </c>
      <c r="AA46" s="31" t="str">
        <f>Global!KN46</f>
        <v/>
      </c>
      <c r="AB46" s="31" t="str">
        <f>Global!KO46</f>
        <v/>
      </c>
      <c r="AC46" s="31" t="str">
        <f>Global!KP46</f>
        <v/>
      </c>
      <c r="AD46" s="31" t="str">
        <f>Global!KQ46</f>
        <v/>
      </c>
      <c r="AE46" s="31" t="str">
        <f>Global!KR46</f>
        <v/>
      </c>
      <c r="AF46" s="31" t="str">
        <f>Global!KS46</f>
        <v/>
      </c>
      <c r="AG46" s="31" t="str">
        <f>Global!KT46</f>
        <v/>
      </c>
      <c r="AH46" s="31" t="str">
        <f>Global!KU46</f>
        <v/>
      </c>
      <c r="AI46" s="31" t="str">
        <f>Global!KV46</f>
        <v/>
      </c>
      <c r="AJ46" s="48" t="str">
        <f>Global!KW46</f>
        <v/>
      </c>
      <c r="AK46" s="108">
        <f>COUNTIF(Octobre[[#This Row],[1]:[31]],"RTT")+(COUNTIF(Octobre[[#This Row],[1]:[31]],"dRTT")/2)</f>
        <v>0</v>
      </c>
      <c r="AL46" s="109">
        <f>COUNTIF(Octobre[[#This Row],[1]:[31]],"C")+(COUNTIF(Octobre[[#This Row],[1]:[31]],"DC")/2)</f>
        <v>0</v>
      </c>
      <c r="AM46" s="22">
        <f>COUNTIF(Octobre[[#This Row],[1]:[31]],"M")</f>
        <v>0</v>
      </c>
      <c r="AN46" s="22">
        <f>COUNTIF(Octobre[[#This Row],[1]:[31]],"AT")</f>
        <v>0</v>
      </c>
      <c r="AO46" s="84">
        <f>IF(AND(Octobre[[#This Row],[Maladie]]=0,Octobre[[#This Row],[AT]]=0),((10*(_xlfn.DAYS("31/10/2018","01/10/2018")+1))/365),((_xlfn.DAYS("31/10/2018","01/10/2018")+1-(Octobre[[#This Row],[Maladie]]+Octobre[[#This Row],[AT]]))*((10*(_xlfn.DAYS("31/10/2018","01/10/2018")+1))/365))/(_xlfn.DAYS("31/10/2018","01/10/2018")+1))</f>
        <v>0.84931506849315064</v>
      </c>
    </row>
    <row r="47" spans="1:41" ht="30" customHeight="1" x14ac:dyDescent="0.2">
      <c r="A47" s="17" t="s">
        <v>103</v>
      </c>
      <c r="B47" s="17" t="s">
        <v>242</v>
      </c>
      <c r="C47" s="17" t="s">
        <v>243</v>
      </c>
      <c r="D47" s="17" t="s">
        <v>244</v>
      </c>
      <c r="E47" s="23">
        <v>0</v>
      </c>
      <c r="F47" s="47" t="str">
        <f>Global!JS47</f>
        <v/>
      </c>
      <c r="G47" s="31" t="str">
        <f>Global!JT47</f>
        <v/>
      </c>
      <c r="H47" s="31" t="str">
        <f>Global!JU47</f>
        <v/>
      </c>
      <c r="I47" s="31" t="str">
        <f>Global!JV47</f>
        <v/>
      </c>
      <c r="J47" s="31" t="str">
        <f>Global!JW47</f>
        <v/>
      </c>
      <c r="K47" s="31" t="str">
        <f>Global!JX47</f>
        <v/>
      </c>
      <c r="L47" s="31" t="str">
        <f>Global!JY47</f>
        <v/>
      </c>
      <c r="M47" s="31" t="str">
        <f>Global!JZ47</f>
        <v/>
      </c>
      <c r="N47" s="31" t="str">
        <f>Global!KA47</f>
        <v/>
      </c>
      <c r="O47" s="31" t="str">
        <f>Global!KB47</f>
        <v/>
      </c>
      <c r="P47" s="31" t="str">
        <f>Global!KC47</f>
        <v/>
      </c>
      <c r="Q47" s="31" t="str">
        <f>Global!KD47</f>
        <v/>
      </c>
      <c r="R47" s="31" t="str">
        <f>Global!KE47</f>
        <v/>
      </c>
      <c r="S47" s="31" t="str">
        <f>Global!KF47</f>
        <v/>
      </c>
      <c r="T47" s="31" t="str">
        <f>Global!KG47</f>
        <v/>
      </c>
      <c r="U47" s="31" t="str">
        <f>Global!KH47</f>
        <v/>
      </c>
      <c r="V47" s="31" t="str">
        <f>Global!KI47</f>
        <v/>
      </c>
      <c r="W47" s="31" t="str">
        <f>Global!KJ47</f>
        <v/>
      </c>
      <c r="X47" s="31" t="str">
        <f>Global!KK47</f>
        <v/>
      </c>
      <c r="Y47" s="31" t="str">
        <f>Global!KL47</f>
        <v/>
      </c>
      <c r="Z47" s="31" t="str">
        <f>Global!KM47</f>
        <v/>
      </c>
      <c r="AA47" s="31" t="str">
        <f>Global!KN47</f>
        <v/>
      </c>
      <c r="AB47" s="31" t="str">
        <f>Global!KO47</f>
        <v/>
      </c>
      <c r="AC47" s="31" t="str">
        <f>Global!KP47</f>
        <v/>
      </c>
      <c r="AD47" s="31" t="str">
        <f>Global!KQ47</f>
        <v/>
      </c>
      <c r="AE47" s="31" t="str">
        <f>Global!KR47</f>
        <v/>
      </c>
      <c r="AF47" s="31" t="str">
        <f>Global!KS47</f>
        <v/>
      </c>
      <c r="AG47" s="31" t="str">
        <f>Global!KT47</f>
        <v/>
      </c>
      <c r="AH47" s="31" t="str">
        <f>Global!KU47</f>
        <v/>
      </c>
      <c r="AI47" s="31" t="str">
        <f>Global!KV47</f>
        <v/>
      </c>
      <c r="AJ47" s="48" t="str">
        <f>Global!KW47</f>
        <v/>
      </c>
      <c r="AK47" s="108">
        <f>COUNTIF(Octobre[[#This Row],[1]:[31]],"RTT")+(COUNTIF(Octobre[[#This Row],[1]:[31]],"dRTT")/2)</f>
        <v>0</v>
      </c>
      <c r="AL47" s="109">
        <f>COUNTIF(Octobre[[#This Row],[1]:[31]],"C")+(COUNTIF(Octobre[[#This Row],[1]:[31]],"DC")/2)</f>
        <v>0</v>
      </c>
      <c r="AM47" s="22">
        <f>COUNTIF(Octobre[[#This Row],[1]:[31]],"M")</f>
        <v>0</v>
      </c>
      <c r="AN47" s="22">
        <f>COUNTIF(Octobre[[#This Row],[1]:[31]],"AT")</f>
        <v>0</v>
      </c>
      <c r="AO47" s="84">
        <f>IF(AND(Octobre[[#This Row],[Maladie]]=0,Octobre[[#This Row],[AT]]=0),((10*(_xlfn.DAYS("31/10/2018","01/10/2018")+1))/365),((_xlfn.DAYS("31/10/2018","01/10/2018")+1-(Octobre[[#This Row],[Maladie]]+Octobre[[#This Row],[AT]]))*((10*(_xlfn.DAYS("31/10/2018","01/10/2018")+1))/365))/(_xlfn.DAYS("31/10/2018","01/10/2018")+1))</f>
        <v>0.84931506849315064</v>
      </c>
    </row>
    <row r="48" spans="1:41" ht="30" customHeight="1" x14ac:dyDescent="0.2">
      <c r="A48" s="17" t="s">
        <v>104</v>
      </c>
      <c r="B48" s="17" t="s">
        <v>245</v>
      </c>
      <c r="C48" s="17" t="s">
        <v>246</v>
      </c>
      <c r="D48" s="17" t="s">
        <v>247</v>
      </c>
      <c r="E48" s="23">
        <v>0</v>
      </c>
      <c r="F48" s="47" t="str">
        <f>Global!JS48</f>
        <v/>
      </c>
      <c r="G48" s="31" t="str">
        <f>Global!JT48</f>
        <v/>
      </c>
      <c r="H48" s="31" t="str">
        <f>Global!JU48</f>
        <v/>
      </c>
      <c r="I48" s="31" t="str">
        <f>Global!JV48</f>
        <v/>
      </c>
      <c r="J48" s="31" t="str">
        <f>Global!JW48</f>
        <v/>
      </c>
      <c r="K48" s="31" t="str">
        <f>Global!JX48</f>
        <v/>
      </c>
      <c r="L48" s="31" t="str">
        <f>Global!JY48</f>
        <v/>
      </c>
      <c r="M48" s="31" t="str">
        <f>Global!JZ48</f>
        <v/>
      </c>
      <c r="N48" s="31" t="str">
        <f>Global!KA48</f>
        <v/>
      </c>
      <c r="O48" s="31" t="str">
        <f>Global!KB48</f>
        <v/>
      </c>
      <c r="P48" s="31" t="str">
        <f>Global!KC48</f>
        <v/>
      </c>
      <c r="Q48" s="31" t="str">
        <f>Global!KD48</f>
        <v/>
      </c>
      <c r="R48" s="31" t="str">
        <f>Global!KE48</f>
        <v/>
      </c>
      <c r="S48" s="31" t="str">
        <f>Global!KF48</f>
        <v/>
      </c>
      <c r="T48" s="31" t="str">
        <f>Global!KG48</f>
        <v/>
      </c>
      <c r="U48" s="31" t="str">
        <f>Global!KH48</f>
        <v/>
      </c>
      <c r="V48" s="31" t="str">
        <f>Global!KI48</f>
        <v/>
      </c>
      <c r="W48" s="31" t="str">
        <f>Global!KJ48</f>
        <v/>
      </c>
      <c r="X48" s="31" t="str">
        <f>Global!KK48</f>
        <v/>
      </c>
      <c r="Y48" s="31" t="str">
        <f>Global!KL48</f>
        <v/>
      </c>
      <c r="Z48" s="31" t="str">
        <f>Global!KM48</f>
        <v/>
      </c>
      <c r="AA48" s="31" t="str">
        <f>Global!KN48</f>
        <v/>
      </c>
      <c r="AB48" s="31" t="str">
        <f>Global!KO48</f>
        <v/>
      </c>
      <c r="AC48" s="31" t="str">
        <f>Global!KP48</f>
        <v/>
      </c>
      <c r="AD48" s="31" t="str">
        <f>Global!KQ48</f>
        <v/>
      </c>
      <c r="AE48" s="31" t="str">
        <f>Global!KR48</f>
        <v/>
      </c>
      <c r="AF48" s="31" t="str">
        <f>Global!KS48</f>
        <v/>
      </c>
      <c r="AG48" s="31" t="str">
        <f>Global!KT48</f>
        <v/>
      </c>
      <c r="AH48" s="31" t="str">
        <f>Global!KU48</f>
        <v/>
      </c>
      <c r="AI48" s="31" t="str">
        <f>Global!KV48</f>
        <v/>
      </c>
      <c r="AJ48" s="48" t="str">
        <f>Global!KW48</f>
        <v/>
      </c>
      <c r="AK48" s="108">
        <f>COUNTIF(Octobre[[#This Row],[1]:[31]],"RTT")+(COUNTIF(Octobre[[#This Row],[1]:[31]],"dRTT")/2)</f>
        <v>0</v>
      </c>
      <c r="AL48" s="109">
        <f>COUNTIF(Octobre[[#This Row],[1]:[31]],"C")+(COUNTIF(Octobre[[#This Row],[1]:[31]],"DC")/2)</f>
        <v>0</v>
      </c>
      <c r="AM48" s="22">
        <f>COUNTIF(Octobre[[#This Row],[1]:[31]],"M")</f>
        <v>0</v>
      </c>
      <c r="AN48" s="22">
        <f>COUNTIF(Octobre[[#This Row],[1]:[31]],"AT")</f>
        <v>0</v>
      </c>
      <c r="AO48" s="84">
        <f>IF(AND(Octobre[[#This Row],[Maladie]]=0,Octobre[[#This Row],[AT]]=0),((10*(_xlfn.DAYS("31/10/2018","01/10/2018")+1))/365),((_xlfn.DAYS("31/10/2018","01/10/2018")+1-(Octobre[[#This Row],[Maladie]]+Octobre[[#This Row],[AT]]))*((10*(_xlfn.DAYS("31/10/2018","01/10/2018")+1))/365))/(_xlfn.DAYS("31/10/2018","01/10/2018")+1))</f>
        <v>0.84931506849315064</v>
      </c>
    </row>
    <row r="49" spans="1:41" ht="30" customHeight="1" x14ac:dyDescent="0.2">
      <c r="A49" s="17" t="s">
        <v>105</v>
      </c>
      <c r="B49" s="17" t="s">
        <v>248</v>
      </c>
      <c r="C49" s="17" t="s">
        <v>249</v>
      </c>
      <c r="D49" s="17" t="s">
        <v>250</v>
      </c>
      <c r="E49" s="23">
        <v>0</v>
      </c>
      <c r="F49" s="47" t="str">
        <f>Global!JS49</f>
        <v/>
      </c>
      <c r="G49" s="31" t="str">
        <f>Global!JT49</f>
        <v/>
      </c>
      <c r="H49" s="31" t="str">
        <f>Global!JU49</f>
        <v/>
      </c>
      <c r="I49" s="31" t="str">
        <f>Global!JV49</f>
        <v/>
      </c>
      <c r="J49" s="31" t="str">
        <f>Global!JW49</f>
        <v/>
      </c>
      <c r="K49" s="31" t="str">
        <f>Global!JX49</f>
        <v/>
      </c>
      <c r="L49" s="31" t="str">
        <f>Global!JY49</f>
        <v/>
      </c>
      <c r="M49" s="31" t="str">
        <f>Global!JZ49</f>
        <v/>
      </c>
      <c r="N49" s="31" t="str">
        <f>Global!KA49</f>
        <v/>
      </c>
      <c r="O49" s="31" t="str">
        <f>Global!KB49</f>
        <v/>
      </c>
      <c r="P49" s="31" t="str">
        <f>Global!KC49</f>
        <v/>
      </c>
      <c r="Q49" s="31" t="str">
        <f>Global!KD49</f>
        <v/>
      </c>
      <c r="R49" s="31" t="str">
        <f>Global!KE49</f>
        <v/>
      </c>
      <c r="S49" s="31" t="str">
        <f>Global!KF49</f>
        <v/>
      </c>
      <c r="T49" s="31" t="str">
        <f>Global!KG49</f>
        <v/>
      </c>
      <c r="U49" s="31" t="str">
        <f>Global!KH49</f>
        <v/>
      </c>
      <c r="V49" s="31" t="str">
        <f>Global!KI49</f>
        <v/>
      </c>
      <c r="W49" s="31" t="str">
        <f>Global!KJ49</f>
        <v/>
      </c>
      <c r="X49" s="31" t="str">
        <f>Global!KK49</f>
        <v/>
      </c>
      <c r="Y49" s="31" t="str">
        <f>Global!KL49</f>
        <v/>
      </c>
      <c r="Z49" s="31" t="str">
        <f>Global!KM49</f>
        <v/>
      </c>
      <c r="AA49" s="31" t="str">
        <f>Global!KN49</f>
        <v/>
      </c>
      <c r="AB49" s="31" t="str">
        <f>Global!KO49</f>
        <v/>
      </c>
      <c r="AC49" s="31" t="str">
        <f>Global!KP49</f>
        <v/>
      </c>
      <c r="AD49" s="31" t="str">
        <f>Global!KQ49</f>
        <v/>
      </c>
      <c r="AE49" s="31" t="str">
        <f>Global!KR49</f>
        <v/>
      </c>
      <c r="AF49" s="31" t="str">
        <f>Global!KS49</f>
        <v/>
      </c>
      <c r="AG49" s="31" t="str">
        <f>Global!KT49</f>
        <v/>
      </c>
      <c r="AH49" s="31" t="str">
        <f>Global!KU49</f>
        <v/>
      </c>
      <c r="AI49" s="31" t="str">
        <f>Global!KV49</f>
        <v/>
      </c>
      <c r="AJ49" s="48" t="str">
        <f>Global!KW49</f>
        <v/>
      </c>
      <c r="AK49" s="108">
        <f>COUNTIF(Octobre[[#This Row],[1]:[31]],"RTT")+(COUNTIF(Octobre[[#This Row],[1]:[31]],"dRTT")/2)</f>
        <v>0</v>
      </c>
      <c r="AL49" s="109">
        <f>COUNTIF(Octobre[[#This Row],[1]:[31]],"C")+(COUNTIF(Octobre[[#This Row],[1]:[31]],"DC")/2)</f>
        <v>0</v>
      </c>
      <c r="AM49" s="22">
        <f>COUNTIF(Octobre[[#This Row],[1]:[31]],"M")</f>
        <v>0</v>
      </c>
      <c r="AN49" s="22">
        <f>COUNTIF(Octobre[[#This Row],[1]:[31]],"AT")</f>
        <v>0</v>
      </c>
      <c r="AO49" s="84">
        <f>IF(AND(Octobre[[#This Row],[Maladie]]=0,Octobre[[#This Row],[AT]]=0),((10*(_xlfn.DAYS("31/10/2018","01/10/2018")+1))/365),((_xlfn.DAYS("31/10/2018","01/10/2018")+1-(Octobre[[#This Row],[Maladie]]+Octobre[[#This Row],[AT]]))*((10*(_xlfn.DAYS("31/10/2018","01/10/2018")+1))/365))/(_xlfn.DAYS("31/10/2018","01/10/2018")+1))</f>
        <v>0.84931506849315064</v>
      </c>
    </row>
    <row r="50" spans="1:41" ht="30" customHeight="1" x14ac:dyDescent="0.2">
      <c r="A50" s="17" t="s">
        <v>106</v>
      </c>
      <c r="B50" s="17" t="s">
        <v>251</v>
      </c>
      <c r="C50" s="17" t="s">
        <v>252</v>
      </c>
      <c r="D50" s="17" t="s">
        <v>253</v>
      </c>
      <c r="E50" s="23">
        <v>0</v>
      </c>
      <c r="F50" s="47" t="str">
        <f>Global!JS50</f>
        <v/>
      </c>
      <c r="G50" s="31" t="str">
        <f>Global!JT50</f>
        <v/>
      </c>
      <c r="H50" s="31" t="str">
        <f>Global!JU50</f>
        <v/>
      </c>
      <c r="I50" s="31" t="str">
        <f>Global!JV50</f>
        <v/>
      </c>
      <c r="J50" s="31" t="str">
        <f>Global!JW50</f>
        <v/>
      </c>
      <c r="K50" s="31" t="str">
        <f>Global!JX50</f>
        <v/>
      </c>
      <c r="L50" s="31" t="str">
        <f>Global!JY50</f>
        <v/>
      </c>
      <c r="M50" s="31" t="str">
        <f>Global!JZ50</f>
        <v/>
      </c>
      <c r="N50" s="31" t="str">
        <f>Global!KA50</f>
        <v/>
      </c>
      <c r="O50" s="31" t="str">
        <f>Global!KB50</f>
        <v/>
      </c>
      <c r="P50" s="31" t="str">
        <f>Global!KC50</f>
        <v/>
      </c>
      <c r="Q50" s="31" t="str">
        <f>Global!KD50</f>
        <v/>
      </c>
      <c r="R50" s="31" t="str">
        <f>Global!KE50</f>
        <v/>
      </c>
      <c r="S50" s="31" t="str">
        <f>Global!KF50</f>
        <v/>
      </c>
      <c r="T50" s="31" t="str">
        <f>Global!KG50</f>
        <v/>
      </c>
      <c r="U50" s="31" t="str">
        <f>Global!KH50</f>
        <v/>
      </c>
      <c r="V50" s="31" t="str">
        <f>Global!KI50</f>
        <v/>
      </c>
      <c r="W50" s="31" t="str">
        <f>Global!KJ50</f>
        <v/>
      </c>
      <c r="X50" s="31" t="str">
        <f>Global!KK50</f>
        <v/>
      </c>
      <c r="Y50" s="31" t="str">
        <f>Global!KL50</f>
        <v/>
      </c>
      <c r="Z50" s="31" t="str">
        <f>Global!KM50</f>
        <v/>
      </c>
      <c r="AA50" s="31" t="str">
        <f>Global!KN50</f>
        <v/>
      </c>
      <c r="AB50" s="31" t="str">
        <f>Global!KO50</f>
        <v/>
      </c>
      <c r="AC50" s="31" t="str">
        <f>Global!KP50</f>
        <v/>
      </c>
      <c r="AD50" s="31" t="str">
        <f>Global!KQ50</f>
        <v/>
      </c>
      <c r="AE50" s="31" t="str">
        <f>Global!KR50</f>
        <v/>
      </c>
      <c r="AF50" s="31" t="str">
        <f>Global!KS50</f>
        <v/>
      </c>
      <c r="AG50" s="31" t="str">
        <f>Global!KT50</f>
        <v/>
      </c>
      <c r="AH50" s="31" t="str">
        <f>Global!KU50</f>
        <v/>
      </c>
      <c r="AI50" s="31" t="str">
        <f>Global!KV50</f>
        <v/>
      </c>
      <c r="AJ50" s="48" t="str">
        <f>Global!KW50</f>
        <v/>
      </c>
      <c r="AK50" s="108">
        <f>COUNTIF(Octobre[[#This Row],[1]:[31]],"RTT")+(COUNTIF(Octobre[[#This Row],[1]:[31]],"dRTT")/2)</f>
        <v>0</v>
      </c>
      <c r="AL50" s="109">
        <f>COUNTIF(Octobre[[#This Row],[1]:[31]],"C")+(COUNTIF(Octobre[[#This Row],[1]:[31]],"DC")/2)</f>
        <v>0</v>
      </c>
      <c r="AM50" s="22">
        <f>COUNTIF(Octobre[[#This Row],[1]:[31]],"M")</f>
        <v>0</v>
      </c>
      <c r="AN50" s="22">
        <f>COUNTIF(Octobre[[#This Row],[1]:[31]],"AT")</f>
        <v>0</v>
      </c>
      <c r="AO50" s="84">
        <f>IF(AND(Octobre[[#This Row],[Maladie]]=0,Octobre[[#This Row],[AT]]=0),((10*(_xlfn.DAYS("31/10/2018","01/10/2018")+1))/365),((_xlfn.DAYS("31/10/2018","01/10/2018")+1-(Octobre[[#This Row],[Maladie]]+Octobre[[#This Row],[AT]]))*((10*(_xlfn.DAYS("31/10/2018","01/10/2018")+1))/365))/(_xlfn.DAYS("31/10/2018","01/10/2018")+1))</f>
        <v>0.84931506849315064</v>
      </c>
    </row>
    <row r="51" spans="1:41" ht="30" customHeight="1" x14ac:dyDescent="0.2">
      <c r="A51" s="17" t="s">
        <v>107</v>
      </c>
      <c r="B51" s="17" t="s">
        <v>254</v>
      </c>
      <c r="C51" s="17" t="s">
        <v>255</v>
      </c>
      <c r="D51" s="17" t="s">
        <v>256</v>
      </c>
      <c r="E51" s="23">
        <v>0</v>
      </c>
      <c r="F51" s="47" t="str">
        <f>Global!JS51</f>
        <v/>
      </c>
      <c r="G51" s="31" t="str">
        <f>Global!JT51</f>
        <v/>
      </c>
      <c r="H51" s="31" t="str">
        <f>Global!JU51</f>
        <v/>
      </c>
      <c r="I51" s="31" t="str">
        <f>Global!JV51</f>
        <v/>
      </c>
      <c r="J51" s="31" t="str">
        <f>Global!JW51</f>
        <v/>
      </c>
      <c r="K51" s="31" t="str">
        <f>Global!JX51</f>
        <v/>
      </c>
      <c r="L51" s="31" t="str">
        <f>Global!JY51</f>
        <v/>
      </c>
      <c r="M51" s="31" t="str">
        <f>Global!JZ51</f>
        <v/>
      </c>
      <c r="N51" s="31" t="str">
        <f>Global!KA51</f>
        <v/>
      </c>
      <c r="O51" s="31" t="str">
        <f>Global!KB51</f>
        <v/>
      </c>
      <c r="P51" s="31" t="str">
        <f>Global!KC51</f>
        <v/>
      </c>
      <c r="Q51" s="31" t="str">
        <f>Global!KD51</f>
        <v/>
      </c>
      <c r="R51" s="31" t="str">
        <f>Global!KE51</f>
        <v/>
      </c>
      <c r="S51" s="31" t="str">
        <f>Global!KF51</f>
        <v/>
      </c>
      <c r="T51" s="31" t="str">
        <f>Global!KG51</f>
        <v/>
      </c>
      <c r="U51" s="31" t="str">
        <f>Global!KH51</f>
        <v/>
      </c>
      <c r="V51" s="31" t="str">
        <f>Global!KI51</f>
        <v/>
      </c>
      <c r="W51" s="31" t="str">
        <f>Global!KJ51</f>
        <v/>
      </c>
      <c r="X51" s="31" t="str">
        <f>Global!KK51</f>
        <v/>
      </c>
      <c r="Y51" s="31" t="str">
        <f>Global!KL51</f>
        <v/>
      </c>
      <c r="Z51" s="31" t="str">
        <f>Global!KM51</f>
        <v/>
      </c>
      <c r="AA51" s="31" t="str">
        <f>Global!KN51</f>
        <v/>
      </c>
      <c r="AB51" s="31" t="str">
        <f>Global!KO51</f>
        <v/>
      </c>
      <c r="AC51" s="31" t="str">
        <f>Global!KP51</f>
        <v/>
      </c>
      <c r="AD51" s="31" t="str">
        <f>Global!KQ51</f>
        <v/>
      </c>
      <c r="AE51" s="31" t="str">
        <f>Global!KR51</f>
        <v/>
      </c>
      <c r="AF51" s="31" t="str">
        <f>Global!KS51</f>
        <v/>
      </c>
      <c r="AG51" s="31" t="str">
        <f>Global!KT51</f>
        <v/>
      </c>
      <c r="AH51" s="31" t="str">
        <f>Global!KU51</f>
        <v/>
      </c>
      <c r="AI51" s="31" t="str">
        <f>Global!KV51</f>
        <v/>
      </c>
      <c r="AJ51" s="48" t="str">
        <f>Global!KW51</f>
        <v/>
      </c>
      <c r="AK51" s="108">
        <f>COUNTIF(Octobre[[#This Row],[1]:[31]],"RTT")+(COUNTIF(Octobre[[#This Row],[1]:[31]],"dRTT")/2)</f>
        <v>0</v>
      </c>
      <c r="AL51" s="109">
        <f>COUNTIF(Octobre[[#This Row],[1]:[31]],"C")+(COUNTIF(Octobre[[#This Row],[1]:[31]],"DC")/2)</f>
        <v>0</v>
      </c>
      <c r="AM51" s="22">
        <f>COUNTIF(Octobre[[#This Row],[1]:[31]],"M")</f>
        <v>0</v>
      </c>
      <c r="AN51" s="22">
        <f>COUNTIF(Octobre[[#This Row],[1]:[31]],"AT")</f>
        <v>0</v>
      </c>
      <c r="AO51" s="84">
        <f>IF(AND(Octobre[[#This Row],[Maladie]]=0,Octobre[[#This Row],[AT]]=0),((10*(_xlfn.DAYS("31/10/2018","01/10/2018")+1))/365),((_xlfn.DAYS("31/10/2018","01/10/2018")+1-(Octobre[[#This Row],[Maladie]]+Octobre[[#This Row],[AT]]))*((10*(_xlfn.DAYS("31/10/2018","01/10/2018")+1))/365))/(_xlfn.DAYS("31/10/2018","01/10/2018")+1))</f>
        <v>0.84931506849315064</v>
      </c>
    </row>
    <row r="52" spans="1:41" ht="30" customHeight="1" x14ac:dyDescent="0.2">
      <c r="A52" s="17" t="s">
        <v>108</v>
      </c>
      <c r="B52" s="17" t="s">
        <v>257</v>
      </c>
      <c r="C52" s="17" t="s">
        <v>258</v>
      </c>
      <c r="D52" s="17" t="s">
        <v>259</v>
      </c>
      <c r="E52" s="23">
        <v>0</v>
      </c>
      <c r="F52" s="47" t="str">
        <f>Global!JS52</f>
        <v/>
      </c>
      <c r="G52" s="31" t="str">
        <f>Global!JT52</f>
        <v/>
      </c>
      <c r="H52" s="31" t="str">
        <f>Global!JU52</f>
        <v/>
      </c>
      <c r="I52" s="31" t="str">
        <f>Global!JV52</f>
        <v/>
      </c>
      <c r="J52" s="31" t="str">
        <f>Global!JW52</f>
        <v/>
      </c>
      <c r="K52" s="31" t="str">
        <f>Global!JX52</f>
        <v/>
      </c>
      <c r="L52" s="31" t="str">
        <f>Global!JY52</f>
        <v/>
      </c>
      <c r="M52" s="31" t="str">
        <f>Global!JZ52</f>
        <v/>
      </c>
      <c r="N52" s="31" t="str">
        <f>Global!KA52</f>
        <v/>
      </c>
      <c r="O52" s="31" t="str">
        <f>Global!KB52</f>
        <v/>
      </c>
      <c r="P52" s="31" t="str">
        <f>Global!KC52</f>
        <v/>
      </c>
      <c r="Q52" s="31" t="str">
        <f>Global!KD52</f>
        <v/>
      </c>
      <c r="R52" s="31" t="str">
        <f>Global!KE52</f>
        <v/>
      </c>
      <c r="S52" s="31" t="str">
        <f>Global!KF52</f>
        <v/>
      </c>
      <c r="T52" s="31" t="str">
        <f>Global!KG52</f>
        <v/>
      </c>
      <c r="U52" s="31" t="str">
        <f>Global!KH52</f>
        <v/>
      </c>
      <c r="V52" s="31" t="str">
        <f>Global!KI52</f>
        <v/>
      </c>
      <c r="W52" s="31" t="str">
        <f>Global!KJ52</f>
        <v/>
      </c>
      <c r="X52" s="31" t="str">
        <f>Global!KK52</f>
        <v/>
      </c>
      <c r="Y52" s="31" t="str">
        <f>Global!KL52</f>
        <v/>
      </c>
      <c r="Z52" s="31" t="str">
        <f>Global!KM52</f>
        <v/>
      </c>
      <c r="AA52" s="31" t="str">
        <f>Global!KN52</f>
        <v/>
      </c>
      <c r="AB52" s="31" t="str">
        <f>Global!KO52</f>
        <v/>
      </c>
      <c r="AC52" s="31" t="str">
        <f>Global!KP52</f>
        <v/>
      </c>
      <c r="AD52" s="31" t="str">
        <f>Global!KQ52</f>
        <v/>
      </c>
      <c r="AE52" s="31" t="str">
        <f>Global!KR52</f>
        <v/>
      </c>
      <c r="AF52" s="31" t="str">
        <f>Global!KS52</f>
        <v/>
      </c>
      <c r="AG52" s="31" t="str">
        <f>Global!KT52</f>
        <v/>
      </c>
      <c r="AH52" s="31" t="str">
        <f>Global!KU52</f>
        <v/>
      </c>
      <c r="AI52" s="31" t="str">
        <f>Global!KV52</f>
        <v/>
      </c>
      <c r="AJ52" s="48" t="str">
        <f>Global!KW52</f>
        <v/>
      </c>
      <c r="AK52" s="108">
        <f>COUNTIF(Octobre[[#This Row],[1]:[31]],"RTT")+(COUNTIF(Octobre[[#This Row],[1]:[31]],"dRTT")/2)</f>
        <v>0</v>
      </c>
      <c r="AL52" s="109">
        <f>COUNTIF(Octobre[[#This Row],[1]:[31]],"C")+(COUNTIF(Octobre[[#This Row],[1]:[31]],"DC")/2)</f>
        <v>0</v>
      </c>
      <c r="AM52" s="22">
        <f>COUNTIF(Octobre[[#This Row],[1]:[31]],"M")</f>
        <v>0</v>
      </c>
      <c r="AN52" s="22">
        <f>COUNTIF(Octobre[[#This Row],[1]:[31]],"AT")</f>
        <v>0</v>
      </c>
      <c r="AO52" s="84">
        <f>IF(AND(Octobre[[#This Row],[Maladie]]=0,Octobre[[#This Row],[AT]]=0),((10*(_xlfn.DAYS("31/10/2018","01/10/2018")+1))/365),((_xlfn.DAYS("31/10/2018","01/10/2018")+1-(Octobre[[#This Row],[Maladie]]+Octobre[[#This Row],[AT]]))*((10*(_xlfn.DAYS("31/10/2018","01/10/2018")+1))/365))/(_xlfn.DAYS("31/10/2018","01/10/2018")+1))</f>
        <v>0.84931506849315064</v>
      </c>
    </row>
    <row r="53" spans="1:41" ht="30" customHeight="1" x14ac:dyDescent="0.2">
      <c r="A53" s="17" t="s">
        <v>109</v>
      </c>
      <c r="B53" s="17" t="s">
        <v>260</v>
      </c>
      <c r="C53" s="17" t="s">
        <v>261</v>
      </c>
      <c r="D53" s="17" t="s">
        <v>262</v>
      </c>
      <c r="E53" s="23">
        <v>0</v>
      </c>
      <c r="F53" s="47" t="str">
        <f>Global!JS53</f>
        <v/>
      </c>
      <c r="G53" s="31" t="str">
        <f>Global!JT53</f>
        <v/>
      </c>
      <c r="H53" s="31" t="str">
        <f>Global!JU53</f>
        <v/>
      </c>
      <c r="I53" s="31" t="str">
        <f>Global!JV53</f>
        <v/>
      </c>
      <c r="J53" s="31" t="str">
        <f>Global!JW53</f>
        <v/>
      </c>
      <c r="K53" s="31" t="str">
        <f>Global!JX53</f>
        <v/>
      </c>
      <c r="L53" s="31" t="str">
        <f>Global!JY53</f>
        <v/>
      </c>
      <c r="M53" s="31" t="str">
        <f>Global!JZ53</f>
        <v/>
      </c>
      <c r="N53" s="31" t="str">
        <f>Global!KA53</f>
        <v/>
      </c>
      <c r="O53" s="31" t="str">
        <f>Global!KB53</f>
        <v/>
      </c>
      <c r="P53" s="31" t="str">
        <f>Global!KC53</f>
        <v/>
      </c>
      <c r="Q53" s="31" t="str">
        <f>Global!KD53</f>
        <v/>
      </c>
      <c r="R53" s="31" t="str">
        <f>Global!KE53</f>
        <v/>
      </c>
      <c r="S53" s="31" t="str">
        <f>Global!KF53</f>
        <v/>
      </c>
      <c r="T53" s="31" t="str">
        <f>Global!KG53</f>
        <v/>
      </c>
      <c r="U53" s="31" t="str">
        <f>Global!KH53</f>
        <v/>
      </c>
      <c r="V53" s="31" t="str">
        <f>Global!KI53</f>
        <v/>
      </c>
      <c r="W53" s="31" t="str">
        <f>Global!KJ53</f>
        <v/>
      </c>
      <c r="X53" s="31" t="str">
        <f>Global!KK53</f>
        <v/>
      </c>
      <c r="Y53" s="31" t="str">
        <f>Global!KL53</f>
        <v/>
      </c>
      <c r="Z53" s="31" t="str">
        <f>Global!KM53</f>
        <v/>
      </c>
      <c r="AA53" s="31" t="str">
        <f>Global!KN53</f>
        <v/>
      </c>
      <c r="AB53" s="31" t="str">
        <f>Global!KO53</f>
        <v/>
      </c>
      <c r="AC53" s="31" t="str">
        <f>Global!KP53</f>
        <v/>
      </c>
      <c r="AD53" s="31" t="str">
        <f>Global!KQ53</f>
        <v/>
      </c>
      <c r="AE53" s="31" t="str">
        <f>Global!KR53</f>
        <v/>
      </c>
      <c r="AF53" s="31" t="str">
        <f>Global!KS53</f>
        <v/>
      </c>
      <c r="AG53" s="31" t="str">
        <f>Global!KT53</f>
        <v/>
      </c>
      <c r="AH53" s="31" t="str">
        <f>Global!KU53</f>
        <v/>
      </c>
      <c r="AI53" s="31" t="str">
        <f>Global!KV53</f>
        <v/>
      </c>
      <c r="AJ53" s="48" t="str">
        <f>Global!KW53</f>
        <v/>
      </c>
      <c r="AK53" s="108">
        <f>COUNTIF(Octobre[[#This Row],[1]:[31]],"RTT")+(COUNTIF(Octobre[[#This Row],[1]:[31]],"dRTT")/2)</f>
        <v>0</v>
      </c>
      <c r="AL53" s="109">
        <f>COUNTIF(Octobre[[#This Row],[1]:[31]],"C")+(COUNTIF(Octobre[[#This Row],[1]:[31]],"DC")/2)</f>
        <v>0</v>
      </c>
      <c r="AM53" s="22">
        <f>COUNTIF(Octobre[[#This Row],[1]:[31]],"M")</f>
        <v>0</v>
      </c>
      <c r="AN53" s="22">
        <f>COUNTIF(Octobre[[#This Row],[1]:[31]],"AT")</f>
        <v>0</v>
      </c>
      <c r="AO53" s="84">
        <f>IF(AND(Octobre[[#This Row],[Maladie]]=0,Octobre[[#This Row],[AT]]=0),((10*(_xlfn.DAYS("31/10/2018","01/10/2018")+1))/365),((_xlfn.DAYS("31/10/2018","01/10/2018")+1-(Octobre[[#This Row],[Maladie]]+Octobre[[#This Row],[AT]]))*((10*(_xlfn.DAYS("31/10/2018","01/10/2018")+1))/365))/(_xlfn.DAYS("31/10/2018","01/10/2018")+1))</f>
        <v>0.84931506849315064</v>
      </c>
    </row>
    <row r="54" spans="1:41" ht="30" customHeight="1" x14ac:dyDescent="0.2">
      <c r="A54" s="18" t="s">
        <v>110</v>
      </c>
      <c r="B54" s="18" t="s">
        <v>263</v>
      </c>
      <c r="C54" s="18" t="s">
        <v>264</v>
      </c>
      <c r="D54" s="18" t="s">
        <v>265</v>
      </c>
      <c r="E54" s="24">
        <v>0</v>
      </c>
      <c r="F54" s="47" t="str">
        <f>Global!JS54</f>
        <v/>
      </c>
      <c r="G54" s="31" t="str">
        <f>Global!JT54</f>
        <v/>
      </c>
      <c r="H54" s="31" t="str">
        <f>Global!JU54</f>
        <v/>
      </c>
      <c r="I54" s="31" t="str">
        <f>Global!JV54</f>
        <v/>
      </c>
      <c r="J54" s="31" t="str">
        <f>Global!JW54</f>
        <v/>
      </c>
      <c r="K54" s="31" t="str">
        <f>Global!JX54</f>
        <v/>
      </c>
      <c r="L54" s="31" t="str">
        <f>Global!JY54</f>
        <v/>
      </c>
      <c r="M54" s="31" t="str">
        <f>Global!JZ54</f>
        <v/>
      </c>
      <c r="N54" s="31" t="str">
        <f>Global!KA54</f>
        <v/>
      </c>
      <c r="O54" s="31" t="str">
        <f>Global!KB54</f>
        <v/>
      </c>
      <c r="P54" s="31" t="str">
        <f>Global!KC54</f>
        <v/>
      </c>
      <c r="Q54" s="31" t="str">
        <f>Global!KD54</f>
        <v/>
      </c>
      <c r="R54" s="31" t="str">
        <f>Global!KE54</f>
        <v/>
      </c>
      <c r="S54" s="31" t="str">
        <f>Global!KF54</f>
        <v/>
      </c>
      <c r="T54" s="31" t="str">
        <f>Global!KG54</f>
        <v/>
      </c>
      <c r="U54" s="31" t="str">
        <f>Global!KH54</f>
        <v/>
      </c>
      <c r="V54" s="31" t="str">
        <f>Global!KI54</f>
        <v/>
      </c>
      <c r="W54" s="31" t="str">
        <f>Global!KJ54</f>
        <v/>
      </c>
      <c r="X54" s="31" t="str">
        <f>Global!KK54</f>
        <v/>
      </c>
      <c r="Y54" s="31" t="str">
        <f>Global!KL54</f>
        <v/>
      </c>
      <c r="Z54" s="31" t="str">
        <f>Global!KM54</f>
        <v/>
      </c>
      <c r="AA54" s="31" t="str">
        <f>Global!KN54</f>
        <v/>
      </c>
      <c r="AB54" s="31" t="str">
        <f>Global!KO54</f>
        <v/>
      </c>
      <c r="AC54" s="31" t="str">
        <f>Global!KP54</f>
        <v/>
      </c>
      <c r="AD54" s="31" t="str">
        <f>Global!KQ54</f>
        <v/>
      </c>
      <c r="AE54" s="31" t="str">
        <f>Global!KR54</f>
        <v/>
      </c>
      <c r="AF54" s="31" t="str">
        <f>Global!KS54</f>
        <v/>
      </c>
      <c r="AG54" s="31" t="str">
        <f>Global!KT54</f>
        <v/>
      </c>
      <c r="AH54" s="31" t="str">
        <f>Global!KU54</f>
        <v/>
      </c>
      <c r="AI54" s="31" t="str">
        <f>Global!KV54</f>
        <v/>
      </c>
      <c r="AJ54" s="48" t="str">
        <f>Global!KW54</f>
        <v/>
      </c>
      <c r="AK54" s="108">
        <f>COUNTIF(Octobre[[#This Row],[1]:[31]],"RTT")+(COUNTIF(Octobre[[#This Row],[1]:[31]],"dRTT")/2)</f>
        <v>0</v>
      </c>
      <c r="AL54" s="109">
        <f>COUNTIF(Octobre[[#This Row],[1]:[31]],"C")+(COUNTIF(Octobre[[#This Row],[1]:[31]],"DC")/2)</f>
        <v>0</v>
      </c>
      <c r="AM54" s="22">
        <f>COUNTIF(Octobre[[#This Row],[1]:[31]],"M")</f>
        <v>0</v>
      </c>
      <c r="AN54" s="22">
        <f>COUNTIF(Octobre[[#This Row],[1]:[31]],"AT")</f>
        <v>0</v>
      </c>
      <c r="AO54" s="84">
        <f>IF(AND(Octobre[[#This Row],[Maladie]]=0,Octobre[[#This Row],[AT]]=0),((10*(_xlfn.DAYS("31/10/2018","01/10/2018")+1))/365),((_xlfn.DAYS("31/10/2018","01/10/2018")+1-(Octobre[[#This Row],[Maladie]]+Octobre[[#This Row],[AT]]))*((10*(_xlfn.DAYS("31/10/2018","01/10/2018")+1))/365))/(_xlfn.DAYS("31/10/2018","01/10/2018")+1))</f>
        <v>0.84931506849315064</v>
      </c>
    </row>
    <row r="55" spans="1:41" ht="30" customHeight="1" x14ac:dyDescent="0.2">
      <c r="A55" s="17" t="s">
        <v>111</v>
      </c>
      <c r="B55" s="17" t="s">
        <v>266</v>
      </c>
      <c r="C55" s="17" t="s">
        <v>267</v>
      </c>
      <c r="D55" s="17" t="s">
        <v>268</v>
      </c>
      <c r="E55" s="23">
        <v>0</v>
      </c>
      <c r="F55" s="47" t="str">
        <f>Global!JS55</f>
        <v/>
      </c>
      <c r="G55" s="31" t="str">
        <f>Global!JT55</f>
        <v/>
      </c>
      <c r="H55" s="31" t="str">
        <f>Global!JU55</f>
        <v/>
      </c>
      <c r="I55" s="31" t="str">
        <f>Global!JV55</f>
        <v/>
      </c>
      <c r="J55" s="31" t="str">
        <f>Global!JW55</f>
        <v/>
      </c>
      <c r="K55" s="31" t="str">
        <f>Global!JX55</f>
        <v/>
      </c>
      <c r="L55" s="31" t="str">
        <f>Global!JY55</f>
        <v/>
      </c>
      <c r="M55" s="31" t="str">
        <f>Global!JZ55</f>
        <v/>
      </c>
      <c r="N55" s="31" t="str">
        <f>Global!KA55</f>
        <v/>
      </c>
      <c r="O55" s="31" t="str">
        <f>Global!KB55</f>
        <v/>
      </c>
      <c r="P55" s="31" t="str">
        <f>Global!KC55</f>
        <v/>
      </c>
      <c r="Q55" s="31" t="str">
        <f>Global!KD55</f>
        <v/>
      </c>
      <c r="R55" s="31" t="str">
        <f>Global!KE55</f>
        <v/>
      </c>
      <c r="S55" s="31" t="str">
        <f>Global!KF55</f>
        <v/>
      </c>
      <c r="T55" s="31" t="str">
        <f>Global!KG55</f>
        <v/>
      </c>
      <c r="U55" s="31" t="str">
        <f>Global!KH55</f>
        <v/>
      </c>
      <c r="V55" s="31" t="str">
        <f>Global!KI55</f>
        <v/>
      </c>
      <c r="W55" s="31" t="str">
        <f>Global!KJ55</f>
        <v/>
      </c>
      <c r="X55" s="31" t="str">
        <f>Global!KK55</f>
        <v/>
      </c>
      <c r="Y55" s="31" t="str">
        <f>Global!KL55</f>
        <v/>
      </c>
      <c r="Z55" s="31" t="str">
        <f>Global!KM55</f>
        <v/>
      </c>
      <c r="AA55" s="31" t="str">
        <f>Global!KN55</f>
        <v/>
      </c>
      <c r="AB55" s="31" t="str">
        <f>Global!KO55</f>
        <v/>
      </c>
      <c r="AC55" s="31" t="str">
        <f>Global!KP55</f>
        <v/>
      </c>
      <c r="AD55" s="31" t="str">
        <f>Global!KQ55</f>
        <v/>
      </c>
      <c r="AE55" s="31" t="str">
        <f>Global!KR55</f>
        <v/>
      </c>
      <c r="AF55" s="31" t="str">
        <f>Global!KS55</f>
        <v/>
      </c>
      <c r="AG55" s="31" t="str">
        <f>Global!KT55</f>
        <v/>
      </c>
      <c r="AH55" s="31" t="str">
        <f>Global!KU55</f>
        <v/>
      </c>
      <c r="AI55" s="31" t="str">
        <f>Global!KV55</f>
        <v/>
      </c>
      <c r="AJ55" s="48" t="str">
        <f>Global!KW55</f>
        <v/>
      </c>
      <c r="AK55" s="108">
        <f>COUNTIF(Octobre[[#This Row],[1]:[31]],"RTT")+(COUNTIF(Octobre[[#This Row],[1]:[31]],"dRTT")/2)</f>
        <v>0</v>
      </c>
      <c r="AL55" s="109">
        <f>COUNTIF(Octobre[[#This Row],[1]:[31]],"C")+(COUNTIF(Octobre[[#This Row],[1]:[31]],"DC")/2)</f>
        <v>0</v>
      </c>
      <c r="AM55" s="22">
        <f>COUNTIF(Octobre[[#This Row],[1]:[31]],"M")</f>
        <v>0</v>
      </c>
      <c r="AN55" s="22">
        <f>COUNTIF(Octobre[[#This Row],[1]:[31]],"AT")</f>
        <v>0</v>
      </c>
      <c r="AO55" s="84">
        <f>IF(AND(Octobre[[#This Row],[Maladie]]=0,Octobre[[#This Row],[AT]]=0),((10*(_xlfn.DAYS("31/10/2018","01/10/2018")+1))/365),((_xlfn.DAYS("31/10/2018","01/10/2018")+1-(Octobre[[#This Row],[Maladie]]+Octobre[[#This Row],[AT]]))*((10*(_xlfn.DAYS("31/10/2018","01/10/2018")+1))/365))/(_xlfn.DAYS("31/10/2018","01/10/2018")+1))</f>
        <v>0.84931506849315064</v>
      </c>
    </row>
    <row r="56" spans="1:41" ht="30" customHeight="1" thickBot="1" x14ac:dyDescent="0.25">
      <c r="A56" s="17" t="s">
        <v>112</v>
      </c>
      <c r="B56" s="17" t="s">
        <v>269</v>
      </c>
      <c r="C56" s="17" t="s">
        <v>270</v>
      </c>
      <c r="D56" s="17" t="s">
        <v>271</v>
      </c>
      <c r="E56" s="23">
        <v>0</v>
      </c>
      <c r="F56" s="49" t="str">
        <f>Global!JS56</f>
        <v/>
      </c>
      <c r="G56" s="50" t="str">
        <f>Global!JT56</f>
        <v/>
      </c>
      <c r="H56" s="50" t="str">
        <f>Global!JU56</f>
        <v/>
      </c>
      <c r="I56" s="50" t="str">
        <f>Global!JV56</f>
        <v/>
      </c>
      <c r="J56" s="50" t="str">
        <f>Global!JW56</f>
        <v/>
      </c>
      <c r="K56" s="50" t="str">
        <f>Global!JX56</f>
        <v/>
      </c>
      <c r="L56" s="50" t="str">
        <f>Global!JY56</f>
        <v/>
      </c>
      <c r="M56" s="50" t="str">
        <f>Global!JZ56</f>
        <v/>
      </c>
      <c r="N56" s="50" t="str">
        <f>Global!KA56</f>
        <v/>
      </c>
      <c r="O56" s="50" t="str">
        <f>Global!KB56</f>
        <v/>
      </c>
      <c r="P56" s="50" t="str">
        <f>Global!KC56</f>
        <v/>
      </c>
      <c r="Q56" s="50" t="str">
        <f>Global!KD56</f>
        <v/>
      </c>
      <c r="R56" s="50" t="str">
        <f>Global!KE56</f>
        <v/>
      </c>
      <c r="S56" s="50" t="str">
        <f>Global!KF56</f>
        <v/>
      </c>
      <c r="T56" s="50" t="str">
        <f>Global!KG56</f>
        <v/>
      </c>
      <c r="U56" s="50" t="str">
        <f>Global!KH56</f>
        <v/>
      </c>
      <c r="V56" s="50" t="str">
        <f>Global!KI56</f>
        <v/>
      </c>
      <c r="W56" s="50" t="str">
        <f>Global!KJ56</f>
        <v/>
      </c>
      <c r="X56" s="50" t="str">
        <f>Global!KK56</f>
        <v/>
      </c>
      <c r="Y56" s="50" t="str">
        <f>Global!KL56</f>
        <v/>
      </c>
      <c r="Z56" s="50" t="str">
        <f>Global!KM56</f>
        <v/>
      </c>
      <c r="AA56" s="50" t="str">
        <f>Global!KN56</f>
        <v/>
      </c>
      <c r="AB56" s="50" t="str">
        <f>Global!KO56</f>
        <v/>
      </c>
      <c r="AC56" s="50" t="str">
        <f>Global!KP56</f>
        <v/>
      </c>
      <c r="AD56" s="50" t="str">
        <f>Global!KQ56</f>
        <v/>
      </c>
      <c r="AE56" s="50" t="str">
        <f>Global!KR56</f>
        <v/>
      </c>
      <c r="AF56" s="50" t="str">
        <f>Global!KS56</f>
        <v/>
      </c>
      <c r="AG56" s="50" t="str">
        <f>Global!KT56</f>
        <v/>
      </c>
      <c r="AH56" s="50" t="str">
        <f>Global!KU56</f>
        <v/>
      </c>
      <c r="AI56" s="50" t="str">
        <f>Global!KV56</f>
        <v/>
      </c>
      <c r="AJ56" s="51" t="str">
        <f>Global!KW56</f>
        <v/>
      </c>
      <c r="AK56" s="108">
        <f>COUNTIF(Octobre[[#This Row],[1]:[31]],"RTT")+(COUNTIF(Octobre[[#This Row],[1]:[31]],"dRTT")/2)</f>
        <v>0</v>
      </c>
      <c r="AL56" s="109">
        <f>COUNTIF(Octobre[[#This Row],[1]:[31]],"C")+(COUNTIF(Octobre[[#This Row],[1]:[31]],"DC")/2)</f>
        <v>0</v>
      </c>
      <c r="AM56" s="22">
        <f>COUNTIF(Octobre[[#This Row],[1]:[31]],"M")</f>
        <v>0</v>
      </c>
      <c r="AN56" s="22">
        <f>COUNTIF(Octobre[[#This Row],[1]:[31]],"AT")</f>
        <v>0</v>
      </c>
      <c r="AO56" s="84">
        <f>IF(AND(Octobre[[#This Row],[Maladie]]=0,Octobre[[#This Row],[AT]]=0),((10*(_xlfn.DAYS("31/10/2018","01/10/2018")+1))/365),((_xlfn.DAYS("31/10/2018","01/10/2018")+1-(Octobre[[#This Row],[Maladie]]+Octobre[[#This Row],[AT]]))*((10*(_xlfn.DAYS("31/10/2018","01/10/2018")+1))/365))/(_xlfn.DAYS("31/10/2018","01/10/2018")+1))</f>
        <v>0.84931506849315064</v>
      </c>
    </row>
    <row r="57" spans="1:41" x14ac:dyDescent="0.2">
      <c r="A57" s="1"/>
    </row>
  </sheetData>
  <mergeCells count="6">
    <mergeCell ref="F5:AJ5"/>
    <mergeCell ref="G3:H3"/>
    <mergeCell ref="J3:K3"/>
    <mergeCell ref="U3:V3"/>
    <mergeCell ref="AC3:AD3"/>
    <mergeCell ref="AH3:AI3"/>
  </mergeCells>
  <conditionalFormatting sqref="F8:AJ56">
    <cfRule type="expression" dxfId="50" priority="4">
      <formula>F8=CléPersonnalisée4</formula>
    </cfRule>
    <cfRule type="expression" dxfId="49" priority="5">
      <formula>F8=CléPersonnalisée5</formula>
    </cfRule>
    <cfRule type="expression" dxfId="48" priority="6">
      <formula>F8=CléPersonnalisée3</formula>
    </cfRule>
    <cfRule type="expression" dxfId="47" priority="7">
      <formula>F8=CléPersonnalisée2</formula>
    </cfRule>
    <cfRule type="expression" dxfId="46" priority="8">
      <formula>F8=CléPersonnalisée1</formula>
    </cfRule>
    <cfRule type="expression" dxfId="45" priority="9">
      <formula>F8=CléMaladie</formula>
    </cfRule>
    <cfRule type="expression" dxfId="44" priority="10">
      <formula>F8=CléPersonnel</formula>
    </cfRule>
    <cfRule type="expression" dxfId="43" priority="11" stopIfTrue="1">
      <formula>F8=CléCongé</formula>
    </cfRule>
    <cfRule type="expression" dxfId="42" priority="12" stopIfTrue="1">
      <formula>F8=CléDemiCongés</formula>
    </cfRule>
    <cfRule type="expression" dxfId="41" priority="13">
      <formula>F8=""</formula>
    </cfRule>
  </conditionalFormatting>
  <conditionalFormatting sqref="F6:AJ56">
    <cfRule type="expression" dxfId="40" priority="2" stopIfTrue="1">
      <formula>WEEKDAY(F$1)=7</formula>
    </cfRule>
    <cfRule type="expression" dxfId="39"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F69B7186-7518-8345-B5A3-0C14042A5396}">
            <xm:f>F$1=VLOOKUP(F$1,JFériés!$D$1:$D$11,1,FALSE)</xm:f>
            <x14:dxf>
              <font>
                <color theme="1"/>
              </font>
              <fill>
                <patternFill>
                  <bgColor theme="5" tint="0.59996337778862885"/>
                </patternFill>
              </fill>
            </x14:dxf>
          </x14:cfRule>
          <xm:sqref>F6:AJ56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3" enableFormatConditionsCalculation="0">
    <tabColor rgb="FFC3C79C"/>
    <pageSetUpPr fitToPage="1"/>
  </sheetPr>
  <dimension ref="A1:AO57"/>
  <sheetViews>
    <sheetView showGridLines="0" topLeftCell="A41"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DATE(AnnéeCalendrier,11,1)</f>
        <v>43405</v>
      </c>
      <c r="G1" s="62">
        <f>DATE(AnnéeCalendrier,11,2)</f>
        <v>43406</v>
      </c>
      <c r="H1" s="62">
        <f>DATE(AnnéeCalendrier,11,3)</f>
        <v>43407</v>
      </c>
      <c r="I1" s="62">
        <f>DATE(AnnéeCalendrier,11,4)</f>
        <v>43408</v>
      </c>
      <c r="J1" s="62">
        <f>DATE(AnnéeCalendrier,11,5)</f>
        <v>43409</v>
      </c>
      <c r="K1" s="62">
        <f>DATE(AnnéeCalendrier,11,6)</f>
        <v>43410</v>
      </c>
      <c r="L1" s="62">
        <f>DATE(AnnéeCalendrier,11,7)</f>
        <v>43411</v>
      </c>
      <c r="M1" s="62">
        <f>DATE(AnnéeCalendrier,11,8)</f>
        <v>43412</v>
      </c>
      <c r="N1" s="62">
        <f>DATE(AnnéeCalendrier,11,9)</f>
        <v>43413</v>
      </c>
      <c r="O1" s="62">
        <f>DATE(AnnéeCalendrier,11,10)</f>
        <v>43414</v>
      </c>
      <c r="P1" s="62">
        <f>DATE(AnnéeCalendrier,11,11)</f>
        <v>43415</v>
      </c>
      <c r="Q1" s="62">
        <f>DATE(AnnéeCalendrier,11,12)</f>
        <v>43416</v>
      </c>
      <c r="R1" s="62">
        <f>DATE(AnnéeCalendrier,11,13)</f>
        <v>43417</v>
      </c>
      <c r="S1" s="62">
        <f>DATE(AnnéeCalendrier,11,14)</f>
        <v>43418</v>
      </c>
      <c r="T1" s="62">
        <f>DATE(AnnéeCalendrier,11,15)</f>
        <v>43419</v>
      </c>
      <c r="U1" s="62">
        <f>DATE(AnnéeCalendrier,11,16)</f>
        <v>43420</v>
      </c>
      <c r="V1" s="62">
        <f>DATE(AnnéeCalendrier,11,17)</f>
        <v>43421</v>
      </c>
      <c r="W1" s="62">
        <f>DATE(AnnéeCalendrier,11,18)</f>
        <v>43422</v>
      </c>
      <c r="X1" s="62">
        <f>DATE(AnnéeCalendrier,11,19)</f>
        <v>43423</v>
      </c>
      <c r="Y1" s="62">
        <f>DATE(AnnéeCalendrier,11,20)</f>
        <v>43424</v>
      </c>
      <c r="Z1" s="62">
        <f>DATE(AnnéeCalendrier,11,21)</f>
        <v>43425</v>
      </c>
      <c r="AA1" s="62">
        <f>DATE(AnnéeCalendrier,11,22)</f>
        <v>43426</v>
      </c>
      <c r="AB1" s="62">
        <f>DATE(AnnéeCalendrier,11,23)</f>
        <v>43427</v>
      </c>
      <c r="AC1" s="62">
        <f>DATE(AnnéeCalendrier,11,24)</f>
        <v>43428</v>
      </c>
      <c r="AD1" s="62">
        <f>DATE(AnnéeCalendrier,11,25)</f>
        <v>43429</v>
      </c>
      <c r="AE1" s="62">
        <f>DATE(AnnéeCalendrier,11,26)</f>
        <v>43430</v>
      </c>
      <c r="AF1" s="62">
        <f>DATE(AnnéeCalendrier,11,27)</f>
        <v>43431</v>
      </c>
      <c r="AG1" s="62">
        <f>DATE(AnnéeCalendrier,11,28)</f>
        <v>43432</v>
      </c>
      <c r="AH1" s="62">
        <f>DATE(AnnéeCalendrier,11,29)</f>
        <v>43433</v>
      </c>
      <c r="AI1" s="62">
        <f>DATE(AnnéeCalendrier,11,30)</f>
        <v>43434</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55</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88" t="str">
        <f>TEXT(WEEKDAY(DATE(AnnéeCalendrier,11,1),1),"jjj")</f>
        <v>jeu</v>
      </c>
      <c r="G6" s="89" t="str">
        <f>TEXT(WEEKDAY(DATE(AnnéeCalendrier,11,2),1),"jjj")</f>
        <v>ven</v>
      </c>
      <c r="H6" s="89" t="str">
        <f>TEXT(WEEKDAY(DATE(AnnéeCalendrier,11,3),1),"jjj")</f>
        <v>sam</v>
      </c>
      <c r="I6" s="89" t="str">
        <f>TEXT(WEEKDAY(DATE(AnnéeCalendrier,11,4),1),"jjj")</f>
        <v>dim</v>
      </c>
      <c r="J6" s="89" t="str">
        <f>TEXT(WEEKDAY(DATE(AnnéeCalendrier,11,5),1),"jjj")</f>
        <v>lun</v>
      </c>
      <c r="K6" s="89" t="str">
        <f>TEXT(WEEKDAY(DATE(AnnéeCalendrier,11,6),1),"jjj")</f>
        <v>mar</v>
      </c>
      <c r="L6" s="89" t="str">
        <f>TEXT(WEEKDAY(DATE(AnnéeCalendrier,11,7),1),"jjj")</f>
        <v>mer</v>
      </c>
      <c r="M6" s="89" t="str">
        <f>TEXT(WEEKDAY(DATE(AnnéeCalendrier,11,8),1),"jjj")</f>
        <v>jeu</v>
      </c>
      <c r="N6" s="89" t="str">
        <f>TEXT(WEEKDAY(DATE(AnnéeCalendrier,11,9),1),"jjj")</f>
        <v>ven</v>
      </c>
      <c r="O6" s="89" t="str">
        <f>TEXT(WEEKDAY(DATE(AnnéeCalendrier,11,10),1),"jjj")</f>
        <v>sam</v>
      </c>
      <c r="P6" s="89" t="str">
        <f>TEXT(WEEKDAY(DATE(AnnéeCalendrier,11,11),1),"jjj")</f>
        <v>dim</v>
      </c>
      <c r="Q6" s="89" t="str">
        <f>TEXT(WEEKDAY(DATE(AnnéeCalendrier,11,12),1),"jjj")</f>
        <v>lun</v>
      </c>
      <c r="R6" s="89" t="str">
        <f>TEXT(WEEKDAY(DATE(AnnéeCalendrier,11,13),1),"jjj")</f>
        <v>mar</v>
      </c>
      <c r="S6" s="89" t="str">
        <f>TEXT(WEEKDAY(DATE(AnnéeCalendrier,11,14),1),"jjj")</f>
        <v>mer</v>
      </c>
      <c r="T6" s="89" t="str">
        <f>TEXT(WEEKDAY(DATE(AnnéeCalendrier,11,15),1),"jjj")</f>
        <v>jeu</v>
      </c>
      <c r="U6" s="89" t="str">
        <f>TEXT(WEEKDAY(DATE(AnnéeCalendrier,11,16),1),"jjj")</f>
        <v>ven</v>
      </c>
      <c r="V6" s="89" t="str">
        <f>TEXT(WEEKDAY(DATE(AnnéeCalendrier,11,17),1),"jjj")</f>
        <v>sam</v>
      </c>
      <c r="W6" s="89" t="str">
        <f>TEXT(WEEKDAY(DATE(AnnéeCalendrier,11,18),1),"jjj")</f>
        <v>dim</v>
      </c>
      <c r="X6" s="89" t="str">
        <f>TEXT(WEEKDAY(DATE(AnnéeCalendrier,11,19),1),"jjj")</f>
        <v>lun</v>
      </c>
      <c r="Y6" s="89" t="str">
        <f>TEXT(WEEKDAY(DATE(AnnéeCalendrier,11,20),1),"jjj")</f>
        <v>mar</v>
      </c>
      <c r="Z6" s="89" t="str">
        <f>TEXT(WEEKDAY(DATE(AnnéeCalendrier,11,21),1),"jjj")</f>
        <v>mer</v>
      </c>
      <c r="AA6" s="89" t="str">
        <f>TEXT(WEEKDAY(DATE(AnnéeCalendrier,11,22),1),"jjj")</f>
        <v>jeu</v>
      </c>
      <c r="AB6" s="89" t="str">
        <f>TEXT(WEEKDAY(DATE(AnnéeCalendrier,11,23),1),"jjj")</f>
        <v>ven</v>
      </c>
      <c r="AC6" s="89" t="str">
        <f>TEXT(WEEKDAY(DATE(AnnéeCalendrier,11,24),1),"jjj")</f>
        <v>sam</v>
      </c>
      <c r="AD6" s="89" t="str">
        <f>TEXT(WEEKDAY(DATE(AnnéeCalendrier,11,25),1),"jjj")</f>
        <v>dim</v>
      </c>
      <c r="AE6" s="89" t="str">
        <f>TEXT(WEEKDAY(DATE(AnnéeCalendrier,11,26),1),"jjj")</f>
        <v>lun</v>
      </c>
      <c r="AF6" s="89" t="str">
        <f>TEXT(WEEKDAY(DATE(AnnéeCalendrier,11,27),1),"jjj")</f>
        <v>mar</v>
      </c>
      <c r="AG6" s="89" t="str">
        <f>TEXT(WEEKDAY(DATE(AnnéeCalendrier,11,28),1),"jjj")</f>
        <v>mer</v>
      </c>
      <c r="AH6" s="89" t="str">
        <f>TEXT(WEEKDAY(DATE(AnnéeCalendrier,11,29),1),"jjj")</f>
        <v>jeu</v>
      </c>
      <c r="AI6" s="89" t="str">
        <f>TEXT(WEEKDAY(DATE(AnnéeCalendrier,11,30),1),"jjj")</f>
        <v>ven</v>
      </c>
      <c r="AJ6" s="90"/>
      <c r="AK6" s="10"/>
    </row>
    <row r="7" spans="1:41" ht="15" customHeight="1" thickBot="1" x14ac:dyDescent="0.25">
      <c r="A7" s="36" t="s">
        <v>63</v>
      </c>
      <c r="B7" s="36" t="s">
        <v>128</v>
      </c>
      <c r="C7" s="36" t="s">
        <v>129</v>
      </c>
      <c r="D7" s="36" t="s">
        <v>13</v>
      </c>
      <c r="E7" s="43" t="s">
        <v>113</v>
      </c>
      <c r="F7" s="91" t="s">
        <v>14</v>
      </c>
      <c r="G7" s="92" t="s">
        <v>15</v>
      </c>
      <c r="H7" s="92" t="s">
        <v>16</v>
      </c>
      <c r="I7" s="92" t="s">
        <v>17</v>
      </c>
      <c r="J7" s="92" t="s">
        <v>18</v>
      </c>
      <c r="K7" s="92" t="s">
        <v>19</v>
      </c>
      <c r="L7" s="92" t="s">
        <v>20</v>
      </c>
      <c r="M7" s="92" t="s">
        <v>21</v>
      </c>
      <c r="N7" s="92" t="s">
        <v>22</v>
      </c>
      <c r="O7" s="92" t="s">
        <v>23</v>
      </c>
      <c r="P7" s="92" t="s">
        <v>24</v>
      </c>
      <c r="Q7" s="92" t="s">
        <v>25</v>
      </c>
      <c r="R7" s="92" t="s">
        <v>26</v>
      </c>
      <c r="S7" s="92" t="s">
        <v>27</v>
      </c>
      <c r="T7" s="92" t="s">
        <v>28</v>
      </c>
      <c r="U7" s="92" t="s">
        <v>29</v>
      </c>
      <c r="V7" s="92" t="s">
        <v>30</v>
      </c>
      <c r="W7" s="92" t="s">
        <v>31</v>
      </c>
      <c r="X7" s="92" t="s">
        <v>32</v>
      </c>
      <c r="Y7" s="92" t="s">
        <v>33</v>
      </c>
      <c r="Z7" s="92" t="s">
        <v>34</v>
      </c>
      <c r="AA7" s="92" t="s">
        <v>35</v>
      </c>
      <c r="AB7" s="92" t="s">
        <v>36</v>
      </c>
      <c r="AC7" s="92" t="s">
        <v>37</v>
      </c>
      <c r="AD7" s="92" t="s">
        <v>38</v>
      </c>
      <c r="AE7" s="92" t="s">
        <v>39</v>
      </c>
      <c r="AF7" s="92" t="s">
        <v>40</v>
      </c>
      <c r="AG7" s="92" t="s">
        <v>41</v>
      </c>
      <c r="AH7" s="92" t="s">
        <v>42</v>
      </c>
      <c r="AI7" s="92" t="s">
        <v>43</v>
      </c>
      <c r="AJ7" s="94"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Global!KX8</f>
        <v/>
      </c>
      <c r="G8" s="79" t="str">
        <f>Global!KY8</f>
        <v/>
      </c>
      <c r="H8" s="79" t="str">
        <f>Global!KZ8</f>
        <v/>
      </c>
      <c r="I8" s="79" t="str">
        <f>Global!LA8</f>
        <v/>
      </c>
      <c r="J8" s="79" t="str">
        <f>Global!LB8</f>
        <v/>
      </c>
      <c r="K8" s="79" t="str">
        <f>Global!LC8</f>
        <v/>
      </c>
      <c r="L8" s="79" t="str">
        <f>Global!LD8</f>
        <v/>
      </c>
      <c r="M8" s="79" t="str">
        <f>Global!LE8</f>
        <v/>
      </c>
      <c r="N8" s="79" t="str">
        <f>Global!LF8</f>
        <v/>
      </c>
      <c r="O8" s="79" t="str">
        <f>Global!LG8</f>
        <v/>
      </c>
      <c r="P8" s="79" t="str">
        <f>Global!LH8</f>
        <v/>
      </c>
      <c r="Q8" s="79" t="str">
        <f>Global!LI8</f>
        <v/>
      </c>
      <c r="R8" s="79" t="str">
        <f>Global!LJ8</f>
        <v/>
      </c>
      <c r="S8" s="79" t="str">
        <f>Global!LK8</f>
        <v/>
      </c>
      <c r="T8" s="79" t="str">
        <f>Global!LL8</f>
        <v/>
      </c>
      <c r="U8" s="79" t="str">
        <f>Global!LM8</f>
        <v/>
      </c>
      <c r="V8" s="79" t="str">
        <f>Global!LN8</f>
        <v/>
      </c>
      <c r="W8" s="79" t="str">
        <f>Global!LO8</f>
        <v/>
      </c>
      <c r="X8" s="79" t="str">
        <f>Global!LP8</f>
        <v/>
      </c>
      <c r="Y8" s="79" t="str">
        <f>Global!LQ8</f>
        <v/>
      </c>
      <c r="Z8" s="79" t="str">
        <f>Global!LR8</f>
        <v/>
      </c>
      <c r="AA8" s="79" t="str">
        <f>Global!LS8</f>
        <v/>
      </c>
      <c r="AB8" s="79" t="str">
        <f>Global!LT8</f>
        <v/>
      </c>
      <c r="AC8" s="79" t="str">
        <f>Global!LU8</f>
        <v/>
      </c>
      <c r="AD8" s="79" t="str">
        <f>Global!LV8</f>
        <v/>
      </c>
      <c r="AE8" s="79" t="str">
        <f>Global!LW8</f>
        <v/>
      </c>
      <c r="AF8" s="79" t="str">
        <f>Global!LX8</f>
        <v/>
      </c>
      <c r="AG8" s="79" t="str">
        <f>Global!LY8</f>
        <v/>
      </c>
      <c r="AH8" s="79" t="str">
        <f>Global!LZ8</f>
        <v/>
      </c>
      <c r="AI8" s="79" t="str">
        <f>Global!MA8</f>
        <v/>
      </c>
      <c r="AJ8" s="112"/>
      <c r="AK8" s="108">
        <f>COUNTIF(Novembre[[#This Row],[1]:[30]],"RTT")+(COUNTIF(Novembre[[#This Row],[1]:[30]],"dRTT")/2)</f>
        <v>0</v>
      </c>
      <c r="AL8" s="109">
        <f>COUNTIF(Novembre[[#This Row],[1]:[30]],"C")+(COUNTIF(Novembre[[#This Row],[1]:[30]],"DC")/2)</f>
        <v>0</v>
      </c>
      <c r="AM8" s="22">
        <f>COUNTIF(Novembre[[#This Row],[1]:[30]],"M")</f>
        <v>0</v>
      </c>
      <c r="AN8" s="22">
        <f>COUNTIF(Novembre[[#This Row],[1]:[30]],"AT")</f>
        <v>0</v>
      </c>
      <c r="AO8" s="84">
        <f>IF(AND(Novembre[[#This Row],[Maladie]]=0,Novembre[[#This Row],[AT]]=0),((10*(_xlfn.DAYS("30/11/2018","01/11/2018")+1))/365),((_xlfn.DAYS("30/11/2018","01/11/2018")+1-(Novembre[[#This Row],[Maladie]]+Novembre[[#This Row],[AT]]))*((10*(_xlfn.DAYS("30/11/2018","01/11/2018")+1))/365))/(_xlfn.DAYS("30/11/2018","01/11/2018")+1))</f>
        <v>0.82191780821917804</v>
      </c>
    </row>
    <row r="9" spans="1:41" ht="30" customHeight="1" x14ac:dyDescent="0.2">
      <c r="A9" s="13" t="s">
        <v>65</v>
      </c>
      <c r="B9" s="22" t="s">
        <v>130</v>
      </c>
      <c r="C9" s="22" t="s">
        <v>133</v>
      </c>
      <c r="D9" s="22" t="s">
        <v>134</v>
      </c>
      <c r="E9" s="44">
        <v>0</v>
      </c>
      <c r="F9" s="47" t="str">
        <f>Global!KX9</f>
        <v/>
      </c>
      <c r="G9" s="31" t="str">
        <f>Global!KY9</f>
        <v/>
      </c>
      <c r="H9" s="31" t="str">
        <f>Global!KZ9</f>
        <v/>
      </c>
      <c r="I9" s="31" t="str">
        <f>Global!LA9</f>
        <v/>
      </c>
      <c r="J9" s="31" t="str">
        <f>Global!LB9</f>
        <v/>
      </c>
      <c r="K9" s="31" t="str">
        <f>Global!LC9</f>
        <v/>
      </c>
      <c r="L9" s="31" t="str">
        <f>Global!LD9</f>
        <v/>
      </c>
      <c r="M9" s="31" t="str">
        <f>Global!LE9</f>
        <v/>
      </c>
      <c r="N9" s="31" t="str">
        <f>Global!LF9</f>
        <v/>
      </c>
      <c r="O9" s="31" t="str">
        <f>Global!LG9</f>
        <v/>
      </c>
      <c r="P9" s="31" t="str">
        <f>Global!LH9</f>
        <v/>
      </c>
      <c r="Q9" s="31" t="str">
        <f>Global!LI9</f>
        <v/>
      </c>
      <c r="R9" s="31" t="str">
        <f>Global!LJ9</f>
        <v/>
      </c>
      <c r="S9" s="31" t="str">
        <f>Global!LK9</f>
        <v/>
      </c>
      <c r="T9" s="31" t="str">
        <f>Global!LL9</f>
        <v/>
      </c>
      <c r="U9" s="31" t="str">
        <f>Global!LM9</f>
        <v/>
      </c>
      <c r="V9" s="31" t="str">
        <f>Global!LN9</f>
        <v/>
      </c>
      <c r="W9" s="31" t="str">
        <f>Global!LO9</f>
        <v/>
      </c>
      <c r="X9" s="31" t="str">
        <f>Global!LP9</f>
        <v/>
      </c>
      <c r="Y9" s="31" t="str">
        <f>Global!LQ9</f>
        <v/>
      </c>
      <c r="Z9" s="31" t="str">
        <f>Global!LR9</f>
        <v/>
      </c>
      <c r="AA9" s="31" t="str">
        <f>Global!LS9</f>
        <v/>
      </c>
      <c r="AB9" s="31" t="str">
        <f>Global!LT9</f>
        <v/>
      </c>
      <c r="AC9" s="31" t="str">
        <f>Global!LU9</f>
        <v/>
      </c>
      <c r="AD9" s="31" t="str">
        <f>Global!LV9</f>
        <v/>
      </c>
      <c r="AE9" s="31" t="str">
        <f>Global!LW9</f>
        <v/>
      </c>
      <c r="AF9" s="31" t="str">
        <f>Global!LX9</f>
        <v/>
      </c>
      <c r="AG9" s="31" t="str">
        <f>Global!LY9</f>
        <v/>
      </c>
      <c r="AH9" s="31" t="str">
        <f>Global!LZ9</f>
        <v/>
      </c>
      <c r="AI9" s="31" t="str">
        <f>Global!MA9</f>
        <v/>
      </c>
      <c r="AJ9" s="115"/>
      <c r="AK9" s="108">
        <f>COUNTIF(Novembre[[#This Row],[1]:[30]],"RTT")+(COUNTIF(Novembre[[#This Row],[1]:[30]],"dRTT")/2)</f>
        <v>0</v>
      </c>
      <c r="AL9" s="109">
        <f>COUNTIF(Novembre[[#This Row],[1]:[30]],"C")+(COUNTIF(Novembre[[#This Row],[1]:[30]],"DC")/2)</f>
        <v>0</v>
      </c>
      <c r="AM9" s="22">
        <f>COUNTIF(Novembre[[#This Row],[1]:[30]],"M")</f>
        <v>0</v>
      </c>
      <c r="AN9" s="22">
        <f>COUNTIF(Novembre[[#This Row],[1]:[30]],"AT")</f>
        <v>0</v>
      </c>
      <c r="AO9" s="84">
        <f>IF(AND(Novembre[[#This Row],[Maladie]]=0,Novembre[[#This Row],[AT]]=0),((10*(_xlfn.DAYS("30/11/2018","01/11/2018")+1))/365),((_xlfn.DAYS("30/11/2018","01/11/2018")+1-(Novembre[[#This Row],[Maladie]]+Novembre[[#This Row],[AT]]))*((10*(_xlfn.DAYS("30/11/2018","01/11/2018")+1))/365))/(_xlfn.DAYS("30/11/2018","01/11/2018")+1))</f>
        <v>0.82191780821917804</v>
      </c>
    </row>
    <row r="10" spans="1:41" ht="30" customHeight="1" x14ac:dyDescent="0.2">
      <c r="A10" s="14" t="s">
        <v>66</v>
      </c>
      <c r="B10" s="22" t="s">
        <v>135</v>
      </c>
      <c r="C10" s="22" t="s">
        <v>136</v>
      </c>
      <c r="D10" s="22" t="s">
        <v>137</v>
      </c>
      <c r="E10" s="44">
        <v>0</v>
      </c>
      <c r="F10" s="47" t="str">
        <f>Global!KX10</f>
        <v/>
      </c>
      <c r="G10" s="31" t="str">
        <f>Global!KY10</f>
        <v/>
      </c>
      <c r="H10" s="31" t="str">
        <f>Global!KZ10</f>
        <v/>
      </c>
      <c r="I10" s="31" t="str">
        <f>Global!LA10</f>
        <v/>
      </c>
      <c r="J10" s="31" t="str">
        <f>Global!LB10</f>
        <v/>
      </c>
      <c r="K10" s="31" t="str">
        <f>Global!LC10</f>
        <v/>
      </c>
      <c r="L10" s="31" t="str">
        <f>Global!LD10</f>
        <v/>
      </c>
      <c r="M10" s="31" t="str">
        <f>Global!LE10</f>
        <v/>
      </c>
      <c r="N10" s="31" t="str">
        <f>Global!LF10</f>
        <v/>
      </c>
      <c r="O10" s="31" t="str">
        <f>Global!LG10</f>
        <v/>
      </c>
      <c r="P10" s="31" t="str">
        <f>Global!LH10</f>
        <v/>
      </c>
      <c r="Q10" s="31" t="str">
        <f>Global!LI10</f>
        <v/>
      </c>
      <c r="R10" s="31" t="str">
        <f>Global!LJ10</f>
        <v/>
      </c>
      <c r="S10" s="31" t="str">
        <f>Global!LK10</f>
        <v/>
      </c>
      <c r="T10" s="31" t="str">
        <f>Global!LL10</f>
        <v/>
      </c>
      <c r="U10" s="31" t="str">
        <f>Global!LM10</f>
        <v/>
      </c>
      <c r="V10" s="31" t="str">
        <f>Global!LN10</f>
        <v/>
      </c>
      <c r="W10" s="31" t="str">
        <f>Global!LO10</f>
        <v/>
      </c>
      <c r="X10" s="31" t="str">
        <f>Global!LP10</f>
        <v/>
      </c>
      <c r="Y10" s="31" t="str">
        <f>Global!LQ10</f>
        <v/>
      </c>
      <c r="Z10" s="31" t="str">
        <f>Global!LR10</f>
        <v/>
      </c>
      <c r="AA10" s="31" t="str">
        <f>Global!LS10</f>
        <v/>
      </c>
      <c r="AB10" s="31" t="str">
        <f>Global!LT10</f>
        <v/>
      </c>
      <c r="AC10" s="31" t="str">
        <f>Global!LU10</f>
        <v/>
      </c>
      <c r="AD10" s="31" t="str">
        <f>Global!LV10</f>
        <v/>
      </c>
      <c r="AE10" s="31" t="str">
        <f>Global!LW10</f>
        <v/>
      </c>
      <c r="AF10" s="31" t="str">
        <f>Global!LX10</f>
        <v/>
      </c>
      <c r="AG10" s="31" t="str">
        <f>Global!LY10</f>
        <v/>
      </c>
      <c r="AH10" s="31" t="str">
        <f>Global!LZ10</f>
        <v/>
      </c>
      <c r="AI10" s="31" t="str">
        <f>Global!MA10</f>
        <v/>
      </c>
      <c r="AJ10" s="115"/>
      <c r="AK10" s="108">
        <f>COUNTIF(Novembre[[#This Row],[1]:[30]],"RTT")+(COUNTIF(Novembre[[#This Row],[1]:[30]],"dRTT")/2)</f>
        <v>0</v>
      </c>
      <c r="AL10" s="109">
        <f>COUNTIF(Novembre[[#This Row],[1]:[30]],"C")+(COUNTIF(Novembre[[#This Row],[1]:[30]],"DC")/2)</f>
        <v>0</v>
      </c>
      <c r="AM10" s="22">
        <f>COUNTIF(Novembre[[#This Row],[1]:[30]],"M")</f>
        <v>0</v>
      </c>
      <c r="AN10" s="22">
        <f>COUNTIF(Novembre[[#This Row],[1]:[30]],"AT")</f>
        <v>0</v>
      </c>
      <c r="AO10" s="84">
        <f>IF(AND(Novembre[[#This Row],[Maladie]]=0,Novembre[[#This Row],[AT]]=0),((10*(_xlfn.DAYS("30/11/2018","01/11/2018")+1))/365),((_xlfn.DAYS("30/11/2018","01/11/2018")+1-(Novembre[[#This Row],[Maladie]]+Novembre[[#This Row],[AT]]))*((10*(_xlfn.DAYS("30/11/2018","01/11/2018")+1))/365))/(_xlfn.DAYS("30/11/2018","01/11/2018")+1))</f>
        <v>0.82191780821917804</v>
      </c>
    </row>
    <row r="11" spans="1:41" ht="30" customHeight="1" x14ac:dyDescent="0.2">
      <c r="A11" s="15" t="s">
        <v>67</v>
      </c>
      <c r="B11" s="22" t="s">
        <v>138</v>
      </c>
      <c r="C11" s="22" t="s">
        <v>139</v>
      </c>
      <c r="D11" s="22" t="s">
        <v>140</v>
      </c>
      <c r="E11" s="44">
        <v>0</v>
      </c>
      <c r="F11" s="47" t="str">
        <f>Global!KX11</f>
        <v/>
      </c>
      <c r="G11" s="31" t="str">
        <f>Global!KY11</f>
        <v/>
      </c>
      <c r="H11" s="31" t="str">
        <f>Global!KZ11</f>
        <v/>
      </c>
      <c r="I11" s="31" t="str">
        <f>Global!LA11</f>
        <v/>
      </c>
      <c r="J11" s="31" t="str">
        <f>Global!LB11</f>
        <v/>
      </c>
      <c r="K11" s="31" t="str">
        <f>Global!LC11</f>
        <v/>
      </c>
      <c r="L11" s="31" t="str">
        <f>Global!LD11</f>
        <v/>
      </c>
      <c r="M11" s="31" t="str">
        <f>Global!LE11</f>
        <v/>
      </c>
      <c r="N11" s="31" t="str">
        <f>Global!LF11</f>
        <v/>
      </c>
      <c r="O11" s="31" t="str">
        <f>Global!LG11</f>
        <v/>
      </c>
      <c r="P11" s="31" t="str">
        <f>Global!LH11</f>
        <v/>
      </c>
      <c r="Q11" s="31" t="str">
        <f>Global!LI11</f>
        <v/>
      </c>
      <c r="R11" s="31" t="str">
        <f>Global!LJ11</f>
        <v/>
      </c>
      <c r="S11" s="31" t="str">
        <f>Global!LK11</f>
        <v/>
      </c>
      <c r="T11" s="31" t="str">
        <f>Global!LL11</f>
        <v/>
      </c>
      <c r="U11" s="31" t="str">
        <f>Global!LM11</f>
        <v/>
      </c>
      <c r="V11" s="31" t="str">
        <f>Global!LN11</f>
        <v/>
      </c>
      <c r="W11" s="31" t="str">
        <f>Global!LO11</f>
        <v/>
      </c>
      <c r="X11" s="31" t="str">
        <f>Global!LP11</f>
        <v/>
      </c>
      <c r="Y11" s="31" t="str">
        <f>Global!LQ11</f>
        <v/>
      </c>
      <c r="Z11" s="31" t="str">
        <f>Global!LR11</f>
        <v/>
      </c>
      <c r="AA11" s="31" t="str">
        <f>Global!LS11</f>
        <v/>
      </c>
      <c r="AB11" s="31" t="str">
        <f>Global!LT11</f>
        <v/>
      </c>
      <c r="AC11" s="31" t="str">
        <f>Global!LU11</f>
        <v/>
      </c>
      <c r="AD11" s="31" t="str">
        <f>Global!LV11</f>
        <v/>
      </c>
      <c r="AE11" s="31" t="str">
        <f>Global!LW11</f>
        <v/>
      </c>
      <c r="AF11" s="31" t="str">
        <f>Global!LX11</f>
        <v/>
      </c>
      <c r="AG11" s="31" t="str">
        <f>Global!LY11</f>
        <v/>
      </c>
      <c r="AH11" s="31" t="str">
        <f>Global!LZ11</f>
        <v/>
      </c>
      <c r="AI11" s="31" t="str">
        <f>Global!MA11</f>
        <v/>
      </c>
      <c r="AJ11" s="115"/>
      <c r="AK11" s="108">
        <f>COUNTIF(Novembre[[#This Row],[1]:[30]],"RTT")+(COUNTIF(Novembre[[#This Row],[1]:[30]],"dRTT")/2)</f>
        <v>0</v>
      </c>
      <c r="AL11" s="109">
        <f>COUNTIF(Novembre[[#This Row],[1]:[30]],"C")+(COUNTIF(Novembre[[#This Row],[1]:[30]],"DC")/2)</f>
        <v>0</v>
      </c>
      <c r="AM11" s="22">
        <f>COUNTIF(Novembre[[#This Row],[1]:[30]],"M")</f>
        <v>0</v>
      </c>
      <c r="AN11" s="22">
        <f>COUNTIF(Novembre[[#This Row],[1]:[30]],"AT")</f>
        <v>0</v>
      </c>
      <c r="AO11" s="84">
        <f>IF(AND(Novembre[[#This Row],[Maladie]]=0,Novembre[[#This Row],[AT]]=0),((10*(_xlfn.DAYS("30/11/2018","01/11/2018")+1))/365),((_xlfn.DAYS("30/11/2018","01/11/2018")+1-(Novembre[[#This Row],[Maladie]]+Novembre[[#This Row],[AT]]))*((10*(_xlfn.DAYS("30/11/2018","01/11/2018")+1))/365))/(_xlfn.DAYS("30/11/2018","01/11/2018")+1))</f>
        <v>0.82191780821917804</v>
      </c>
    </row>
    <row r="12" spans="1:41" ht="30" customHeight="1" x14ac:dyDescent="0.2">
      <c r="A12" s="15" t="s">
        <v>68</v>
      </c>
      <c r="B12" s="22" t="s">
        <v>141</v>
      </c>
      <c r="C12" s="22" t="s">
        <v>142</v>
      </c>
      <c r="D12" s="22" t="s">
        <v>143</v>
      </c>
      <c r="E12" s="44">
        <v>0</v>
      </c>
      <c r="F12" s="47" t="str">
        <f>Global!KX12</f>
        <v/>
      </c>
      <c r="G12" s="31" t="str">
        <f>Global!KY12</f>
        <v/>
      </c>
      <c r="H12" s="31" t="str">
        <f>Global!KZ12</f>
        <v/>
      </c>
      <c r="I12" s="31" t="str">
        <f>Global!LA12</f>
        <v/>
      </c>
      <c r="J12" s="31" t="str">
        <f>Global!LB12</f>
        <v/>
      </c>
      <c r="K12" s="31" t="str">
        <f>Global!LC12</f>
        <v/>
      </c>
      <c r="L12" s="31" t="str">
        <f>Global!LD12</f>
        <v/>
      </c>
      <c r="M12" s="31" t="str">
        <f>Global!LE12</f>
        <v/>
      </c>
      <c r="N12" s="31" t="str">
        <f>Global!LF12</f>
        <v/>
      </c>
      <c r="O12" s="31" t="str">
        <f>Global!LG12</f>
        <v/>
      </c>
      <c r="P12" s="31" t="str">
        <f>Global!LH12</f>
        <v/>
      </c>
      <c r="Q12" s="31" t="str">
        <f>Global!LI12</f>
        <v/>
      </c>
      <c r="R12" s="31" t="str">
        <f>Global!LJ12</f>
        <v/>
      </c>
      <c r="S12" s="31" t="str">
        <f>Global!LK12</f>
        <v/>
      </c>
      <c r="T12" s="31" t="str">
        <f>Global!LL12</f>
        <v/>
      </c>
      <c r="U12" s="31" t="str">
        <f>Global!LM12</f>
        <v/>
      </c>
      <c r="V12" s="31" t="str">
        <f>Global!LN12</f>
        <v/>
      </c>
      <c r="W12" s="31" t="str">
        <f>Global!LO12</f>
        <v/>
      </c>
      <c r="X12" s="31" t="str">
        <f>Global!LP12</f>
        <v/>
      </c>
      <c r="Y12" s="31" t="str">
        <f>Global!LQ12</f>
        <v/>
      </c>
      <c r="Z12" s="31" t="str">
        <f>Global!LR12</f>
        <v/>
      </c>
      <c r="AA12" s="31" t="str">
        <f>Global!LS12</f>
        <v/>
      </c>
      <c r="AB12" s="31" t="str">
        <f>Global!LT12</f>
        <v/>
      </c>
      <c r="AC12" s="31" t="str">
        <f>Global!LU12</f>
        <v/>
      </c>
      <c r="AD12" s="31" t="str">
        <f>Global!LV12</f>
        <v/>
      </c>
      <c r="AE12" s="31" t="str">
        <f>Global!LW12</f>
        <v/>
      </c>
      <c r="AF12" s="31" t="str">
        <f>Global!LX12</f>
        <v/>
      </c>
      <c r="AG12" s="31" t="str">
        <f>Global!LY12</f>
        <v/>
      </c>
      <c r="AH12" s="31" t="str">
        <f>Global!LZ12</f>
        <v/>
      </c>
      <c r="AI12" s="31" t="str">
        <f>Global!MA12</f>
        <v/>
      </c>
      <c r="AJ12" s="116"/>
      <c r="AK12" s="108">
        <f>COUNTIF(Novembre[[#This Row],[1]:[30]],"RTT")+(COUNTIF(Novembre[[#This Row],[1]:[30]],"dRTT")/2)</f>
        <v>0</v>
      </c>
      <c r="AL12" s="109">
        <f>COUNTIF(Novembre[[#This Row],[1]:[30]],"C")+(COUNTIF(Novembre[[#This Row],[1]:[30]],"DC")/2)</f>
        <v>0</v>
      </c>
      <c r="AM12" s="22">
        <f>COUNTIF(Novembre[[#This Row],[1]:[30]],"M")</f>
        <v>0</v>
      </c>
      <c r="AN12" s="22">
        <f>COUNTIF(Novembre[[#This Row],[1]:[30]],"AT")</f>
        <v>0</v>
      </c>
      <c r="AO12" s="84">
        <f>IF(AND(Novembre[[#This Row],[Maladie]]=0,Novembre[[#This Row],[AT]]=0),((10*(_xlfn.DAYS("30/11/2018","01/11/2018")+1))/365),((_xlfn.DAYS("30/11/2018","01/11/2018")+1-(Novembre[[#This Row],[Maladie]]+Novembre[[#This Row],[AT]]))*((10*(_xlfn.DAYS("30/11/2018","01/11/2018")+1))/365))/(_xlfn.DAYS("30/11/2018","01/11/2018")+1))</f>
        <v>0.82191780821917804</v>
      </c>
    </row>
    <row r="13" spans="1:41" ht="30" customHeight="1" x14ac:dyDescent="0.2">
      <c r="A13" s="13" t="s">
        <v>69</v>
      </c>
      <c r="B13" s="22" t="s">
        <v>144</v>
      </c>
      <c r="C13" s="22" t="s">
        <v>145</v>
      </c>
      <c r="D13" s="22" t="s">
        <v>146</v>
      </c>
      <c r="E13" s="44">
        <v>0</v>
      </c>
      <c r="F13" s="47" t="str">
        <f>Global!KX13</f>
        <v/>
      </c>
      <c r="G13" s="31" t="str">
        <f>Global!KY13</f>
        <v/>
      </c>
      <c r="H13" s="31" t="str">
        <f>Global!KZ13</f>
        <v/>
      </c>
      <c r="I13" s="31" t="str">
        <f>Global!LA13</f>
        <v/>
      </c>
      <c r="J13" s="31" t="str">
        <f>Global!LB13</f>
        <v/>
      </c>
      <c r="K13" s="31" t="str">
        <f>Global!LC13</f>
        <v/>
      </c>
      <c r="L13" s="31" t="str">
        <f>Global!LD13</f>
        <v/>
      </c>
      <c r="M13" s="31" t="str">
        <f>Global!LE13</f>
        <v/>
      </c>
      <c r="N13" s="31" t="str">
        <f>Global!LF13</f>
        <v/>
      </c>
      <c r="O13" s="31" t="str">
        <f>Global!LG13</f>
        <v/>
      </c>
      <c r="P13" s="31" t="str">
        <f>Global!LH13</f>
        <v/>
      </c>
      <c r="Q13" s="31" t="str">
        <f>Global!LI13</f>
        <v/>
      </c>
      <c r="R13" s="31" t="str">
        <f>Global!LJ13</f>
        <v/>
      </c>
      <c r="S13" s="31" t="str">
        <f>Global!LK13</f>
        <v/>
      </c>
      <c r="T13" s="31" t="str">
        <f>Global!LL13</f>
        <v/>
      </c>
      <c r="U13" s="31" t="str">
        <f>Global!LM13</f>
        <v/>
      </c>
      <c r="V13" s="31" t="str">
        <f>Global!LN13</f>
        <v/>
      </c>
      <c r="W13" s="31" t="str">
        <f>Global!LO13</f>
        <v/>
      </c>
      <c r="X13" s="31" t="str">
        <f>Global!LP13</f>
        <v/>
      </c>
      <c r="Y13" s="31" t="str">
        <f>Global!LQ13</f>
        <v/>
      </c>
      <c r="Z13" s="31" t="str">
        <f>Global!LR13</f>
        <v/>
      </c>
      <c r="AA13" s="31" t="str">
        <f>Global!LS13</f>
        <v/>
      </c>
      <c r="AB13" s="31" t="str">
        <f>Global!LT13</f>
        <v/>
      </c>
      <c r="AC13" s="31" t="str">
        <f>Global!LU13</f>
        <v/>
      </c>
      <c r="AD13" s="31" t="str">
        <f>Global!LV13</f>
        <v/>
      </c>
      <c r="AE13" s="31" t="str">
        <f>Global!LW13</f>
        <v/>
      </c>
      <c r="AF13" s="31" t="str">
        <f>Global!LX13</f>
        <v/>
      </c>
      <c r="AG13" s="31" t="str">
        <f>Global!LY13</f>
        <v/>
      </c>
      <c r="AH13" s="31" t="str">
        <f>Global!LZ13</f>
        <v/>
      </c>
      <c r="AI13" s="31" t="str">
        <f>Global!MA13</f>
        <v/>
      </c>
      <c r="AJ13" s="116"/>
      <c r="AK13" s="108">
        <f>COUNTIF(Novembre[[#This Row],[1]:[30]],"RTT")+(COUNTIF(Novembre[[#This Row],[1]:[30]],"dRTT")/2)</f>
        <v>0</v>
      </c>
      <c r="AL13" s="109">
        <f>COUNTIF(Novembre[[#This Row],[1]:[30]],"C")+(COUNTIF(Novembre[[#This Row],[1]:[30]],"DC")/2)</f>
        <v>0</v>
      </c>
      <c r="AM13" s="22">
        <f>COUNTIF(Novembre[[#This Row],[1]:[30]],"M")</f>
        <v>0</v>
      </c>
      <c r="AN13" s="22">
        <f>COUNTIF(Novembre[[#This Row],[1]:[30]],"AT")</f>
        <v>0</v>
      </c>
      <c r="AO13" s="84">
        <f>IF(AND(Novembre[[#This Row],[Maladie]]=0,Novembre[[#This Row],[AT]]=0),((10*(_xlfn.DAYS("30/11/2018","01/11/2018")+1))/365),((_xlfn.DAYS("30/11/2018","01/11/2018")+1-(Novembre[[#This Row],[Maladie]]+Novembre[[#This Row],[AT]]))*((10*(_xlfn.DAYS("30/11/2018","01/11/2018")+1))/365))/(_xlfn.DAYS("30/11/2018","01/11/2018")+1))</f>
        <v>0.82191780821917804</v>
      </c>
    </row>
    <row r="14" spans="1:41" ht="30" customHeight="1" x14ac:dyDescent="0.2">
      <c r="A14" s="15" t="s">
        <v>70</v>
      </c>
      <c r="B14" s="22" t="s">
        <v>147</v>
      </c>
      <c r="C14" s="22" t="s">
        <v>148</v>
      </c>
      <c r="D14" s="22" t="s">
        <v>149</v>
      </c>
      <c r="E14" s="44">
        <v>0</v>
      </c>
      <c r="F14" s="47" t="str">
        <f>Global!KX14</f>
        <v/>
      </c>
      <c r="G14" s="31" t="str">
        <f>Global!KY14</f>
        <v/>
      </c>
      <c r="H14" s="31" t="str">
        <f>Global!KZ14</f>
        <v/>
      </c>
      <c r="I14" s="31" t="str">
        <f>Global!LA14</f>
        <v/>
      </c>
      <c r="J14" s="31" t="str">
        <f>Global!LB14</f>
        <v/>
      </c>
      <c r="K14" s="31" t="str">
        <f>Global!LC14</f>
        <v/>
      </c>
      <c r="L14" s="31" t="str">
        <f>Global!LD14</f>
        <v/>
      </c>
      <c r="M14" s="31" t="str">
        <f>Global!LE14</f>
        <v/>
      </c>
      <c r="N14" s="31" t="str">
        <f>Global!LF14</f>
        <v/>
      </c>
      <c r="O14" s="31" t="str">
        <f>Global!LG14</f>
        <v/>
      </c>
      <c r="P14" s="31" t="str">
        <f>Global!LH14</f>
        <v/>
      </c>
      <c r="Q14" s="31" t="str">
        <f>Global!LI14</f>
        <v/>
      </c>
      <c r="R14" s="31" t="str">
        <f>Global!LJ14</f>
        <v/>
      </c>
      <c r="S14" s="31" t="str">
        <f>Global!LK14</f>
        <v/>
      </c>
      <c r="T14" s="31" t="str">
        <f>Global!LL14</f>
        <v/>
      </c>
      <c r="U14" s="31" t="str">
        <f>Global!LM14</f>
        <v/>
      </c>
      <c r="V14" s="31" t="str">
        <f>Global!LN14</f>
        <v/>
      </c>
      <c r="W14" s="31" t="str">
        <f>Global!LO14</f>
        <v/>
      </c>
      <c r="X14" s="31" t="str">
        <f>Global!LP14</f>
        <v/>
      </c>
      <c r="Y14" s="31" t="str">
        <f>Global!LQ14</f>
        <v/>
      </c>
      <c r="Z14" s="31" t="str">
        <f>Global!LR14</f>
        <v/>
      </c>
      <c r="AA14" s="31" t="str">
        <f>Global!LS14</f>
        <v/>
      </c>
      <c r="AB14" s="31" t="str">
        <f>Global!LT14</f>
        <v/>
      </c>
      <c r="AC14" s="31" t="str">
        <f>Global!LU14</f>
        <v/>
      </c>
      <c r="AD14" s="31" t="str">
        <f>Global!LV14</f>
        <v/>
      </c>
      <c r="AE14" s="31" t="str">
        <f>Global!LW14</f>
        <v/>
      </c>
      <c r="AF14" s="31" t="str">
        <f>Global!LX14</f>
        <v/>
      </c>
      <c r="AG14" s="31" t="str">
        <f>Global!LY14</f>
        <v/>
      </c>
      <c r="AH14" s="31" t="str">
        <f>Global!LZ14</f>
        <v/>
      </c>
      <c r="AI14" s="31" t="str">
        <f>Global!MA14</f>
        <v/>
      </c>
      <c r="AJ14" s="115"/>
      <c r="AK14" s="108">
        <f>COUNTIF(Novembre[[#This Row],[1]:[30]],"RTT")+(COUNTIF(Novembre[[#This Row],[1]:[30]],"dRTT")/2)</f>
        <v>0</v>
      </c>
      <c r="AL14" s="109">
        <f>COUNTIF(Novembre[[#This Row],[1]:[30]],"C")+(COUNTIF(Novembre[[#This Row],[1]:[30]],"DC")/2)</f>
        <v>0</v>
      </c>
      <c r="AM14" s="22">
        <f>COUNTIF(Novembre[[#This Row],[1]:[30]],"M")</f>
        <v>0</v>
      </c>
      <c r="AN14" s="22">
        <f>COUNTIF(Novembre[[#This Row],[1]:[30]],"AT")</f>
        <v>0</v>
      </c>
      <c r="AO14" s="84">
        <f>IF(AND(Novembre[[#This Row],[Maladie]]=0,Novembre[[#This Row],[AT]]=0),((10*(_xlfn.DAYS("30/11/2018","01/11/2018")+1))/365),((_xlfn.DAYS("30/11/2018","01/11/2018")+1-(Novembre[[#This Row],[Maladie]]+Novembre[[#This Row],[AT]]))*((10*(_xlfn.DAYS("30/11/2018","01/11/2018")+1))/365))/(_xlfn.DAYS("30/11/2018","01/11/2018")+1))</f>
        <v>0.82191780821917804</v>
      </c>
    </row>
    <row r="15" spans="1:41" ht="30" customHeight="1" x14ac:dyDescent="0.2">
      <c r="A15" s="15" t="s">
        <v>71</v>
      </c>
      <c r="B15" s="22" t="s">
        <v>150</v>
      </c>
      <c r="C15" s="22" t="s">
        <v>151</v>
      </c>
      <c r="D15" s="22" t="s">
        <v>152</v>
      </c>
      <c r="E15" s="44">
        <v>0</v>
      </c>
      <c r="F15" s="47" t="str">
        <f>Global!KX15</f>
        <v/>
      </c>
      <c r="G15" s="31" t="str">
        <f>Global!KY15</f>
        <v/>
      </c>
      <c r="H15" s="31" t="str">
        <f>Global!KZ15</f>
        <v/>
      </c>
      <c r="I15" s="31" t="str">
        <f>Global!LA15</f>
        <v/>
      </c>
      <c r="J15" s="31" t="str">
        <f>Global!LB15</f>
        <v/>
      </c>
      <c r="K15" s="31" t="str">
        <f>Global!LC15</f>
        <v/>
      </c>
      <c r="L15" s="31" t="str">
        <f>Global!LD15</f>
        <v/>
      </c>
      <c r="M15" s="31" t="str">
        <f>Global!LE15</f>
        <v/>
      </c>
      <c r="N15" s="31" t="str">
        <f>Global!LF15</f>
        <v/>
      </c>
      <c r="O15" s="31" t="str">
        <f>Global!LG15</f>
        <v/>
      </c>
      <c r="P15" s="31" t="str">
        <f>Global!LH15</f>
        <v/>
      </c>
      <c r="Q15" s="31" t="str">
        <f>Global!LI15</f>
        <v/>
      </c>
      <c r="R15" s="31" t="str">
        <f>Global!LJ15</f>
        <v/>
      </c>
      <c r="S15" s="31" t="str">
        <f>Global!LK15</f>
        <v/>
      </c>
      <c r="T15" s="31" t="str">
        <f>Global!LL15</f>
        <v/>
      </c>
      <c r="U15" s="31" t="str">
        <f>Global!LM15</f>
        <v/>
      </c>
      <c r="V15" s="31" t="str">
        <f>Global!LN15</f>
        <v/>
      </c>
      <c r="W15" s="31" t="str">
        <f>Global!LO15</f>
        <v/>
      </c>
      <c r="X15" s="31" t="str">
        <f>Global!LP15</f>
        <v/>
      </c>
      <c r="Y15" s="31" t="str">
        <f>Global!LQ15</f>
        <v/>
      </c>
      <c r="Z15" s="31" t="str">
        <f>Global!LR15</f>
        <v/>
      </c>
      <c r="AA15" s="31" t="str">
        <f>Global!LS15</f>
        <v/>
      </c>
      <c r="AB15" s="31" t="str">
        <f>Global!LT15</f>
        <v/>
      </c>
      <c r="AC15" s="31" t="str">
        <f>Global!LU15</f>
        <v/>
      </c>
      <c r="AD15" s="31" t="str">
        <f>Global!LV15</f>
        <v/>
      </c>
      <c r="AE15" s="31" t="str">
        <f>Global!LW15</f>
        <v/>
      </c>
      <c r="AF15" s="31" t="str">
        <f>Global!LX15</f>
        <v/>
      </c>
      <c r="AG15" s="31" t="str">
        <f>Global!LY15</f>
        <v/>
      </c>
      <c r="AH15" s="31" t="str">
        <f>Global!LZ15</f>
        <v/>
      </c>
      <c r="AI15" s="31" t="str">
        <f>Global!MA15</f>
        <v/>
      </c>
      <c r="AJ15" s="117"/>
      <c r="AK15" s="108">
        <f>COUNTIF(Novembre[[#This Row],[1]:[30]],"RTT")+(COUNTIF(Novembre[[#This Row],[1]:[30]],"dRTT")/2)</f>
        <v>0</v>
      </c>
      <c r="AL15" s="109">
        <f>COUNTIF(Novembre[[#This Row],[1]:[30]],"C")+(COUNTIF(Novembre[[#This Row],[1]:[30]],"DC")/2)</f>
        <v>0</v>
      </c>
      <c r="AM15" s="22">
        <f>COUNTIF(Novembre[[#This Row],[1]:[30]],"M")</f>
        <v>0</v>
      </c>
      <c r="AN15" s="22">
        <f>COUNTIF(Novembre[[#This Row],[1]:[30]],"AT")</f>
        <v>0</v>
      </c>
      <c r="AO15" s="84">
        <f>IF(AND(Novembre[[#This Row],[Maladie]]=0,Novembre[[#This Row],[AT]]=0),((10*(_xlfn.DAYS("30/11/2018","01/11/2018")+1))/365),((_xlfn.DAYS("30/11/2018","01/11/2018")+1-(Novembre[[#This Row],[Maladie]]+Novembre[[#This Row],[AT]]))*((10*(_xlfn.DAYS("30/11/2018","01/11/2018")+1))/365))/(_xlfn.DAYS("30/11/2018","01/11/2018")+1))</f>
        <v>0.82191780821917804</v>
      </c>
    </row>
    <row r="16" spans="1:41" ht="30" customHeight="1" x14ac:dyDescent="0.2">
      <c r="A16" s="15" t="s">
        <v>72</v>
      </c>
      <c r="B16" s="22" t="s">
        <v>153</v>
      </c>
      <c r="C16" s="22" t="s">
        <v>154</v>
      </c>
      <c r="D16" s="22" t="s">
        <v>155</v>
      </c>
      <c r="E16" s="44">
        <v>0</v>
      </c>
      <c r="F16" s="47" t="str">
        <f>Global!KX16</f>
        <v/>
      </c>
      <c r="G16" s="31" t="str">
        <f>Global!KY16</f>
        <v/>
      </c>
      <c r="H16" s="31" t="str">
        <f>Global!KZ16</f>
        <v/>
      </c>
      <c r="I16" s="31" t="str">
        <f>Global!LA16</f>
        <v/>
      </c>
      <c r="J16" s="31" t="str">
        <f>Global!LB16</f>
        <v/>
      </c>
      <c r="K16" s="31" t="str">
        <f>Global!LC16</f>
        <v/>
      </c>
      <c r="L16" s="31" t="str">
        <f>Global!LD16</f>
        <v/>
      </c>
      <c r="M16" s="31" t="str">
        <f>Global!LE16</f>
        <v/>
      </c>
      <c r="N16" s="31" t="str">
        <f>Global!LF16</f>
        <v/>
      </c>
      <c r="O16" s="31" t="str">
        <f>Global!LG16</f>
        <v/>
      </c>
      <c r="P16" s="31" t="str">
        <f>Global!LH16</f>
        <v/>
      </c>
      <c r="Q16" s="31" t="str">
        <f>Global!LI16</f>
        <v/>
      </c>
      <c r="R16" s="31" t="str">
        <f>Global!LJ16</f>
        <v/>
      </c>
      <c r="S16" s="31" t="str">
        <f>Global!LK16</f>
        <v/>
      </c>
      <c r="T16" s="31" t="str">
        <f>Global!LL16</f>
        <v/>
      </c>
      <c r="U16" s="31" t="str">
        <f>Global!LM16</f>
        <v/>
      </c>
      <c r="V16" s="31" t="str">
        <f>Global!LN16</f>
        <v/>
      </c>
      <c r="W16" s="31" t="str">
        <f>Global!LO16</f>
        <v/>
      </c>
      <c r="X16" s="31" t="str">
        <f>Global!LP16</f>
        <v/>
      </c>
      <c r="Y16" s="31" t="str">
        <f>Global!LQ16</f>
        <v/>
      </c>
      <c r="Z16" s="31" t="str">
        <f>Global!LR16</f>
        <v/>
      </c>
      <c r="AA16" s="31" t="str">
        <f>Global!LS16</f>
        <v/>
      </c>
      <c r="AB16" s="31" t="str">
        <f>Global!LT16</f>
        <v/>
      </c>
      <c r="AC16" s="31" t="str">
        <f>Global!LU16</f>
        <v/>
      </c>
      <c r="AD16" s="31" t="str">
        <f>Global!LV16</f>
        <v/>
      </c>
      <c r="AE16" s="31" t="str">
        <f>Global!LW16</f>
        <v/>
      </c>
      <c r="AF16" s="31" t="str">
        <f>Global!LX16</f>
        <v/>
      </c>
      <c r="AG16" s="31" t="str">
        <f>Global!LY16</f>
        <v/>
      </c>
      <c r="AH16" s="31" t="str">
        <f>Global!LZ16</f>
        <v/>
      </c>
      <c r="AI16" s="31" t="str">
        <f>Global!MA16</f>
        <v/>
      </c>
      <c r="AJ16" s="118"/>
      <c r="AK16" s="108">
        <f>COUNTIF(Novembre[[#This Row],[1]:[30]],"RTT")+(COUNTIF(Novembre[[#This Row],[1]:[30]],"dRTT")/2)</f>
        <v>0</v>
      </c>
      <c r="AL16" s="109">
        <f>COUNTIF(Novembre[[#This Row],[1]:[30]],"C")+(COUNTIF(Novembre[[#This Row],[1]:[30]],"DC")/2)</f>
        <v>0</v>
      </c>
      <c r="AM16" s="22">
        <f>COUNTIF(Novembre[[#This Row],[1]:[30]],"M")</f>
        <v>0</v>
      </c>
      <c r="AN16" s="22">
        <f>COUNTIF(Novembre[[#This Row],[1]:[30]],"AT")</f>
        <v>0</v>
      </c>
      <c r="AO16" s="84">
        <f>IF(AND(Novembre[[#This Row],[Maladie]]=0,Novembre[[#This Row],[AT]]=0),((10*(_xlfn.DAYS("30/11/2018","01/11/2018")+1))/365),((_xlfn.DAYS("30/11/2018","01/11/2018")+1-(Novembre[[#This Row],[Maladie]]+Novembre[[#This Row],[AT]]))*((10*(_xlfn.DAYS("30/11/2018","01/11/2018")+1))/365))/(_xlfn.DAYS("30/11/2018","01/11/2018")+1))</f>
        <v>0.82191780821917804</v>
      </c>
    </row>
    <row r="17" spans="1:41" ht="30" customHeight="1" x14ac:dyDescent="0.2">
      <c r="A17" s="15" t="s">
        <v>73</v>
      </c>
      <c r="B17" s="22" t="s">
        <v>156</v>
      </c>
      <c r="C17" s="22" t="s">
        <v>157</v>
      </c>
      <c r="D17" s="22" t="s">
        <v>158</v>
      </c>
      <c r="E17" s="44">
        <v>0</v>
      </c>
      <c r="F17" s="47" t="str">
        <f>Global!KX17</f>
        <v/>
      </c>
      <c r="G17" s="31" t="str">
        <f>Global!KY17</f>
        <v/>
      </c>
      <c r="H17" s="31" t="str">
        <f>Global!KZ17</f>
        <v/>
      </c>
      <c r="I17" s="31" t="str">
        <f>Global!LA17</f>
        <v/>
      </c>
      <c r="J17" s="31" t="str">
        <f>Global!LB17</f>
        <v/>
      </c>
      <c r="K17" s="31" t="str">
        <f>Global!LC17</f>
        <v/>
      </c>
      <c r="L17" s="31" t="str">
        <f>Global!LD17</f>
        <v/>
      </c>
      <c r="M17" s="31" t="str">
        <f>Global!LE17</f>
        <v/>
      </c>
      <c r="N17" s="31" t="str">
        <f>Global!LF17</f>
        <v/>
      </c>
      <c r="O17" s="31" t="str">
        <f>Global!LG17</f>
        <v/>
      </c>
      <c r="P17" s="31" t="str">
        <f>Global!LH17</f>
        <v/>
      </c>
      <c r="Q17" s="31" t="str">
        <f>Global!LI17</f>
        <v/>
      </c>
      <c r="R17" s="31" t="str">
        <f>Global!LJ17</f>
        <v/>
      </c>
      <c r="S17" s="31" t="str">
        <f>Global!LK17</f>
        <v/>
      </c>
      <c r="T17" s="31" t="str">
        <f>Global!LL17</f>
        <v/>
      </c>
      <c r="U17" s="31" t="str">
        <f>Global!LM17</f>
        <v/>
      </c>
      <c r="V17" s="31" t="str">
        <f>Global!LN17</f>
        <v/>
      </c>
      <c r="W17" s="31" t="str">
        <f>Global!LO17</f>
        <v/>
      </c>
      <c r="X17" s="31" t="str">
        <f>Global!LP17</f>
        <v/>
      </c>
      <c r="Y17" s="31" t="str">
        <f>Global!LQ17</f>
        <v/>
      </c>
      <c r="Z17" s="31" t="str">
        <f>Global!LR17</f>
        <v/>
      </c>
      <c r="AA17" s="31" t="str">
        <f>Global!LS17</f>
        <v/>
      </c>
      <c r="AB17" s="31" t="str">
        <f>Global!LT17</f>
        <v/>
      </c>
      <c r="AC17" s="31" t="str">
        <f>Global!LU17</f>
        <v/>
      </c>
      <c r="AD17" s="31" t="str">
        <f>Global!LV17</f>
        <v/>
      </c>
      <c r="AE17" s="31" t="str">
        <f>Global!LW17</f>
        <v/>
      </c>
      <c r="AF17" s="31" t="str">
        <f>Global!LX17</f>
        <v/>
      </c>
      <c r="AG17" s="31" t="str">
        <f>Global!LY17</f>
        <v/>
      </c>
      <c r="AH17" s="31" t="str">
        <f>Global!LZ17</f>
        <v/>
      </c>
      <c r="AI17" s="31" t="str">
        <f>Global!MA17</f>
        <v/>
      </c>
      <c r="AJ17" s="118"/>
      <c r="AK17" s="108">
        <f>COUNTIF(Novembre[[#This Row],[1]:[30]],"RTT")+(COUNTIF(Novembre[[#This Row],[1]:[30]],"dRTT")/2)</f>
        <v>0</v>
      </c>
      <c r="AL17" s="109">
        <f>COUNTIF(Novembre[[#This Row],[1]:[30]],"C")+(COUNTIF(Novembre[[#This Row],[1]:[30]],"DC")/2)</f>
        <v>0</v>
      </c>
      <c r="AM17" s="22">
        <f>COUNTIF(Novembre[[#This Row],[1]:[30]],"M")</f>
        <v>0</v>
      </c>
      <c r="AN17" s="22">
        <f>COUNTIF(Novembre[[#This Row],[1]:[30]],"AT")</f>
        <v>0</v>
      </c>
      <c r="AO17" s="84">
        <f>IF(AND(Novembre[[#This Row],[Maladie]]=0,Novembre[[#This Row],[AT]]=0),((10*(_xlfn.DAYS("30/11/2018","01/11/2018")+1))/365),((_xlfn.DAYS("30/11/2018","01/11/2018")+1-(Novembre[[#This Row],[Maladie]]+Novembre[[#This Row],[AT]]))*((10*(_xlfn.DAYS("30/11/2018","01/11/2018")+1))/365))/(_xlfn.DAYS("30/11/2018","01/11/2018")+1))</f>
        <v>0.82191780821917804</v>
      </c>
    </row>
    <row r="18" spans="1:41" ht="30" customHeight="1" x14ac:dyDescent="0.2">
      <c r="A18" s="15" t="s">
        <v>74</v>
      </c>
      <c r="B18" s="22" t="s">
        <v>159</v>
      </c>
      <c r="C18" s="22" t="s">
        <v>160</v>
      </c>
      <c r="D18" s="22" t="s">
        <v>161</v>
      </c>
      <c r="E18" s="44" t="s">
        <v>162</v>
      </c>
      <c r="F18" s="47" t="str">
        <f>Global!KX18</f>
        <v/>
      </c>
      <c r="G18" s="31" t="str">
        <f>Global!KY18</f>
        <v/>
      </c>
      <c r="H18" s="31" t="str">
        <f>Global!KZ18</f>
        <v/>
      </c>
      <c r="I18" s="31" t="str">
        <f>Global!LA18</f>
        <v/>
      </c>
      <c r="J18" s="31" t="str">
        <f>Global!LB18</f>
        <v/>
      </c>
      <c r="K18" s="31" t="str">
        <f>Global!LC18</f>
        <v/>
      </c>
      <c r="L18" s="31" t="str">
        <f>Global!LD18</f>
        <v/>
      </c>
      <c r="M18" s="31" t="str">
        <f>Global!LE18</f>
        <v/>
      </c>
      <c r="N18" s="31" t="str">
        <f>Global!LF18</f>
        <v/>
      </c>
      <c r="O18" s="31" t="str">
        <f>Global!LG18</f>
        <v/>
      </c>
      <c r="P18" s="31" t="str">
        <f>Global!LH18</f>
        <v/>
      </c>
      <c r="Q18" s="31" t="str">
        <f>Global!LI18</f>
        <v/>
      </c>
      <c r="R18" s="31" t="str">
        <f>Global!LJ18</f>
        <v/>
      </c>
      <c r="S18" s="31" t="str">
        <f>Global!LK18</f>
        <v/>
      </c>
      <c r="T18" s="31" t="str">
        <f>Global!LL18</f>
        <v/>
      </c>
      <c r="U18" s="31" t="str">
        <f>Global!LM18</f>
        <v/>
      </c>
      <c r="V18" s="31" t="str">
        <f>Global!LN18</f>
        <v/>
      </c>
      <c r="W18" s="31" t="str">
        <f>Global!LO18</f>
        <v/>
      </c>
      <c r="X18" s="31" t="str">
        <f>Global!LP18</f>
        <v/>
      </c>
      <c r="Y18" s="31" t="str">
        <f>Global!LQ18</f>
        <v/>
      </c>
      <c r="Z18" s="31" t="str">
        <f>Global!LR18</f>
        <v/>
      </c>
      <c r="AA18" s="31" t="str">
        <f>Global!LS18</f>
        <v/>
      </c>
      <c r="AB18" s="31" t="str">
        <f>Global!LT18</f>
        <v/>
      </c>
      <c r="AC18" s="31" t="str">
        <f>Global!LU18</f>
        <v/>
      </c>
      <c r="AD18" s="31" t="str">
        <f>Global!LV18</f>
        <v/>
      </c>
      <c r="AE18" s="31" t="str">
        <f>Global!LW18</f>
        <v/>
      </c>
      <c r="AF18" s="31" t="str">
        <f>Global!LX18</f>
        <v/>
      </c>
      <c r="AG18" s="31" t="str">
        <f>Global!LY18</f>
        <v/>
      </c>
      <c r="AH18" s="31" t="str">
        <f>Global!LZ18</f>
        <v/>
      </c>
      <c r="AI18" s="31" t="str">
        <f>Global!MA18</f>
        <v/>
      </c>
      <c r="AJ18" s="118"/>
      <c r="AK18" s="108">
        <f>COUNTIF(Novembre[[#This Row],[1]:[30]],"RTT")+(COUNTIF(Novembre[[#This Row],[1]:[30]],"dRTT")/2)</f>
        <v>0</v>
      </c>
      <c r="AL18" s="109">
        <f>COUNTIF(Novembre[[#This Row],[1]:[30]],"C")+(COUNTIF(Novembre[[#This Row],[1]:[30]],"DC")/2)</f>
        <v>0</v>
      </c>
      <c r="AM18" s="22">
        <f>COUNTIF(Novembre[[#This Row],[1]:[30]],"M")</f>
        <v>0</v>
      </c>
      <c r="AN18" s="22">
        <f>COUNTIF(Novembre[[#This Row],[1]:[30]],"AT")</f>
        <v>0</v>
      </c>
      <c r="AO18" s="84">
        <f>IF(AND(Novembre[[#This Row],[Maladie]]=0,Novembre[[#This Row],[AT]]=0),((10*(_xlfn.DAYS("30/11/2018","01/11/2018")+1))/365),((_xlfn.DAYS("30/11/2018","01/11/2018")+1-(Novembre[[#This Row],[Maladie]]+Novembre[[#This Row],[AT]]))*((10*(_xlfn.DAYS("30/11/2018","01/11/2018")+1))/365))/(_xlfn.DAYS("30/11/2018","01/11/2018")+1))</f>
        <v>0.82191780821917804</v>
      </c>
    </row>
    <row r="19" spans="1:41" ht="30" customHeight="1" x14ac:dyDescent="0.2">
      <c r="A19" s="15" t="s">
        <v>75</v>
      </c>
      <c r="B19" s="22" t="s">
        <v>163</v>
      </c>
      <c r="C19" s="22" t="s">
        <v>164</v>
      </c>
      <c r="D19" s="22" t="s">
        <v>165</v>
      </c>
      <c r="E19" s="44">
        <v>0</v>
      </c>
      <c r="F19" s="47" t="str">
        <f>Global!KX19</f>
        <v/>
      </c>
      <c r="G19" s="31" t="str">
        <f>Global!KY19</f>
        <v/>
      </c>
      <c r="H19" s="31" t="str">
        <f>Global!KZ19</f>
        <v/>
      </c>
      <c r="I19" s="31" t="str">
        <f>Global!LA19</f>
        <v/>
      </c>
      <c r="J19" s="31" t="str">
        <f>Global!LB19</f>
        <v/>
      </c>
      <c r="K19" s="31" t="str">
        <f>Global!LC19</f>
        <v/>
      </c>
      <c r="L19" s="31" t="str">
        <f>Global!LD19</f>
        <v/>
      </c>
      <c r="M19" s="31" t="str">
        <f>Global!LE19</f>
        <v/>
      </c>
      <c r="N19" s="31" t="str">
        <f>Global!LF19</f>
        <v/>
      </c>
      <c r="O19" s="31" t="str">
        <f>Global!LG19</f>
        <v/>
      </c>
      <c r="P19" s="31" t="str">
        <f>Global!LH19</f>
        <v/>
      </c>
      <c r="Q19" s="31" t="str">
        <f>Global!LI19</f>
        <v/>
      </c>
      <c r="R19" s="31" t="str">
        <f>Global!LJ19</f>
        <v/>
      </c>
      <c r="S19" s="31" t="str">
        <f>Global!LK19</f>
        <v/>
      </c>
      <c r="T19" s="31" t="str">
        <f>Global!LL19</f>
        <v/>
      </c>
      <c r="U19" s="31" t="str">
        <f>Global!LM19</f>
        <v/>
      </c>
      <c r="V19" s="31" t="str">
        <f>Global!LN19</f>
        <v/>
      </c>
      <c r="W19" s="31" t="str">
        <f>Global!LO19</f>
        <v/>
      </c>
      <c r="X19" s="31" t="str">
        <f>Global!LP19</f>
        <v/>
      </c>
      <c r="Y19" s="31" t="str">
        <f>Global!LQ19</f>
        <v/>
      </c>
      <c r="Z19" s="31" t="str">
        <f>Global!LR19</f>
        <v/>
      </c>
      <c r="AA19" s="31" t="str">
        <f>Global!LS19</f>
        <v/>
      </c>
      <c r="AB19" s="31" t="str">
        <f>Global!LT19</f>
        <v/>
      </c>
      <c r="AC19" s="31" t="str">
        <f>Global!LU19</f>
        <v/>
      </c>
      <c r="AD19" s="31" t="str">
        <f>Global!LV19</f>
        <v/>
      </c>
      <c r="AE19" s="31" t="str">
        <f>Global!LW19</f>
        <v/>
      </c>
      <c r="AF19" s="31" t="str">
        <f>Global!LX19</f>
        <v/>
      </c>
      <c r="AG19" s="31" t="str">
        <f>Global!LY19</f>
        <v/>
      </c>
      <c r="AH19" s="31" t="str">
        <f>Global!LZ19</f>
        <v/>
      </c>
      <c r="AI19" s="31" t="str">
        <f>Global!MA19</f>
        <v/>
      </c>
      <c r="AJ19" s="118"/>
      <c r="AK19" s="108">
        <f>COUNTIF(Novembre[[#This Row],[1]:[30]],"RTT")+(COUNTIF(Novembre[[#This Row],[1]:[30]],"dRTT")/2)</f>
        <v>0</v>
      </c>
      <c r="AL19" s="109">
        <f>COUNTIF(Novembre[[#This Row],[1]:[30]],"C")+(COUNTIF(Novembre[[#This Row],[1]:[30]],"DC")/2)</f>
        <v>0</v>
      </c>
      <c r="AM19" s="22">
        <f>COUNTIF(Novembre[[#This Row],[1]:[30]],"M")</f>
        <v>0</v>
      </c>
      <c r="AN19" s="22">
        <f>COUNTIF(Novembre[[#This Row],[1]:[30]],"AT")</f>
        <v>0</v>
      </c>
      <c r="AO19" s="84">
        <f>IF(AND(Novembre[[#This Row],[Maladie]]=0,Novembre[[#This Row],[AT]]=0),((10*(_xlfn.DAYS("30/11/2018","01/11/2018")+1))/365),((_xlfn.DAYS("30/11/2018","01/11/2018")+1-(Novembre[[#This Row],[Maladie]]+Novembre[[#This Row],[AT]]))*((10*(_xlfn.DAYS("30/11/2018","01/11/2018")+1))/365))/(_xlfn.DAYS("30/11/2018","01/11/2018")+1))</f>
        <v>0.82191780821917804</v>
      </c>
    </row>
    <row r="20" spans="1:41" ht="30" customHeight="1" x14ac:dyDescent="0.2">
      <c r="A20" s="15" t="s">
        <v>76</v>
      </c>
      <c r="B20" s="22" t="s">
        <v>166</v>
      </c>
      <c r="C20" s="22" t="s">
        <v>151</v>
      </c>
      <c r="D20" s="22" t="s">
        <v>167</v>
      </c>
      <c r="E20" s="44">
        <v>0</v>
      </c>
      <c r="F20" s="47" t="str">
        <f>Global!KX20</f>
        <v/>
      </c>
      <c r="G20" s="31" t="str">
        <f>Global!KY20</f>
        <v/>
      </c>
      <c r="H20" s="31" t="str">
        <f>Global!KZ20</f>
        <v/>
      </c>
      <c r="I20" s="31" t="str">
        <f>Global!LA20</f>
        <v/>
      </c>
      <c r="J20" s="31" t="str">
        <f>Global!LB20</f>
        <v/>
      </c>
      <c r="K20" s="31" t="str">
        <f>Global!LC20</f>
        <v/>
      </c>
      <c r="L20" s="31" t="str">
        <f>Global!LD20</f>
        <v/>
      </c>
      <c r="M20" s="31" t="str">
        <f>Global!LE20</f>
        <v/>
      </c>
      <c r="N20" s="31" t="str">
        <f>Global!LF20</f>
        <v/>
      </c>
      <c r="O20" s="31" t="str">
        <f>Global!LG20</f>
        <v/>
      </c>
      <c r="P20" s="31" t="str">
        <f>Global!LH20</f>
        <v/>
      </c>
      <c r="Q20" s="31" t="str">
        <f>Global!LI20</f>
        <v/>
      </c>
      <c r="R20" s="31" t="str">
        <f>Global!LJ20</f>
        <v/>
      </c>
      <c r="S20" s="31" t="str">
        <f>Global!LK20</f>
        <v/>
      </c>
      <c r="T20" s="31" t="str">
        <f>Global!LL20</f>
        <v/>
      </c>
      <c r="U20" s="31" t="str">
        <f>Global!LM20</f>
        <v/>
      </c>
      <c r="V20" s="31" t="str">
        <f>Global!LN20</f>
        <v/>
      </c>
      <c r="W20" s="31" t="str">
        <f>Global!LO20</f>
        <v/>
      </c>
      <c r="X20" s="31" t="str">
        <f>Global!LP20</f>
        <v/>
      </c>
      <c r="Y20" s="31" t="str">
        <f>Global!LQ20</f>
        <v/>
      </c>
      <c r="Z20" s="31" t="str">
        <f>Global!LR20</f>
        <v/>
      </c>
      <c r="AA20" s="31" t="str">
        <f>Global!LS20</f>
        <v/>
      </c>
      <c r="AB20" s="31" t="str">
        <f>Global!LT20</f>
        <v/>
      </c>
      <c r="AC20" s="31" t="str">
        <f>Global!LU20</f>
        <v/>
      </c>
      <c r="AD20" s="31" t="str">
        <f>Global!LV20</f>
        <v/>
      </c>
      <c r="AE20" s="31" t="str">
        <f>Global!LW20</f>
        <v/>
      </c>
      <c r="AF20" s="31" t="str">
        <f>Global!LX20</f>
        <v/>
      </c>
      <c r="AG20" s="31" t="str">
        <f>Global!LY20</f>
        <v/>
      </c>
      <c r="AH20" s="31" t="str">
        <f>Global!LZ20</f>
        <v/>
      </c>
      <c r="AI20" s="31" t="str">
        <f>Global!MA20</f>
        <v/>
      </c>
      <c r="AJ20" s="118"/>
      <c r="AK20" s="108">
        <f>COUNTIF(Novembre[[#This Row],[1]:[30]],"RTT")+(COUNTIF(Novembre[[#This Row],[1]:[30]],"dRTT")/2)</f>
        <v>0</v>
      </c>
      <c r="AL20" s="109">
        <f>COUNTIF(Novembre[[#This Row],[1]:[30]],"C")+(COUNTIF(Novembre[[#This Row],[1]:[30]],"DC")/2)</f>
        <v>0</v>
      </c>
      <c r="AM20" s="22">
        <f>COUNTIF(Novembre[[#This Row],[1]:[30]],"M")</f>
        <v>0</v>
      </c>
      <c r="AN20" s="22">
        <f>COUNTIF(Novembre[[#This Row],[1]:[30]],"AT")</f>
        <v>0</v>
      </c>
      <c r="AO20" s="84">
        <f>IF(AND(Novembre[[#This Row],[Maladie]]=0,Novembre[[#This Row],[AT]]=0),((10*(_xlfn.DAYS("30/11/2018","01/11/2018")+1))/365),((_xlfn.DAYS("30/11/2018","01/11/2018")+1-(Novembre[[#This Row],[Maladie]]+Novembre[[#This Row],[AT]]))*((10*(_xlfn.DAYS("30/11/2018","01/11/2018")+1))/365))/(_xlfn.DAYS("30/11/2018","01/11/2018")+1))</f>
        <v>0.82191780821917804</v>
      </c>
    </row>
    <row r="21" spans="1:41" ht="30" customHeight="1" x14ac:dyDescent="0.2">
      <c r="A21" s="15" t="s">
        <v>77</v>
      </c>
      <c r="B21" s="22" t="s">
        <v>168</v>
      </c>
      <c r="C21" s="22" t="s">
        <v>169</v>
      </c>
      <c r="D21" s="22" t="s">
        <v>170</v>
      </c>
      <c r="E21" s="44">
        <v>0</v>
      </c>
      <c r="F21" s="47" t="str">
        <f>Global!KX21</f>
        <v/>
      </c>
      <c r="G21" s="31" t="str">
        <f>Global!KY21</f>
        <v/>
      </c>
      <c r="H21" s="31" t="str">
        <f>Global!KZ21</f>
        <v/>
      </c>
      <c r="I21" s="31" t="str">
        <f>Global!LA21</f>
        <v/>
      </c>
      <c r="J21" s="31" t="str">
        <f>Global!LB21</f>
        <v/>
      </c>
      <c r="K21" s="31" t="str">
        <f>Global!LC21</f>
        <v/>
      </c>
      <c r="L21" s="31" t="str">
        <f>Global!LD21</f>
        <v/>
      </c>
      <c r="M21" s="31" t="str">
        <f>Global!LE21</f>
        <v/>
      </c>
      <c r="N21" s="31" t="str">
        <f>Global!LF21</f>
        <v/>
      </c>
      <c r="O21" s="31" t="str">
        <f>Global!LG21</f>
        <v/>
      </c>
      <c r="P21" s="31" t="str">
        <f>Global!LH21</f>
        <v/>
      </c>
      <c r="Q21" s="31" t="str">
        <f>Global!LI21</f>
        <v/>
      </c>
      <c r="R21" s="31" t="str">
        <f>Global!LJ21</f>
        <v/>
      </c>
      <c r="S21" s="31" t="str">
        <f>Global!LK21</f>
        <v/>
      </c>
      <c r="T21" s="31" t="str">
        <f>Global!LL21</f>
        <v/>
      </c>
      <c r="U21" s="31" t="str">
        <f>Global!LM21</f>
        <v/>
      </c>
      <c r="V21" s="31" t="str">
        <f>Global!LN21</f>
        <v/>
      </c>
      <c r="W21" s="31" t="str">
        <f>Global!LO21</f>
        <v/>
      </c>
      <c r="X21" s="31" t="str">
        <f>Global!LP21</f>
        <v/>
      </c>
      <c r="Y21" s="31" t="str">
        <f>Global!LQ21</f>
        <v/>
      </c>
      <c r="Z21" s="31" t="str">
        <f>Global!LR21</f>
        <v/>
      </c>
      <c r="AA21" s="31" t="str">
        <f>Global!LS21</f>
        <v/>
      </c>
      <c r="AB21" s="31" t="str">
        <f>Global!LT21</f>
        <v/>
      </c>
      <c r="AC21" s="31" t="str">
        <f>Global!LU21</f>
        <v/>
      </c>
      <c r="AD21" s="31" t="str">
        <f>Global!LV21</f>
        <v/>
      </c>
      <c r="AE21" s="31" t="str">
        <f>Global!LW21</f>
        <v/>
      </c>
      <c r="AF21" s="31" t="str">
        <f>Global!LX21</f>
        <v/>
      </c>
      <c r="AG21" s="31" t="str">
        <f>Global!LY21</f>
        <v/>
      </c>
      <c r="AH21" s="31" t="str">
        <f>Global!LZ21</f>
        <v/>
      </c>
      <c r="AI21" s="31" t="str">
        <f>Global!MA21</f>
        <v/>
      </c>
      <c r="AJ21" s="118"/>
      <c r="AK21" s="108">
        <f>COUNTIF(Novembre[[#This Row],[1]:[30]],"RTT")+(COUNTIF(Novembre[[#This Row],[1]:[30]],"dRTT")/2)</f>
        <v>0</v>
      </c>
      <c r="AL21" s="109">
        <f>COUNTIF(Novembre[[#This Row],[1]:[30]],"C")+(COUNTIF(Novembre[[#This Row],[1]:[30]],"DC")/2)</f>
        <v>0</v>
      </c>
      <c r="AM21" s="22">
        <f>COUNTIF(Novembre[[#This Row],[1]:[30]],"M")</f>
        <v>0</v>
      </c>
      <c r="AN21" s="22">
        <f>COUNTIF(Novembre[[#This Row],[1]:[30]],"AT")</f>
        <v>0</v>
      </c>
      <c r="AO21" s="84">
        <f>IF(AND(Novembre[[#This Row],[Maladie]]=0,Novembre[[#This Row],[AT]]=0),((10*(_xlfn.DAYS("30/11/2018","01/11/2018")+1))/365),((_xlfn.DAYS("30/11/2018","01/11/2018")+1-(Novembre[[#This Row],[Maladie]]+Novembre[[#This Row],[AT]]))*((10*(_xlfn.DAYS("30/11/2018","01/11/2018")+1))/365))/(_xlfn.DAYS("30/11/2018","01/11/2018")+1))</f>
        <v>0.82191780821917804</v>
      </c>
    </row>
    <row r="22" spans="1:41" ht="30" customHeight="1" x14ac:dyDescent="0.2">
      <c r="A22" s="13" t="s">
        <v>78</v>
      </c>
      <c r="B22" s="22" t="s">
        <v>171</v>
      </c>
      <c r="C22" s="22" t="s">
        <v>172</v>
      </c>
      <c r="D22" s="22" t="s">
        <v>173</v>
      </c>
      <c r="E22" s="44">
        <v>0</v>
      </c>
      <c r="F22" s="47" t="str">
        <f>Global!KX22</f>
        <v/>
      </c>
      <c r="G22" s="31" t="str">
        <f>Global!KY22</f>
        <v/>
      </c>
      <c r="H22" s="31" t="str">
        <f>Global!KZ22</f>
        <v/>
      </c>
      <c r="I22" s="31" t="str">
        <f>Global!LA22</f>
        <v/>
      </c>
      <c r="J22" s="31" t="str">
        <f>Global!LB22</f>
        <v/>
      </c>
      <c r="K22" s="31" t="str">
        <f>Global!LC22</f>
        <v/>
      </c>
      <c r="L22" s="31" t="str">
        <f>Global!LD22</f>
        <v/>
      </c>
      <c r="M22" s="31" t="str">
        <f>Global!LE22</f>
        <v/>
      </c>
      <c r="N22" s="31" t="str">
        <f>Global!LF22</f>
        <v/>
      </c>
      <c r="O22" s="31" t="str">
        <f>Global!LG22</f>
        <v/>
      </c>
      <c r="P22" s="31" t="str">
        <f>Global!LH22</f>
        <v/>
      </c>
      <c r="Q22" s="31" t="str">
        <f>Global!LI22</f>
        <v/>
      </c>
      <c r="R22" s="31" t="str">
        <f>Global!LJ22</f>
        <v/>
      </c>
      <c r="S22" s="31" t="str">
        <f>Global!LK22</f>
        <v/>
      </c>
      <c r="T22" s="31" t="str">
        <f>Global!LL22</f>
        <v/>
      </c>
      <c r="U22" s="31" t="str">
        <f>Global!LM22</f>
        <v/>
      </c>
      <c r="V22" s="31" t="str">
        <f>Global!LN22</f>
        <v/>
      </c>
      <c r="W22" s="31" t="str">
        <f>Global!LO22</f>
        <v/>
      </c>
      <c r="X22" s="31" t="str">
        <f>Global!LP22</f>
        <v/>
      </c>
      <c r="Y22" s="31" t="str">
        <f>Global!LQ22</f>
        <v/>
      </c>
      <c r="Z22" s="31" t="str">
        <f>Global!LR22</f>
        <v/>
      </c>
      <c r="AA22" s="31" t="str">
        <f>Global!LS22</f>
        <v/>
      </c>
      <c r="AB22" s="31" t="str">
        <f>Global!LT22</f>
        <v/>
      </c>
      <c r="AC22" s="31" t="str">
        <f>Global!LU22</f>
        <v/>
      </c>
      <c r="AD22" s="31" t="str">
        <f>Global!LV22</f>
        <v/>
      </c>
      <c r="AE22" s="31" t="str">
        <f>Global!LW22</f>
        <v/>
      </c>
      <c r="AF22" s="31" t="str">
        <f>Global!LX22</f>
        <v/>
      </c>
      <c r="AG22" s="31" t="str">
        <f>Global!LY22</f>
        <v/>
      </c>
      <c r="AH22" s="31" t="str">
        <f>Global!LZ22</f>
        <v/>
      </c>
      <c r="AI22" s="31" t="str">
        <f>Global!MA22</f>
        <v/>
      </c>
      <c r="AJ22" s="118"/>
      <c r="AK22" s="108">
        <f>COUNTIF(Novembre[[#This Row],[1]:[30]],"RTT")+(COUNTIF(Novembre[[#This Row],[1]:[30]],"dRTT")/2)</f>
        <v>0</v>
      </c>
      <c r="AL22" s="109">
        <f>COUNTIF(Novembre[[#This Row],[1]:[30]],"C")+(COUNTIF(Novembre[[#This Row],[1]:[30]],"DC")/2)</f>
        <v>0</v>
      </c>
      <c r="AM22" s="22">
        <f>COUNTIF(Novembre[[#This Row],[1]:[30]],"M")</f>
        <v>0</v>
      </c>
      <c r="AN22" s="22">
        <f>COUNTIF(Novembre[[#This Row],[1]:[30]],"AT")</f>
        <v>0</v>
      </c>
      <c r="AO22" s="84">
        <f>IF(AND(Novembre[[#This Row],[Maladie]]=0,Novembre[[#This Row],[AT]]=0),((10*(_xlfn.DAYS("30/11/2018","01/11/2018")+1))/365),((_xlfn.DAYS("30/11/2018","01/11/2018")+1-(Novembre[[#This Row],[Maladie]]+Novembre[[#This Row],[AT]]))*((10*(_xlfn.DAYS("30/11/2018","01/11/2018")+1))/365))/(_xlfn.DAYS("30/11/2018","01/11/2018")+1))</f>
        <v>0.82191780821917804</v>
      </c>
    </row>
    <row r="23" spans="1:41" ht="30" customHeight="1" x14ac:dyDescent="0.2">
      <c r="A23" s="13" t="s">
        <v>79</v>
      </c>
      <c r="B23" s="22" t="s">
        <v>174</v>
      </c>
      <c r="C23" s="22" t="s">
        <v>175</v>
      </c>
      <c r="D23" s="22" t="s">
        <v>176</v>
      </c>
      <c r="E23" s="44">
        <v>0</v>
      </c>
      <c r="F23" s="47" t="str">
        <f>Global!KX23</f>
        <v/>
      </c>
      <c r="G23" s="31" t="str">
        <f>Global!KY23</f>
        <v/>
      </c>
      <c r="H23" s="31" t="str">
        <f>Global!KZ23</f>
        <v/>
      </c>
      <c r="I23" s="31" t="str">
        <f>Global!LA23</f>
        <v/>
      </c>
      <c r="J23" s="31" t="str">
        <f>Global!LB23</f>
        <v/>
      </c>
      <c r="K23" s="31" t="str">
        <f>Global!LC23</f>
        <v/>
      </c>
      <c r="L23" s="31" t="str">
        <f>Global!LD23</f>
        <v/>
      </c>
      <c r="M23" s="31" t="str">
        <f>Global!LE23</f>
        <v/>
      </c>
      <c r="N23" s="31" t="str">
        <f>Global!LF23</f>
        <v/>
      </c>
      <c r="O23" s="31" t="str">
        <f>Global!LG23</f>
        <v/>
      </c>
      <c r="P23" s="31" t="str">
        <f>Global!LH23</f>
        <v/>
      </c>
      <c r="Q23" s="31" t="str">
        <f>Global!LI23</f>
        <v/>
      </c>
      <c r="R23" s="31" t="str">
        <f>Global!LJ23</f>
        <v/>
      </c>
      <c r="S23" s="31" t="str">
        <f>Global!LK23</f>
        <v/>
      </c>
      <c r="T23" s="31" t="str">
        <f>Global!LL23</f>
        <v/>
      </c>
      <c r="U23" s="31" t="str">
        <f>Global!LM23</f>
        <v/>
      </c>
      <c r="V23" s="31" t="str">
        <f>Global!LN23</f>
        <v/>
      </c>
      <c r="W23" s="31" t="str">
        <f>Global!LO23</f>
        <v/>
      </c>
      <c r="X23" s="31" t="str">
        <f>Global!LP23</f>
        <v/>
      </c>
      <c r="Y23" s="31" t="str">
        <f>Global!LQ23</f>
        <v/>
      </c>
      <c r="Z23" s="31" t="str">
        <f>Global!LR23</f>
        <v/>
      </c>
      <c r="AA23" s="31" t="str">
        <f>Global!LS23</f>
        <v/>
      </c>
      <c r="AB23" s="31" t="str">
        <f>Global!LT23</f>
        <v/>
      </c>
      <c r="AC23" s="31" t="str">
        <f>Global!LU23</f>
        <v/>
      </c>
      <c r="AD23" s="31" t="str">
        <f>Global!LV23</f>
        <v/>
      </c>
      <c r="AE23" s="31" t="str">
        <f>Global!LW23</f>
        <v/>
      </c>
      <c r="AF23" s="31" t="str">
        <f>Global!LX23</f>
        <v/>
      </c>
      <c r="AG23" s="31" t="str">
        <f>Global!LY23</f>
        <v/>
      </c>
      <c r="AH23" s="31" t="str">
        <f>Global!LZ23</f>
        <v/>
      </c>
      <c r="AI23" s="31" t="str">
        <f>Global!MA23</f>
        <v/>
      </c>
      <c r="AJ23" s="118"/>
      <c r="AK23" s="108">
        <f>COUNTIF(Novembre[[#This Row],[1]:[30]],"RTT")+(COUNTIF(Novembre[[#This Row],[1]:[30]],"dRTT")/2)</f>
        <v>0</v>
      </c>
      <c r="AL23" s="109">
        <f>COUNTIF(Novembre[[#This Row],[1]:[30]],"C")+(COUNTIF(Novembre[[#This Row],[1]:[30]],"DC")/2)</f>
        <v>0</v>
      </c>
      <c r="AM23" s="22">
        <f>COUNTIF(Novembre[[#This Row],[1]:[30]],"M")</f>
        <v>0</v>
      </c>
      <c r="AN23" s="22">
        <f>COUNTIF(Novembre[[#This Row],[1]:[30]],"AT")</f>
        <v>0</v>
      </c>
      <c r="AO23" s="84">
        <f>IF(AND(Novembre[[#This Row],[Maladie]]=0,Novembre[[#This Row],[AT]]=0),((10*(_xlfn.DAYS("30/11/2018","01/11/2018")+1))/365),((_xlfn.DAYS("30/11/2018","01/11/2018")+1-(Novembre[[#This Row],[Maladie]]+Novembre[[#This Row],[AT]]))*((10*(_xlfn.DAYS("30/11/2018","01/11/2018")+1))/365))/(_xlfn.DAYS("30/11/2018","01/11/2018")+1))</f>
        <v>0.82191780821917804</v>
      </c>
    </row>
    <row r="24" spans="1:41" ht="30" customHeight="1" x14ac:dyDescent="0.2">
      <c r="A24" s="15" t="s">
        <v>80</v>
      </c>
      <c r="B24" s="22" t="s">
        <v>177</v>
      </c>
      <c r="C24" s="22" t="s">
        <v>178</v>
      </c>
      <c r="D24" s="22" t="s">
        <v>179</v>
      </c>
      <c r="E24" s="44">
        <v>0</v>
      </c>
      <c r="F24" s="47" t="str">
        <f>Global!KX24</f>
        <v/>
      </c>
      <c r="G24" s="31" t="str">
        <f>Global!KY24</f>
        <v/>
      </c>
      <c r="H24" s="31" t="str">
        <f>Global!KZ24</f>
        <v/>
      </c>
      <c r="I24" s="31" t="str">
        <f>Global!LA24</f>
        <v/>
      </c>
      <c r="J24" s="31" t="str">
        <f>Global!LB24</f>
        <v/>
      </c>
      <c r="K24" s="31" t="str">
        <f>Global!LC24</f>
        <v/>
      </c>
      <c r="L24" s="31" t="str">
        <f>Global!LD24</f>
        <v/>
      </c>
      <c r="M24" s="31" t="str">
        <f>Global!LE24</f>
        <v/>
      </c>
      <c r="N24" s="31" t="str">
        <f>Global!LF24</f>
        <v/>
      </c>
      <c r="O24" s="31" t="str">
        <f>Global!LG24</f>
        <v/>
      </c>
      <c r="P24" s="31" t="str">
        <f>Global!LH24</f>
        <v/>
      </c>
      <c r="Q24" s="31" t="str">
        <f>Global!LI24</f>
        <v/>
      </c>
      <c r="R24" s="31" t="str">
        <f>Global!LJ24</f>
        <v/>
      </c>
      <c r="S24" s="31" t="str">
        <f>Global!LK24</f>
        <v/>
      </c>
      <c r="T24" s="31" t="str">
        <f>Global!LL24</f>
        <v/>
      </c>
      <c r="U24" s="31" t="str">
        <f>Global!LM24</f>
        <v/>
      </c>
      <c r="V24" s="31" t="str">
        <f>Global!LN24</f>
        <v/>
      </c>
      <c r="W24" s="31" t="str">
        <f>Global!LO24</f>
        <v/>
      </c>
      <c r="X24" s="31" t="str">
        <f>Global!LP24</f>
        <v/>
      </c>
      <c r="Y24" s="31" t="str">
        <f>Global!LQ24</f>
        <v/>
      </c>
      <c r="Z24" s="31" t="str">
        <f>Global!LR24</f>
        <v/>
      </c>
      <c r="AA24" s="31" t="str">
        <f>Global!LS24</f>
        <v/>
      </c>
      <c r="AB24" s="31" t="str">
        <f>Global!LT24</f>
        <v/>
      </c>
      <c r="AC24" s="31" t="str">
        <f>Global!LU24</f>
        <v/>
      </c>
      <c r="AD24" s="31" t="str">
        <f>Global!LV24</f>
        <v/>
      </c>
      <c r="AE24" s="31" t="str">
        <f>Global!LW24</f>
        <v/>
      </c>
      <c r="AF24" s="31" t="str">
        <f>Global!LX24</f>
        <v/>
      </c>
      <c r="AG24" s="31" t="str">
        <f>Global!LY24</f>
        <v/>
      </c>
      <c r="AH24" s="31" t="str">
        <f>Global!LZ24</f>
        <v/>
      </c>
      <c r="AI24" s="31" t="str">
        <f>Global!MA24</f>
        <v/>
      </c>
      <c r="AJ24" s="118"/>
      <c r="AK24" s="108">
        <f>COUNTIF(Novembre[[#This Row],[1]:[30]],"RTT")+(COUNTIF(Novembre[[#This Row],[1]:[30]],"dRTT")/2)</f>
        <v>0</v>
      </c>
      <c r="AL24" s="109">
        <f>COUNTIF(Novembre[[#This Row],[1]:[30]],"C")+(COUNTIF(Novembre[[#This Row],[1]:[30]],"DC")/2)</f>
        <v>0</v>
      </c>
      <c r="AM24" s="22">
        <f>COUNTIF(Novembre[[#This Row],[1]:[30]],"M")</f>
        <v>0</v>
      </c>
      <c r="AN24" s="22">
        <f>COUNTIF(Novembre[[#This Row],[1]:[30]],"AT")</f>
        <v>0</v>
      </c>
      <c r="AO24" s="84">
        <f>IF(AND(Novembre[[#This Row],[Maladie]]=0,Novembre[[#This Row],[AT]]=0),((10*(_xlfn.DAYS("30/11/2018","01/11/2018")+1))/365),((_xlfn.DAYS("30/11/2018","01/11/2018")+1-(Novembre[[#This Row],[Maladie]]+Novembre[[#This Row],[AT]]))*((10*(_xlfn.DAYS("30/11/2018","01/11/2018")+1))/365))/(_xlfn.DAYS("30/11/2018","01/11/2018")+1))</f>
        <v>0.82191780821917804</v>
      </c>
    </row>
    <row r="25" spans="1:41" ht="30" customHeight="1" x14ac:dyDescent="0.2">
      <c r="A25" s="15" t="s">
        <v>81</v>
      </c>
      <c r="B25" s="22" t="s">
        <v>180</v>
      </c>
      <c r="C25" s="22" t="s">
        <v>157</v>
      </c>
      <c r="D25" s="22" t="s">
        <v>181</v>
      </c>
      <c r="E25" s="44">
        <v>0</v>
      </c>
      <c r="F25" s="47" t="str">
        <f>Global!KX25</f>
        <v/>
      </c>
      <c r="G25" s="31" t="str">
        <f>Global!KY25</f>
        <v/>
      </c>
      <c r="H25" s="31" t="str">
        <f>Global!KZ25</f>
        <v/>
      </c>
      <c r="I25" s="31" t="str">
        <f>Global!LA25</f>
        <v/>
      </c>
      <c r="J25" s="31" t="str">
        <f>Global!LB25</f>
        <v/>
      </c>
      <c r="K25" s="31" t="str">
        <f>Global!LC25</f>
        <v/>
      </c>
      <c r="L25" s="31" t="str">
        <f>Global!LD25</f>
        <v/>
      </c>
      <c r="M25" s="31" t="str">
        <f>Global!LE25</f>
        <v/>
      </c>
      <c r="N25" s="31" t="str">
        <f>Global!LF25</f>
        <v/>
      </c>
      <c r="O25" s="31" t="str">
        <f>Global!LG25</f>
        <v/>
      </c>
      <c r="P25" s="31" t="str">
        <f>Global!LH25</f>
        <v/>
      </c>
      <c r="Q25" s="31" t="str">
        <f>Global!LI25</f>
        <v/>
      </c>
      <c r="R25" s="31" t="str">
        <f>Global!LJ25</f>
        <v/>
      </c>
      <c r="S25" s="31" t="str">
        <f>Global!LK25</f>
        <v/>
      </c>
      <c r="T25" s="31" t="str">
        <f>Global!LL25</f>
        <v/>
      </c>
      <c r="U25" s="31" t="str">
        <f>Global!LM25</f>
        <v/>
      </c>
      <c r="V25" s="31" t="str">
        <f>Global!LN25</f>
        <v/>
      </c>
      <c r="W25" s="31" t="str">
        <f>Global!LO25</f>
        <v/>
      </c>
      <c r="X25" s="31" t="str">
        <f>Global!LP25</f>
        <v/>
      </c>
      <c r="Y25" s="31" t="str">
        <f>Global!LQ25</f>
        <v/>
      </c>
      <c r="Z25" s="31" t="str">
        <f>Global!LR25</f>
        <v/>
      </c>
      <c r="AA25" s="31" t="str">
        <f>Global!LS25</f>
        <v/>
      </c>
      <c r="AB25" s="31" t="str">
        <f>Global!LT25</f>
        <v/>
      </c>
      <c r="AC25" s="31" t="str">
        <f>Global!LU25</f>
        <v/>
      </c>
      <c r="AD25" s="31" t="str">
        <f>Global!LV25</f>
        <v/>
      </c>
      <c r="AE25" s="31" t="str">
        <f>Global!LW25</f>
        <v/>
      </c>
      <c r="AF25" s="31" t="str">
        <f>Global!LX25</f>
        <v/>
      </c>
      <c r="AG25" s="31" t="str">
        <f>Global!LY25</f>
        <v/>
      </c>
      <c r="AH25" s="31" t="str">
        <f>Global!LZ25</f>
        <v/>
      </c>
      <c r="AI25" s="31" t="str">
        <f>Global!MA25</f>
        <v/>
      </c>
      <c r="AJ25" s="118"/>
      <c r="AK25" s="108">
        <f>COUNTIF(Novembre[[#This Row],[1]:[30]],"RTT")+(COUNTIF(Novembre[[#This Row],[1]:[30]],"dRTT")/2)</f>
        <v>0</v>
      </c>
      <c r="AL25" s="109">
        <f>COUNTIF(Novembre[[#This Row],[1]:[30]],"C")+(COUNTIF(Novembre[[#This Row],[1]:[30]],"DC")/2)</f>
        <v>0</v>
      </c>
      <c r="AM25" s="22">
        <f>COUNTIF(Novembre[[#This Row],[1]:[30]],"M")</f>
        <v>0</v>
      </c>
      <c r="AN25" s="22">
        <f>COUNTIF(Novembre[[#This Row],[1]:[30]],"AT")</f>
        <v>0</v>
      </c>
      <c r="AO25" s="84">
        <f>IF(AND(Novembre[[#This Row],[Maladie]]=0,Novembre[[#This Row],[AT]]=0),((10*(_xlfn.DAYS("30/11/2018","01/11/2018")+1))/365),((_xlfn.DAYS("30/11/2018","01/11/2018")+1-(Novembre[[#This Row],[Maladie]]+Novembre[[#This Row],[AT]]))*((10*(_xlfn.DAYS("30/11/2018","01/11/2018")+1))/365))/(_xlfn.DAYS("30/11/2018","01/11/2018")+1))</f>
        <v>0.82191780821917804</v>
      </c>
    </row>
    <row r="26" spans="1:41" ht="30" customHeight="1" x14ac:dyDescent="0.2">
      <c r="A26" s="15" t="s">
        <v>82</v>
      </c>
      <c r="B26" s="22" t="s">
        <v>182</v>
      </c>
      <c r="C26" s="22" t="s">
        <v>183</v>
      </c>
      <c r="D26" s="22" t="s">
        <v>184</v>
      </c>
      <c r="E26" s="44">
        <v>0</v>
      </c>
      <c r="F26" s="47" t="str">
        <f>Global!KX26</f>
        <v/>
      </c>
      <c r="G26" s="31" t="str">
        <f>Global!KY26</f>
        <v/>
      </c>
      <c r="H26" s="31" t="str">
        <f>Global!KZ26</f>
        <v/>
      </c>
      <c r="I26" s="31" t="str">
        <f>Global!LA26</f>
        <v/>
      </c>
      <c r="J26" s="31" t="str">
        <f>Global!LB26</f>
        <v/>
      </c>
      <c r="K26" s="31" t="str">
        <f>Global!LC26</f>
        <v/>
      </c>
      <c r="L26" s="31" t="str">
        <f>Global!LD26</f>
        <v/>
      </c>
      <c r="M26" s="31" t="str">
        <f>Global!LE26</f>
        <v/>
      </c>
      <c r="N26" s="31" t="str">
        <f>Global!LF26</f>
        <v/>
      </c>
      <c r="O26" s="31" t="str">
        <f>Global!LG26</f>
        <v/>
      </c>
      <c r="P26" s="31" t="str">
        <f>Global!LH26</f>
        <v/>
      </c>
      <c r="Q26" s="31" t="str">
        <f>Global!LI26</f>
        <v/>
      </c>
      <c r="R26" s="31" t="str">
        <f>Global!LJ26</f>
        <v/>
      </c>
      <c r="S26" s="31" t="str">
        <f>Global!LK26</f>
        <v/>
      </c>
      <c r="T26" s="31" t="str">
        <f>Global!LL26</f>
        <v/>
      </c>
      <c r="U26" s="31" t="str">
        <f>Global!LM26</f>
        <v/>
      </c>
      <c r="V26" s="31" t="str">
        <f>Global!LN26</f>
        <v/>
      </c>
      <c r="W26" s="31" t="str">
        <f>Global!LO26</f>
        <v/>
      </c>
      <c r="X26" s="31" t="str">
        <f>Global!LP26</f>
        <v/>
      </c>
      <c r="Y26" s="31" t="str">
        <f>Global!LQ26</f>
        <v/>
      </c>
      <c r="Z26" s="31" t="str">
        <f>Global!LR26</f>
        <v/>
      </c>
      <c r="AA26" s="31" t="str">
        <f>Global!LS26</f>
        <v/>
      </c>
      <c r="AB26" s="31" t="str">
        <f>Global!LT26</f>
        <v/>
      </c>
      <c r="AC26" s="31" t="str">
        <f>Global!LU26</f>
        <v/>
      </c>
      <c r="AD26" s="31" t="str">
        <f>Global!LV26</f>
        <v/>
      </c>
      <c r="AE26" s="31" t="str">
        <f>Global!LW26</f>
        <v/>
      </c>
      <c r="AF26" s="31" t="str">
        <f>Global!LX26</f>
        <v/>
      </c>
      <c r="AG26" s="31" t="str">
        <f>Global!LY26</f>
        <v/>
      </c>
      <c r="AH26" s="31" t="str">
        <f>Global!LZ26</f>
        <v/>
      </c>
      <c r="AI26" s="31" t="str">
        <f>Global!MA26</f>
        <v/>
      </c>
      <c r="AJ26" s="118"/>
      <c r="AK26" s="108">
        <f>COUNTIF(Novembre[[#This Row],[1]:[30]],"RTT")+(COUNTIF(Novembre[[#This Row],[1]:[30]],"dRTT")/2)</f>
        <v>0</v>
      </c>
      <c r="AL26" s="109">
        <f>COUNTIF(Novembre[[#This Row],[1]:[30]],"C")+(COUNTIF(Novembre[[#This Row],[1]:[30]],"DC")/2)</f>
        <v>0</v>
      </c>
      <c r="AM26" s="22">
        <f>COUNTIF(Novembre[[#This Row],[1]:[30]],"M")</f>
        <v>0</v>
      </c>
      <c r="AN26" s="22">
        <f>COUNTIF(Novembre[[#This Row],[1]:[30]],"AT")</f>
        <v>0</v>
      </c>
      <c r="AO26" s="84">
        <f>IF(AND(Novembre[[#This Row],[Maladie]]=0,Novembre[[#This Row],[AT]]=0),((10*(_xlfn.DAYS("30/11/2018","01/11/2018")+1))/365),((_xlfn.DAYS("30/11/2018","01/11/2018")+1-(Novembre[[#This Row],[Maladie]]+Novembre[[#This Row],[AT]]))*((10*(_xlfn.DAYS("30/11/2018","01/11/2018")+1))/365))/(_xlfn.DAYS("30/11/2018","01/11/2018")+1))</f>
        <v>0.82191780821917804</v>
      </c>
    </row>
    <row r="27" spans="1:41" ht="30" customHeight="1" x14ac:dyDescent="0.2">
      <c r="A27" s="15" t="s">
        <v>83</v>
      </c>
      <c r="B27" s="22" t="s">
        <v>185</v>
      </c>
      <c r="C27" s="22" t="s">
        <v>186</v>
      </c>
      <c r="D27" s="22" t="s">
        <v>187</v>
      </c>
      <c r="E27" s="44">
        <v>0</v>
      </c>
      <c r="F27" s="47" t="str">
        <f>Global!KX27</f>
        <v/>
      </c>
      <c r="G27" s="31" t="str">
        <f>Global!KY27</f>
        <v/>
      </c>
      <c r="H27" s="31" t="str">
        <f>Global!KZ27</f>
        <v/>
      </c>
      <c r="I27" s="31" t="str">
        <f>Global!LA27</f>
        <v/>
      </c>
      <c r="J27" s="31" t="str">
        <f>Global!LB27</f>
        <v/>
      </c>
      <c r="K27" s="31" t="str">
        <f>Global!LC27</f>
        <v/>
      </c>
      <c r="L27" s="31" t="str">
        <f>Global!LD27</f>
        <v/>
      </c>
      <c r="M27" s="31" t="str">
        <f>Global!LE27</f>
        <v/>
      </c>
      <c r="N27" s="31" t="str">
        <f>Global!LF27</f>
        <v/>
      </c>
      <c r="O27" s="31" t="str">
        <f>Global!LG27</f>
        <v/>
      </c>
      <c r="P27" s="31" t="str">
        <f>Global!LH27</f>
        <v/>
      </c>
      <c r="Q27" s="31" t="str">
        <f>Global!LI27</f>
        <v/>
      </c>
      <c r="R27" s="31" t="str">
        <f>Global!LJ27</f>
        <v/>
      </c>
      <c r="S27" s="31" t="str">
        <f>Global!LK27</f>
        <v/>
      </c>
      <c r="T27" s="31" t="str">
        <f>Global!LL27</f>
        <v/>
      </c>
      <c r="U27" s="31" t="str">
        <f>Global!LM27</f>
        <v/>
      </c>
      <c r="V27" s="31" t="str">
        <f>Global!LN27</f>
        <v/>
      </c>
      <c r="W27" s="31" t="str">
        <f>Global!LO27</f>
        <v/>
      </c>
      <c r="X27" s="31" t="str">
        <f>Global!LP27</f>
        <v/>
      </c>
      <c r="Y27" s="31" t="str">
        <f>Global!LQ27</f>
        <v/>
      </c>
      <c r="Z27" s="31" t="str">
        <f>Global!LR27</f>
        <v/>
      </c>
      <c r="AA27" s="31" t="str">
        <f>Global!LS27</f>
        <v/>
      </c>
      <c r="AB27" s="31" t="str">
        <f>Global!LT27</f>
        <v/>
      </c>
      <c r="AC27" s="31" t="str">
        <f>Global!LU27</f>
        <v/>
      </c>
      <c r="AD27" s="31" t="str">
        <f>Global!LV27</f>
        <v/>
      </c>
      <c r="AE27" s="31" t="str">
        <f>Global!LW27</f>
        <v/>
      </c>
      <c r="AF27" s="31" t="str">
        <f>Global!LX27</f>
        <v/>
      </c>
      <c r="AG27" s="31" t="str">
        <f>Global!LY27</f>
        <v/>
      </c>
      <c r="AH27" s="31" t="str">
        <f>Global!LZ27</f>
        <v/>
      </c>
      <c r="AI27" s="31" t="str">
        <f>Global!MA27</f>
        <v/>
      </c>
      <c r="AJ27" s="118"/>
      <c r="AK27" s="108">
        <f>COUNTIF(Novembre[[#This Row],[1]:[30]],"RTT")+(COUNTIF(Novembre[[#This Row],[1]:[30]],"dRTT")/2)</f>
        <v>0</v>
      </c>
      <c r="AL27" s="109">
        <f>COUNTIF(Novembre[[#This Row],[1]:[30]],"C")+(COUNTIF(Novembre[[#This Row],[1]:[30]],"DC")/2)</f>
        <v>0</v>
      </c>
      <c r="AM27" s="22">
        <f>COUNTIF(Novembre[[#This Row],[1]:[30]],"M")</f>
        <v>0</v>
      </c>
      <c r="AN27" s="22">
        <f>COUNTIF(Novembre[[#This Row],[1]:[30]],"AT")</f>
        <v>0</v>
      </c>
      <c r="AO27" s="84">
        <f>IF(AND(Novembre[[#This Row],[Maladie]]=0,Novembre[[#This Row],[AT]]=0),((10*(_xlfn.DAYS("30/11/2018","01/11/2018")+1))/365),((_xlfn.DAYS("30/11/2018","01/11/2018")+1-(Novembre[[#This Row],[Maladie]]+Novembre[[#This Row],[AT]]))*((10*(_xlfn.DAYS("30/11/2018","01/11/2018")+1))/365))/(_xlfn.DAYS("30/11/2018","01/11/2018")+1))</f>
        <v>0.82191780821917804</v>
      </c>
    </row>
    <row r="28" spans="1:41" ht="30" customHeight="1" x14ac:dyDescent="0.2">
      <c r="A28" s="15" t="s">
        <v>84</v>
      </c>
      <c r="B28" s="22" t="s">
        <v>188</v>
      </c>
      <c r="C28" s="22" t="s">
        <v>189</v>
      </c>
      <c r="D28" s="22" t="s">
        <v>190</v>
      </c>
      <c r="E28" s="44">
        <v>0</v>
      </c>
      <c r="F28" s="47" t="str">
        <f>Global!KX28</f>
        <v/>
      </c>
      <c r="G28" s="31" t="str">
        <f>Global!KY28</f>
        <v/>
      </c>
      <c r="H28" s="31" t="str">
        <f>Global!KZ28</f>
        <v/>
      </c>
      <c r="I28" s="31" t="str">
        <f>Global!LA28</f>
        <v/>
      </c>
      <c r="J28" s="31" t="str">
        <f>Global!LB28</f>
        <v/>
      </c>
      <c r="K28" s="31" t="str">
        <f>Global!LC28</f>
        <v/>
      </c>
      <c r="L28" s="31" t="str">
        <f>Global!LD28</f>
        <v/>
      </c>
      <c r="M28" s="31" t="str">
        <f>Global!LE28</f>
        <v/>
      </c>
      <c r="N28" s="31" t="str">
        <f>Global!LF28</f>
        <v/>
      </c>
      <c r="O28" s="31" t="str">
        <f>Global!LG28</f>
        <v/>
      </c>
      <c r="P28" s="31" t="str">
        <f>Global!LH28</f>
        <v/>
      </c>
      <c r="Q28" s="31" t="str">
        <f>Global!LI28</f>
        <v/>
      </c>
      <c r="R28" s="31" t="str">
        <f>Global!LJ28</f>
        <v/>
      </c>
      <c r="S28" s="31" t="str">
        <f>Global!LK28</f>
        <v/>
      </c>
      <c r="T28" s="31" t="str">
        <f>Global!LL28</f>
        <v/>
      </c>
      <c r="U28" s="31" t="str">
        <f>Global!LM28</f>
        <v/>
      </c>
      <c r="V28" s="31" t="str">
        <f>Global!LN28</f>
        <v/>
      </c>
      <c r="W28" s="31" t="str">
        <f>Global!LO28</f>
        <v/>
      </c>
      <c r="X28" s="31" t="str">
        <f>Global!LP28</f>
        <v/>
      </c>
      <c r="Y28" s="31" t="str">
        <f>Global!LQ28</f>
        <v/>
      </c>
      <c r="Z28" s="31" t="str">
        <f>Global!LR28</f>
        <v/>
      </c>
      <c r="AA28" s="31" t="str">
        <f>Global!LS28</f>
        <v/>
      </c>
      <c r="AB28" s="31" t="str">
        <f>Global!LT28</f>
        <v/>
      </c>
      <c r="AC28" s="31" t="str">
        <f>Global!LU28</f>
        <v/>
      </c>
      <c r="AD28" s="31" t="str">
        <f>Global!LV28</f>
        <v/>
      </c>
      <c r="AE28" s="31" t="str">
        <f>Global!LW28</f>
        <v/>
      </c>
      <c r="AF28" s="31" t="str">
        <f>Global!LX28</f>
        <v/>
      </c>
      <c r="AG28" s="31" t="str">
        <f>Global!LY28</f>
        <v/>
      </c>
      <c r="AH28" s="31" t="str">
        <f>Global!LZ28</f>
        <v/>
      </c>
      <c r="AI28" s="31" t="str">
        <f>Global!MA28</f>
        <v/>
      </c>
      <c r="AJ28" s="118"/>
      <c r="AK28" s="108">
        <f>COUNTIF(Novembre[[#This Row],[1]:[30]],"RTT")+(COUNTIF(Novembre[[#This Row],[1]:[30]],"dRTT")/2)</f>
        <v>0</v>
      </c>
      <c r="AL28" s="109">
        <f>COUNTIF(Novembre[[#This Row],[1]:[30]],"C")+(COUNTIF(Novembre[[#This Row],[1]:[30]],"DC")/2)</f>
        <v>0</v>
      </c>
      <c r="AM28" s="22">
        <f>COUNTIF(Novembre[[#This Row],[1]:[30]],"M")</f>
        <v>0</v>
      </c>
      <c r="AN28" s="22">
        <f>COUNTIF(Novembre[[#This Row],[1]:[30]],"AT")</f>
        <v>0</v>
      </c>
      <c r="AO28" s="84">
        <f>IF(AND(Novembre[[#This Row],[Maladie]]=0,Novembre[[#This Row],[AT]]=0),((10*(_xlfn.DAYS("30/11/2018","01/11/2018")+1))/365),((_xlfn.DAYS("30/11/2018","01/11/2018")+1-(Novembre[[#This Row],[Maladie]]+Novembre[[#This Row],[AT]]))*((10*(_xlfn.DAYS("30/11/2018","01/11/2018")+1))/365))/(_xlfn.DAYS("30/11/2018","01/11/2018")+1))</f>
        <v>0.82191780821917804</v>
      </c>
    </row>
    <row r="29" spans="1:41" ht="30" customHeight="1" x14ac:dyDescent="0.2">
      <c r="A29" s="15" t="s">
        <v>85</v>
      </c>
      <c r="B29" s="22" t="s">
        <v>191</v>
      </c>
      <c r="C29" s="22" t="s">
        <v>192</v>
      </c>
      <c r="D29" s="22" t="s">
        <v>193</v>
      </c>
      <c r="E29" s="44">
        <v>0</v>
      </c>
      <c r="F29" s="47" t="str">
        <f>Global!KX29</f>
        <v/>
      </c>
      <c r="G29" s="31" t="str">
        <f>Global!KY29</f>
        <v/>
      </c>
      <c r="H29" s="31" t="str">
        <f>Global!KZ29</f>
        <v/>
      </c>
      <c r="I29" s="31" t="str">
        <f>Global!LA29</f>
        <v/>
      </c>
      <c r="J29" s="31" t="str">
        <f>Global!LB29</f>
        <v/>
      </c>
      <c r="K29" s="31" t="str">
        <f>Global!LC29</f>
        <v/>
      </c>
      <c r="L29" s="31" t="str">
        <f>Global!LD29</f>
        <v/>
      </c>
      <c r="M29" s="31" t="str">
        <f>Global!LE29</f>
        <v/>
      </c>
      <c r="N29" s="31" t="str">
        <f>Global!LF29</f>
        <v/>
      </c>
      <c r="O29" s="31" t="str">
        <f>Global!LG29</f>
        <v/>
      </c>
      <c r="P29" s="31" t="str">
        <f>Global!LH29</f>
        <v/>
      </c>
      <c r="Q29" s="31" t="str">
        <f>Global!LI29</f>
        <v/>
      </c>
      <c r="R29" s="31" t="str">
        <f>Global!LJ29</f>
        <v/>
      </c>
      <c r="S29" s="31" t="str">
        <f>Global!LK29</f>
        <v/>
      </c>
      <c r="T29" s="31" t="str">
        <f>Global!LL29</f>
        <v/>
      </c>
      <c r="U29" s="31" t="str">
        <f>Global!LM29</f>
        <v/>
      </c>
      <c r="V29" s="31" t="str">
        <f>Global!LN29</f>
        <v/>
      </c>
      <c r="W29" s="31" t="str">
        <f>Global!LO29</f>
        <v/>
      </c>
      <c r="X29" s="31" t="str">
        <f>Global!LP29</f>
        <v/>
      </c>
      <c r="Y29" s="31" t="str">
        <f>Global!LQ29</f>
        <v/>
      </c>
      <c r="Z29" s="31" t="str">
        <f>Global!LR29</f>
        <v/>
      </c>
      <c r="AA29" s="31" t="str">
        <f>Global!LS29</f>
        <v/>
      </c>
      <c r="AB29" s="31" t="str">
        <f>Global!LT29</f>
        <v/>
      </c>
      <c r="AC29" s="31" t="str">
        <f>Global!LU29</f>
        <v/>
      </c>
      <c r="AD29" s="31" t="str">
        <f>Global!LV29</f>
        <v/>
      </c>
      <c r="AE29" s="31" t="str">
        <f>Global!LW29</f>
        <v/>
      </c>
      <c r="AF29" s="31" t="str">
        <f>Global!LX29</f>
        <v/>
      </c>
      <c r="AG29" s="31" t="str">
        <f>Global!LY29</f>
        <v/>
      </c>
      <c r="AH29" s="31" t="str">
        <f>Global!LZ29</f>
        <v/>
      </c>
      <c r="AI29" s="31" t="str">
        <f>Global!MA29</f>
        <v/>
      </c>
      <c r="AJ29" s="118"/>
      <c r="AK29" s="108">
        <f>COUNTIF(Novembre[[#This Row],[1]:[30]],"RTT")+(COUNTIF(Novembre[[#This Row],[1]:[30]],"dRTT")/2)</f>
        <v>0</v>
      </c>
      <c r="AL29" s="109">
        <f>COUNTIF(Novembre[[#This Row],[1]:[30]],"C")+(COUNTIF(Novembre[[#This Row],[1]:[30]],"DC")/2)</f>
        <v>0</v>
      </c>
      <c r="AM29" s="22">
        <f>COUNTIF(Novembre[[#This Row],[1]:[30]],"M")</f>
        <v>0</v>
      </c>
      <c r="AN29" s="22">
        <f>COUNTIF(Novembre[[#This Row],[1]:[30]],"AT")</f>
        <v>0</v>
      </c>
      <c r="AO29" s="84">
        <f>IF(AND(Novembre[[#This Row],[Maladie]]=0,Novembre[[#This Row],[AT]]=0),((10*(_xlfn.DAYS("30/11/2018","01/11/2018")+1))/365),((_xlfn.DAYS("30/11/2018","01/11/2018")+1-(Novembre[[#This Row],[Maladie]]+Novembre[[#This Row],[AT]]))*((10*(_xlfn.DAYS("30/11/2018","01/11/2018")+1))/365))/(_xlfn.DAYS("30/11/2018","01/11/2018")+1))</f>
        <v>0.82191780821917804</v>
      </c>
    </row>
    <row r="30" spans="1:41" ht="30" customHeight="1" x14ac:dyDescent="0.2">
      <c r="A30" s="15" t="s">
        <v>86</v>
      </c>
      <c r="B30" s="22" t="s">
        <v>194</v>
      </c>
      <c r="C30" s="22" t="s">
        <v>192</v>
      </c>
      <c r="D30" s="22" t="s">
        <v>195</v>
      </c>
      <c r="E30" s="44" t="s">
        <v>162</v>
      </c>
      <c r="F30" s="47" t="str">
        <f>Global!KX30</f>
        <v/>
      </c>
      <c r="G30" s="31" t="str">
        <f>Global!KY30</f>
        <v/>
      </c>
      <c r="H30" s="31" t="str">
        <f>Global!KZ30</f>
        <v/>
      </c>
      <c r="I30" s="31" t="str">
        <f>Global!LA30</f>
        <v/>
      </c>
      <c r="J30" s="31" t="str">
        <f>Global!LB30</f>
        <v/>
      </c>
      <c r="K30" s="31" t="str">
        <f>Global!LC30</f>
        <v/>
      </c>
      <c r="L30" s="31" t="str">
        <f>Global!LD30</f>
        <v/>
      </c>
      <c r="M30" s="31" t="str">
        <f>Global!LE30</f>
        <v/>
      </c>
      <c r="N30" s="31" t="str">
        <f>Global!LF30</f>
        <v/>
      </c>
      <c r="O30" s="31" t="str">
        <f>Global!LG30</f>
        <v/>
      </c>
      <c r="P30" s="31" t="str">
        <f>Global!LH30</f>
        <v/>
      </c>
      <c r="Q30" s="31" t="str">
        <f>Global!LI30</f>
        <v/>
      </c>
      <c r="R30" s="31" t="str">
        <f>Global!LJ30</f>
        <v/>
      </c>
      <c r="S30" s="31" t="str">
        <f>Global!LK30</f>
        <v/>
      </c>
      <c r="T30" s="31" t="str">
        <f>Global!LL30</f>
        <v/>
      </c>
      <c r="U30" s="31" t="str">
        <f>Global!LM30</f>
        <v/>
      </c>
      <c r="V30" s="31" t="str">
        <f>Global!LN30</f>
        <v/>
      </c>
      <c r="W30" s="31" t="str">
        <f>Global!LO30</f>
        <v/>
      </c>
      <c r="X30" s="31" t="str">
        <f>Global!LP30</f>
        <v/>
      </c>
      <c r="Y30" s="31" t="str">
        <f>Global!LQ30</f>
        <v/>
      </c>
      <c r="Z30" s="31" t="str">
        <f>Global!LR30</f>
        <v/>
      </c>
      <c r="AA30" s="31" t="str">
        <f>Global!LS30</f>
        <v/>
      </c>
      <c r="AB30" s="31" t="str">
        <f>Global!LT30</f>
        <v/>
      </c>
      <c r="AC30" s="31" t="str">
        <f>Global!LU30</f>
        <v/>
      </c>
      <c r="AD30" s="31" t="str">
        <f>Global!LV30</f>
        <v/>
      </c>
      <c r="AE30" s="31" t="str">
        <f>Global!LW30</f>
        <v/>
      </c>
      <c r="AF30" s="31" t="str">
        <f>Global!LX30</f>
        <v/>
      </c>
      <c r="AG30" s="31" t="str">
        <f>Global!LY30</f>
        <v/>
      </c>
      <c r="AH30" s="31" t="str">
        <f>Global!LZ30</f>
        <v/>
      </c>
      <c r="AI30" s="31" t="str">
        <f>Global!MA30</f>
        <v/>
      </c>
      <c r="AJ30" s="118"/>
      <c r="AK30" s="108">
        <f>COUNTIF(Novembre[[#This Row],[1]:[30]],"RTT")+(COUNTIF(Novembre[[#This Row],[1]:[30]],"dRTT")/2)</f>
        <v>0</v>
      </c>
      <c r="AL30" s="109">
        <f>COUNTIF(Novembre[[#This Row],[1]:[30]],"C")+(COUNTIF(Novembre[[#This Row],[1]:[30]],"DC")/2)</f>
        <v>0</v>
      </c>
      <c r="AM30" s="22">
        <f>COUNTIF(Novembre[[#This Row],[1]:[30]],"M")</f>
        <v>0</v>
      </c>
      <c r="AN30" s="22">
        <f>COUNTIF(Novembre[[#This Row],[1]:[30]],"AT")</f>
        <v>0</v>
      </c>
      <c r="AO30" s="84">
        <f>IF(AND(Novembre[[#This Row],[Maladie]]=0,Novembre[[#This Row],[AT]]=0),((10*(_xlfn.DAYS("30/11/2018","01/11/2018")+1))/365),((_xlfn.DAYS("30/11/2018","01/11/2018")+1-(Novembre[[#This Row],[Maladie]]+Novembre[[#This Row],[AT]]))*((10*(_xlfn.DAYS("30/11/2018","01/11/2018")+1))/365))/(_xlfn.DAYS("30/11/2018","01/11/2018")+1))</f>
        <v>0.82191780821917804</v>
      </c>
    </row>
    <row r="31" spans="1:41" ht="30" customHeight="1" x14ac:dyDescent="0.2">
      <c r="A31" s="15" t="s">
        <v>87</v>
      </c>
      <c r="B31" s="22" t="s">
        <v>196</v>
      </c>
      <c r="C31" s="22" t="s">
        <v>197</v>
      </c>
      <c r="D31" s="22" t="s">
        <v>198</v>
      </c>
      <c r="E31" s="44" t="s">
        <v>162</v>
      </c>
      <c r="F31" s="47" t="str">
        <f>Global!KX31</f>
        <v/>
      </c>
      <c r="G31" s="31" t="str">
        <f>Global!KY31</f>
        <v/>
      </c>
      <c r="H31" s="31" t="str">
        <f>Global!KZ31</f>
        <v/>
      </c>
      <c r="I31" s="31" t="str">
        <f>Global!LA31</f>
        <v/>
      </c>
      <c r="J31" s="31" t="str">
        <f>Global!LB31</f>
        <v/>
      </c>
      <c r="K31" s="31" t="str">
        <f>Global!LC31</f>
        <v/>
      </c>
      <c r="L31" s="31" t="str">
        <f>Global!LD31</f>
        <v/>
      </c>
      <c r="M31" s="31" t="str">
        <f>Global!LE31</f>
        <v/>
      </c>
      <c r="N31" s="31" t="str">
        <f>Global!LF31</f>
        <v/>
      </c>
      <c r="O31" s="31" t="str">
        <f>Global!LG31</f>
        <v/>
      </c>
      <c r="P31" s="31" t="str">
        <f>Global!LH31</f>
        <v/>
      </c>
      <c r="Q31" s="31" t="str">
        <f>Global!LI31</f>
        <v/>
      </c>
      <c r="R31" s="31" t="str">
        <f>Global!LJ31</f>
        <v/>
      </c>
      <c r="S31" s="31" t="str">
        <f>Global!LK31</f>
        <v/>
      </c>
      <c r="T31" s="31" t="str">
        <f>Global!LL31</f>
        <v/>
      </c>
      <c r="U31" s="31" t="str">
        <f>Global!LM31</f>
        <v/>
      </c>
      <c r="V31" s="31" t="str">
        <f>Global!LN31</f>
        <v/>
      </c>
      <c r="W31" s="31" t="str">
        <f>Global!LO31</f>
        <v/>
      </c>
      <c r="X31" s="31" t="str">
        <f>Global!LP31</f>
        <v/>
      </c>
      <c r="Y31" s="31" t="str">
        <f>Global!LQ31</f>
        <v/>
      </c>
      <c r="Z31" s="31" t="str">
        <f>Global!LR31</f>
        <v/>
      </c>
      <c r="AA31" s="31" t="str">
        <f>Global!LS31</f>
        <v/>
      </c>
      <c r="AB31" s="31" t="str">
        <f>Global!LT31</f>
        <v/>
      </c>
      <c r="AC31" s="31" t="str">
        <f>Global!LU31</f>
        <v/>
      </c>
      <c r="AD31" s="31" t="str">
        <f>Global!LV31</f>
        <v/>
      </c>
      <c r="AE31" s="31" t="str">
        <f>Global!LW31</f>
        <v/>
      </c>
      <c r="AF31" s="31" t="str">
        <f>Global!LX31</f>
        <v/>
      </c>
      <c r="AG31" s="31" t="str">
        <f>Global!LY31</f>
        <v/>
      </c>
      <c r="AH31" s="31" t="str">
        <f>Global!LZ31</f>
        <v/>
      </c>
      <c r="AI31" s="31" t="str">
        <f>Global!MA31</f>
        <v/>
      </c>
      <c r="AJ31" s="118"/>
      <c r="AK31" s="108">
        <f>COUNTIF(Novembre[[#This Row],[1]:[30]],"RTT")+(COUNTIF(Novembre[[#This Row],[1]:[30]],"dRTT")/2)</f>
        <v>0</v>
      </c>
      <c r="AL31" s="109">
        <f>COUNTIF(Novembre[[#This Row],[1]:[30]],"C")+(COUNTIF(Novembre[[#This Row],[1]:[30]],"DC")/2)</f>
        <v>0</v>
      </c>
      <c r="AM31" s="22">
        <f>COUNTIF(Novembre[[#This Row],[1]:[30]],"M")</f>
        <v>0</v>
      </c>
      <c r="AN31" s="22">
        <f>COUNTIF(Novembre[[#This Row],[1]:[30]],"AT")</f>
        <v>0</v>
      </c>
      <c r="AO31" s="84">
        <f>IF(AND(Novembre[[#This Row],[Maladie]]=0,Novembre[[#This Row],[AT]]=0),((10*(_xlfn.DAYS("30/11/2018","01/11/2018")+1))/365),((_xlfn.DAYS("30/11/2018","01/11/2018")+1-(Novembre[[#This Row],[Maladie]]+Novembre[[#This Row],[AT]]))*((10*(_xlfn.DAYS("30/11/2018","01/11/2018")+1))/365))/(_xlfn.DAYS("30/11/2018","01/11/2018")+1))</f>
        <v>0.82191780821917804</v>
      </c>
    </row>
    <row r="32" spans="1:41" ht="30" customHeight="1" x14ac:dyDescent="0.2">
      <c r="A32" s="15" t="s">
        <v>88</v>
      </c>
      <c r="B32" s="22" t="s">
        <v>199</v>
      </c>
      <c r="C32" s="22" t="s">
        <v>200</v>
      </c>
      <c r="D32" s="22" t="s">
        <v>201</v>
      </c>
      <c r="E32" s="44">
        <v>0</v>
      </c>
      <c r="F32" s="47" t="str">
        <f>Global!KX32</f>
        <v/>
      </c>
      <c r="G32" s="31" t="str">
        <f>Global!KY32</f>
        <v/>
      </c>
      <c r="H32" s="31" t="str">
        <f>Global!KZ32</f>
        <v/>
      </c>
      <c r="I32" s="31" t="str">
        <f>Global!LA32</f>
        <v/>
      </c>
      <c r="J32" s="31" t="str">
        <f>Global!LB32</f>
        <v/>
      </c>
      <c r="K32" s="31" t="str">
        <f>Global!LC32</f>
        <v/>
      </c>
      <c r="L32" s="31" t="str">
        <f>Global!LD32</f>
        <v/>
      </c>
      <c r="M32" s="31" t="str">
        <f>Global!LE32</f>
        <v/>
      </c>
      <c r="N32" s="31" t="str">
        <f>Global!LF32</f>
        <v/>
      </c>
      <c r="O32" s="31" t="str">
        <f>Global!LG32</f>
        <v/>
      </c>
      <c r="P32" s="31" t="str">
        <f>Global!LH32</f>
        <v/>
      </c>
      <c r="Q32" s="31" t="str">
        <f>Global!LI32</f>
        <v/>
      </c>
      <c r="R32" s="31" t="str">
        <f>Global!LJ32</f>
        <v/>
      </c>
      <c r="S32" s="31" t="str">
        <f>Global!LK32</f>
        <v/>
      </c>
      <c r="T32" s="31" t="str">
        <f>Global!LL32</f>
        <v/>
      </c>
      <c r="U32" s="31" t="str">
        <f>Global!LM32</f>
        <v/>
      </c>
      <c r="V32" s="31" t="str">
        <f>Global!LN32</f>
        <v/>
      </c>
      <c r="W32" s="31" t="str">
        <f>Global!LO32</f>
        <v/>
      </c>
      <c r="X32" s="31" t="str">
        <f>Global!LP32</f>
        <v/>
      </c>
      <c r="Y32" s="31" t="str">
        <f>Global!LQ32</f>
        <v/>
      </c>
      <c r="Z32" s="31" t="str">
        <f>Global!LR32</f>
        <v/>
      </c>
      <c r="AA32" s="31" t="str">
        <f>Global!LS32</f>
        <v/>
      </c>
      <c r="AB32" s="31" t="str">
        <f>Global!LT32</f>
        <v/>
      </c>
      <c r="AC32" s="31" t="str">
        <f>Global!LU32</f>
        <v/>
      </c>
      <c r="AD32" s="31" t="str">
        <f>Global!LV32</f>
        <v/>
      </c>
      <c r="AE32" s="31" t="str">
        <f>Global!LW32</f>
        <v/>
      </c>
      <c r="AF32" s="31" t="str">
        <f>Global!LX32</f>
        <v/>
      </c>
      <c r="AG32" s="31" t="str">
        <f>Global!LY32</f>
        <v/>
      </c>
      <c r="AH32" s="31" t="str">
        <f>Global!LZ32</f>
        <v/>
      </c>
      <c r="AI32" s="31" t="str">
        <f>Global!MA32</f>
        <v/>
      </c>
      <c r="AJ32" s="118"/>
      <c r="AK32" s="108">
        <f>COUNTIF(Novembre[[#This Row],[1]:[30]],"RTT")+(COUNTIF(Novembre[[#This Row],[1]:[30]],"dRTT")/2)</f>
        <v>0</v>
      </c>
      <c r="AL32" s="109">
        <f>COUNTIF(Novembre[[#This Row],[1]:[30]],"C")+(COUNTIF(Novembre[[#This Row],[1]:[30]],"DC")/2)</f>
        <v>0</v>
      </c>
      <c r="AM32" s="22">
        <f>COUNTIF(Novembre[[#This Row],[1]:[30]],"M")</f>
        <v>0</v>
      </c>
      <c r="AN32" s="22">
        <f>COUNTIF(Novembre[[#This Row],[1]:[30]],"AT")</f>
        <v>0</v>
      </c>
      <c r="AO32" s="84">
        <f>IF(AND(Novembre[[#This Row],[Maladie]]=0,Novembre[[#This Row],[AT]]=0),((10*(_xlfn.DAYS("30/11/2018","01/11/2018")+1))/365),((_xlfn.DAYS("30/11/2018","01/11/2018")+1-(Novembre[[#This Row],[Maladie]]+Novembre[[#This Row],[AT]]))*((10*(_xlfn.DAYS("30/11/2018","01/11/2018")+1))/365))/(_xlfn.DAYS("30/11/2018","01/11/2018")+1))</f>
        <v>0.82191780821917804</v>
      </c>
    </row>
    <row r="33" spans="1:41" ht="30" customHeight="1" x14ac:dyDescent="0.2">
      <c r="A33" s="13" t="s">
        <v>89</v>
      </c>
      <c r="B33" s="22" t="s">
        <v>202</v>
      </c>
      <c r="C33" s="22" t="s">
        <v>172</v>
      </c>
      <c r="D33" s="22" t="s">
        <v>203</v>
      </c>
      <c r="E33" s="44">
        <v>0</v>
      </c>
      <c r="F33" s="47" t="str">
        <f>Global!KX33</f>
        <v/>
      </c>
      <c r="G33" s="31" t="str">
        <f>Global!KY33</f>
        <v/>
      </c>
      <c r="H33" s="31" t="str">
        <f>Global!KZ33</f>
        <v/>
      </c>
      <c r="I33" s="31" t="str">
        <f>Global!LA33</f>
        <v/>
      </c>
      <c r="J33" s="31" t="str">
        <f>Global!LB33</f>
        <v/>
      </c>
      <c r="K33" s="31" t="str">
        <f>Global!LC33</f>
        <v/>
      </c>
      <c r="L33" s="31" t="str">
        <f>Global!LD33</f>
        <v/>
      </c>
      <c r="M33" s="31" t="str">
        <f>Global!LE33</f>
        <v/>
      </c>
      <c r="N33" s="31" t="str">
        <f>Global!LF33</f>
        <v/>
      </c>
      <c r="O33" s="31" t="str">
        <f>Global!LG33</f>
        <v/>
      </c>
      <c r="P33" s="31" t="str">
        <f>Global!LH33</f>
        <v/>
      </c>
      <c r="Q33" s="31" t="str">
        <f>Global!LI33</f>
        <v/>
      </c>
      <c r="R33" s="31" t="str">
        <f>Global!LJ33</f>
        <v/>
      </c>
      <c r="S33" s="31" t="str">
        <f>Global!LK33</f>
        <v/>
      </c>
      <c r="T33" s="31" t="str">
        <f>Global!LL33</f>
        <v/>
      </c>
      <c r="U33" s="31" t="str">
        <f>Global!LM33</f>
        <v/>
      </c>
      <c r="V33" s="31" t="str">
        <f>Global!LN33</f>
        <v/>
      </c>
      <c r="W33" s="31" t="str">
        <f>Global!LO33</f>
        <v/>
      </c>
      <c r="X33" s="31" t="str">
        <f>Global!LP33</f>
        <v/>
      </c>
      <c r="Y33" s="31" t="str">
        <f>Global!LQ33</f>
        <v/>
      </c>
      <c r="Z33" s="31" t="str">
        <f>Global!LR33</f>
        <v/>
      </c>
      <c r="AA33" s="31" t="str">
        <f>Global!LS33</f>
        <v/>
      </c>
      <c r="AB33" s="31" t="str">
        <f>Global!LT33</f>
        <v/>
      </c>
      <c r="AC33" s="31" t="str">
        <f>Global!LU33</f>
        <v/>
      </c>
      <c r="AD33" s="31" t="str">
        <f>Global!LV33</f>
        <v/>
      </c>
      <c r="AE33" s="31" t="str">
        <f>Global!LW33</f>
        <v/>
      </c>
      <c r="AF33" s="31" t="str">
        <f>Global!LX33</f>
        <v/>
      </c>
      <c r="AG33" s="31" t="str">
        <f>Global!LY33</f>
        <v/>
      </c>
      <c r="AH33" s="31" t="str">
        <f>Global!LZ33</f>
        <v/>
      </c>
      <c r="AI33" s="31" t="str">
        <f>Global!MA33</f>
        <v/>
      </c>
      <c r="AJ33" s="118"/>
      <c r="AK33" s="108">
        <f>COUNTIF(Novembre[[#This Row],[1]:[30]],"RTT")+(COUNTIF(Novembre[[#This Row],[1]:[30]],"dRTT")/2)</f>
        <v>0</v>
      </c>
      <c r="AL33" s="109">
        <f>COUNTIF(Novembre[[#This Row],[1]:[30]],"C")+(COUNTIF(Novembre[[#This Row],[1]:[30]],"DC")/2)</f>
        <v>0</v>
      </c>
      <c r="AM33" s="22">
        <f>COUNTIF(Novembre[[#This Row],[1]:[30]],"M")</f>
        <v>0</v>
      </c>
      <c r="AN33" s="22">
        <f>COUNTIF(Novembre[[#This Row],[1]:[30]],"AT")</f>
        <v>0</v>
      </c>
      <c r="AO33" s="84">
        <f>IF(AND(Novembre[[#This Row],[Maladie]]=0,Novembre[[#This Row],[AT]]=0),((10*(_xlfn.DAYS("30/11/2018","01/11/2018")+1))/365),((_xlfn.DAYS("30/11/2018","01/11/2018")+1-(Novembre[[#This Row],[Maladie]]+Novembre[[#This Row],[AT]]))*((10*(_xlfn.DAYS("30/11/2018","01/11/2018")+1))/365))/(_xlfn.DAYS("30/11/2018","01/11/2018")+1))</f>
        <v>0.82191780821917804</v>
      </c>
    </row>
    <row r="34" spans="1:41" ht="30" customHeight="1" x14ac:dyDescent="0.2">
      <c r="A34" s="13" t="s">
        <v>90</v>
      </c>
      <c r="B34" s="22" t="s">
        <v>204</v>
      </c>
      <c r="C34" s="22" t="s">
        <v>205</v>
      </c>
      <c r="D34" s="22" t="s">
        <v>206</v>
      </c>
      <c r="E34" s="44" t="s">
        <v>162</v>
      </c>
      <c r="F34" s="47" t="str">
        <f>Global!KX34</f>
        <v/>
      </c>
      <c r="G34" s="31" t="str">
        <f>Global!KY34</f>
        <v/>
      </c>
      <c r="H34" s="31" t="str">
        <f>Global!KZ34</f>
        <v/>
      </c>
      <c r="I34" s="31" t="str">
        <f>Global!LA34</f>
        <v/>
      </c>
      <c r="J34" s="31" t="str">
        <f>Global!LB34</f>
        <v/>
      </c>
      <c r="K34" s="31" t="str">
        <f>Global!LC34</f>
        <v/>
      </c>
      <c r="L34" s="31" t="str">
        <f>Global!LD34</f>
        <v/>
      </c>
      <c r="M34" s="31" t="str">
        <f>Global!LE34</f>
        <v/>
      </c>
      <c r="N34" s="31" t="str">
        <f>Global!LF34</f>
        <v/>
      </c>
      <c r="O34" s="31" t="str">
        <f>Global!LG34</f>
        <v/>
      </c>
      <c r="P34" s="31" t="str">
        <f>Global!LH34</f>
        <v/>
      </c>
      <c r="Q34" s="31" t="str">
        <f>Global!LI34</f>
        <v/>
      </c>
      <c r="R34" s="31" t="str">
        <f>Global!LJ34</f>
        <v/>
      </c>
      <c r="S34" s="31" t="str">
        <f>Global!LK34</f>
        <v/>
      </c>
      <c r="T34" s="31" t="str">
        <f>Global!LL34</f>
        <v/>
      </c>
      <c r="U34" s="31" t="str">
        <f>Global!LM34</f>
        <v/>
      </c>
      <c r="V34" s="31" t="str">
        <f>Global!LN34</f>
        <v/>
      </c>
      <c r="W34" s="31" t="str">
        <f>Global!LO34</f>
        <v/>
      </c>
      <c r="X34" s="31" t="str">
        <f>Global!LP34</f>
        <v/>
      </c>
      <c r="Y34" s="31" t="str">
        <f>Global!LQ34</f>
        <v/>
      </c>
      <c r="Z34" s="31" t="str">
        <f>Global!LR34</f>
        <v/>
      </c>
      <c r="AA34" s="31" t="str">
        <f>Global!LS34</f>
        <v/>
      </c>
      <c r="AB34" s="31" t="str">
        <f>Global!LT34</f>
        <v/>
      </c>
      <c r="AC34" s="31" t="str">
        <f>Global!LU34</f>
        <v/>
      </c>
      <c r="AD34" s="31" t="str">
        <f>Global!LV34</f>
        <v/>
      </c>
      <c r="AE34" s="31" t="str">
        <f>Global!LW34</f>
        <v/>
      </c>
      <c r="AF34" s="31" t="str">
        <f>Global!LX34</f>
        <v/>
      </c>
      <c r="AG34" s="31" t="str">
        <f>Global!LY34</f>
        <v/>
      </c>
      <c r="AH34" s="31" t="str">
        <f>Global!LZ34</f>
        <v/>
      </c>
      <c r="AI34" s="31" t="str">
        <f>Global!MA34</f>
        <v/>
      </c>
      <c r="AJ34" s="118"/>
      <c r="AK34" s="108">
        <f>COUNTIF(Novembre[[#This Row],[1]:[30]],"RTT")+(COUNTIF(Novembre[[#This Row],[1]:[30]],"dRTT")/2)</f>
        <v>0</v>
      </c>
      <c r="AL34" s="109">
        <f>COUNTIF(Novembre[[#This Row],[1]:[30]],"C")+(COUNTIF(Novembre[[#This Row],[1]:[30]],"DC")/2)</f>
        <v>0</v>
      </c>
      <c r="AM34" s="22">
        <f>COUNTIF(Novembre[[#This Row],[1]:[30]],"M")</f>
        <v>0</v>
      </c>
      <c r="AN34" s="22">
        <f>COUNTIF(Novembre[[#This Row],[1]:[30]],"AT")</f>
        <v>0</v>
      </c>
      <c r="AO34" s="84">
        <f>IF(AND(Novembre[[#This Row],[Maladie]]=0,Novembre[[#This Row],[AT]]=0),((10*(_xlfn.DAYS("30/11/2018","01/11/2018")+1))/365),((_xlfn.DAYS("30/11/2018","01/11/2018")+1-(Novembre[[#This Row],[Maladie]]+Novembre[[#This Row],[AT]]))*((10*(_xlfn.DAYS("30/11/2018","01/11/2018")+1))/365))/(_xlfn.DAYS("30/11/2018","01/11/2018")+1))</f>
        <v>0.82191780821917804</v>
      </c>
    </row>
    <row r="35" spans="1:41" ht="30" customHeight="1" x14ac:dyDescent="0.2">
      <c r="A35" s="13" t="s">
        <v>91</v>
      </c>
      <c r="B35" s="22" t="s">
        <v>207</v>
      </c>
      <c r="C35" s="22" t="s">
        <v>208</v>
      </c>
      <c r="D35" s="22" t="s">
        <v>209</v>
      </c>
      <c r="E35" s="44" t="s">
        <v>162</v>
      </c>
      <c r="F35" s="47" t="str">
        <f>Global!KX35</f>
        <v/>
      </c>
      <c r="G35" s="31" t="str">
        <f>Global!KY35</f>
        <v/>
      </c>
      <c r="H35" s="31" t="str">
        <f>Global!KZ35</f>
        <v/>
      </c>
      <c r="I35" s="31" t="str">
        <f>Global!LA35</f>
        <v/>
      </c>
      <c r="J35" s="31" t="str">
        <f>Global!LB35</f>
        <v/>
      </c>
      <c r="K35" s="31" t="str">
        <f>Global!LC35</f>
        <v/>
      </c>
      <c r="L35" s="31" t="str">
        <f>Global!LD35</f>
        <v/>
      </c>
      <c r="M35" s="31" t="str">
        <f>Global!LE35</f>
        <v/>
      </c>
      <c r="N35" s="31" t="str">
        <f>Global!LF35</f>
        <v/>
      </c>
      <c r="O35" s="31" t="str">
        <f>Global!LG35</f>
        <v/>
      </c>
      <c r="P35" s="31" t="str">
        <f>Global!LH35</f>
        <v/>
      </c>
      <c r="Q35" s="31" t="str">
        <f>Global!LI35</f>
        <v/>
      </c>
      <c r="R35" s="31" t="str">
        <f>Global!LJ35</f>
        <v/>
      </c>
      <c r="S35" s="31" t="str">
        <f>Global!LK35</f>
        <v/>
      </c>
      <c r="T35" s="31" t="str">
        <f>Global!LL35</f>
        <v/>
      </c>
      <c r="U35" s="31" t="str">
        <f>Global!LM35</f>
        <v/>
      </c>
      <c r="V35" s="31" t="str">
        <f>Global!LN35</f>
        <v/>
      </c>
      <c r="W35" s="31" t="str">
        <f>Global!LO35</f>
        <v/>
      </c>
      <c r="X35" s="31" t="str">
        <f>Global!LP35</f>
        <v/>
      </c>
      <c r="Y35" s="31" t="str">
        <f>Global!LQ35</f>
        <v/>
      </c>
      <c r="Z35" s="31" t="str">
        <f>Global!LR35</f>
        <v/>
      </c>
      <c r="AA35" s="31" t="str">
        <f>Global!LS35</f>
        <v/>
      </c>
      <c r="AB35" s="31" t="str">
        <f>Global!LT35</f>
        <v/>
      </c>
      <c r="AC35" s="31" t="str">
        <f>Global!LU35</f>
        <v/>
      </c>
      <c r="AD35" s="31" t="str">
        <f>Global!LV35</f>
        <v/>
      </c>
      <c r="AE35" s="31" t="str">
        <f>Global!LW35</f>
        <v/>
      </c>
      <c r="AF35" s="31" t="str">
        <f>Global!LX35</f>
        <v/>
      </c>
      <c r="AG35" s="31" t="str">
        <f>Global!LY35</f>
        <v/>
      </c>
      <c r="AH35" s="31" t="str">
        <f>Global!LZ35</f>
        <v/>
      </c>
      <c r="AI35" s="31" t="str">
        <f>Global!MA35</f>
        <v/>
      </c>
      <c r="AJ35" s="118"/>
      <c r="AK35" s="108">
        <f>COUNTIF(Novembre[[#This Row],[1]:[30]],"RTT")+(COUNTIF(Novembre[[#This Row],[1]:[30]],"dRTT")/2)</f>
        <v>0</v>
      </c>
      <c r="AL35" s="109">
        <f>COUNTIF(Novembre[[#This Row],[1]:[30]],"C")+(COUNTIF(Novembre[[#This Row],[1]:[30]],"DC")/2)</f>
        <v>0</v>
      </c>
      <c r="AM35" s="22">
        <f>COUNTIF(Novembre[[#This Row],[1]:[30]],"M")</f>
        <v>0</v>
      </c>
      <c r="AN35" s="22">
        <f>COUNTIF(Novembre[[#This Row],[1]:[30]],"AT")</f>
        <v>0</v>
      </c>
      <c r="AO35" s="84">
        <f>IF(AND(Novembre[[#This Row],[Maladie]]=0,Novembre[[#This Row],[AT]]=0),((10*(_xlfn.DAYS("30/11/2018","01/11/2018")+1))/365),((_xlfn.DAYS("30/11/2018","01/11/2018")+1-(Novembre[[#This Row],[Maladie]]+Novembre[[#This Row],[AT]]))*((10*(_xlfn.DAYS("30/11/2018","01/11/2018")+1))/365))/(_xlfn.DAYS("30/11/2018","01/11/2018")+1))</f>
        <v>0.82191780821917804</v>
      </c>
    </row>
    <row r="36" spans="1:41" ht="30" customHeight="1" x14ac:dyDescent="0.2">
      <c r="A36" s="13" t="s">
        <v>92</v>
      </c>
      <c r="B36" s="22" t="s">
        <v>210</v>
      </c>
      <c r="C36" s="22" t="s">
        <v>211</v>
      </c>
      <c r="D36" s="22" t="s">
        <v>212</v>
      </c>
      <c r="E36" s="44">
        <v>0</v>
      </c>
      <c r="F36" s="47" t="str">
        <f>Global!KX36</f>
        <v/>
      </c>
      <c r="G36" s="31" t="str">
        <f>Global!KY36</f>
        <v/>
      </c>
      <c r="H36" s="31" t="str">
        <f>Global!KZ36</f>
        <v/>
      </c>
      <c r="I36" s="31" t="str">
        <f>Global!LA36</f>
        <v/>
      </c>
      <c r="J36" s="31" t="str">
        <f>Global!LB36</f>
        <v/>
      </c>
      <c r="K36" s="31" t="str">
        <f>Global!LC36</f>
        <v/>
      </c>
      <c r="L36" s="31" t="str">
        <f>Global!LD36</f>
        <v/>
      </c>
      <c r="M36" s="31" t="str">
        <f>Global!LE36</f>
        <v/>
      </c>
      <c r="N36" s="31" t="str">
        <f>Global!LF36</f>
        <v/>
      </c>
      <c r="O36" s="31" t="str">
        <f>Global!LG36</f>
        <v/>
      </c>
      <c r="P36" s="31" t="str">
        <f>Global!LH36</f>
        <v/>
      </c>
      <c r="Q36" s="31" t="str">
        <f>Global!LI36</f>
        <v/>
      </c>
      <c r="R36" s="31" t="str">
        <f>Global!LJ36</f>
        <v/>
      </c>
      <c r="S36" s="31" t="str">
        <f>Global!LK36</f>
        <v/>
      </c>
      <c r="T36" s="31" t="str">
        <f>Global!LL36</f>
        <v/>
      </c>
      <c r="U36" s="31" t="str">
        <f>Global!LM36</f>
        <v/>
      </c>
      <c r="V36" s="31" t="str">
        <f>Global!LN36</f>
        <v/>
      </c>
      <c r="W36" s="31" t="str">
        <f>Global!LO36</f>
        <v/>
      </c>
      <c r="X36" s="31" t="str">
        <f>Global!LP36</f>
        <v/>
      </c>
      <c r="Y36" s="31" t="str">
        <f>Global!LQ36</f>
        <v/>
      </c>
      <c r="Z36" s="31" t="str">
        <f>Global!LR36</f>
        <v/>
      </c>
      <c r="AA36" s="31" t="str">
        <f>Global!LS36</f>
        <v/>
      </c>
      <c r="AB36" s="31" t="str">
        <f>Global!LT36</f>
        <v/>
      </c>
      <c r="AC36" s="31" t="str">
        <f>Global!LU36</f>
        <v/>
      </c>
      <c r="AD36" s="31" t="str">
        <f>Global!LV36</f>
        <v/>
      </c>
      <c r="AE36" s="31" t="str">
        <f>Global!LW36</f>
        <v/>
      </c>
      <c r="AF36" s="31" t="str">
        <f>Global!LX36</f>
        <v/>
      </c>
      <c r="AG36" s="31" t="str">
        <f>Global!LY36</f>
        <v/>
      </c>
      <c r="AH36" s="31" t="str">
        <f>Global!LZ36</f>
        <v/>
      </c>
      <c r="AI36" s="31" t="str">
        <f>Global!MA36</f>
        <v/>
      </c>
      <c r="AJ36" s="118"/>
      <c r="AK36" s="108">
        <f>COUNTIF(Novembre[[#This Row],[1]:[30]],"RTT")+(COUNTIF(Novembre[[#This Row],[1]:[30]],"dRTT")/2)</f>
        <v>0</v>
      </c>
      <c r="AL36" s="109">
        <f>COUNTIF(Novembre[[#This Row],[1]:[30]],"C")+(COUNTIF(Novembre[[#This Row],[1]:[30]],"DC")/2)</f>
        <v>0</v>
      </c>
      <c r="AM36" s="22">
        <f>COUNTIF(Novembre[[#This Row],[1]:[30]],"M")</f>
        <v>0</v>
      </c>
      <c r="AN36" s="22">
        <f>COUNTIF(Novembre[[#This Row],[1]:[30]],"AT")</f>
        <v>0</v>
      </c>
      <c r="AO36" s="84">
        <f>IF(AND(Novembre[[#This Row],[Maladie]]=0,Novembre[[#This Row],[AT]]=0),((10*(_xlfn.DAYS("30/11/2018","01/11/2018")+1))/365),((_xlfn.DAYS("30/11/2018","01/11/2018")+1-(Novembre[[#This Row],[Maladie]]+Novembre[[#This Row],[AT]]))*((10*(_xlfn.DAYS("30/11/2018","01/11/2018")+1))/365))/(_xlfn.DAYS("30/11/2018","01/11/2018")+1))</f>
        <v>0.82191780821917804</v>
      </c>
    </row>
    <row r="37" spans="1:41" ht="30" customHeight="1" x14ac:dyDescent="0.2">
      <c r="A37" s="13" t="s">
        <v>93</v>
      </c>
      <c r="B37" s="22" t="s">
        <v>213</v>
      </c>
      <c r="C37" s="22" t="s">
        <v>148</v>
      </c>
      <c r="D37" s="22" t="s">
        <v>214</v>
      </c>
      <c r="E37" s="44">
        <v>0</v>
      </c>
      <c r="F37" s="47" t="str">
        <f>Global!KX37</f>
        <v/>
      </c>
      <c r="G37" s="31" t="str">
        <f>Global!KY37</f>
        <v/>
      </c>
      <c r="H37" s="31" t="str">
        <f>Global!KZ37</f>
        <v/>
      </c>
      <c r="I37" s="31" t="str">
        <f>Global!LA37</f>
        <v/>
      </c>
      <c r="J37" s="31" t="str">
        <f>Global!LB37</f>
        <v/>
      </c>
      <c r="K37" s="31" t="str">
        <f>Global!LC37</f>
        <v/>
      </c>
      <c r="L37" s="31" t="str">
        <f>Global!LD37</f>
        <v/>
      </c>
      <c r="M37" s="31" t="str">
        <f>Global!LE37</f>
        <v/>
      </c>
      <c r="N37" s="31" t="str">
        <f>Global!LF37</f>
        <v/>
      </c>
      <c r="O37" s="31" t="str">
        <f>Global!LG37</f>
        <v/>
      </c>
      <c r="P37" s="31" t="str">
        <f>Global!LH37</f>
        <v/>
      </c>
      <c r="Q37" s="31" t="str">
        <f>Global!LI37</f>
        <v/>
      </c>
      <c r="R37" s="31" t="str">
        <f>Global!LJ37</f>
        <v/>
      </c>
      <c r="S37" s="31" t="str">
        <f>Global!LK37</f>
        <v/>
      </c>
      <c r="T37" s="31" t="str">
        <f>Global!LL37</f>
        <v/>
      </c>
      <c r="U37" s="31" t="str">
        <f>Global!LM37</f>
        <v/>
      </c>
      <c r="V37" s="31" t="str">
        <f>Global!LN37</f>
        <v/>
      </c>
      <c r="W37" s="31" t="str">
        <f>Global!LO37</f>
        <v/>
      </c>
      <c r="X37" s="31" t="str">
        <f>Global!LP37</f>
        <v/>
      </c>
      <c r="Y37" s="31" t="str">
        <f>Global!LQ37</f>
        <v/>
      </c>
      <c r="Z37" s="31" t="str">
        <f>Global!LR37</f>
        <v/>
      </c>
      <c r="AA37" s="31" t="str">
        <f>Global!LS37</f>
        <v/>
      </c>
      <c r="AB37" s="31" t="str">
        <f>Global!LT37</f>
        <v/>
      </c>
      <c r="AC37" s="31" t="str">
        <f>Global!LU37</f>
        <v/>
      </c>
      <c r="AD37" s="31" t="str">
        <f>Global!LV37</f>
        <v/>
      </c>
      <c r="AE37" s="31" t="str">
        <f>Global!LW37</f>
        <v/>
      </c>
      <c r="AF37" s="31" t="str">
        <f>Global!LX37</f>
        <v/>
      </c>
      <c r="AG37" s="31" t="str">
        <f>Global!LY37</f>
        <v/>
      </c>
      <c r="AH37" s="31" t="str">
        <f>Global!LZ37</f>
        <v/>
      </c>
      <c r="AI37" s="31" t="str">
        <f>Global!MA37</f>
        <v/>
      </c>
      <c r="AJ37" s="118"/>
      <c r="AK37" s="108">
        <f>COUNTIF(Novembre[[#This Row],[1]:[30]],"RTT")+(COUNTIF(Novembre[[#This Row],[1]:[30]],"dRTT")/2)</f>
        <v>0</v>
      </c>
      <c r="AL37" s="109">
        <f>COUNTIF(Novembre[[#This Row],[1]:[30]],"C")+(COUNTIF(Novembre[[#This Row],[1]:[30]],"DC")/2)</f>
        <v>0</v>
      </c>
      <c r="AM37" s="22">
        <f>COUNTIF(Novembre[[#This Row],[1]:[30]],"M")</f>
        <v>0</v>
      </c>
      <c r="AN37" s="22">
        <f>COUNTIF(Novembre[[#This Row],[1]:[30]],"AT")</f>
        <v>0</v>
      </c>
      <c r="AO37" s="84">
        <f>IF(AND(Novembre[[#This Row],[Maladie]]=0,Novembre[[#This Row],[AT]]=0),((10*(_xlfn.DAYS("30/11/2018","01/11/2018")+1))/365),((_xlfn.DAYS("30/11/2018","01/11/2018")+1-(Novembre[[#This Row],[Maladie]]+Novembre[[#This Row],[AT]]))*((10*(_xlfn.DAYS("30/11/2018","01/11/2018")+1))/365))/(_xlfn.DAYS("30/11/2018","01/11/2018")+1))</f>
        <v>0.82191780821917804</v>
      </c>
    </row>
    <row r="38" spans="1:41" ht="30" customHeight="1" x14ac:dyDescent="0.2">
      <c r="A38" s="13" t="s">
        <v>94</v>
      </c>
      <c r="B38" s="22" t="s">
        <v>215</v>
      </c>
      <c r="C38" s="22" t="s">
        <v>216</v>
      </c>
      <c r="D38" s="22" t="s">
        <v>217</v>
      </c>
      <c r="E38" s="44">
        <v>0</v>
      </c>
      <c r="F38" s="47" t="str">
        <f>Global!KX38</f>
        <v/>
      </c>
      <c r="G38" s="31" t="str">
        <f>Global!KY38</f>
        <v/>
      </c>
      <c r="H38" s="31" t="str">
        <f>Global!KZ38</f>
        <v/>
      </c>
      <c r="I38" s="31" t="str">
        <f>Global!LA38</f>
        <v/>
      </c>
      <c r="J38" s="31" t="str">
        <f>Global!LB38</f>
        <v/>
      </c>
      <c r="K38" s="31" t="str">
        <f>Global!LC38</f>
        <v/>
      </c>
      <c r="L38" s="31" t="str">
        <f>Global!LD38</f>
        <v/>
      </c>
      <c r="M38" s="31" t="str">
        <f>Global!LE38</f>
        <v/>
      </c>
      <c r="N38" s="31" t="str">
        <f>Global!LF38</f>
        <v/>
      </c>
      <c r="O38" s="31" t="str">
        <f>Global!LG38</f>
        <v/>
      </c>
      <c r="P38" s="31" t="str">
        <f>Global!LH38</f>
        <v/>
      </c>
      <c r="Q38" s="31" t="str">
        <f>Global!LI38</f>
        <v/>
      </c>
      <c r="R38" s="31" t="str">
        <f>Global!LJ38</f>
        <v/>
      </c>
      <c r="S38" s="31" t="str">
        <f>Global!LK38</f>
        <v/>
      </c>
      <c r="T38" s="31" t="str">
        <f>Global!LL38</f>
        <v/>
      </c>
      <c r="U38" s="31" t="str">
        <f>Global!LM38</f>
        <v/>
      </c>
      <c r="V38" s="31" t="str">
        <f>Global!LN38</f>
        <v/>
      </c>
      <c r="W38" s="31" t="str">
        <f>Global!LO38</f>
        <v/>
      </c>
      <c r="X38" s="31" t="str">
        <f>Global!LP38</f>
        <v/>
      </c>
      <c r="Y38" s="31" t="str">
        <f>Global!LQ38</f>
        <v/>
      </c>
      <c r="Z38" s="31" t="str">
        <f>Global!LR38</f>
        <v/>
      </c>
      <c r="AA38" s="31" t="str">
        <f>Global!LS38</f>
        <v/>
      </c>
      <c r="AB38" s="31" t="str">
        <f>Global!LT38</f>
        <v/>
      </c>
      <c r="AC38" s="31" t="str">
        <f>Global!LU38</f>
        <v/>
      </c>
      <c r="AD38" s="31" t="str">
        <f>Global!LV38</f>
        <v/>
      </c>
      <c r="AE38" s="31" t="str">
        <f>Global!LW38</f>
        <v/>
      </c>
      <c r="AF38" s="31" t="str">
        <f>Global!LX38</f>
        <v/>
      </c>
      <c r="AG38" s="31" t="str">
        <f>Global!LY38</f>
        <v/>
      </c>
      <c r="AH38" s="31" t="str">
        <f>Global!LZ38</f>
        <v/>
      </c>
      <c r="AI38" s="31" t="str">
        <f>Global!MA38</f>
        <v/>
      </c>
      <c r="AJ38" s="118"/>
      <c r="AK38" s="108">
        <f>COUNTIF(Novembre[[#This Row],[1]:[30]],"RTT")+(COUNTIF(Novembre[[#This Row],[1]:[30]],"dRTT")/2)</f>
        <v>0</v>
      </c>
      <c r="AL38" s="109">
        <f>COUNTIF(Novembre[[#This Row],[1]:[30]],"C")+(COUNTIF(Novembre[[#This Row],[1]:[30]],"DC")/2)</f>
        <v>0</v>
      </c>
      <c r="AM38" s="22">
        <f>COUNTIF(Novembre[[#This Row],[1]:[30]],"M")</f>
        <v>0</v>
      </c>
      <c r="AN38" s="22">
        <f>COUNTIF(Novembre[[#This Row],[1]:[30]],"AT")</f>
        <v>0</v>
      </c>
      <c r="AO38" s="84">
        <f>IF(AND(Novembre[[#This Row],[Maladie]]=0,Novembre[[#This Row],[AT]]=0),((10*(_xlfn.DAYS("30/11/2018","01/11/2018")+1))/365),((_xlfn.DAYS("30/11/2018","01/11/2018")+1-(Novembre[[#This Row],[Maladie]]+Novembre[[#This Row],[AT]]))*((10*(_xlfn.DAYS("30/11/2018","01/11/2018")+1))/365))/(_xlfn.DAYS("30/11/2018","01/11/2018")+1))</f>
        <v>0.82191780821917804</v>
      </c>
    </row>
    <row r="39" spans="1:41" ht="30" customHeight="1" x14ac:dyDescent="0.2">
      <c r="A39" s="16" t="s">
        <v>95</v>
      </c>
      <c r="B39" s="22" t="s">
        <v>218</v>
      </c>
      <c r="C39" s="22" t="s">
        <v>219</v>
      </c>
      <c r="D39" s="22" t="s">
        <v>220</v>
      </c>
      <c r="E39" s="44">
        <v>0</v>
      </c>
      <c r="F39" s="47" t="str">
        <f>Global!KX39</f>
        <v/>
      </c>
      <c r="G39" s="31" t="str">
        <f>Global!KY39</f>
        <v/>
      </c>
      <c r="H39" s="31" t="str">
        <f>Global!KZ39</f>
        <v/>
      </c>
      <c r="I39" s="31" t="str">
        <f>Global!LA39</f>
        <v/>
      </c>
      <c r="J39" s="31" t="str">
        <f>Global!LB39</f>
        <v/>
      </c>
      <c r="K39" s="31" t="str">
        <f>Global!LC39</f>
        <v/>
      </c>
      <c r="L39" s="31" t="str">
        <f>Global!LD39</f>
        <v/>
      </c>
      <c r="M39" s="31" t="str">
        <f>Global!LE39</f>
        <v/>
      </c>
      <c r="N39" s="31" t="str">
        <f>Global!LF39</f>
        <v/>
      </c>
      <c r="O39" s="31" t="str">
        <f>Global!LG39</f>
        <v/>
      </c>
      <c r="P39" s="31" t="str">
        <f>Global!LH39</f>
        <v/>
      </c>
      <c r="Q39" s="31" t="str">
        <f>Global!LI39</f>
        <v/>
      </c>
      <c r="R39" s="31" t="str">
        <f>Global!LJ39</f>
        <v/>
      </c>
      <c r="S39" s="31" t="str">
        <f>Global!LK39</f>
        <v/>
      </c>
      <c r="T39" s="31" t="str">
        <f>Global!LL39</f>
        <v/>
      </c>
      <c r="U39" s="31" t="str">
        <f>Global!LM39</f>
        <v/>
      </c>
      <c r="V39" s="31" t="str">
        <f>Global!LN39</f>
        <v/>
      </c>
      <c r="W39" s="31" t="str">
        <f>Global!LO39</f>
        <v/>
      </c>
      <c r="X39" s="31" t="str">
        <f>Global!LP39</f>
        <v/>
      </c>
      <c r="Y39" s="31" t="str">
        <f>Global!LQ39</f>
        <v/>
      </c>
      <c r="Z39" s="31" t="str">
        <f>Global!LR39</f>
        <v/>
      </c>
      <c r="AA39" s="31" t="str">
        <f>Global!LS39</f>
        <v/>
      </c>
      <c r="AB39" s="31" t="str">
        <f>Global!LT39</f>
        <v/>
      </c>
      <c r="AC39" s="31" t="str">
        <f>Global!LU39</f>
        <v/>
      </c>
      <c r="AD39" s="31" t="str">
        <f>Global!LV39</f>
        <v/>
      </c>
      <c r="AE39" s="31" t="str">
        <f>Global!LW39</f>
        <v/>
      </c>
      <c r="AF39" s="31" t="str">
        <f>Global!LX39</f>
        <v/>
      </c>
      <c r="AG39" s="31" t="str">
        <f>Global!LY39</f>
        <v/>
      </c>
      <c r="AH39" s="31" t="str">
        <f>Global!LZ39</f>
        <v/>
      </c>
      <c r="AI39" s="31" t="str">
        <f>Global!MA39</f>
        <v/>
      </c>
      <c r="AJ39" s="118"/>
      <c r="AK39" s="108">
        <f>COUNTIF(Novembre[[#This Row],[1]:[30]],"RTT")+(COUNTIF(Novembre[[#This Row],[1]:[30]],"dRTT")/2)</f>
        <v>0</v>
      </c>
      <c r="AL39" s="109">
        <f>COUNTIF(Novembre[[#This Row],[1]:[30]],"C")+(COUNTIF(Novembre[[#This Row],[1]:[30]],"DC")/2)</f>
        <v>0</v>
      </c>
      <c r="AM39" s="22">
        <f>COUNTIF(Novembre[[#This Row],[1]:[30]],"M")</f>
        <v>0</v>
      </c>
      <c r="AN39" s="22">
        <f>COUNTIF(Novembre[[#This Row],[1]:[30]],"AT")</f>
        <v>0</v>
      </c>
      <c r="AO39" s="84">
        <f>IF(AND(Novembre[[#This Row],[Maladie]]=0,Novembre[[#This Row],[AT]]=0),((10*(_xlfn.DAYS("30/11/2018","01/11/2018")+1))/365),((_xlfn.DAYS("30/11/2018","01/11/2018")+1-(Novembre[[#This Row],[Maladie]]+Novembre[[#This Row],[AT]]))*((10*(_xlfn.DAYS("30/11/2018","01/11/2018")+1))/365))/(_xlfn.DAYS("30/11/2018","01/11/2018")+1))</f>
        <v>0.82191780821917804</v>
      </c>
    </row>
    <row r="40" spans="1:41" ht="30" customHeight="1" x14ac:dyDescent="0.2">
      <c r="A40" s="15" t="s">
        <v>96</v>
      </c>
      <c r="B40" s="22" t="s">
        <v>221</v>
      </c>
      <c r="C40" s="22" t="s">
        <v>222</v>
      </c>
      <c r="D40" s="22" t="s">
        <v>223</v>
      </c>
      <c r="E40" s="44">
        <v>0</v>
      </c>
      <c r="F40" s="47" t="str">
        <f>Global!KX40</f>
        <v/>
      </c>
      <c r="G40" s="31" t="str">
        <f>Global!KY40</f>
        <v/>
      </c>
      <c r="H40" s="31" t="str">
        <f>Global!KZ40</f>
        <v/>
      </c>
      <c r="I40" s="31" t="str">
        <f>Global!LA40</f>
        <v/>
      </c>
      <c r="J40" s="31" t="str">
        <f>Global!LB40</f>
        <v/>
      </c>
      <c r="K40" s="31" t="str">
        <f>Global!LC40</f>
        <v/>
      </c>
      <c r="L40" s="31" t="str">
        <f>Global!LD40</f>
        <v/>
      </c>
      <c r="M40" s="31" t="str">
        <f>Global!LE40</f>
        <v/>
      </c>
      <c r="N40" s="31" t="str">
        <f>Global!LF40</f>
        <v/>
      </c>
      <c r="O40" s="31" t="str">
        <f>Global!LG40</f>
        <v/>
      </c>
      <c r="P40" s="31" t="str">
        <f>Global!LH40</f>
        <v/>
      </c>
      <c r="Q40" s="31" t="str">
        <f>Global!LI40</f>
        <v/>
      </c>
      <c r="R40" s="31" t="str">
        <f>Global!LJ40</f>
        <v/>
      </c>
      <c r="S40" s="31" t="str">
        <f>Global!LK40</f>
        <v/>
      </c>
      <c r="T40" s="31" t="str">
        <f>Global!LL40</f>
        <v/>
      </c>
      <c r="U40" s="31" t="str">
        <f>Global!LM40</f>
        <v/>
      </c>
      <c r="V40" s="31" t="str">
        <f>Global!LN40</f>
        <v/>
      </c>
      <c r="W40" s="31" t="str">
        <f>Global!LO40</f>
        <v/>
      </c>
      <c r="X40" s="31" t="str">
        <f>Global!LP40</f>
        <v/>
      </c>
      <c r="Y40" s="31" t="str">
        <f>Global!LQ40</f>
        <v/>
      </c>
      <c r="Z40" s="31" t="str">
        <f>Global!LR40</f>
        <v/>
      </c>
      <c r="AA40" s="31" t="str">
        <f>Global!LS40</f>
        <v/>
      </c>
      <c r="AB40" s="31" t="str">
        <f>Global!LT40</f>
        <v/>
      </c>
      <c r="AC40" s="31" t="str">
        <f>Global!LU40</f>
        <v/>
      </c>
      <c r="AD40" s="31" t="str">
        <f>Global!LV40</f>
        <v/>
      </c>
      <c r="AE40" s="31" t="str">
        <f>Global!LW40</f>
        <v/>
      </c>
      <c r="AF40" s="31" t="str">
        <f>Global!LX40</f>
        <v/>
      </c>
      <c r="AG40" s="31" t="str">
        <f>Global!LY40</f>
        <v/>
      </c>
      <c r="AH40" s="31" t="str">
        <f>Global!LZ40</f>
        <v/>
      </c>
      <c r="AI40" s="31" t="str">
        <f>Global!MA40</f>
        <v/>
      </c>
      <c r="AJ40" s="118"/>
      <c r="AK40" s="108">
        <f>COUNTIF(Novembre[[#This Row],[1]:[30]],"RTT")+(COUNTIF(Novembre[[#This Row],[1]:[30]],"dRTT")/2)</f>
        <v>0</v>
      </c>
      <c r="AL40" s="109">
        <f>COUNTIF(Novembre[[#This Row],[1]:[30]],"C")+(COUNTIF(Novembre[[#This Row],[1]:[30]],"DC")/2)</f>
        <v>0</v>
      </c>
      <c r="AM40" s="22">
        <f>COUNTIF(Novembre[[#This Row],[1]:[30]],"M")</f>
        <v>0</v>
      </c>
      <c r="AN40" s="22">
        <f>COUNTIF(Novembre[[#This Row],[1]:[30]],"AT")</f>
        <v>0</v>
      </c>
      <c r="AO40" s="84">
        <f>IF(AND(Novembre[[#This Row],[Maladie]]=0,Novembre[[#This Row],[AT]]=0),((10*(_xlfn.DAYS("30/11/2018","01/11/2018")+1))/365),((_xlfn.DAYS("30/11/2018","01/11/2018")+1-(Novembre[[#This Row],[Maladie]]+Novembre[[#This Row],[AT]]))*((10*(_xlfn.DAYS("30/11/2018","01/11/2018")+1))/365))/(_xlfn.DAYS("30/11/2018","01/11/2018")+1))</f>
        <v>0.82191780821917804</v>
      </c>
    </row>
    <row r="41" spans="1:41" ht="30" customHeight="1" x14ac:dyDescent="0.2">
      <c r="A41" s="15" t="s">
        <v>97</v>
      </c>
      <c r="B41" s="22" t="s">
        <v>224</v>
      </c>
      <c r="C41" s="22" t="s">
        <v>225</v>
      </c>
      <c r="D41" s="22" t="s">
        <v>226</v>
      </c>
      <c r="E41" s="44">
        <v>0</v>
      </c>
      <c r="F41" s="47" t="str">
        <f>Global!KX41</f>
        <v/>
      </c>
      <c r="G41" s="31" t="str">
        <f>Global!KY41</f>
        <v/>
      </c>
      <c r="H41" s="31" t="str">
        <f>Global!KZ41</f>
        <v/>
      </c>
      <c r="I41" s="31" t="str">
        <f>Global!LA41</f>
        <v/>
      </c>
      <c r="J41" s="31" t="str">
        <f>Global!LB41</f>
        <v/>
      </c>
      <c r="K41" s="31" t="str">
        <f>Global!LC41</f>
        <v/>
      </c>
      <c r="L41" s="31" t="str">
        <f>Global!LD41</f>
        <v/>
      </c>
      <c r="M41" s="31" t="str">
        <f>Global!LE41</f>
        <v/>
      </c>
      <c r="N41" s="31" t="str">
        <f>Global!LF41</f>
        <v/>
      </c>
      <c r="O41" s="31" t="str">
        <f>Global!LG41</f>
        <v/>
      </c>
      <c r="P41" s="31" t="str">
        <f>Global!LH41</f>
        <v/>
      </c>
      <c r="Q41" s="31" t="str">
        <f>Global!LI41</f>
        <v/>
      </c>
      <c r="R41" s="31" t="str">
        <f>Global!LJ41</f>
        <v/>
      </c>
      <c r="S41" s="31" t="str">
        <f>Global!LK41</f>
        <v/>
      </c>
      <c r="T41" s="31" t="str">
        <f>Global!LL41</f>
        <v/>
      </c>
      <c r="U41" s="31" t="str">
        <f>Global!LM41</f>
        <v/>
      </c>
      <c r="V41" s="31" t="str">
        <f>Global!LN41</f>
        <v/>
      </c>
      <c r="W41" s="31" t="str">
        <f>Global!LO41</f>
        <v/>
      </c>
      <c r="X41" s="31" t="str">
        <f>Global!LP41</f>
        <v/>
      </c>
      <c r="Y41" s="31" t="str">
        <f>Global!LQ41</f>
        <v/>
      </c>
      <c r="Z41" s="31" t="str">
        <f>Global!LR41</f>
        <v/>
      </c>
      <c r="AA41" s="31" t="str">
        <f>Global!LS41</f>
        <v/>
      </c>
      <c r="AB41" s="31" t="str">
        <f>Global!LT41</f>
        <v/>
      </c>
      <c r="AC41" s="31" t="str">
        <f>Global!LU41</f>
        <v/>
      </c>
      <c r="AD41" s="31" t="str">
        <f>Global!LV41</f>
        <v/>
      </c>
      <c r="AE41" s="31" t="str">
        <f>Global!LW41</f>
        <v/>
      </c>
      <c r="AF41" s="31" t="str">
        <f>Global!LX41</f>
        <v/>
      </c>
      <c r="AG41" s="31" t="str">
        <f>Global!LY41</f>
        <v/>
      </c>
      <c r="AH41" s="31" t="str">
        <f>Global!LZ41</f>
        <v/>
      </c>
      <c r="AI41" s="31" t="str">
        <f>Global!MA41</f>
        <v/>
      </c>
      <c r="AJ41" s="118"/>
      <c r="AK41" s="108">
        <f>COUNTIF(Novembre[[#This Row],[1]:[30]],"RTT")+(COUNTIF(Novembre[[#This Row],[1]:[30]],"dRTT")/2)</f>
        <v>0</v>
      </c>
      <c r="AL41" s="109">
        <f>COUNTIF(Novembre[[#This Row],[1]:[30]],"C")+(COUNTIF(Novembre[[#This Row],[1]:[30]],"DC")/2)</f>
        <v>0</v>
      </c>
      <c r="AM41" s="22">
        <f>COUNTIF(Novembre[[#This Row],[1]:[30]],"M")</f>
        <v>0</v>
      </c>
      <c r="AN41" s="22">
        <f>COUNTIF(Novembre[[#This Row],[1]:[30]],"AT")</f>
        <v>0</v>
      </c>
      <c r="AO41" s="84">
        <f>IF(AND(Novembre[[#This Row],[Maladie]]=0,Novembre[[#This Row],[AT]]=0),((10*(_xlfn.DAYS("30/11/2018","01/11/2018")+1))/365),((_xlfn.DAYS("30/11/2018","01/11/2018")+1-(Novembre[[#This Row],[Maladie]]+Novembre[[#This Row],[AT]]))*((10*(_xlfn.DAYS("30/11/2018","01/11/2018")+1))/365))/(_xlfn.DAYS("30/11/2018","01/11/2018")+1))</f>
        <v>0.82191780821917804</v>
      </c>
    </row>
    <row r="42" spans="1:41" ht="30" customHeight="1" x14ac:dyDescent="0.2">
      <c r="A42" s="13" t="s">
        <v>98</v>
      </c>
      <c r="B42" s="22" t="s">
        <v>227</v>
      </c>
      <c r="C42" s="22" t="s">
        <v>228</v>
      </c>
      <c r="D42" s="22" t="s">
        <v>229</v>
      </c>
      <c r="E42" s="44">
        <v>0</v>
      </c>
      <c r="F42" s="47" t="str">
        <f>Global!KX42</f>
        <v/>
      </c>
      <c r="G42" s="31" t="str">
        <f>Global!KY42</f>
        <v/>
      </c>
      <c r="H42" s="31" t="str">
        <f>Global!KZ42</f>
        <v/>
      </c>
      <c r="I42" s="31" t="str">
        <f>Global!LA42</f>
        <v/>
      </c>
      <c r="J42" s="31" t="str">
        <f>Global!LB42</f>
        <v/>
      </c>
      <c r="K42" s="31" t="str">
        <f>Global!LC42</f>
        <v/>
      </c>
      <c r="L42" s="31" t="str">
        <f>Global!LD42</f>
        <v/>
      </c>
      <c r="M42" s="31" t="str">
        <f>Global!LE42</f>
        <v/>
      </c>
      <c r="N42" s="31" t="str">
        <f>Global!LF42</f>
        <v/>
      </c>
      <c r="O42" s="31" t="str">
        <f>Global!LG42</f>
        <v/>
      </c>
      <c r="P42" s="31" t="str">
        <f>Global!LH42</f>
        <v/>
      </c>
      <c r="Q42" s="31" t="str">
        <f>Global!LI42</f>
        <v/>
      </c>
      <c r="R42" s="31" t="str">
        <f>Global!LJ42</f>
        <v/>
      </c>
      <c r="S42" s="31" t="str">
        <f>Global!LK42</f>
        <v/>
      </c>
      <c r="T42" s="31" t="str">
        <f>Global!LL42</f>
        <v/>
      </c>
      <c r="U42" s="31" t="str">
        <f>Global!LM42</f>
        <v/>
      </c>
      <c r="V42" s="31" t="str">
        <f>Global!LN42</f>
        <v/>
      </c>
      <c r="W42" s="31" t="str">
        <f>Global!LO42</f>
        <v/>
      </c>
      <c r="X42" s="31" t="str">
        <f>Global!LP42</f>
        <v/>
      </c>
      <c r="Y42" s="31" t="str">
        <f>Global!LQ42</f>
        <v/>
      </c>
      <c r="Z42" s="31" t="str">
        <f>Global!LR42</f>
        <v/>
      </c>
      <c r="AA42" s="31" t="str">
        <f>Global!LS42</f>
        <v/>
      </c>
      <c r="AB42" s="31" t="str">
        <f>Global!LT42</f>
        <v/>
      </c>
      <c r="AC42" s="31" t="str">
        <f>Global!LU42</f>
        <v/>
      </c>
      <c r="AD42" s="31" t="str">
        <f>Global!LV42</f>
        <v/>
      </c>
      <c r="AE42" s="31" t="str">
        <f>Global!LW42</f>
        <v/>
      </c>
      <c r="AF42" s="31" t="str">
        <f>Global!LX42</f>
        <v/>
      </c>
      <c r="AG42" s="31" t="str">
        <f>Global!LY42</f>
        <v/>
      </c>
      <c r="AH42" s="31" t="str">
        <f>Global!LZ42</f>
        <v/>
      </c>
      <c r="AI42" s="31" t="str">
        <f>Global!MA42</f>
        <v/>
      </c>
      <c r="AJ42" s="118"/>
      <c r="AK42" s="108">
        <f>COUNTIF(Novembre[[#This Row],[1]:[30]],"RTT")+(COUNTIF(Novembre[[#This Row],[1]:[30]],"dRTT")/2)</f>
        <v>0</v>
      </c>
      <c r="AL42" s="109">
        <f>COUNTIF(Novembre[[#This Row],[1]:[30]],"C")+(COUNTIF(Novembre[[#This Row],[1]:[30]],"DC")/2)</f>
        <v>0</v>
      </c>
      <c r="AM42" s="22">
        <f>COUNTIF(Novembre[[#This Row],[1]:[30]],"M")</f>
        <v>0</v>
      </c>
      <c r="AN42" s="22">
        <f>COUNTIF(Novembre[[#This Row],[1]:[30]],"AT")</f>
        <v>0</v>
      </c>
      <c r="AO42" s="84">
        <f>IF(AND(Novembre[[#This Row],[Maladie]]=0,Novembre[[#This Row],[AT]]=0),((10*(_xlfn.DAYS("30/11/2018","01/11/2018")+1))/365),((_xlfn.DAYS("30/11/2018","01/11/2018")+1-(Novembre[[#This Row],[Maladie]]+Novembre[[#This Row],[AT]]))*((10*(_xlfn.DAYS("30/11/2018","01/11/2018")+1))/365))/(_xlfn.DAYS("30/11/2018","01/11/2018")+1))</f>
        <v>0.82191780821917804</v>
      </c>
    </row>
    <row r="43" spans="1:41" ht="30" customHeight="1" x14ac:dyDescent="0.2">
      <c r="A43" s="15" t="s">
        <v>99</v>
      </c>
      <c r="B43" s="22" t="s">
        <v>230</v>
      </c>
      <c r="C43" s="22" t="s">
        <v>231</v>
      </c>
      <c r="D43" s="22" t="s">
        <v>232</v>
      </c>
      <c r="E43" s="44">
        <v>0</v>
      </c>
      <c r="F43" s="47" t="str">
        <f>Global!KX43</f>
        <v/>
      </c>
      <c r="G43" s="31" t="str">
        <f>Global!KY43</f>
        <v/>
      </c>
      <c r="H43" s="31" t="str">
        <f>Global!KZ43</f>
        <v/>
      </c>
      <c r="I43" s="31" t="str">
        <f>Global!LA43</f>
        <v/>
      </c>
      <c r="J43" s="31" t="str">
        <f>Global!LB43</f>
        <v/>
      </c>
      <c r="K43" s="31" t="str">
        <f>Global!LC43</f>
        <v/>
      </c>
      <c r="L43" s="31" t="str">
        <f>Global!LD43</f>
        <v/>
      </c>
      <c r="M43" s="31" t="str">
        <f>Global!LE43</f>
        <v/>
      </c>
      <c r="N43" s="31" t="str">
        <f>Global!LF43</f>
        <v/>
      </c>
      <c r="O43" s="31" t="str">
        <f>Global!LG43</f>
        <v/>
      </c>
      <c r="P43" s="31" t="str">
        <f>Global!LH43</f>
        <v/>
      </c>
      <c r="Q43" s="31" t="str">
        <f>Global!LI43</f>
        <v/>
      </c>
      <c r="R43" s="31" t="str">
        <f>Global!LJ43</f>
        <v/>
      </c>
      <c r="S43" s="31" t="str">
        <f>Global!LK43</f>
        <v/>
      </c>
      <c r="T43" s="31" t="str">
        <f>Global!LL43</f>
        <v/>
      </c>
      <c r="U43" s="31" t="str">
        <f>Global!LM43</f>
        <v/>
      </c>
      <c r="V43" s="31" t="str">
        <f>Global!LN43</f>
        <v/>
      </c>
      <c r="W43" s="31" t="str">
        <f>Global!LO43</f>
        <v/>
      </c>
      <c r="X43" s="31" t="str">
        <f>Global!LP43</f>
        <v/>
      </c>
      <c r="Y43" s="31" t="str">
        <f>Global!LQ43</f>
        <v/>
      </c>
      <c r="Z43" s="31" t="str">
        <f>Global!LR43</f>
        <v/>
      </c>
      <c r="AA43" s="31" t="str">
        <f>Global!LS43</f>
        <v/>
      </c>
      <c r="AB43" s="31" t="str">
        <f>Global!LT43</f>
        <v/>
      </c>
      <c r="AC43" s="31" t="str">
        <f>Global!LU43</f>
        <v/>
      </c>
      <c r="AD43" s="31" t="str">
        <f>Global!LV43</f>
        <v/>
      </c>
      <c r="AE43" s="31" t="str">
        <f>Global!LW43</f>
        <v/>
      </c>
      <c r="AF43" s="31" t="str">
        <f>Global!LX43</f>
        <v/>
      </c>
      <c r="AG43" s="31" t="str">
        <f>Global!LY43</f>
        <v/>
      </c>
      <c r="AH43" s="31" t="str">
        <f>Global!LZ43</f>
        <v/>
      </c>
      <c r="AI43" s="31" t="str">
        <f>Global!MA43</f>
        <v/>
      </c>
      <c r="AJ43" s="118"/>
      <c r="AK43" s="108">
        <f>COUNTIF(Novembre[[#This Row],[1]:[30]],"RTT")+(COUNTIF(Novembre[[#This Row],[1]:[30]],"dRTT")/2)</f>
        <v>0</v>
      </c>
      <c r="AL43" s="109">
        <f>COUNTIF(Novembre[[#This Row],[1]:[30]],"C")+(COUNTIF(Novembre[[#This Row],[1]:[30]],"DC")/2)</f>
        <v>0</v>
      </c>
      <c r="AM43" s="22">
        <f>COUNTIF(Novembre[[#This Row],[1]:[30]],"M")</f>
        <v>0</v>
      </c>
      <c r="AN43" s="22">
        <f>COUNTIF(Novembre[[#This Row],[1]:[30]],"AT")</f>
        <v>0</v>
      </c>
      <c r="AO43" s="84">
        <f>IF(AND(Novembre[[#This Row],[Maladie]]=0,Novembre[[#This Row],[AT]]=0),((10*(_xlfn.DAYS("30/11/2018","01/11/2018")+1))/365),((_xlfn.DAYS("30/11/2018","01/11/2018")+1-(Novembre[[#This Row],[Maladie]]+Novembre[[#This Row],[AT]]))*((10*(_xlfn.DAYS("30/11/2018","01/11/2018")+1))/365))/(_xlfn.DAYS("30/11/2018","01/11/2018")+1))</f>
        <v>0.82191780821917804</v>
      </c>
    </row>
    <row r="44" spans="1:41" ht="30" customHeight="1" x14ac:dyDescent="0.2">
      <c r="A44" s="15" t="s">
        <v>100</v>
      </c>
      <c r="B44" s="22" t="s">
        <v>233</v>
      </c>
      <c r="C44" s="22" t="s">
        <v>234</v>
      </c>
      <c r="D44" s="22" t="s">
        <v>235</v>
      </c>
      <c r="E44" s="44">
        <v>0</v>
      </c>
      <c r="F44" s="47" t="str">
        <f>Global!KX44</f>
        <v/>
      </c>
      <c r="G44" s="31" t="str">
        <f>Global!KY44</f>
        <v/>
      </c>
      <c r="H44" s="31" t="str">
        <f>Global!KZ44</f>
        <v/>
      </c>
      <c r="I44" s="31" t="str">
        <f>Global!LA44</f>
        <v/>
      </c>
      <c r="J44" s="31" t="str">
        <f>Global!LB44</f>
        <v/>
      </c>
      <c r="K44" s="31" t="str">
        <f>Global!LC44</f>
        <v/>
      </c>
      <c r="L44" s="31" t="str">
        <f>Global!LD44</f>
        <v/>
      </c>
      <c r="M44" s="31" t="str">
        <f>Global!LE44</f>
        <v/>
      </c>
      <c r="N44" s="31" t="str">
        <f>Global!LF44</f>
        <v/>
      </c>
      <c r="O44" s="31" t="str">
        <f>Global!LG44</f>
        <v/>
      </c>
      <c r="P44" s="31" t="str">
        <f>Global!LH44</f>
        <v/>
      </c>
      <c r="Q44" s="31" t="str">
        <f>Global!LI44</f>
        <v/>
      </c>
      <c r="R44" s="31" t="str">
        <f>Global!LJ44</f>
        <v/>
      </c>
      <c r="S44" s="31" t="str">
        <f>Global!LK44</f>
        <v/>
      </c>
      <c r="T44" s="31" t="str">
        <f>Global!LL44</f>
        <v/>
      </c>
      <c r="U44" s="31" t="str">
        <f>Global!LM44</f>
        <v/>
      </c>
      <c r="V44" s="31" t="str">
        <f>Global!LN44</f>
        <v/>
      </c>
      <c r="W44" s="31" t="str">
        <f>Global!LO44</f>
        <v/>
      </c>
      <c r="X44" s="31" t="str">
        <f>Global!LP44</f>
        <v/>
      </c>
      <c r="Y44" s="31" t="str">
        <f>Global!LQ44</f>
        <v/>
      </c>
      <c r="Z44" s="31" t="str">
        <f>Global!LR44</f>
        <v/>
      </c>
      <c r="AA44" s="31" t="str">
        <f>Global!LS44</f>
        <v/>
      </c>
      <c r="AB44" s="31" t="str">
        <f>Global!LT44</f>
        <v/>
      </c>
      <c r="AC44" s="31" t="str">
        <f>Global!LU44</f>
        <v/>
      </c>
      <c r="AD44" s="31" t="str">
        <f>Global!LV44</f>
        <v/>
      </c>
      <c r="AE44" s="31" t="str">
        <f>Global!LW44</f>
        <v/>
      </c>
      <c r="AF44" s="31" t="str">
        <f>Global!LX44</f>
        <v/>
      </c>
      <c r="AG44" s="31" t="str">
        <f>Global!LY44</f>
        <v/>
      </c>
      <c r="AH44" s="31" t="str">
        <f>Global!LZ44</f>
        <v/>
      </c>
      <c r="AI44" s="31" t="str">
        <f>Global!MA44</f>
        <v/>
      </c>
      <c r="AJ44" s="118"/>
      <c r="AK44" s="108">
        <f>COUNTIF(Novembre[[#This Row],[1]:[30]],"RTT")+(COUNTIF(Novembre[[#This Row],[1]:[30]],"dRTT")/2)</f>
        <v>0</v>
      </c>
      <c r="AL44" s="109">
        <f>COUNTIF(Novembre[[#This Row],[1]:[30]],"C")+(COUNTIF(Novembre[[#This Row],[1]:[30]],"DC")/2)</f>
        <v>0</v>
      </c>
      <c r="AM44" s="22">
        <f>COUNTIF(Novembre[[#This Row],[1]:[30]],"M")</f>
        <v>0</v>
      </c>
      <c r="AN44" s="22">
        <f>COUNTIF(Novembre[[#This Row],[1]:[30]],"AT")</f>
        <v>0</v>
      </c>
      <c r="AO44" s="84">
        <f>IF(AND(Novembre[[#This Row],[Maladie]]=0,Novembre[[#This Row],[AT]]=0),((10*(_xlfn.DAYS("30/11/2018","01/11/2018")+1))/365),((_xlfn.DAYS("30/11/2018","01/11/2018")+1-(Novembre[[#This Row],[Maladie]]+Novembre[[#This Row],[AT]]))*((10*(_xlfn.DAYS("30/11/2018","01/11/2018")+1))/365))/(_xlfn.DAYS("30/11/2018","01/11/2018")+1))</f>
        <v>0.82191780821917804</v>
      </c>
    </row>
    <row r="45" spans="1:41" ht="30" customHeight="1" x14ac:dyDescent="0.2">
      <c r="A45" s="15" t="s">
        <v>101</v>
      </c>
      <c r="B45" s="22" t="s">
        <v>236</v>
      </c>
      <c r="C45" s="22" t="s">
        <v>237</v>
      </c>
      <c r="D45" s="22" t="s">
        <v>238</v>
      </c>
      <c r="E45" s="44">
        <v>0</v>
      </c>
      <c r="F45" s="47" t="str">
        <f>Global!KX45</f>
        <v/>
      </c>
      <c r="G45" s="31" t="str">
        <f>Global!KY45</f>
        <v/>
      </c>
      <c r="H45" s="31" t="str">
        <f>Global!KZ45</f>
        <v/>
      </c>
      <c r="I45" s="31" t="str">
        <f>Global!LA45</f>
        <v/>
      </c>
      <c r="J45" s="31" t="str">
        <f>Global!LB45</f>
        <v/>
      </c>
      <c r="K45" s="31" t="str">
        <f>Global!LC45</f>
        <v/>
      </c>
      <c r="L45" s="31" t="str">
        <f>Global!LD45</f>
        <v/>
      </c>
      <c r="M45" s="31" t="str">
        <f>Global!LE45</f>
        <v/>
      </c>
      <c r="N45" s="31" t="str">
        <f>Global!LF45</f>
        <v/>
      </c>
      <c r="O45" s="31" t="str">
        <f>Global!LG45</f>
        <v/>
      </c>
      <c r="P45" s="31" t="str">
        <f>Global!LH45</f>
        <v/>
      </c>
      <c r="Q45" s="31" t="str">
        <f>Global!LI45</f>
        <v/>
      </c>
      <c r="R45" s="31" t="str">
        <f>Global!LJ45</f>
        <v/>
      </c>
      <c r="S45" s="31" t="str">
        <f>Global!LK45</f>
        <v/>
      </c>
      <c r="T45" s="31" t="str">
        <f>Global!LL45</f>
        <v/>
      </c>
      <c r="U45" s="31" t="str">
        <f>Global!LM45</f>
        <v/>
      </c>
      <c r="V45" s="31" t="str">
        <f>Global!LN45</f>
        <v/>
      </c>
      <c r="W45" s="31" t="str">
        <f>Global!LO45</f>
        <v/>
      </c>
      <c r="X45" s="31" t="str">
        <f>Global!LP45</f>
        <v/>
      </c>
      <c r="Y45" s="31" t="str">
        <f>Global!LQ45</f>
        <v/>
      </c>
      <c r="Z45" s="31" t="str">
        <f>Global!LR45</f>
        <v/>
      </c>
      <c r="AA45" s="31" t="str">
        <f>Global!LS45</f>
        <v/>
      </c>
      <c r="AB45" s="31" t="str">
        <f>Global!LT45</f>
        <v/>
      </c>
      <c r="AC45" s="31" t="str">
        <f>Global!LU45</f>
        <v/>
      </c>
      <c r="AD45" s="31" t="str">
        <f>Global!LV45</f>
        <v/>
      </c>
      <c r="AE45" s="31" t="str">
        <f>Global!LW45</f>
        <v/>
      </c>
      <c r="AF45" s="31" t="str">
        <f>Global!LX45</f>
        <v/>
      </c>
      <c r="AG45" s="31" t="str">
        <f>Global!LY45</f>
        <v/>
      </c>
      <c r="AH45" s="31" t="str">
        <f>Global!LZ45</f>
        <v/>
      </c>
      <c r="AI45" s="31" t="str">
        <f>Global!MA45</f>
        <v/>
      </c>
      <c r="AJ45" s="118"/>
      <c r="AK45" s="108">
        <f>COUNTIF(Novembre[[#This Row],[1]:[30]],"RTT")+(COUNTIF(Novembre[[#This Row],[1]:[30]],"dRTT")/2)</f>
        <v>0</v>
      </c>
      <c r="AL45" s="109">
        <f>COUNTIF(Novembre[[#This Row],[1]:[30]],"C")+(COUNTIF(Novembre[[#This Row],[1]:[30]],"DC")/2)</f>
        <v>0</v>
      </c>
      <c r="AM45" s="22">
        <f>COUNTIF(Novembre[[#This Row],[1]:[30]],"M")</f>
        <v>0</v>
      </c>
      <c r="AN45" s="22">
        <f>COUNTIF(Novembre[[#This Row],[1]:[30]],"AT")</f>
        <v>0</v>
      </c>
      <c r="AO45" s="84">
        <f>IF(AND(Novembre[[#This Row],[Maladie]]=0,Novembre[[#This Row],[AT]]=0),((10*(_xlfn.DAYS("30/11/2018","01/11/2018")+1))/365),((_xlfn.DAYS("30/11/2018","01/11/2018")+1-(Novembre[[#This Row],[Maladie]]+Novembre[[#This Row],[AT]]))*((10*(_xlfn.DAYS("30/11/2018","01/11/2018")+1))/365))/(_xlfn.DAYS("30/11/2018","01/11/2018")+1))</f>
        <v>0.82191780821917804</v>
      </c>
    </row>
    <row r="46" spans="1:41" ht="30" customHeight="1" x14ac:dyDescent="0.2">
      <c r="A46" s="17" t="s">
        <v>102</v>
      </c>
      <c r="B46" s="17" t="s">
        <v>239</v>
      </c>
      <c r="C46" s="17" t="s">
        <v>240</v>
      </c>
      <c r="D46" s="17" t="s">
        <v>241</v>
      </c>
      <c r="E46" s="23">
        <v>0</v>
      </c>
      <c r="F46" s="47" t="str">
        <f>Global!KX46</f>
        <v/>
      </c>
      <c r="G46" s="31" t="str">
        <f>Global!KY46</f>
        <v/>
      </c>
      <c r="H46" s="31" t="str">
        <f>Global!KZ46</f>
        <v/>
      </c>
      <c r="I46" s="31" t="str">
        <f>Global!LA46</f>
        <v/>
      </c>
      <c r="J46" s="31" t="str">
        <f>Global!LB46</f>
        <v/>
      </c>
      <c r="K46" s="31" t="str">
        <f>Global!LC46</f>
        <v/>
      </c>
      <c r="L46" s="31" t="str">
        <f>Global!LD46</f>
        <v/>
      </c>
      <c r="M46" s="31" t="str">
        <f>Global!LE46</f>
        <v/>
      </c>
      <c r="N46" s="31" t="str">
        <f>Global!LF46</f>
        <v/>
      </c>
      <c r="O46" s="31" t="str">
        <f>Global!LG46</f>
        <v/>
      </c>
      <c r="P46" s="31" t="str">
        <f>Global!LH46</f>
        <v/>
      </c>
      <c r="Q46" s="31" t="str">
        <f>Global!LI46</f>
        <v/>
      </c>
      <c r="R46" s="31" t="str">
        <f>Global!LJ46</f>
        <v/>
      </c>
      <c r="S46" s="31" t="str">
        <f>Global!LK46</f>
        <v/>
      </c>
      <c r="T46" s="31" t="str">
        <f>Global!LL46</f>
        <v/>
      </c>
      <c r="U46" s="31" t="str">
        <f>Global!LM46</f>
        <v/>
      </c>
      <c r="V46" s="31" t="str">
        <f>Global!LN46</f>
        <v/>
      </c>
      <c r="W46" s="31" t="str">
        <f>Global!LO46</f>
        <v/>
      </c>
      <c r="X46" s="31" t="str">
        <f>Global!LP46</f>
        <v/>
      </c>
      <c r="Y46" s="31" t="str">
        <f>Global!LQ46</f>
        <v/>
      </c>
      <c r="Z46" s="31" t="str">
        <f>Global!LR46</f>
        <v/>
      </c>
      <c r="AA46" s="31" t="str">
        <f>Global!LS46</f>
        <v/>
      </c>
      <c r="AB46" s="31" t="str">
        <f>Global!LT46</f>
        <v/>
      </c>
      <c r="AC46" s="31" t="str">
        <f>Global!LU46</f>
        <v/>
      </c>
      <c r="AD46" s="31" t="str">
        <f>Global!LV46</f>
        <v/>
      </c>
      <c r="AE46" s="31" t="str">
        <f>Global!LW46</f>
        <v/>
      </c>
      <c r="AF46" s="31" t="str">
        <f>Global!LX46</f>
        <v/>
      </c>
      <c r="AG46" s="31" t="str">
        <f>Global!LY46</f>
        <v/>
      </c>
      <c r="AH46" s="31" t="str">
        <f>Global!LZ46</f>
        <v/>
      </c>
      <c r="AI46" s="31" t="str">
        <f>Global!MA46</f>
        <v/>
      </c>
      <c r="AJ46" s="118"/>
      <c r="AK46" s="108">
        <f>COUNTIF(Novembre[[#This Row],[1]:[30]],"RTT")+(COUNTIF(Novembre[[#This Row],[1]:[30]],"dRTT")/2)</f>
        <v>0</v>
      </c>
      <c r="AL46" s="109">
        <f>COUNTIF(Novembre[[#This Row],[1]:[30]],"C")+(COUNTIF(Novembre[[#This Row],[1]:[30]],"DC")/2)</f>
        <v>0</v>
      </c>
      <c r="AM46" s="22">
        <f>COUNTIF(Novembre[[#This Row],[1]:[30]],"M")</f>
        <v>0</v>
      </c>
      <c r="AN46" s="22">
        <f>COUNTIF(Novembre[[#This Row],[1]:[30]],"AT")</f>
        <v>0</v>
      </c>
      <c r="AO46" s="84">
        <f>IF(AND(Novembre[[#This Row],[Maladie]]=0,Novembre[[#This Row],[AT]]=0),((10*(_xlfn.DAYS("30/11/2018","01/11/2018")+1))/365),((_xlfn.DAYS("30/11/2018","01/11/2018")+1-(Novembre[[#This Row],[Maladie]]+Novembre[[#This Row],[AT]]))*((10*(_xlfn.DAYS("30/11/2018","01/11/2018")+1))/365))/(_xlfn.DAYS("30/11/2018","01/11/2018")+1))</f>
        <v>0.82191780821917804</v>
      </c>
    </row>
    <row r="47" spans="1:41" ht="30" customHeight="1" x14ac:dyDescent="0.2">
      <c r="A47" s="17" t="s">
        <v>103</v>
      </c>
      <c r="B47" s="17" t="s">
        <v>242</v>
      </c>
      <c r="C47" s="17" t="s">
        <v>243</v>
      </c>
      <c r="D47" s="17" t="s">
        <v>244</v>
      </c>
      <c r="E47" s="23">
        <v>0</v>
      </c>
      <c r="F47" s="47" t="str">
        <f>Global!KX47</f>
        <v/>
      </c>
      <c r="G47" s="31" t="str">
        <f>Global!KY47</f>
        <v/>
      </c>
      <c r="H47" s="31" t="str">
        <f>Global!KZ47</f>
        <v/>
      </c>
      <c r="I47" s="31" t="str">
        <f>Global!LA47</f>
        <v/>
      </c>
      <c r="J47" s="31" t="str">
        <f>Global!LB47</f>
        <v/>
      </c>
      <c r="K47" s="31" t="str">
        <f>Global!LC47</f>
        <v/>
      </c>
      <c r="L47" s="31" t="str">
        <f>Global!LD47</f>
        <v/>
      </c>
      <c r="M47" s="31" t="str">
        <f>Global!LE47</f>
        <v/>
      </c>
      <c r="N47" s="31" t="str">
        <f>Global!LF47</f>
        <v/>
      </c>
      <c r="O47" s="31" t="str">
        <f>Global!LG47</f>
        <v/>
      </c>
      <c r="P47" s="31" t="str">
        <f>Global!LH47</f>
        <v/>
      </c>
      <c r="Q47" s="31" t="str">
        <f>Global!LI47</f>
        <v/>
      </c>
      <c r="R47" s="31" t="str">
        <f>Global!LJ47</f>
        <v/>
      </c>
      <c r="S47" s="31" t="str">
        <f>Global!LK47</f>
        <v/>
      </c>
      <c r="T47" s="31" t="str">
        <f>Global!LL47</f>
        <v/>
      </c>
      <c r="U47" s="31" t="str">
        <f>Global!LM47</f>
        <v/>
      </c>
      <c r="V47" s="31" t="str">
        <f>Global!LN47</f>
        <v/>
      </c>
      <c r="W47" s="31" t="str">
        <f>Global!LO47</f>
        <v/>
      </c>
      <c r="X47" s="31" t="str">
        <f>Global!LP47</f>
        <v/>
      </c>
      <c r="Y47" s="31" t="str">
        <f>Global!LQ47</f>
        <v/>
      </c>
      <c r="Z47" s="31" t="str">
        <f>Global!LR47</f>
        <v/>
      </c>
      <c r="AA47" s="31" t="str">
        <f>Global!LS47</f>
        <v/>
      </c>
      <c r="AB47" s="31" t="str">
        <f>Global!LT47</f>
        <v/>
      </c>
      <c r="AC47" s="31" t="str">
        <f>Global!LU47</f>
        <v/>
      </c>
      <c r="AD47" s="31" t="str">
        <f>Global!LV47</f>
        <v/>
      </c>
      <c r="AE47" s="31" t="str">
        <f>Global!LW47</f>
        <v/>
      </c>
      <c r="AF47" s="31" t="str">
        <f>Global!LX47</f>
        <v/>
      </c>
      <c r="AG47" s="31" t="str">
        <f>Global!LY47</f>
        <v/>
      </c>
      <c r="AH47" s="31" t="str">
        <f>Global!LZ47</f>
        <v/>
      </c>
      <c r="AI47" s="31" t="str">
        <f>Global!MA47</f>
        <v/>
      </c>
      <c r="AJ47" s="118"/>
      <c r="AK47" s="108">
        <f>COUNTIF(Novembre[[#This Row],[1]:[30]],"RTT")+(COUNTIF(Novembre[[#This Row],[1]:[30]],"dRTT")/2)</f>
        <v>0</v>
      </c>
      <c r="AL47" s="109">
        <f>COUNTIF(Novembre[[#This Row],[1]:[30]],"C")+(COUNTIF(Novembre[[#This Row],[1]:[30]],"DC")/2)</f>
        <v>0</v>
      </c>
      <c r="AM47" s="22">
        <f>COUNTIF(Novembre[[#This Row],[1]:[30]],"M")</f>
        <v>0</v>
      </c>
      <c r="AN47" s="22">
        <f>COUNTIF(Novembre[[#This Row],[1]:[30]],"AT")</f>
        <v>0</v>
      </c>
      <c r="AO47" s="84">
        <f>IF(AND(Novembre[[#This Row],[Maladie]]=0,Novembre[[#This Row],[AT]]=0),((10*(_xlfn.DAYS("30/11/2018","01/11/2018")+1))/365),((_xlfn.DAYS("30/11/2018","01/11/2018")+1-(Novembre[[#This Row],[Maladie]]+Novembre[[#This Row],[AT]]))*((10*(_xlfn.DAYS("30/11/2018","01/11/2018")+1))/365))/(_xlfn.DAYS("30/11/2018","01/11/2018")+1))</f>
        <v>0.82191780821917804</v>
      </c>
    </row>
    <row r="48" spans="1:41" ht="30" customHeight="1" x14ac:dyDescent="0.2">
      <c r="A48" s="17" t="s">
        <v>104</v>
      </c>
      <c r="B48" s="17" t="s">
        <v>245</v>
      </c>
      <c r="C48" s="17" t="s">
        <v>246</v>
      </c>
      <c r="D48" s="17" t="s">
        <v>247</v>
      </c>
      <c r="E48" s="23">
        <v>0</v>
      </c>
      <c r="F48" s="47" t="str">
        <f>Global!KX48</f>
        <v/>
      </c>
      <c r="G48" s="31" t="str">
        <f>Global!KY48</f>
        <v/>
      </c>
      <c r="H48" s="31" t="str">
        <f>Global!KZ48</f>
        <v/>
      </c>
      <c r="I48" s="31" t="str">
        <f>Global!LA48</f>
        <v/>
      </c>
      <c r="J48" s="31" t="str">
        <f>Global!LB48</f>
        <v/>
      </c>
      <c r="K48" s="31" t="str">
        <f>Global!LC48</f>
        <v/>
      </c>
      <c r="L48" s="31" t="str">
        <f>Global!LD48</f>
        <v/>
      </c>
      <c r="M48" s="31" t="str">
        <f>Global!LE48</f>
        <v/>
      </c>
      <c r="N48" s="31" t="str">
        <f>Global!LF48</f>
        <v/>
      </c>
      <c r="O48" s="31" t="str">
        <f>Global!LG48</f>
        <v/>
      </c>
      <c r="P48" s="31" t="str">
        <f>Global!LH48</f>
        <v/>
      </c>
      <c r="Q48" s="31" t="str">
        <f>Global!LI48</f>
        <v/>
      </c>
      <c r="R48" s="31" t="str">
        <f>Global!LJ48</f>
        <v/>
      </c>
      <c r="S48" s="31" t="str">
        <f>Global!LK48</f>
        <v/>
      </c>
      <c r="T48" s="31" t="str">
        <f>Global!LL48</f>
        <v/>
      </c>
      <c r="U48" s="31" t="str">
        <f>Global!LM48</f>
        <v/>
      </c>
      <c r="V48" s="31" t="str">
        <f>Global!LN48</f>
        <v/>
      </c>
      <c r="W48" s="31" t="str">
        <f>Global!LO48</f>
        <v/>
      </c>
      <c r="X48" s="31" t="str">
        <f>Global!LP48</f>
        <v/>
      </c>
      <c r="Y48" s="31" t="str">
        <f>Global!LQ48</f>
        <v/>
      </c>
      <c r="Z48" s="31" t="str">
        <f>Global!LR48</f>
        <v/>
      </c>
      <c r="AA48" s="31" t="str">
        <f>Global!LS48</f>
        <v/>
      </c>
      <c r="AB48" s="31" t="str">
        <f>Global!LT48</f>
        <v/>
      </c>
      <c r="AC48" s="31" t="str">
        <f>Global!LU48</f>
        <v/>
      </c>
      <c r="AD48" s="31" t="str">
        <f>Global!LV48</f>
        <v/>
      </c>
      <c r="AE48" s="31" t="str">
        <f>Global!LW48</f>
        <v/>
      </c>
      <c r="AF48" s="31" t="str">
        <f>Global!LX48</f>
        <v/>
      </c>
      <c r="AG48" s="31" t="str">
        <f>Global!LY48</f>
        <v/>
      </c>
      <c r="AH48" s="31" t="str">
        <f>Global!LZ48</f>
        <v/>
      </c>
      <c r="AI48" s="31" t="str">
        <f>Global!MA48</f>
        <v/>
      </c>
      <c r="AJ48" s="118"/>
      <c r="AK48" s="108">
        <f>COUNTIF(Novembre[[#This Row],[1]:[30]],"RTT")+(COUNTIF(Novembre[[#This Row],[1]:[30]],"dRTT")/2)</f>
        <v>0</v>
      </c>
      <c r="AL48" s="109">
        <f>COUNTIF(Novembre[[#This Row],[1]:[30]],"C")+(COUNTIF(Novembre[[#This Row],[1]:[30]],"DC")/2)</f>
        <v>0</v>
      </c>
      <c r="AM48" s="22">
        <f>COUNTIF(Novembre[[#This Row],[1]:[30]],"M")</f>
        <v>0</v>
      </c>
      <c r="AN48" s="22">
        <f>COUNTIF(Novembre[[#This Row],[1]:[30]],"AT")</f>
        <v>0</v>
      </c>
      <c r="AO48" s="84">
        <f>IF(AND(Novembre[[#This Row],[Maladie]]=0,Novembre[[#This Row],[AT]]=0),((10*(_xlfn.DAYS("30/11/2018","01/11/2018")+1))/365),((_xlfn.DAYS("30/11/2018","01/11/2018")+1-(Novembre[[#This Row],[Maladie]]+Novembre[[#This Row],[AT]]))*((10*(_xlfn.DAYS("30/11/2018","01/11/2018")+1))/365))/(_xlfn.DAYS("30/11/2018","01/11/2018")+1))</f>
        <v>0.82191780821917804</v>
      </c>
    </row>
    <row r="49" spans="1:41" ht="30" customHeight="1" x14ac:dyDescent="0.2">
      <c r="A49" s="17" t="s">
        <v>105</v>
      </c>
      <c r="B49" s="17" t="s">
        <v>248</v>
      </c>
      <c r="C49" s="17" t="s">
        <v>249</v>
      </c>
      <c r="D49" s="17" t="s">
        <v>250</v>
      </c>
      <c r="E49" s="23">
        <v>0</v>
      </c>
      <c r="F49" s="47" t="str">
        <f>Global!KX49</f>
        <v/>
      </c>
      <c r="G49" s="31" t="str">
        <f>Global!KY49</f>
        <v/>
      </c>
      <c r="H49" s="31" t="str">
        <f>Global!KZ49</f>
        <v/>
      </c>
      <c r="I49" s="31" t="str">
        <f>Global!LA49</f>
        <v/>
      </c>
      <c r="J49" s="31" t="str">
        <f>Global!LB49</f>
        <v/>
      </c>
      <c r="K49" s="31" t="str">
        <f>Global!LC49</f>
        <v/>
      </c>
      <c r="L49" s="31" t="str">
        <f>Global!LD49</f>
        <v/>
      </c>
      <c r="M49" s="31" t="str">
        <f>Global!LE49</f>
        <v/>
      </c>
      <c r="N49" s="31" t="str">
        <f>Global!LF49</f>
        <v/>
      </c>
      <c r="O49" s="31" t="str">
        <f>Global!LG49</f>
        <v/>
      </c>
      <c r="P49" s="31" t="str">
        <f>Global!LH49</f>
        <v/>
      </c>
      <c r="Q49" s="31" t="str">
        <f>Global!LI49</f>
        <v/>
      </c>
      <c r="R49" s="31" t="str">
        <f>Global!LJ49</f>
        <v/>
      </c>
      <c r="S49" s="31" t="str">
        <f>Global!LK49</f>
        <v/>
      </c>
      <c r="T49" s="31" t="str">
        <f>Global!LL49</f>
        <v/>
      </c>
      <c r="U49" s="31" t="str">
        <f>Global!LM49</f>
        <v/>
      </c>
      <c r="V49" s="31" t="str">
        <f>Global!LN49</f>
        <v/>
      </c>
      <c r="W49" s="31" t="str">
        <f>Global!LO49</f>
        <v/>
      </c>
      <c r="X49" s="31" t="str">
        <f>Global!LP49</f>
        <v/>
      </c>
      <c r="Y49" s="31" t="str">
        <f>Global!LQ49</f>
        <v/>
      </c>
      <c r="Z49" s="31" t="str">
        <f>Global!LR49</f>
        <v/>
      </c>
      <c r="AA49" s="31" t="str">
        <f>Global!LS49</f>
        <v/>
      </c>
      <c r="AB49" s="31" t="str">
        <f>Global!LT49</f>
        <v/>
      </c>
      <c r="AC49" s="31" t="str">
        <f>Global!LU49</f>
        <v/>
      </c>
      <c r="AD49" s="31" t="str">
        <f>Global!LV49</f>
        <v/>
      </c>
      <c r="AE49" s="31" t="str">
        <f>Global!LW49</f>
        <v/>
      </c>
      <c r="AF49" s="31" t="str">
        <f>Global!LX49</f>
        <v/>
      </c>
      <c r="AG49" s="31" t="str">
        <f>Global!LY49</f>
        <v/>
      </c>
      <c r="AH49" s="31" t="str">
        <f>Global!LZ49</f>
        <v/>
      </c>
      <c r="AI49" s="31" t="str">
        <f>Global!MA49</f>
        <v/>
      </c>
      <c r="AJ49" s="118"/>
      <c r="AK49" s="108">
        <f>COUNTIF(Novembre[[#This Row],[1]:[30]],"RTT")+(COUNTIF(Novembre[[#This Row],[1]:[30]],"dRTT")/2)</f>
        <v>0</v>
      </c>
      <c r="AL49" s="109">
        <f>COUNTIF(Novembre[[#This Row],[1]:[30]],"C")+(COUNTIF(Novembre[[#This Row],[1]:[30]],"DC")/2)</f>
        <v>0</v>
      </c>
      <c r="AM49" s="22">
        <f>COUNTIF(Novembre[[#This Row],[1]:[30]],"M")</f>
        <v>0</v>
      </c>
      <c r="AN49" s="22">
        <f>COUNTIF(Novembre[[#This Row],[1]:[30]],"AT")</f>
        <v>0</v>
      </c>
      <c r="AO49" s="84">
        <f>IF(AND(Novembre[[#This Row],[Maladie]]=0,Novembre[[#This Row],[AT]]=0),((10*(_xlfn.DAYS("30/11/2018","01/11/2018")+1))/365),((_xlfn.DAYS("30/11/2018","01/11/2018")+1-(Novembre[[#This Row],[Maladie]]+Novembre[[#This Row],[AT]]))*((10*(_xlfn.DAYS("30/11/2018","01/11/2018")+1))/365))/(_xlfn.DAYS("30/11/2018","01/11/2018")+1))</f>
        <v>0.82191780821917804</v>
      </c>
    </row>
    <row r="50" spans="1:41" ht="30" customHeight="1" x14ac:dyDescent="0.2">
      <c r="A50" s="17" t="s">
        <v>106</v>
      </c>
      <c r="B50" s="17" t="s">
        <v>251</v>
      </c>
      <c r="C50" s="17" t="s">
        <v>252</v>
      </c>
      <c r="D50" s="17" t="s">
        <v>253</v>
      </c>
      <c r="E50" s="23">
        <v>0</v>
      </c>
      <c r="F50" s="47" t="str">
        <f>Global!KX50</f>
        <v/>
      </c>
      <c r="G50" s="31" t="str">
        <f>Global!KY50</f>
        <v/>
      </c>
      <c r="H50" s="31" t="str">
        <f>Global!KZ50</f>
        <v/>
      </c>
      <c r="I50" s="31" t="str">
        <f>Global!LA50</f>
        <v/>
      </c>
      <c r="J50" s="31" t="str">
        <f>Global!LB50</f>
        <v/>
      </c>
      <c r="K50" s="31" t="str">
        <f>Global!LC50</f>
        <v/>
      </c>
      <c r="L50" s="31" t="str">
        <f>Global!LD50</f>
        <v/>
      </c>
      <c r="M50" s="31" t="str">
        <f>Global!LE50</f>
        <v/>
      </c>
      <c r="N50" s="31" t="str">
        <f>Global!LF50</f>
        <v/>
      </c>
      <c r="O50" s="31" t="str">
        <f>Global!LG50</f>
        <v/>
      </c>
      <c r="P50" s="31" t="str">
        <f>Global!LH50</f>
        <v/>
      </c>
      <c r="Q50" s="31" t="str">
        <f>Global!LI50</f>
        <v/>
      </c>
      <c r="R50" s="31" t="str">
        <f>Global!LJ50</f>
        <v/>
      </c>
      <c r="S50" s="31" t="str">
        <f>Global!LK50</f>
        <v/>
      </c>
      <c r="T50" s="31" t="str">
        <f>Global!LL50</f>
        <v/>
      </c>
      <c r="U50" s="31" t="str">
        <f>Global!LM50</f>
        <v/>
      </c>
      <c r="V50" s="31" t="str">
        <f>Global!LN50</f>
        <v/>
      </c>
      <c r="W50" s="31" t="str">
        <f>Global!LO50</f>
        <v/>
      </c>
      <c r="X50" s="31" t="str">
        <f>Global!LP50</f>
        <v/>
      </c>
      <c r="Y50" s="31" t="str">
        <f>Global!LQ50</f>
        <v/>
      </c>
      <c r="Z50" s="31" t="str">
        <f>Global!LR50</f>
        <v/>
      </c>
      <c r="AA50" s="31" t="str">
        <f>Global!LS50</f>
        <v/>
      </c>
      <c r="AB50" s="31" t="str">
        <f>Global!LT50</f>
        <v/>
      </c>
      <c r="AC50" s="31" t="str">
        <f>Global!LU50</f>
        <v/>
      </c>
      <c r="AD50" s="31" t="str">
        <f>Global!LV50</f>
        <v/>
      </c>
      <c r="AE50" s="31" t="str">
        <f>Global!LW50</f>
        <v/>
      </c>
      <c r="AF50" s="31" t="str">
        <f>Global!LX50</f>
        <v/>
      </c>
      <c r="AG50" s="31" t="str">
        <f>Global!LY50</f>
        <v/>
      </c>
      <c r="AH50" s="31" t="str">
        <f>Global!LZ50</f>
        <v/>
      </c>
      <c r="AI50" s="31" t="str">
        <f>Global!MA50</f>
        <v/>
      </c>
      <c r="AJ50" s="118"/>
      <c r="AK50" s="108">
        <f>COUNTIF(Novembre[[#This Row],[1]:[30]],"RTT")+(COUNTIF(Novembre[[#This Row],[1]:[30]],"dRTT")/2)</f>
        <v>0</v>
      </c>
      <c r="AL50" s="109">
        <f>COUNTIF(Novembre[[#This Row],[1]:[30]],"C")+(COUNTIF(Novembre[[#This Row],[1]:[30]],"DC")/2)</f>
        <v>0</v>
      </c>
      <c r="AM50" s="22">
        <f>COUNTIF(Novembre[[#This Row],[1]:[30]],"M")</f>
        <v>0</v>
      </c>
      <c r="AN50" s="22">
        <f>COUNTIF(Novembre[[#This Row],[1]:[30]],"AT")</f>
        <v>0</v>
      </c>
      <c r="AO50" s="84">
        <f>IF(AND(Novembre[[#This Row],[Maladie]]=0,Novembre[[#This Row],[AT]]=0),((10*(_xlfn.DAYS("30/11/2018","01/11/2018")+1))/365),((_xlfn.DAYS("30/11/2018","01/11/2018")+1-(Novembre[[#This Row],[Maladie]]+Novembre[[#This Row],[AT]]))*((10*(_xlfn.DAYS("30/11/2018","01/11/2018")+1))/365))/(_xlfn.DAYS("30/11/2018","01/11/2018")+1))</f>
        <v>0.82191780821917804</v>
      </c>
    </row>
    <row r="51" spans="1:41" ht="30" customHeight="1" x14ac:dyDescent="0.2">
      <c r="A51" s="17" t="s">
        <v>107</v>
      </c>
      <c r="B51" s="17" t="s">
        <v>254</v>
      </c>
      <c r="C51" s="17" t="s">
        <v>255</v>
      </c>
      <c r="D51" s="17" t="s">
        <v>256</v>
      </c>
      <c r="E51" s="23">
        <v>0</v>
      </c>
      <c r="F51" s="47" t="str">
        <f>Global!KX51</f>
        <v/>
      </c>
      <c r="G51" s="31" t="str">
        <f>Global!KY51</f>
        <v/>
      </c>
      <c r="H51" s="31" t="str">
        <f>Global!KZ51</f>
        <v/>
      </c>
      <c r="I51" s="31" t="str">
        <f>Global!LA51</f>
        <v/>
      </c>
      <c r="J51" s="31" t="str">
        <f>Global!LB51</f>
        <v/>
      </c>
      <c r="K51" s="31" t="str">
        <f>Global!LC51</f>
        <v/>
      </c>
      <c r="L51" s="31" t="str">
        <f>Global!LD51</f>
        <v/>
      </c>
      <c r="M51" s="31" t="str">
        <f>Global!LE51</f>
        <v/>
      </c>
      <c r="N51" s="31" t="str">
        <f>Global!LF51</f>
        <v/>
      </c>
      <c r="O51" s="31" t="str">
        <f>Global!LG51</f>
        <v/>
      </c>
      <c r="P51" s="31" t="str">
        <f>Global!LH51</f>
        <v/>
      </c>
      <c r="Q51" s="31" t="str">
        <f>Global!LI51</f>
        <v/>
      </c>
      <c r="R51" s="31" t="str">
        <f>Global!LJ51</f>
        <v/>
      </c>
      <c r="S51" s="31" t="str">
        <f>Global!LK51</f>
        <v/>
      </c>
      <c r="T51" s="31" t="str">
        <f>Global!LL51</f>
        <v/>
      </c>
      <c r="U51" s="31" t="str">
        <f>Global!LM51</f>
        <v/>
      </c>
      <c r="V51" s="31" t="str">
        <f>Global!LN51</f>
        <v/>
      </c>
      <c r="W51" s="31" t="str">
        <f>Global!LO51</f>
        <v/>
      </c>
      <c r="X51" s="31" t="str">
        <f>Global!LP51</f>
        <v/>
      </c>
      <c r="Y51" s="31" t="str">
        <f>Global!LQ51</f>
        <v/>
      </c>
      <c r="Z51" s="31" t="str">
        <f>Global!LR51</f>
        <v/>
      </c>
      <c r="AA51" s="31" t="str">
        <f>Global!LS51</f>
        <v/>
      </c>
      <c r="AB51" s="31" t="str">
        <f>Global!LT51</f>
        <v/>
      </c>
      <c r="AC51" s="31" t="str">
        <f>Global!LU51</f>
        <v/>
      </c>
      <c r="AD51" s="31" t="str">
        <f>Global!LV51</f>
        <v/>
      </c>
      <c r="AE51" s="31" t="str">
        <f>Global!LW51</f>
        <v/>
      </c>
      <c r="AF51" s="31" t="str">
        <f>Global!LX51</f>
        <v/>
      </c>
      <c r="AG51" s="31" t="str">
        <f>Global!LY51</f>
        <v/>
      </c>
      <c r="AH51" s="31" t="str">
        <f>Global!LZ51</f>
        <v/>
      </c>
      <c r="AI51" s="31" t="str">
        <f>Global!MA51</f>
        <v/>
      </c>
      <c r="AJ51" s="118"/>
      <c r="AK51" s="108">
        <f>COUNTIF(Novembre[[#This Row],[1]:[30]],"RTT")+(COUNTIF(Novembre[[#This Row],[1]:[30]],"dRTT")/2)</f>
        <v>0</v>
      </c>
      <c r="AL51" s="109">
        <f>COUNTIF(Novembre[[#This Row],[1]:[30]],"C")+(COUNTIF(Novembre[[#This Row],[1]:[30]],"DC")/2)</f>
        <v>0</v>
      </c>
      <c r="AM51" s="22">
        <f>COUNTIF(Novembre[[#This Row],[1]:[30]],"M")</f>
        <v>0</v>
      </c>
      <c r="AN51" s="22">
        <f>COUNTIF(Novembre[[#This Row],[1]:[30]],"AT")</f>
        <v>0</v>
      </c>
      <c r="AO51" s="84">
        <f>IF(AND(Novembre[[#This Row],[Maladie]]=0,Novembre[[#This Row],[AT]]=0),((10*(_xlfn.DAYS("30/11/2018","01/11/2018")+1))/365),((_xlfn.DAYS("30/11/2018","01/11/2018")+1-(Novembre[[#This Row],[Maladie]]+Novembre[[#This Row],[AT]]))*((10*(_xlfn.DAYS("30/11/2018","01/11/2018")+1))/365))/(_xlfn.DAYS("30/11/2018","01/11/2018")+1))</f>
        <v>0.82191780821917804</v>
      </c>
    </row>
    <row r="52" spans="1:41" ht="30" customHeight="1" x14ac:dyDescent="0.2">
      <c r="A52" s="17" t="s">
        <v>108</v>
      </c>
      <c r="B52" s="17" t="s">
        <v>257</v>
      </c>
      <c r="C52" s="17" t="s">
        <v>258</v>
      </c>
      <c r="D52" s="17" t="s">
        <v>259</v>
      </c>
      <c r="E52" s="23">
        <v>0</v>
      </c>
      <c r="F52" s="47" t="str">
        <f>Global!KX52</f>
        <v/>
      </c>
      <c r="G52" s="31" t="str">
        <f>Global!KY52</f>
        <v/>
      </c>
      <c r="H52" s="31" t="str">
        <f>Global!KZ52</f>
        <v/>
      </c>
      <c r="I52" s="31" t="str">
        <f>Global!LA52</f>
        <v/>
      </c>
      <c r="J52" s="31" t="str">
        <f>Global!LB52</f>
        <v/>
      </c>
      <c r="K52" s="31" t="str">
        <f>Global!LC52</f>
        <v/>
      </c>
      <c r="L52" s="31" t="str">
        <f>Global!LD52</f>
        <v/>
      </c>
      <c r="M52" s="31" t="str">
        <f>Global!LE52</f>
        <v/>
      </c>
      <c r="N52" s="31" t="str">
        <f>Global!LF52</f>
        <v/>
      </c>
      <c r="O52" s="31" t="str">
        <f>Global!LG52</f>
        <v/>
      </c>
      <c r="P52" s="31" t="str">
        <f>Global!LH52</f>
        <v/>
      </c>
      <c r="Q52" s="31" t="str">
        <f>Global!LI52</f>
        <v/>
      </c>
      <c r="R52" s="31" t="str">
        <f>Global!LJ52</f>
        <v/>
      </c>
      <c r="S52" s="31" t="str">
        <f>Global!LK52</f>
        <v/>
      </c>
      <c r="T52" s="31" t="str">
        <f>Global!LL52</f>
        <v/>
      </c>
      <c r="U52" s="31" t="str">
        <f>Global!LM52</f>
        <v/>
      </c>
      <c r="V52" s="31" t="str">
        <f>Global!LN52</f>
        <v/>
      </c>
      <c r="W52" s="31" t="str">
        <f>Global!LO52</f>
        <v/>
      </c>
      <c r="X52" s="31" t="str">
        <f>Global!LP52</f>
        <v/>
      </c>
      <c r="Y52" s="31" t="str">
        <f>Global!LQ52</f>
        <v/>
      </c>
      <c r="Z52" s="31" t="str">
        <f>Global!LR52</f>
        <v/>
      </c>
      <c r="AA52" s="31" t="str">
        <f>Global!LS52</f>
        <v/>
      </c>
      <c r="AB52" s="31" t="str">
        <f>Global!LT52</f>
        <v/>
      </c>
      <c r="AC52" s="31" t="str">
        <f>Global!LU52</f>
        <v/>
      </c>
      <c r="AD52" s="31" t="str">
        <f>Global!LV52</f>
        <v/>
      </c>
      <c r="AE52" s="31" t="str">
        <f>Global!LW52</f>
        <v/>
      </c>
      <c r="AF52" s="31" t="str">
        <f>Global!LX52</f>
        <v/>
      </c>
      <c r="AG52" s="31" t="str">
        <f>Global!LY52</f>
        <v/>
      </c>
      <c r="AH52" s="31" t="str">
        <f>Global!LZ52</f>
        <v/>
      </c>
      <c r="AI52" s="31" t="str">
        <f>Global!MA52</f>
        <v/>
      </c>
      <c r="AJ52" s="118"/>
      <c r="AK52" s="108">
        <f>COUNTIF(Novembre[[#This Row],[1]:[30]],"RTT")+(COUNTIF(Novembre[[#This Row],[1]:[30]],"dRTT")/2)</f>
        <v>0</v>
      </c>
      <c r="AL52" s="109">
        <f>COUNTIF(Novembre[[#This Row],[1]:[30]],"C")+(COUNTIF(Novembre[[#This Row],[1]:[30]],"DC")/2)</f>
        <v>0</v>
      </c>
      <c r="AM52" s="22">
        <f>COUNTIF(Novembre[[#This Row],[1]:[30]],"M")</f>
        <v>0</v>
      </c>
      <c r="AN52" s="22">
        <f>COUNTIF(Novembre[[#This Row],[1]:[30]],"AT")</f>
        <v>0</v>
      </c>
      <c r="AO52" s="84">
        <f>IF(AND(Novembre[[#This Row],[Maladie]]=0,Novembre[[#This Row],[AT]]=0),((10*(_xlfn.DAYS("30/11/2018","01/11/2018")+1))/365),((_xlfn.DAYS("30/11/2018","01/11/2018")+1-(Novembre[[#This Row],[Maladie]]+Novembre[[#This Row],[AT]]))*((10*(_xlfn.DAYS("30/11/2018","01/11/2018")+1))/365))/(_xlfn.DAYS("30/11/2018","01/11/2018")+1))</f>
        <v>0.82191780821917804</v>
      </c>
    </row>
    <row r="53" spans="1:41" ht="30" customHeight="1" x14ac:dyDescent="0.2">
      <c r="A53" s="17" t="s">
        <v>109</v>
      </c>
      <c r="B53" s="17" t="s">
        <v>260</v>
      </c>
      <c r="C53" s="17" t="s">
        <v>261</v>
      </c>
      <c r="D53" s="17" t="s">
        <v>262</v>
      </c>
      <c r="E53" s="23">
        <v>0</v>
      </c>
      <c r="F53" s="47" t="str">
        <f>Global!KX53</f>
        <v/>
      </c>
      <c r="G53" s="31" t="str">
        <f>Global!KY53</f>
        <v/>
      </c>
      <c r="H53" s="31" t="str">
        <f>Global!KZ53</f>
        <v/>
      </c>
      <c r="I53" s="31" t="str">
        <f>Global!LA53</f>
        <v/>
      </c>
      <c r="J53" s="31" t="str">
        <f>Global!LB53</f>
        <v/>
      </c>
      <c r="K53" s="31" t="str">
        <f>Global!LC53</f>
        <v/>
      </c>
      <c r="L53" s="31" t="str">
        <f>Global!LD53</f>
        <v/>
      </c>
      <c r="M53" s="31" t="str">
        <f>Global!LE53</f>
        <v/>
      </c>
      <c r="N53" s="31" t="str">
        <f>Global!LF53</f>
        <v/>
      </c>
      <c r="O53" s="31" t="str">
        <f>Global!LG53</f>
        <v/>
      </c>
      <c r="P53" s="31" t="str">
        <f>Global!LH53</f>
        <v/>
      </c>
      <c r="Q53" s="31" t="str">
        <f>Global!LI53</f>
        <v/>
      </c>
      <c r="R53" s="31" t="str">
        <f>Global!LJ53</f>
        <v/>
      </c>
      <c r="S53" s="31" t="str">
        <f>Global!LK53</f>
        <v/>
      </c>
      <c r="T53" s="31" t="str">
        <f>Global!LL53</f>
        <v/>
      </c>
      <c r="U53" s="31" t="str">
        <f>Global!LM53</f>
        <v/>
      </c>
      <c r="V53" s="31" t="str">
        <f>Global!LN53</f>
        <v/>
      </c>
      <c r="W53" s="31" t="str">
        <f>Global!LO53</f>
        <v/>
      </c>
      <c r="X53" s="31" t="str">
        <f>Global!LP53</f>
        <v/>
      </c>
      <c r="Y53" s="31" t="str">
        <f>Global!LQ53</f>
        <v/>
      </c>
      <c r="Z53" s="31" t="str">
        <f>Global!LR53</f>
        <v/>
      </c>
      <c r="AA53" s="31" t="str">
        <f>Global!LS53</f>
        <v/>
      </c>
      <c r="AB53" s="31" t="str">
        <f>Global!LT53</f>
        <v/>
      </c>
      <c r="AC53" s="31" t="str">
        <f>Global!LU53</f>
        <v/>
      </c>
      <c r="AD53" s="31" t="str">
        <f>Global!LV53</f>
        <v/>
      </c>
      <c r="AE53" s="31" t="str">
        <f>Global!LW53</f>
        <v/>
      </c>
      <c r="AF53" s="31" t="str">
        <f>Global!LX53</f>
        <v/>
      </c>
      <c r="AG53" s="31" t="str">
        <f>Global!LY53</f>
        <v/>
      </c>
      <c r="AH53" s="31" t="str">
        <f>Global!LZ53</f>
        <v/>
      </c>
      <c r="AI53" s="31" t="str">
        <f>Global!MA53</f>
        <v/>
      </c>
      <c r="AJ53" s="118"/>
      <c r="AK53" s="108">
        <f>COUNTIF(Novembre[[#This Row],[1]:[30]],"RTT")+(COUNTIF(Novembre[[#This Row],[1]:[30]],"dRTT")/2)</f>
        <v>0</v>
      </c>
      <c r="AL53" s="109">
        <f>COUNTIF(Novembre[[#This Row],[1]:[30]],"C")+(COUNTIF(Novembre[[#This Row],[1]:[30]],"DC")/2)</f>
        <v>0</v>
      </c>
      <c r="AM53" s="22">
        <f>COUNTIF(Novembre[[#This Row],[1]:[30]],"M")</f>
        <v>0</v>
      </c>
      <c r="AN53" s="22">
        <f>COUNTIF(Novembre[[#This Row],[1]:[30]],"AT")</f>
        <v>0</v>
      </c>
      <c r="AO53" s="84">
        <f>IF(AND(Novembre[[#This Row],[Maladie]]=0,Novembre[[#This Row],[AT]]=0),((10*(_xlfn.DAYS("30/11/2018","01/11/2018")+1))/365),((_xlfn.DAYS("30/11/2018","01/11/2018")+1-(Novembre[[#This Row],[Maladie]]+Novembre[[#This Row],[AT]]))*((10*(_xlfn.DAYS("30/11/2018","01/11/2018")+1))/365))/(_xlfn.DAYS("30/11/2018","01/11/2018")+1))</f>
        <v>0.82191780821917804</v>
      </c>
    </row>
    <row r="54" spans="1:41" ht="30" customHeight="1" x14ac:dyDescent="0.2">
      <c r="A54" s="18" t="s">
        <v>110</v>
      </c>
      <c r="B54" s="18" t="s">
        <v>263</v>
      </c>
      <c r="C54" s="18" t="s">
        <v>264</v>
      </c>
      <c r="D54" s="18" t="s">
        <v>265</v>
      </c>
      <c r="E54" s="24">
        <v>0</v>
      </c>
      <c r="F54" s="47" t="str">
        <f>Global!KX54</f>
        <v/>
      </c>
      <c r="G54" s="31" t="str">
        <f>Global!KY54</f>
        <v/>
      </c>
      <c r="H54" s="31" t="str">
        <f>Global!KZ54</f>
        <v/>
      </c>
      <c r="I54" s="31" t="str">
        <f>Global!LA54</f>
        <v/>
      </c>
      <c r="J54" s="31" t="str">
        <f>Global!LB54</f>
        <v/>
      </c>
      <c r="K54" s="31" t="str">
        <f>Global!LC54</f>
        <v/>
      </c>
      <c r="L54" s="31" t="str">
        <f>Global!LD54</f>
        <v/>
      </c>
      <c r="M54" s="31" t="str">
        <f>Global!LE54</f>
        <v/>
      </c>
      <c r="N54" s="31" t="str">
        <f>Global!LF54</f>
        <v/>
      </c>
      <c r="O54" s="31" t="str">
        <f>Global!LG54</f>
        <v/>
      </c>
      <c r="P54" s="31" t="str">
        <f>Global!LH54</f>
        <v/>
      </c>
      <c r="Q54" s="31" t="str">
        <f>Global!LI54</f>
        <v/>
      </c>
      <c r="R54" s="31" t="str">
        <f>Global!LJ54</f>
        <v/>
      </c>
      <c r="S54" s="31" t="str">
        <f>Global!LK54</f>
        <v/>
      </c>
      <c r="T54" s="31" t="str">
        <f>Global!LL54</f>
        <v/>
      </c>
      <c r="U54" s="31" t="str">
        <f>Global!LM54</f>
        <v/>
      </c>
      <c r="V54" s="31" t="str">
        <f>Global!LN54</f>
        <v/>
      </c>
      <c r="W54" s="31" t="str">
        <f>Global!LO54</f>
        <v/>
      </c>
      <c r="X54" s="31" t="str">
        <f>Global!LP54</f>
        <v/>
      </c>
      <c r="Y54" s="31" t="str">
        <f>Global!LQ54</f>
        <v/>
      </c>
      <c r="Z54" s="31" t="str">
        <f>Global!LR54</f>
        <v/>
      </c>
      <c r="AA54" s="31" t="str">
        <f>Global!LS54</f>
        <v/>
      </c>
      <c r="AB54" s="31" t="str">
        <f>Global!LT54</f>
        <v/>
      </c>
      <c r="AC54" s="31" t="str">
        <f>Global!LU54</f>
        <v/>
      </c>
      <c r="AD54" s="31" t="str">
        <f>Global!LV54</f>
        <v/>
      </c>
      <c r="AE54" s="31" t="str">
        <f>Global!LW54</f>
        <v/>
      </c>
      <c r="AF54" s="31" t="str">
        <f>Global!LX54</f>
        <v/>
      </c>
      <c r="AG54" s="31" t="str">
        <f>Global!LY54</f>
        <v/>
      </c>
      <c r="AH54" s="31" t="str">
        <f>Global!LZ54</f>
        <v/>
      </c>
      <c r="AI54" s="31" t="str">
        <f>Global!MA54</f>
        <v/>
      </c>
      <c r="AJ54" s="118"/>
      <c r="AK54" s="108">
        <f>COUNTIF(Novembre[[#This Row],[1]:[30]],"RTT")+(COUNTIF(Novembre[[#This Row],[1]:[30]],"dRTT")/2)</f>
        <v>0</v>
      </c>
      <c r="AL54" s="109">
        <f>COUNTIF(Novembre[[#This Row],[1]:[30]],"C")+(COUNTIF(Novembre[[#This Row],[1]:[30]],"DC")/2)</f>
        <v>0</v>
      </c>
      <c r="AM54" s="22">
        <f>COUNTIF(Novembre[[#This Row],[1]:[30]],"M")</f>
        <v>0</v>
      </c>
      <c r="AN54" s="22">
        <f>COUNTIF(Novembre[[#This Row],[1]:[30]],"AT")</f>
        <v>0</v>
      </c>
      <c r="AO54" s="84">
        <f>IF(AND(Novembre[[#This Row],[Maladie]]=0,Novembre[[#This Row],[AT]]=0),((10*(_xlfn.DAYS("30/11/2018","01/11/2018")+1))/365),((_xlfn.DAYS("30/11/2018","01/11/2018")+1-(Novembre[[#This Row],[Maladie]]+Novembre[[#This Row],[AT]]))*((10*(_xlfn.DAYS("30/11/2018","01/11/2018")+1))/365))/(_xlfn.DAYS("30/11/2018","01/11/2018")+1))</f>
        <v>0.82191780821917804</v>
      </c>
    </row>
    <row r="55" spans="1:41" ht="30" customHeight="1" x14ac:dyDescent="0.2">
      <c r="A55" s="17" t="s">
        <v>111</v>
      </c>
      <c r="B55" s="17" t="s">
        <v>266</v>
      </c>
      <c r="C55" s="17" t="s">
        <v>267</v>
      </c>
      <c r="D55" s="17" t="s">
        <v>268</v>
      </c>
      <c r="E55" s="23">
        <v>0</v>
      </c>
      <c r="F55" s="47" t="str">
        <f>Global!KX55</f>
        <v/>
      </c>
      <c r="G55" s="31" t="str">
        <f>Global!KY55</f>
        <v/>
      </c>
      <c r="H55" s="31" t="str">
        <f>Global!KZ55</f>
        <v/>
      </c>
      <c r="I55" s="31" t="str">
        <f>Global!LA55</f>
        <v/>
      </c>
      <c r="J55" s="31" t="str">
        <f>Global!LB55</f>
        <v/>
      </c>
      <c r="K55" s="31" t="str">
        <f>Global!LC55</f>
        <v/>
      </c>
      <c r="L55" s="31" t="str">
        <f>Global!LD55</f>
        <v/>
      </c>
      <c r="M55" s="31" t="str">
        <f>Global!LE55</f>
        <v/>
      </c>
      <c r="N55" s="31" t="str">
        <f>Global!LF55</f>
        <v/>
      </c>
      <c r="O55" s="31" t="str">
        <f>Global!LG55</f>
        <v/>
      </c>
      <c r="P55" s="31" t="str">
        <f>Global!LH55</f>
        <v/>
      </c>
      <c r="Q55" s="31" t="str">
        <f>Global!LI55</f>
        <v/>
      </c>
      <c r="R55" s="31" t="str">
        <f>Global!LJ55</f>
        <v/>
      </c>
      <c r="S55" s="31" t="str">
        <f>Global!LK55</f>
        <v/>
      </c>
      <c r="T55" s="31" t="str">
        <f>Global!LL55</f>
        <v/>
      </c>
      <c r="U55" s="31" t="str">
        <f>Global!LM55</f>
        <v/>
      </c>
      <c r="V55" s="31" t="str">
        <f>Global!LN55</f>
        <v/>
      </c>
      <c r="W55" s="31" t="str">
        <f>Global!LO55</f>
        <v/>
      </c>
      <c r="X55" s="31" t="str">
        <f>Global!LP55</f>
        <v/>
      </c>
      <c r="Y55" s="31" t="str">
        <f>Global!LQ55</f>
        <v/>
      </c>
      <c r="Z55" s="31" t="str">
        <f>Global!LR55</f>
        <v/>
      </c>
      <c r="AA55" s="31" t="str">
        <f>Global!LS55</f>
        <v/>
      </c>
      <c r="AB55" s="31" t="str">
        <f>Global!LT55</f>
        <v/>
      </c>
      <c r="AC55" s="31" t="str">
        <f>Global!LU55</f>
        <v/>
      </c>
      <c r="AD55" s="31" t="str">
        <f>Global!LV55</f>
        <v/>
      </c>
      <c r="AE55" s="31" t="str">
        <f>Global!LW55</f>
        <v/>
      </c>
      <c r="AF55" s="31" t="str">
        <f>Global!LX55</f>
        <v/>
      </c>
      <c r="AG55" s="31" t="str">
        <f>Global!LY55</f>
        <v/>
      </c>
      <c r="AH55" s="31" t="str">
        <f>Global!LZ55</f>
        <v/>
      </c>
      <c r="AI55" s="31" t="str">
        <f>Global!MA55</f>
        <v/>
      </c>
      <c r="AJ55" s="118"/>
      <c r="AK55" s="108">
        <f>COUNTIF(Novembre[[#This Row],[1]:[30]],"RTT")+(COUNTIF(Novembre[[#This Row],[1]:[30]],"dRTT")/2)</f>
        <v>0</v>
      </c>
      <c r="AL55" s="109">
        <f>COUNTIF(Novembre[[#This Row],[1]:[30]],"C")+(COUNTIF(Novembre[[#This Row],[1]:[30]],"DC")/2)</f>
        <v>0</v>
      </c>
      <c r="AM55" s="22">
        <f>COUNTIF(Novembre[[#This Row],[1]:[30]],"M")</f>
        <v>0</v>
      </c>
      <c r="AN55" s="22">
        <f>COUNTIF(Novembre[[#This Row],[1]:[30]],"AT")</f>
        <v>0</v>
      </c>
      <c r="AO55" s="84">
        <f>IF(AND(Novembre[[#This Row],[Maladie]]=0,Novembre[[#This Row],[AT]]=0),((10*(_xlfn.DAYS("30/11/2018","01/11/2018")+1))/365),((_xlfn.DAYS("30/11/2018","01/11/2018")+1-(Novembre[[#This Row],[Maladie]]+Novembre[[#This Row],[AT]]))*((10*(_xlfn.DAYS("30/11/2018","01/11/2018")+1))/365))/(_xlfn.DAYS("30/11/2018","01/11/2018")+1))</f>
        <v>0.82191780821917804</v>
      </c>
    </row>
    <row r="56" spans="1:41" ht="30" customHeight="1" thickBot="1" x14ac:dyDescent="0.25">
      <c r="A56" s="17" t="s">
        <v>112</v>
      </c>
      <c r="B56" s="17" t="s">
        <v>269</v>
      </c>
      <c r="C56" s="17" t="s">
        <v>270</v>
      </c>
      <c r="D56" s="17" t="s">
        <v>271</v>
      </c>
      <c r="E56" s="23">
        <v>0</v>
      </c>
      <c r="F56" s="49" t="str">
        <f>Global!KX56</f>
        <v/>
      </c>
      <c r="G56" s="50" t="str">
        <f>Global!KY56</f>
        <v/>
      </c>
      <c r="H56" s="50" t="str">
        <f>Global!KZ56</f>
        <v/>
      </c>
      <c r="I56" s="50" t="str">
        <f>Global!LA56</f>
        <v/>
      </c>
      <c r="J56" s="50" t="str">
        <f>Global!LB56</f>
        <v/>
      </c>
      <c r="K56" s="50" t="str">
        <f>Global!LC56</f>
        <v/>
      </c>
      <c r="L56" s="50" t="str">
        <f>Global!LD56</f>
        <v/>
      </c>
      <c r="M56" s="50" t="str">
        <f>Global!LE56</f>
        <v/>
      </c>
      <c r="N56" s="50" t="str">
        <f>Global!LF56</f>
        <v/>
      </c>
      <c r="O56" s="50" t="str">
        <f>Global!LG56</f>
        <v/>
      </c>
      <c r="P56" s="50" t="str">
        <f>Global!LH56</f>
        <v/>
      </c>
      <c r="Q56" s="50" t="str">
        <f>Global!LI56</f>
        <v/>
      </c>
      <c r="R56" s="50" t="str">
        <f>Global!LJ56</f>
        <v/>
      </c>
      <c r="S56" s="50" t="str">
        <f>Global!LK56</f>
        <v/>
      </c>
      <c r="T56" s="50" t="str">
        <f>Global!LL56</f>
        <v/>
      </c>
      <c r="U56" s="50" t="str">
        <f>Global!LM56</f>
        <v/>
      </c>
      <c r="V56" s="50" t="str">
        <f>Global!LN56</f>
        <v/>
      </c>
      <c r="W56" s="50" t="str">
        <f>Global!LO56</f>
        <v/>
      </c>
      <c r="X56" s="50" t="str">
        <f>Global!LP56</f>
        <v/>
      </c>
      <c r="Y56" s="50" t="str">
        <f>Global!LQ56</f>
        <v/>
      </c>
      <c r="Z56" s="50" t="str">
        <f>Global!LR56</f>
        <v/>
      </c>
      <c r="AA56" s="50" t="str">
        <f>Global!LS56</f>
        <v/>
      </c>
      <c r="AB56" s="50" t="str">
        <f>Global!LT56</f>
        <v/>
      </c>
      <c r="AC56" s="50" t="str">
        <f>Global!LU56</f>
        <v/>
      </c>
      <c r="AD56" s="50" t="str">
        <f>Global!LV56</f>
        <v/>
      </c>
      <c r="AE56" s="50" t="str">
        <f>Global!LW56</f>
        <v/>
      </c>
      <c r="AF56" s="50" t="str">
        <f>Global!LX56</f>
        <v/>
      </c>
      <c r="AG56" s="50" t="str">
        <f>Global!LY56</f>
        <v/>
      </c>
      <c r="AH56" s="50" t="str">
        <f>Global!LZ56</f>
        <v/>
      </c>
      <c r="AI56" s="50" t="str">
        <f>Global!MA56</f>
        <v/>
      </c>
      <c r="AJ56" s="119"/>
      <c r="AK56" s="108">
        <f>COUNTIF(Novembre[[#This Row],[1]:[30]],"RTT")+(COUNTIF(Novembre[[#This Row],[1]:[30]],"dRTT")/2)</f>
        <v>0</v>
      </c>
      <c r="AL56" s="109">
        <f>COUNTIF(Novembre[[#This Row],[1]:[30]],"C")+(COUNTIF(Novembre[[#This Row],[1]:[30]],"DC")/2)</f>
        <v>0</v>
      </c>
      <c r="AM56" s="22">
        <f>COUNTIF(Novembre[[#This Row],[1]:[30]],"M")</f>
        <v>0</v>
      </c>
      <c r="AN56" s="22">
        <f>COUNTIF(Novembre[[#This Row],[1]:[30]],"AT")</f>
        <v>0</v>
      </c>
      <c r="AO56" s="84">
        <f>IF(AND(Novembre[[#This Row],[Maladie]]=0,Novembre[[#This Row],[AT]]=0),((10*(_xlfn.DAYS("30/11/2018","01/11/2018")+1))/365),((_xlfn.DAYS("30/11/2018","01/11/2018")+1-(Novembre[[#This Row],[Maladie]]+Novembre[[#This Row],[AT]]))*((10*(_xlfn.DAYS("30/11/2018","01/11/2018")+1))/365))/(_xlfn.DAYS("30/11/2018","01/11/2018")+1))</f>
        <v>0.82191780821917804</v>
      </c>
    </row>
    <row r="57" spans="1:41" x14ac:dyDescent="0.2">
      <c r="A57" s="1"/>
    </row>
  </sheetData>
  <mergeCells count="6">
    <mergeCell ref="F5:AJ5"/>
    <mergeCell ref="G3:H3"/>
    <mergeCell ref="J3:K3"/>
    <mergeCell ref="U3:V3"/>
    <mergeCell ref="AC3:AD3"/>
    <mergeCell ref="AH3:AI3"/>
  </mergeCells>
  <conditionalFormatting sqref="AJ8:AJ56">
    <cfRule type="expression" dxfId="37" priority="16">
      <formula>AJ8=""</formula>
    </cfRule>
  </conditionalFormatting>
  <conditionalFormatting sqref="AJ8:AJ56">
    <cfRule type="expression" dxfId="36" priority="17">
      <formula>AJ8=CléPersonnalisée2</formula>
    </cfRule>
    <cfRule type="expression" dxfId="35" priority="18">
      <formula>AJ8=CléPersonnalisée1</formula>
    </cfRule>
    <cfRule type="expression" dxfId="34" priority="19">
      <formula>AJ8=CléMaladie</formula>
    </cfRule>
    <cfRule type="expression" dxfId="33" priority="20">
      <formula>AJ8=CléPersonnel</formula>
    </cfRule>
    <cfRule type="expression" dxfId="32" priority="21">
      <formula>AJ8=CléCongé</formula>
    </cfRule>
  </conditionalFormatting>
  <conditionalFormatting sqref="F8:AI56">
    <cfRule type="expression" dxfId="31" priority="4">
      <formula>F8=CléPersonnalisée4</formula>
    </cfRule>
    <cfRule type="expression" dxfId="30" priority="5">
      <formula>F8=CléPersonnalisée5</formula>
    </cfRule>
    <cfRule type="expression" dxfId="29" priority="6">
      <formula>F8=CléPersonnalisée3</formula>
    </cfRule>
    <cfRule type="expression" dxfId="28" priority="7">
      <formula>F8=CléPersonnalisée2</formula>
    </cfRule>
    <cfRule type="expression" dxfId="27" priority="8">
      <formula>F8=CléPersonnalisée1</formula>
    </cfRule>
    <cfRule type="expression" dxfId="26" priority="9">
      <formula>F8=CléMaladie</formula>
    </cfRule>
    <cfRule type="expression" dxfId="25" priority="10">
      <formula>F8=CléPersonnel</formula>
    </cfRule>
    <cfRule type="expression" dxfId="24" priority="11" stopIfTrue="1">
      <formula>F8=CléCongé</formula>
    </cfRule>
    <cfRule type="expression" dxfId="23" priority="12" stopIfTrue="1">
      <formula>F8=CléDemiCongés</formula>
    </cfRule>
    <cfRule type="expression" dxfId="22" priority="13">
      <formula>F8=""</formula>
    </cfRule>
  </conditionalFormatting>
  <conditionalFormatting sqref="F6:AI56">
    <cfRule type="expression" dxfId="21" priority="2" stopIfTrue="1">
      <formula>WEEKDAY(F$1)=7</formula>
    </cfRule>
    <cfRule type="expression" dxfId="20"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3E5CC48F-E322-0B46-A15B-61F568BA11A9}">
            <xm:f>F$1=VLOOKUP(F$1,JFériés!$D$1:$D$11,1,FALSE)</xm:f>
            <x14:dxf>
              <font>
                <color theme="1"/>
              </font>
              <fill>
                <patternFill>
                  <bgColor theme="5" tint="0.59996337778862885"/>
                </patternFill>
              </fill>
            </x14:dxf>
          </x14:cfRule>
          <xm:sqref>F6:AI56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4" enableFormatConditionsCalculation="0">
    <tabColor rgb="FFFFF0C2"/>
    <pageSetUpPr fitToPage="1"/>
  </sheetPr>
  <dimension ref="A1:AO57"/>
  <sheetViews>
    <sheetView showGridLines="0" topLeftCell="A42" zoomScale="95" zoomScaleNormal="95" zoomScalePageLayoutView="95" workbookViewId="0">
      <selection activeCell="B57" sqref="B57"/>
    </sheetView>
  </sheetViews>
  <sheetFormatPr baseColWidth="10" defaultColWidth="8.83203125" defaultRowHeight="15" x14ac:dyDescent="0.2"/>
  <cols>
    <col min="1" max="1" width="9" customWidth="1"/>
    <col min="2" max="5" width="25.6640625" style="1" customWidth="1"/>
    <col min="6" max="36" width="4.6640625" style="1" customWidth="1"/>
    <col min="37" max="37" width="13.5" style="1" customWidth="1"/>
    <col min="38" max="38" width="12.1640625" customWidth="1"/>
    <col min="39" max="40" width="9.1640625" customWidth="1"/>
    <col min="41" max="41" width="11" bestFit="1" customWidth="1"/>
    <col min="42" max="1028" width="9.1640625" customWidth="1"/>
  </cols>
  <sheetData>
    <row r="1" spans="1:41" ht="52" x14ac:dyDescent="0.2">
      <c r="F1" s="62">
        <f>DATE(AnnéeCalendrier,12,1)</f>
        <v>43435</v>
      </c>
      <c r="G1" s="62">
        <f>DATE(AnnéeCalendrier,12,2)</f>
        <v>43436</v>
      </c>
      <c r="H1" s="62">
        <f>DATE(AnnéeCalendrier,12,3)</f>
        <v>43437</v>
      </c>
      <c r="I1" s="62">
        <f>DATE(AnnéeCalendrier,12,4)</f>
        <v>43438</v>
      </c>
      <c r="J1" s="62">
        <f>DATE(AnnéeCalendrier,12,5)</f>
        <v>43439</v>
      </c>
      <c r="K1" s="62">
        <f>DATE(AnnéeCalendrier,12,6)</f>
        <v>43440</v>
      </c>
      <c r="L1" s="62">
        <f>DATE(AnnéeCalendrier,12,7)</f>
        <v>43441</v>
      </c>
      <c r="M1" s="62">
        <f>DATE(AnnéeCalendrier,12,8)</f>
        <v>43442</v>
      </c>
      <c r="N1" s="62">
        <f>DATE(AnnéeCalendrier,12,9)</f>
        <v>43443</v>
      </c>
      <c r="O1" s="62">
        <f>DATE(AnnéeCalendrier,12,10)</f>
        <v>43444</v>
      </c>
      <c r="P1" s="62">
        <f>DATE(AnnéeCalendrier,12,11)</f>
        <v>43445</v>
      </c>
      <c r="Q1" s="62">
        <f>DATE(AnnéeCalendrier,12,12)</f>
        <v>43446</v>
      </c>
      <c r="R1" s="62">
        <f>DATE(AnnéeCalendrier,12,13)</f>
        <v>43447</v>
      </c>
      <c r="S1" s="62">
        <f>DATE(AnnéeCalendrier,12,14)</f>
        <v>43448</v>
      </c>
      <c r="T1" s="62">
        <f>DATE(AnnéeCalendrier,12,15)</f>
        <v>43449</v>
      </c>
      <c r="U1" s="62">
        <f>DATE(AnnéeCalendrier,12,16)</f>
        <v>43450</v>
      </c>
      <c r="V1" s="62">
        <f>DATE(AnnéeCalendrier,12,17)</f>
        <v>43451</v>
      </c>
      <c r="W1" s="62">
        <f>DATE(AnnéeCalendrier,12,18)</f>
        <v>43452</v>
      </c>
      <c r="X1" s="62">
        <f>DATE(AnnéeCalendrier,12,19)</f>
        <v>43453</v>
      </c>
      <c r="Y1" s="62">
        <f>DATE(AnnéeCalendrier,12,20)</f>
        <v>43454</v>
      </c>
      <c r="Z1" s="62">
        <f>DATE(AnnéeCalendrier,12,21)</f>
        <v>43455</v>
      </c>
      <c r="AA1" s="62">
        <f>DATE(AnnéeCalendrier,12,22)</f>
        <v>43456</v>
      </c>
      <c r="AB1" s="62">
        <f>DATE(AnnéeCalendrier,12,23)</f>
        <v>43457</v>
      </c>
      <c r="AC1" s="62">
        <f>DATE(AnnéeCalendrier,12,24)</f>
        <v>43458</v>
      </c>
      <c r="AD1" s="62">
        <f>DATE(AnnéeCalendrier,12,25)</f>
        <v>43459</v>
      </c>
      <c r="AE1" s="62">
        <f>DATE(AnnéeCalendrier,12,26)</f>
        <v>43460</v>
      </c>
      <c r="AF1" s="62">
        <f>DATE(AnnéeCalendrier,12,27)</f>
        <v>43461</v>
      </c>
      <c r="AG1" s="62">
        <f>DATE(AnnéeCalendrier,12,28)</f>
        <v>43462</v>
      </c>
      <c r="AH1" s="62">
        <f>DATE(AnnéeCalendrier,12,29)</f>
        <v>43463</v>
      </c>
      <c r="AI1" s="62">
        <f>DATE(AnnéeCalendrier,12,30)</f>
        <v>43464</v>
      </c>
      <c r="AJ1" s="62">
        <f>DATE(AnnéeCalendrier,12,31)</f>
        <v>43465</v>
      </c>
    </row>
    <row r="2" spans="1:41" ht="50.25" customHeight="1" x14ac:dyDescent="0.2">
      <c r="A2" s="3" t="s">
        <v>0</v>
      </c>
      <c r="B2" s="11"/>
      <c r="C2" s="11"/>
      <c r="D2" s="11"/>
      <c r="E2" s="11"/>
    </row>
    <row r="3" spans="1:41" ht="15" customHeight="1" x14ac:dyDescent="0.2">
      <c r="A3" s="8" t="s">
        <v>10</v>
      </c>
      <c r="D3" s="4" t="s">
        <v>1</v>
      </c>
      <c r="F3" s="71" t="s">
        <v>2</v>
      </c>
      <c r="G3" s="142" t="s">
        <v>3</v>
      </c>
      <c r="H3" s="142"/>
      <c r="I3" s="71" t="s">
        <v>115</v>
      </c>
      <c r="J3" s="143" t="s">
        <v>116</v>
      </c>
      <c r="K3" s="143"/>
      <c r="L3" s="70"/>
      <c r="M3" s="70" t="s">
        <v>4</v>
      </c>
      <c r="N3" s="53" t="s">
        <v>4</v>
      </c>
      <c r="P3" s="71" t="s">
        <v>5</v>
      </c>
      <c r="Q3" s="70" t="s">
        <v>6</v>
      </c>
      <c r="R3" s="70"/>
      <c r="S3" s="70"/>
      <c r="T3" s="71" t="s">
        <v>279</v>
      </c>
      <c r="U3" s="142" t="s">
        <v>281</v>
      </c>
      <c r="V3" s="142"/>
      <c r="W3" s="6"/>
      <c r="X3" s="7" t="s">
        <v>8</v>
      </c>
      <c r="Y3" s="70" t="s">
        <v>9</v>
      </c>
      <c r="Z3" s="6"/>
      <c r="AA3" s="1" t="str">
        <f>IFERROR(VLOOKUP(G9,Feuil1!B:C,INDEX(#REF!,MATCH($A9,#REF!,0),MATCH(#REF!,#REF!,0)),FALSE),"")</f>
        <v/>
      </c>
      <c r="AB3" s="4" t="s">
        <v>280</v>
      </c>
      <c r="AC3" s="144" t="s">
        <v>282</v>
      </c>
      <c r="AD3" s="144"/>
      <c r="AF3" s="8"/>
      <c r="AG3" s="4" t="s">
        <v>276</v>
      </c>
      <c r="AH3" s="144" t="s">
        <v>283</v>
      </c>
      <c r="AI3" s="144"/>
      <c r="AJ3" s="99" t="s">
        <v>293</v>
      </c>
      <c r="AK3" s="98" t="s">
        <v>293</v>
      </c>
    </row>
    <row r="4" spans="1:41" ht="15" customHeight="1" thickBot="1" x14ac:dyDescent="0.25">
      <c r="A4" s="10">
        <f>AnnéeCalendrier</f>
        <v>2018</v>
      </c>
      <c r="D4" s="95" t="s">
        <v>294</v>
      </c>
      <c r="E4" s="96">
        <v>10</v>
      </c>
    </row>
    <row r="5" spans="1:41" ht="30" customHeight="1" thickBot="1" x14ac:dyDescent="0.25">
      <c r="A5" s="72" t="s">
        <v>12</v>
      </c>
      <c r="B5" s="72"/>
      <c r="C5" s="72"/>
      <c r="D5" s="72"/>
      <c r="E5" s="72"/>
      <c r="F5" s="139" t="s">
        <v>56</v>
      </c>
      <c r="G5" s="140"/>
      <c r="H5" s="140"/>
      <c r="I5" s="140"/>
      <c r="J5" s="140"/>
      <c r="K5" s="140"/>
      <c r="L5" s="140"/>
      <c r="M5" s="140"/>
      <c r="N5" s="140"/>
      <c r="O5" s="140"/>
      <c r="P5" s="140"/>
      <c r="Q5" s="140"/>
      <c r="R5" s="140"/>
      <c r="S5" s="140"/>
      <c r="T5" s="140"/>
      <c r="U5" s="140"/>
      <c r="V5" s="140"/>
      <c r="W5" s="140"/>
      <c r="X5" s="140"/>
      <c r="Y5" s="140"/>
      <c r="Z5" s="140"/>
      <c r="AA5" s="140"/>
      <c r="AB5" s="140"/>
      <c r="AC5" s="140"/>
      <c r="AD5" s="140"/>
      <c r="AE5" s="140"/>
      <c r="AF5" s="140"/>
      <c r="AG5" s="140"/>
      <c r="AH5" s="140"/>
      <c r="AI5" s="140"/>
      <c r="AJ5" s="140"/>
      <c r="AK5" s="10"/>
    </row>
    <row r="6" spans="1:41" ht="15" customHeight="1" x14ac:dyDescent="0.2">
      <c r="A6" s="1"/>
      <c r="B6" s="10"/>
      <c r="C6" s="10"/>
      <c r="D6" s="10"/>
      <c r="E6" s="10"/>
      <c r="F6" s="45" t="str">
        <f>TEXT(WEEKDAY(DATE(AnnéeCalendrier,12,1),1),"jjj")</f>
        <v>sam</v>
      </c>
      <c r="G6" s="35" t="str">
        <f>TEXT(WEEKDAY(DATE(AnnéeCalendrier,12,2),1),"jjj")</f>
        <v>dim</v>
      </c>
      <c r="H6" s="35" t="str">
        <f>TEXT(WEEKDAY(DATE(AnnéeCalendrier,12,3),1),"jjj")</f>
        <v>lun</v>
      </c>
      <c r="I6" s="35" t="str">
        <f>TEXT(WEEKDAY(DATE(AnnéeCalendrier,12,4),1),"jjj")</f>
        <v>mar</v>
      </c>
      <c r="J6" s="35" t="str">
        <f>TEXT(WEEKDAY(DATE(AnnéeCalendrier,12,5),1),"jjj")</f>
        <v>mer</v>
      </c>
      <c r="K6" s="35" t="str">
        <f>TEXT(WEEKDAY(DATE(AnnéeCalendrier,12,6),1),"jjj")</f>
        <v>jeu</v>
      </c>
      <c r="L6" s="35" t="str">
        <f>TEXT(WEEKDAY(DATE(AnnéeCalendrier,12,7),1),"jjj")</f>
        <v>ven</v>
      </c>
      <c r="M6" s="35" t="str">
        <f>TEXT(WEEKDAY(DATE(AnnéeCalendrier,12,8),1),"jjj")</f>
        <v>sam</v>
      </c>
      <c r="N6" s="35" t="str">
        <f>TEXT(WEEKDAY(DATE(AnnéeCalendrier,12,9),1),"jjj")</f>
        <v>dim</v>
      </c>
      <c r="O6" s="35" t="str">
        <f>TEXT(WEEKDAY(DATE(AnnéeCalendrier,12,10),1),"jjj")</f>
        <v>lun</v>
      </c>
      <c r="P6" s="35" t="str">
        <f>TEXT(WEEKDAY(DATE(AnnéeCalendrier,12,11),1),"jjj")</f>
        <v>mar</v>
      </c>
      <c r="Q6" s="35" t="str">
        <f>TEXT(WEEKDAY(DATE(AnnéeCalendrier,12,12),1),"jjj")</f>
        <v>mer</v>
      </c>
      <c r="R6" s="35" t="str">
        <f>TEXT(WEEKDAY(DATE(AnnéeCalendrier,12,13),1),"jjj")</f>
        <v>jeu</v>
      </c>
      <c r="S6" s="35" t="str">
        <f>TEXT(WEEKDAY(DATE(AnnéeCalendrier,12,14),1),"jjj")</f>
        <v>ven</v>
      </c>
      <c r="T6" s="35" t="str">
        <f>TEXT(WEEKDAY(DATE(AnnéeCalendrier,12,15),1),"jjj")</f>
        <v>sam</v>
      </c>
      <c r="U6" s="35" t="str">
        <f>TEXT(WEEKDAY(DATE(AnnéeCalendrier,12,16),1),"jjj")</f>
        <v>dim</v>
      </c>
      <c r="V6" s="35" t="str">
        <f>TEXT(WEEKDAY(DATE(AnnéeCalendrier,12,17),1),"jjj")</f>
        <v>lun</v>
      </c>
      <c r="W6" s="35" t="str">
        <f>TEXT(WEEKDAY(DATE(AnnéeCalendrier,12,18),1),"jjj")</f>
        <v>mar</v>
      </c>
      <c r="X6" s="35" t="str">
        <f>TEXT(WEEKDAY(DATE(AnnéeCalendrier,12,19),1),"jjj")</f>
        <v>mer</v>
      </c>
      <c r="Y6" s="35" t="str">
        <f>TEXT(WEEKDAY(DATE(AnnéeCalendrier,12,20),1),"jjj")</f>
        <v>jeu</v>
      </c>
      <c r="Z6" s="35" t="str">
        <f>TEXT(WEEKDAY(DATE(AnnéeCalendrier,12,21),1),"jjj")</f>
        <v>ven</v>
      </c>
      <c r="AA6" s="35" t="str">
        <f>TEXT(WEEKDAY(DATE(AnnéeCalendrier,12,22),1),"jjj")</f>
        <v>sam</v>
      </c>
      <c r="AB6" s="35" t="str">
        <f>TEXT(WEEKDAY(DATE(AnnéeCalendrier,12,23),1),"jjj")</f>
        <v>dim</v>
      </c>
      <c r="AC6" s="35" t="str">
        <f>TEXT(WEEKDAY(DATE(AnnéeCalendrier,12,24),1),"jjj")</f>
        <v>lun</v>
      </c>
      <c r="AD6" s="35" t="str">
        <f>TEXT(WEEKDAY(DATE(AnnéeCalendrier,12,25),1),"jjj")</f>
        <v>mar</v>
      </c>
      <c r="AE6" s="35" t="str">
        <f>TEXT(WEEKDAY(DATE(AnnéeCalendrier,12,26),1),"jjj")</f>
        <v>mer</v>
      </c>
      <c r="AF6" s="35" t="str">
        <f>TEXT(WEEKDAY(DATE(AnnéeCalendrier,12,27),1),"jjj")</f>
        <v>jeu</v>
      </c>
      <c r="AG6" s="35" t="str">
        <f>TEXT(WEEKDAY(DATE(AnnéeCalendrier,12,28),1),"jjj")</f>
        <v>ven</v>
      </c>
      <c r="AH6" s="35" t="str">
        <f>TEXT(WEEKDAY(DATE(AnnéeCalendrier,12,29),1),"jjj")</f>
        <v>sam</v>
      </c>
      <c r="AI6" s="35" t="str">
        <f>TEXT(WEEKDAY(DATE(AnnéeCalendrier,12,30),1),"jjj")</f>
        <v>dim</v>
      </c>
      <c r="AJ6" s="46" t="str">
        <f>TEXT(WEEKDAY(DATE(AnnéeCalendrier,12,31),1),"jjj")</f>
        <v>lun</v>
      </c>
      <c r="AK6" s="10"/>
    </row>
    <row r="7" spans="1:41" ht="15" customHeight="1" thickBot="1" x14ac:dyDescent="0.25">
      <c r="A7" s="36" t="s">
        <v>63</v>
      </c>
      <c r="B7" s="36" t="s">
        <v>128</v>
      </c>
      <c r="C7" s="36" t="s">
        <v>129</v>
      </c>
      <c r="D7" s="36" t="s">
        <v>13</v>
      </c>
      <c r="E7" s="43" t="s">
        <v>113</v>
      </c>
      <c r="F7" s="76" t="s">
        <v>14</v>
      </c>
      <c r="G7" s="75" t="s">
        <v>15</v>
      </c>
      <c r="H7" s="75" t="s">
        <v>16</v>
      </c>
      <c r="I7" s="75" t="s">
        <v>17</v>
      </c>
      <c r="J7" s="75" t="s">
        <v>18</v>
      </c>
      <c r="K7" s="75" t="s">
        <v>19</v>
      </c>
      <c r="L7" s="75" t="s">
        <v>20</v>
      </c>
      <c r="M7" s="75" t="s">
        <v>21</v>
      </c>
      <c r="N7" s="75" t="s">
        <v>22</v>
      </c>
      <c r="O7" s="75" t="s">
        <v>23</v>
      </c>
      <c r="P7" s="75" t="s">
        <v>24</v>
      </c>
      <c r="Q7" s="75" t="s">
        <v>25</v>
      </c>
      <c r="R7" s="75" t="s">
        <v>26</v>
      </c>
      <c r="S7" s="75" t="s">
        <v>27</v>
      </c>
      <c r="T7" s="75" t="s">
        <v>28</v>
      </c>
      <c r="U7" s="75" t="s">
        <v>29</v>
      </c>
      <c r="V7" s="75" t="s">
        <v>30</v>
      </c>
      <c r="W7" s="75" t="s">
        <v>31</v>
      </c>
      <c r="X7" s="75" t="s">
        <v>32</v>
      </c>
      <c r="Y7" s="75" t="s">
        <v>33</v>
      </c>
      <c r="Z7" s="75" t="s">
        <v>34</v>
      </c>
      <c r="AA7" s="75" t="s">
        <v>35</v>
      </c>
      <c r="AB7" s="75" t="s">
        <v>36</v>
      </c>
      <c r="AC7" s="75" t="s">
        <v>37</v>
      </c>
      <c r="AD7" s="75" t="s">
        <v>38</v>
      </c>
      <c r="AE7" s="75" t="s">
        <v>39</v>
      </c>
      <c r="AF7" s="75" t="s">
        <v>40</v>
      </c>
      <c r="AG7" s="75" t="s">
        <v>41</v>
      </c>
      <c r="AH7" s="75" t="s">
        <v>42</v>
      </c>
      <c r="AI7" s="75" t="s">
        <v>43</v>
      </c>
      <c r="AJ7" s="77" t="s">
        <v>44</v>
      </c>
      <c r="AK7" s="101" t="s">
        <v>273</v>
      </c>
      <c r="AL7" s="101" t="s">
        <v>272</v>
      </c>
      <c r="AM7" s="36" t="s">
        <v>9</v>
      </c>
      <c r="AN7" s="36" t="s">
        <v>293</v>
      </c>
      <c r="AO7" s="73" t="s">
        <v>288</v>
      </c>
    </row>
    <row r="8" spans="1:41" ht="30" customHeight="1" x14ac:dyDescent="0.2">
      <c r="A8" s="41" t="s">
        <v>64</v>
      </c>
      <c r="B8" s="22" t="s">
        <v>130</v>
      </c>
      <c r="C8" s="22" t="s">
        <v>131</v>
      </c>
      <c r="D8" s="22" t="s">
        <v>132</v>
      </c>
      <c r="E8" s="44">
        <v>0</v>
      </c>
      <c r="F8" s="78" t="str">
        <f>Global!MB8</f>
        <v/>
      </c>
      <c r="G8" s="79" t="str">
        <f>Global!MC8</f>
        <v/>
      </c>
      <c r="H8" s="79" t="str">
        <f>Global!MD8</f>
        <v/>
      </c>
      <c r="I8" s="79" t="str">
        <f>Global!ME8</f>
        <v/>
      </c>
      <c r="J8" s="79" t="str">
        <f>Global!MF8</f>
        <v/>
      </c>
      <c r="K8" s="79" t="str">
        <f>Global!MG8</f>
        <v/>
      </c>
      <c r="L8" s="79" t="str">
        <f>Global!MH8</f>
        <v/>
      </c>
      <c r="M8" s="79" t="str">
        <f>Global!MI8</f>
        <v/>
      </c>
      <c r="N8" s="79" t="str">
        <f>Global!MJ8</f>
        <v/>
      </c>
      <c r="O8" s="79" t="str">
        <f>Global!MK8</f>
        <v/>
      </c>
      <c r="P8" s="79" t="str">
        <f>Global!ML8</f>
        <v/>
      </c>
      <c r="Q8" s="79" t="str">
        <f>Global!MM8</f>
        <v/>
      </c>
      <c r="R8" s="79" t="str">
        <f>Global!MN8</f>
        <v/>
      </c>
      <c r="S8" s="79" t="str">
        <f>Global!MO8</f>
        <v/>
      </c>
      <c r="T8" s="79" t="str">
        <f>Global!MP8</f>
        <v/>
      </c>
      <c r="U8" s="79" t="str">
        <f>Global!MQ8</f>
        <v/>
      </c>
      <c r="V8" s="79" t="str">
        <f>Global!MR8</f>
        <v/>
      </c>
      <c r="W8" s="79" t="str">
        <f>Global!MS8</f>
        <v/>
      </c>
      <c r="X8" s="79" t="str">
        <f>Global!MT8</f>
        <v/>
      </c>
      <c r="Y8" s="79" t="str">
        <f>Global!MU8</f>
        <v/>
      </c>
      <c r="Z8" s="79" t="str">
        <f>Global!MV8</f>
        <v/>
      </c>
      <c r="AA8" s="79" t="str">
        <f>Global!MW8</f>
        <v/>
      </c>
      <c r="AB8" s="79" t="str">
        <f>Global!MX8</f>
        <v/>
      </c>
      <c r="AC8" s="79" t="str">
        <f>Global!MY8</f>
        <v/>
      </c>
      <c r="AD8" s="79" t="str">
        <f>Global!MZ8</f>
        <v/>
      </c>
      <c r="AE8" s="79" t="str">
        <f>Global!NA8</f>
        <v/>
      </c>
      <c r="AF8" s="79" t="str">
        <f>Global!NB8</f>
        <v/>
      </c>
      <c r="AG8" s="79" t="str">
        <f>Global!NC8</f>
        <v/>
      </c>
      <c r="AH8" s="79" t="str">
        <f>Global!ND8</f>
        <v/>
      </c>
      <c r="AI8" s="79" t="str">
        <f>Global!NE8</f>
        <v/>
      </c>
      <c r="AJ8" s="80" t="str">
        <f>Global!NF8</f>
        <v/>
      </c>
      <c r="AK8" s="108">
        <f>COUNTIF(Décembre[[#This Row],[1]:[31]],"RTT")+(COUNTIF(Décembre[[#This Row],[1]:[31]],"dRTT")/2)</f>
        <v>0</v>
      </c>
      <c r="AL8" s="109">
        <f>COUNTIF(Décembre[[#This Row],[1]:[31]],"C")+(COUNTIF(Décembre[[#This Row],[1]:[31]],"DC")/2)</f>
        <v>0</v>
      </c>
      <c r="AM8" s="22">
        <f>COUNTIF(Décembre[[#This Row],[1]:[31]],"M")</f>
        <v>0</v>
      </c>
      <c r="AN8" s="22">
        <f>COUNTIF(Décembre[[#This Row],[1]:[31]],"AT")</f>
        <v>0</v>
      </c>
      <c r="AO8" s="84">
        <f>IF(AND(Décembre[[#This Row],[Maladie]]=0,Décembre[[#This Row],[AT]]=0),((10*(_xlfn.DAYS("31/12/2018","01/12/2018")+1))/365),((_xlfn.DAYS("31/12/2018","01/12/2018")+1-(Décembre[[#This Row],[Maladie]]+Décembre[[#This Row],[AT]]))*((10*(_xlfn.DAYS("31/12/2018","01/12/2018")+1))/365))/(_xlfn.DAYS("31/12/2018","01/12/2018")+1))</f>
        <v>0.84931506849315064</v>
      </c>
    </row>
    <row r="9" spans="1:41" ht="30" customHeight="1" x14ac:dyDescent="0.2">
      <c r="A9" s="13" t="s">
        <v>65</v>
      </c>
      <c r="B9" s="22" t="s">
        <v>130</v>
      </c>
      <c r="C9" s="22" t="s">
        <v>133</v>
      </c>
      <c r="D9" s="22" t="s">
        <v>134</v>
      </c>
      <c r="E9" s="44">
        <v>0</v>
      </c>
      <c r="F9" s="47" t="str">
        <f>Global!MB9</f>
        <v/>
      </c>
      <c r="G9" s="31" t="str">
        <f>Global!MC9</f>
        <v/>
      </c>
      <c r="H9" s="31" t="str">
        <f>Global!MD9</f>
        <v/>
      </c>
      <c r="I9" s="31" t="str">
        <f>Global!ME9</f>
        <v/>
      </c>
      <c r="J9" s="31" t="str">
        <f>Global!MF9</f>
        <v/>
      </c>
      <c r="K9" s="31" t="str">
        <f>Global!MG9</f>
        <v/>
      </c>
      <c r="L9" s="31" t="str">
        <f>Global!MH9</f>
        <v/>
      </c>
      <c r="M9" s="31" t="str">
        <f>Global!MI9</f>
        <v/>
      </c>
      <c r="N9" s="31" t="str">
        <f>Global!MJ9</f>
        <v/>
      </c>
      <c r="O9" s="31" t="str">
        <f>Global!MK9</f>
        <v/>
      </c>
      <c r="P9" s="31" t="str">
        <f>Global!ML9</f>
        <v/>
      </c>
      <c r="Q9" s="31" t="str">
        <f>Global!MM9</f>
        <v/>
      </c>
      <c r="R9" s="31" t="str">
        <f>Global!MN9</f>
        <v/>
      </c>
      <c r="S9" s="31" t="str">
        <f>Global!MO9</f>
        <v/>
      </c>
      <c r="T9" s="31" t="str">
        <f>Global!MP9</f>
        <v/>
      </c>
      <c r="U9" s="31" t="str">
        <f>Global!MQ9</f>
        <v/>
      </c>
      <c r="V9" s="31" t="str">
        <f>Global!MR9</f>
        <v/>
      </c>
      <c r="W9" s="31" t="str">
        <f>Global!MS9</f>
        <v/>
      </c>
      <c r="X9" s="31" t="str">
        <f>Global!MT9</f>
        <v/>
      </c>
      <c r="Y9" s="31" t="str">
        <f>Global!MU9</f>
        <v/>
      </c>
      <c r="Z9" s="31" t="str">
        <f>Global!MV9</f>
        <v/>
      </c>
      <c r="AA9" s="31" t="str">
        <f>Global!MW9</f>
        <v/>
      </c>
      <c r="AB9" s="31" t="str">
        <f>Global!MX9</f>
        <v/>
      </c>
      <c r="AC9" s="31" t="str">
        <f>Global!MY9</f>
        <v/>
      </c>
      <c r="AD9" s="31" t="str">
        <f>Global!MZ9</f>
        <v/>
      </c>
      <c r="AE9" s="31" t="str">
        <f>Global!NA9</f>
        <v/>
      </c>
      <c r="AF9" s="31" t="str">
        <f>Global!NB9</f>
        <v/>
      </c>
      <c r="AG9" s="31" t="str">
        <f>Global!NC9</f>
        <v/>
      </c>
      <c r="AH9" s="31" t="str">
        <f>Global!ND9</f>
        <v/>
      </c>
      <c r="AI9" s="31" t="str">
        <f>Global!NE9</f>
        <v/>
      </c>
      <c r="AJ9" s="48" t="str">
        <f>Global!NF9</f>
        <v/>
      </c>
      <c r="AK9" s="108">
        <f>COUNTIF(Décembre[[#This Row],[1]:[31]],"RTT")+(COUNTIF(Décembre[[#This Row],[1]:[31]],"dRTT")/2)</f>
        <v>0</v>
      </c>
      <c r="AL9" s="109">
        <f>COUNTIF(Décembre[[#This Row],[1]:[31]],"C")+(COUNTIF(Décembre[[#This Row],[1]:[31]],"DC")/2)</f>
        <v>0</v>
      </c>
      <c r="AM9" s="22">
        <f>COUNTIF(Décembre[[#This Row],[1]:[31]],"M")</f>
        <v>0</v>
      </c>
      <c r="AN9" s="22">
        <f>COUNTIF(Décembre[[#This Row],[1]:[31]],"AT")</f>
        <v>0</v>
      </c>
      <c r="AO9" s="84">
        <f>IF(AND(Décembre[[#This Row],[Maladie]]=0,Décembre[[#This Row],[AT]]=0),((10*(_xlfn.DAYS("31/12/2018","01/12/2018")+1))/365),((_xlfn.DAYS("31/12/2018","01/12/2018")+1-(Décembre[[#This Row],[Maladie]]+Décembre[[#This Row],[AT]]))*((10*(_xlfn.DAYS("31/12/2018","01/12/2018")+1))/365))/(_xlfn.DAYS("31/12/2018","01/12/2018")+1))</f>
        <v>0.84931506849315064</v>
      </c>
    </row>
    <row r="10" spans="1:41" ht="30" customHeight="1" x14ac:dyDescent="0.2">
      <c r="A10" s="14" t="s">
        <v>66</v>
      </c>
      <c r="B10" s="22" t="s">
        <v>135</v>
      </c>
      <c r="C10" s="22" t="s">
        <v>136</v>
      </c>
      <c r="D10" s="22" t="s">
        <v>137</v>
      </c>
      <c r="E10" s="44">
        <v>0</v>
      </c>
      <c r="F10" s="47" t="str">
        <f>Global!MB10</f>
        <v/>
      </c>
      <c r="G10" s="31" t="str">
        <f>Global!MC10</f>
        <v/>
      </c>
      <c r="H10" s="31" t="str">
        <f>Global!MD10</f>
        <v/>
      </c>
      <c r="I10" s="31" t="str">
        <f>Global!ME10</f>
        <v/>
      </c>
      <c r="J10" s="31" t="str">
        <f>Global!MF10</f>
        <v/>
      </c>
      <c r="K10" s="31" t="str">
        <f>Global!MG10</f>
        <v/>
      </c>
      <c r="L10" s="31" t="str">
        <f>Global!MH10</f>
        <v/>
      </c>
      <c r="M10" s="31" t="str">
        <f>Global!MI10</f>
        <v/>
      </c>
      <c r="N10" s="31" t="str">
        <f>Global!MJ10</f>
        <v/>
      </c>
      <c r="O10" s="31" t="str">
        <f>Global!MK10</f>
        <v/>
      </c>
      <c r="P10" s="31" t="str">
        <f>Global!ML10</f>
        <v/>
      </c>
      <c r="Q10" s="31" t="str">
        <f>Global!MM10</f>
        <v/>
      </c>
      <c r="R10" s="31" t="str">
        <f>Global!MN10</f>
        <v/>
      </c>
      <c r="S10" s="31" t="str">
        <f>Global!MO10</f>
        <v/>
      </c>
      <c r="T10" s="31" t="str">
        <f>Global!MP10</f>
        <v/>
      </c>
      <c r="U10" s="31" t="str">
        <f>Global!MQ10</f>
        <v/>
      </c>
      <c r="V10" s="31" t="str">
        <f>Global!MR10</f>
        <v/>
      </c>
      <c r="W10" s="31" t="str">
        <f>Global!MS10</f>
        <v/>
      </c>
      <c r="X10" s="31" t="str">
        <f>Global!MT10</f>
        <v/>
      </c>
      <c r="Y10" s="31" t="str">
        <f>Global!MU10</f>
        <v/>
      </c>
      <c r="Z10" s="31" t="str">
        <f>Global!MV10</f>
        <v/>
      </c>
      <c r="AA10" s="31" t="str">
        <f>Global!MW10</f>
        <v/>
      </c>
      <c r="AB10" s="31" t="str">
        <f>Global!MX10</f>
        <v/>
      </c>
      <c r="AC10" s="31" t="str">
        <f>Global!MY10</f>
        <v/>
      </c>
      <c r="AD10" s="31" t="str">
        <f>Global!MZ10</f>
        <v/>
      </c>
      <c r="AE10" s="31" t="str">
        <f>Global!NA10</f>
        <v/>
      </c>
      <c r="AF10" s="31" t="str">
        <f>Global!NB10</f>
        <v/>
      </c>
      <c r="AG10" s="31" t="str">
        <f>Global!NC10</f>
        <v/>
      </c>
      <c r="AH10" s="31" t="str">
        <f>Global!ND10</f>
        <v/>
      </c>
      <c r="AI10" s="31" t="str">
        <f>Global!NE10</f>
        <v/>
      </c>
      <c r="AJ10" s="48" t="str">
        <f>Global!NF10</f>
        <v/>
      </c>
      <c r="AK10" s="108">
        <f>COUNTIF(Décembre[[#This Row],[1]:[31]],"RTT")+(COUNTIF(Décembre[[#This Row],[1]:[31]],"dRTT")/2)</f>
        <v>0</v>
      </c>
      <c r="AL10" s="109">
        <f>COUNTIF(Décembre[[#This Row],[1]:[31]],"C")+(COUNTIF(Décembre[[#This Row],[1]:[31]],"DC")/2)</f>
        <v>0</v>
      </c>
      <c r="AM10" s="22">
        <f>COUNTIF(Décembre[[#This Row],[1]:[31]],"M")</f>
        <v>0</v>
      </c>
      <c r="AN10" s="22">
        <f>COUNTIF(Décembre[[#This Row],[1]:[31]],"AT")</f>
        <v>0</v>
      </c>
      <c r="AO10" s="84">
        <f>IF(AND(Décembre[[#This Row],[Maladie]]=0,Décembre[[#This Row],[AT]]=0),((10*(_xlfn.DAYS("31/12/2018","01/12/2018")+1))/365),((_xlfn.DAYS("31/12/2018","01/12/2018")+1-(Décembre[[#This Row],[Maladie]]+Décembre[[#This Row],[AT]]))*((10*(_xlfn.DAYS("31/12/2018","01/12/2018")+1))/365))/(_xlfn.DAYS("31/12/2018","01/12/2018")+1))</f>
        <v>0.84931506849315064</v>
      </c>
    </row>
    <row r="11" spans="1:41" ht="30" customHeight="1" x14ac:dyDescent="0.2">
      <c r="A11" s="15" t="s">
        <v>67</v>
      </c>
      <c r="B11" s="22" t="s">
        <v>138</v>
      </c>
      <c r="C11" s="22" t="s">
        <v>139</v>
      </c>
      <c r="D11" s="22" t="s">
        <v>140</v>
      </c>
      <c r="E11" s="44">
        <v>0</v>
      </c>
      <c r="F11" s="47" t="str">
        <f>Global!MB11</f>
        <v/>
      </c>
      <c r="G11" s="31" t="str">
        <f>Global!MC11</f>
        <v/>
      </c>
      <c r="H11" s="31" t="str">
        <f>Global!MD11</f>
        <v/>
      </c>
      <c r="I11" s="31" t="str">
        <f>Global!ME11</f>
        <v/>
      </c>
      <c r="J11" s="31" t="str">
        <f>Global!MF11</f>
        <v/>
      </c>
      <c r="K11" s="31" t="str">
        <f>Global!MG11</f>
        <v/>
      </c>
      <c r="L11" s="31" t="str">
        <f>Global!MH11</f>
        <v/>
      </c>
      <c r="M11" s="31" t="str">
        <f>Global!MI11</f>
        <v/>
      </c>
      <c r="N11" s="31" t="str">
        <f>Global!MJ11</f>
        <v/>
      </c>
      <c r="O11" s="31" t="str">
        <f>Global!MK11</f>
        <v/>
      </c>
      <c r="P11" s="31" t="str">
        <f>Global!ML11</f>
        <v/>
      </c>
      <c r="Q11" s="31" t="str">
        <f>Global!MM11</f>
        <v/>
      </c>
      <c r="R11" s="31" t="str">
        <f>Global!MN11</f>
        <v/>
      </c>
      <c r="S11" s="31" t="str">
        <f>Global!MO11</f>
        <v/>
      </c>
      <c r="T11" s="31" t="str">
        <f>Global!MP11</f>
        <v/>
      </c>
      <c r="U11" s="31" t="str">
        <f>Global!MQ11</f>
        <v/>
      </c>
      <c r="V11" s="31" t="str">
        <f>Global!MR11</f>
        <v/>
      </c>
      <c r="W11" s="31" t="str">
        <f>Global!MS11</f>
        <v/>
      </c>
      <c r="X11" s="31" t="str">
        <f>Global!MT11</f>
        <v/>
      </c>
      <c r="Y11" s="31" t="str">
        <f>Global!MU11</f>
        <v/>
      </c>
      <c r="Z11" s="31" t="str">
        <f>Global!MV11</f>
        <v/>
      </c>
      <c r="AA11" s="31" t="str">
        <f>Global!MW11</f>
        <v/>
      </c>
      <c r="AB11" s="31" t="str">
        <f>Global!MX11</f>
        <v/>
      </c>
      <c r="AC11" s="31" t="str">
        <f>Global!MY11</f>
        <v/>
      </c>
      <c r="AD11" s="31" t="str">
        <f>Global!MZ11</f>
        <v/>
      </c>
      <c r="AE11" s="31" t="str">
        <f>Global!NA11</f>
        <v/>
      </c>
      <c r="AF11" s="31" t="str">
        <f>Global!NB11</f>
        <v/>
      </c>
      <c r="AG11" s="31" t="str">
        <f>Global!NC11</f>
        <v/>
      </c>
      <c r="AH11" s="31" t="str">
        <f>Global!ND11</f>
        <v/>
      </c>
      <c r="AI11" s="31" t="str">
        <f>Global!NE11</f>
        <v/>
      </c>
      <c r="AJ11" s="48" t="str">
        <f>Global!NF11</f>
        <v/>
      </c>
      <c r="AK11" s="108">
        <f>COUNTIF(Décembre[[#This Row],[1]:[31]],"RTT")+(COUNTIF(Décembre[[#This Row],[1]:[31]],"dRTT")/2)</f>
        <v>0</v>
      </c>
      <c r="AL11" s="109">
        <f>COUNTIF(Décembre[[#This Row],[1]:[31]],"C")+(COUNTIF(Décembre[[#This Row],[1]:[31]],"DC")/2)</f>
        <v>0</v>
      </c>
      <c r="AM11" s="22">
        <f>COUNTIF(Décembre[[#This Row],[1]:[31]],"M")</f>
        <v>0</v>
      </c>
      <c r="AN11" s="22">
        <f>COUNTIF(Décembre[[#This Row],[1]:[31]],"AT")</f>
        <v>0</v>
      </c>
      <c r="AO11" s="84">
        <f>IF(AND(Décembre[[#This Row],[Maladie]]=0,Décembre[[#This Row],[AT]]=0),((10*(_xlfn.DAYS("31/12/2018","01/12/2018")+1))/365),((_xlfn.DAYS("31/12/2018","01/12/2018")+1-(Décembre[[#This Row],[Maladie]]+Décembre[[#This Row],[AT]]))*((10*(_xlfn.DAYS("31/12/2018","01/12/2018")+1))/365))/(_xlfn.DAYS("31/12/2018","01/12/2018")+1))</f>
        <v>0.84931506849315064</v>
      </c>
    </row>
    <row r="12" spans="1:41" ht="30" customHeight="1" x14ac:dyDescent="0.2">
      <c r="A12" s="15" t="s">
        <v>68</v>
      </c>
      <c r="B12" s="22" t="s">
        <v>141</v>
      </c>
      <c r="C12" s="22" t="s">
        <v>142</v>
      </c>
      <c r="D12" s="22" t="s">
        <v>143</v>
      </c>
      <c r="E12" s="44">
        <v>0</v>
      </c>
      <c r="F12" s="47" t="str">
        <f>Global!MB12</f>
        <v/>
      </c>
      <c r="G12" s="31" t="str">
        <f>Global!MC12</f>
        <v/>
      </c>
      <c r="H12" s="31" t="str">
        <f>Global!MD12</f>
        <v/>
      </c>
      <c r="I12" s="31" t="str">
        <f>Global!ME12</f>
        <v/>
      </c>
      <c r="J12" s="31" t="str">
        <f>Global!MF12</f>
        <v/>
      </c>
      <c r="K12" s="31" t="str">
        <f>Global!MG12</f>
        <v/>
      </c>
      <c r="L12" s="31" t="str">
        <f>Global!MH12</f>
        <v/>
      </c>
      <c r="M12" s="31" t="str">
        <f>Global!MI12</f>
        <v/>
      </c>
      <c r="N12" s="31" t="str">
        <f>Global!MJ12</f>
        <v/>
      </c>
      <c r="O12" s="31" t="str">
        <f>Global!MK12</f>
        <v/>
      </c>
      <c r="P12" s="31" t="str">
        <f>Global!ML12</f>
        <v/>
      </c>
      <c r="Q12" s="31" t="str">
        <f>Global!MM12</f>
        <v/>
      </c>
      <c r="R12" s="31" t="str">
        <f>Global!MN12</f>
        <v/>
      </c>
      <c r="S12" s="31" t="str">
        <f>Global!MO12</f>
        <v/>
      </c>
      <c r="T12" s="31" t="str">
        <f>Global!MP12</f>
        <v/>
      </c>
      <c r="U12" s="31" t="str">
        <f>Global!MQ12</f>
        <v/>
      </c>
      <c r="V12" s="31" t="str">
        <f>Global!MR12</f>
        <v/>
      </c>
      <c r="W12" s="31" t="str">
        <f>Global!MS12</f>
        <v/>
      </c>
      <c r="X12" s="31" t="str">
        <f>Global!MT12</f>
        <v/>
      </c>
      <c r="Y12" s="31" t="str">
        <f>Global!MU12</f>
        <v/>
      </c>
      <c r="Z12" s="31" t="str">
        <f>Global!MV12</f>
        <v/>
      </c>
      <c r="AA12" s="31" t="str">
        <f>Global!MW12</f>
        <v/>
      </c>
      <c r="AB12" s="31" t="str">
        <f>Global!MX12</f>
        <v/>
      </c>
      <c r="AC12" s="31" t="str">
        <f>Global!MY12</f>
        <v/>
      </c>
      <c r="AD12" s="31" t="str">
        <f>Global!MZ12</f>
        <v/>
      </c>
      <c r="AE12" s="31" t="str">
        <f>Global!NA12</f>
        <v/>
      </c>
      <c r="AF12" s="31" t="str">
        <f>Global!NB12</f>
        <v/>
      </c>
      <c r="AG12" s="31" t="str">
        <f>Global!NC12</f>
        <v/>
      </c>
      <c r="AH12" s="31" t="str">
        <f>Global!ND12</f>
        <v/>
      </c>
      <c r="AI12" s="31" t="str">
        <f>Global!NE12</f>
        <v/>
      </c>
      <c r="AJ12" s="48" t="str">
        <f>Global!NF12</f>
        <v/>
      </c>
      <c r="AK12" s="108">
        <f>COUNTIF(Décembre[[#This Row],[1]:[31]],"RTT")+(COUNTIF(Décembre[[#This Row],[1]:[31]],"dRTT")/2)</f>
        <v>0</v>
      </c>
      <c r="AL12" s="109">
        <f>COUNTIF(Décembre[[#This Row],[1]:[31]],"C")+(COUNTIF(Décembre[[#This Row],[1]:[31]],"DC")/2)</f>
        <v>0</v>
      </c>
      <c r="AM12" s="22">
        <f>COUNTIF(Décembre[[#This Row],[1]:[31]],"M")</f>
        <v>0</v>
      </c>
      <c r="AN12" s="22">
        <f>COUNTIF(Décembre[[#This Row],[1]:[31]],"AT")</f>
        <v>0</v>
      </c>
      <c r="AO12" s="84">
        <f>IF(AND(Décembre[[#This Row],[Maladie]]=0,Décembre[[#This Row],[AT]]=0),((10*(_xlfn.DAYS("31/12/2018","01/12/2018")+1))/365),((_xlfn.DAYS("31/12/2018","01/12/2018")+1-(Décembre[[#This Row],[Maladie]]+Décembre[[#This Row],[AT]]))*((10*(_xlfn.DAYS("31/12/2018","01/12/2018")+1))/365))/(_xlfn.DAYS("31/12/2018","01/12/2018")+1))</f>
        <v>0.84931506849315064</v>
      </c>
    </row>
    <row r="13" spans="1:41" ht="30" customHeight="1" x14ac:dyDescent="0.2">
      <c r="A13" s="13" t="s">
        <v>69</v>
      </c>
      <c r="B13" s="22" t="s">
        <v>144</v>
      </c>
      <c r="C13" s="22" t="s">
        <v>145</v>
      </c>
      <c r="D13" s="22" t="s">
        <v>146</v>
      </c>
      <c r="E13" s="44">
        <v>0</v>
      </c>
      <c r="F13" s="47" t="str">
        <f>Global!MB13</f>
        <v/>
      </c>
      <c r="G13" s="31" t="str">
        <f>Global!MC13</f>
        <v/>
      </c>
      <c r="H13" s="31" t="str">
        <f>Global!MD13</f>
        <v/>
      </c>
      <c r="I13" s="31" t="str">
        <f>Global!ME13</f>
        <v/>
      </c>
      <c r="J13" s="31" t="str">
        <f>Global!MF13</f>
        <v/>
      </c>
      <c r="K13" s="31" t="str">
        <f>Global!MG13</f>
        <v/>
      </c>
      <c r="L13" s="31" t="str">
        <f>Global!MH13</f>
        <v/>
      </c>
      <c r="M13" s="31" t="str">
        <f>Global!MI13</f>
        <v/>
      </c>
      <c r="N13" s="31" t="str">
        <f>Global!MJ13</f>
        <v/>
      </c>
      <c r="O13" s="31" t="str">
        <f>Global!MK13</f>
        <v/>
      </c>
      <c r="P13" s="31" t="str">
        <f>Global!ML13</f>
        <v/>
      </c>
      <c r="Q13" s="31" t="str">
        <f>Global!MM13</f>
        <v/>
      </c>
      <c r="R13" s="31" t="str">
        <f>Global!MN13</f>
        <v/>
      </c>
      <c r="S13" s="31" t="str">
        <f>Global!MO13</f>
        <v/>
      </c>
      <c r="T13" s="31" t="str">
        <f>Global!MP13</f>
        <v/>
      </c>
      <c r="U13" s="31" t="str">
        <f>Global!MQ13</f>
        <v/>
      </c>
      <c r="V13" s="31" t="str">
        <f>Global!MR13</f>
        <v/>
      </c>
      <c r="W13" s="31" t="str">
        <f>Global!MS13</f>
        <v/>
      </c>
      <c r="X13" s="31" t="str">
        <f>Global!MT13</f>
        <v/>
      </c>
      <c r="Y13" s="31" t="str">
        <f>Global!MU13</f>
        <v/>
      </c>
      <c r="Z13" s="31" t="str">
        <f>Global!MV13</f>
        <v/>
      </c>
      <c r="AA13" s="31" t="str">
        <f>Global!MW13</f>
        <v/>
      </c>
      <c r="AB13" s="31" t="str">
        <f>Global!MX13</f>
        <v/>
      </c>
      <c r="AC13" s="31" t="str">
        <f>Global!MY13</f>
        <v/>
      </c>
      <c r="AD13" s="31" t="str">
        <f>Global!MZ13</f>
        <v/>
      </c>
      <c r="AE13" s="31" t="str">
        <f>Global!NA13</f>
        <v/>
      </c>
      <c r="AF13" s="31" t="str">
        <f>Global!NB13</f>
        <v/>
      </c>
      <c r="AG13" s="31" t="str">
        <f>Global!NC13</f>
        <v/>
      </c>
      <c r="AH13" s="31" t="str">
        <f>Global!ND13</f>
        <v/>
      </c>
      <c r="AI13" s="31" t="str">
        <f>Global!NE13</f>
        <v/>
      </c>
      <c r="AJ13" s="48" t="str">
        <f>Global!NF13</f>
        <v/>
      </c>
      <c r="AK13" s="108">
        <f>COUNTIF(Décembre[[#This Row],[1]:[31]],"RTT")+(COUNTIF(Décembre[[#This Row],[1]:[31]],"dRTT")/2)</f>
        <v>0</v>
      </c>
      <c r="AL13" s="109">
        <f>COUNTIF(Décembre[[#This Row],[1]:[31]],"C")+(COUNTIF(Décembre[[#This Row],[1]:[31]],"DC")/2)</f>
        <v>0</v>
      </c>
      <c r="AM13" s="22">
        <f>COUNTIF(Décembre[[#This Row],[1]:[31]],"M")</f>
        <v>0</v>
      </c>
      <c r="AN13" s="22">
        <f>COUNTIF(Décembre[[#This Row],[1]:[31]],"AT")</f>
        <v>0</v>
      </c>
      <c r="AO13" s="84">
        <f>IF(AND(Décembre[[#This Row],[Maladie]]=0,Décembre[[#This Row],[AT]]=0),((10*(_xlfn.DAYS("31/12/2018","01/12/2018")+1))/365),((_xlfn.DAYS("31/12/2018","01/12/2018")+1-(Décembre[[#This Row],[Maladie]]+Décembre[[#This Row],[AT]]))*((10*(_xlfn.DAYS("31/12/2018","01/12/2018")+1))/365))/(_xlfn.DAYS("31/12/2018","01/12/2018")+1))</f>
        <v>0.84931506849315064</v>
      </c>
    </row>
    <row r="14" spans="1:41" ht="30" customHeight="1" x14ac:dyDescent="0.2">
      <c r="A14" s="15" t="s">
        <v>70</v>
      </c>
      <c r="B14" s="22" t="s">
        <v>147</v>
      </c>
      <c r="C14" s="22" t="s">
        <v>148</v>
      </c>
      <c r="D14" s="22" t="s">
        <v>149</v>
      </c>
      <c r="E14" s="44">
        <v>0</v>
      </c>
      <c r="F14" s="47" t="str">
        <f>Global!MB14</f>
        <v/>
      </c>
      <c r="G14" s="31" t="str">
        <f>Global!MC14</f>
        <v/>
      </c>
      <c r="H14" s="31" t="str">
        <f>Global!MD14</f>
        <v/>
      </c>
      <c r="I14" s="31" t="str">
        <f>Global!ME14</f>
        <v/>
      </c>
      <c r="J14" s="31" t="str">
        <f>Global!MF14</f>
        <v/>
      </c>
      <c r="K14" s="31" t="str">
        <f>Global!MG14</f>
        <v/>
      </c>
      <c r="L14" s="31" t="str">
        <f>Global!MH14</f>
        <v/>
      </c>
      <c r="M14" s="31" t="str">
        <f>Global!MI14</f>
        <v/>
      </c>
      <c r="N14" s="31" t="str">
        <f>Global!MJ14</f>
        <v/>
      </c>
      <c r="O14" s="31" t="str">
        <f>Global!MK14</f>
        <v/>
      </c>
      <c r="P14" s="31" t="str">
        <f>Global!ML14</f>
        <v/>
      </c>
      <c r="Q14" s="31" t="str">
        <f>Global!MM14</f>
        <v/>
      </c>
      <c r="R14" s="31" t="str">
        <f>Global!MN14</f>
        <v/>
      </c>
      <c r="S14" s="31" t="str">
        <f>Global!MO14</f>
        <v/>
      </c>
      <c r="T14" s="31" t="str">
        <f>Global!MP14</f>
        <v/>
      </c>
      <c r="U14" s="31" t="str">
        <f>Global!MQ14</f>
        <v/>
      </c>
      <c r="V14" s="31" t="str">
        <f>Global!MR14</f>
        <v/>
      </c>
      <c r="W14" s="31" t="str">
        <f>Global!MS14</f>
        <v/>
      </c>
      <c r="X14" s="31" t="str">
        <f>Global!MT14</f>
        <v/>
      </c>
      <c r="Y14" s="31" t="str">
        <f>Global!MU14</f>
        <v/>
      </c>
      <c r="Z14" s="31" t="str">
        <f>Global!MV14</f>
        <v/>
      </c>
      <c r="AA14" s="31" t="str">
        <f>Global!MW14</f>
        <v/>
      </c>
      <c r="AB14" s="31" t="str">
        <f>Global!MX14</f>
        <v/>
      </c>
      <c r="AC14" s="31" t="str">
        <f>Global!MY14</f>
        <v/>
      </c>
      <c r="AD14" s="31" t="str">
        <f>Global!MZ14</f>
        <v/>
      </c>
      <c r="AE14" s="31" t="str">
        <f>Global!NA14</f>
        <v/>
      </c>
      <c r="AF14" s="31" t="str">
        <f>Global!NB14</f>
        <v/>
      </c>
      <c r="AG14" s="31" t="str">
        <f>Global!NC14</f>
        <v/>
      </c>
      <c r="AH14" s="31" t="str">
        <f>Global!ND14</f>
        <v/>
      </c>
      <c r="AI14" s="31" t="str">
        <f>Global!NE14</f>
        <v/>
      </c>
      <c r="AJ14" s="48" t="str">
        <f>Global!NF14</f>
        <v/>
      </c>
      <c r="AK14" s="108">
        <f>COUNTIF(Décembre[[#This Row],[1]:[31]],"RTT")+(COUNTIF(Décembre[[#This Row],[1]:[31]],"dRTT")/2)</f>
        <v>0</v>
      </c>
      <c r="AL14" s="109">
        <f>COUNTIF(Décembre[[#This Row],[1]:[31]],"C")+(COUNTIF(Décembre[[#This Row],[1]:[31]],"DC")/2)</f>
        <v>0</v>
      </c>
      <c r="AM14" s="22">
        <f>COUNTIF(Décembre[[#This Row],[1]:[31]],"M")</f>
        <v>0</v>
      </c>
      <c r="AN14" s="22">
        <f>COUNTIF(Décembre[[#This Row],[1]:[31]],"AT")</f>
        <v>0</v>
      </c>
      <c r="AO14" s="84">
        <f>IF(AND(Décembre[[#This Row],[Maladie]]=0,Décembre[[#This Row],[AT]]=0),((10*(_xlfn.DAYS("31/12/2018","01/12/2018")+1))/365),((_xlfn.DAYS("31/12/2018","01/12/2018")+1-(Décembre[[#This Row],[Maladie]]+Décembre[[#This Row],[AT]]))*((10*(_xlfn.DAYS("31/12/2018","01/12/2018")+1))/365))/(_xlfn.DAYS("31/12/2018","01/12/2018")+1))</f>
        <v>0.84931506849315064</v>
      </c>
    </row>
    <row r="15" spans="1:41" ht="30" customHeight="1" x14ac:dyDescent="0.2">
      <c r="A15" s="15" t="s">
        <v>71</v>
      </c>
      <c r="B15" s="22" t="s">
        <v>150</v>
      </c>
      <c r="C15" s="22" t="s">
        <v>151</v>
      </c>
      <c r="D15" s="22" t="s">
        <v>152</v>
      </c>
      <c r="E15" s="44">
        <v>0</v>
      </c>
      <c r="F15" s="47" t="str">
        <f>Global!MB15</f>
        <v/>
      </c>
      <c r="G15" s="31" t="str">
        <f>Global!MC15</f>
        <v/>
      </c>
      <c r="H15" s="31" t="str">
        <f>Global!MD15</f>
        <v/>
      </c>
      <c r="I15" s="31" t="str">
        <f>Global!ME15</f>
        <v/>
      </c>
      <c r="J15" s="31" t="str">
        <f>Global!MF15</f>
        <v/>
      </c>
      <c r="K15" s="31" t="str">
        <f>Global!MG15</f>
        <v/>
      </c>
      <c r="L15" s="31" t="str">
        <f>Global!MH15</f>
        <v/>
      </c>
      <c r="M15" s="31" t="str">
        <f>Global!MI15</f>
        <v/>
      </c>
      <c r="N15" s="31" t="str">
        <f>Global!MJ15</f>
        <v/>
      </c>
      <c r="O15" s="31" t="str">
        <f>Global!MK15</f>
        <v/>
      </c>
      <c r="P15" s="31" t="str">
        <f>Global!ML15</f>
        <v/>
      </c>
      <c r="Q15" s="31" t="str">
        <f>Global!MM15</f>
        <v/>
      </c>
      <c r="R15" s="31" t="str">
        <f>Global!MN15</f>
        <v/>
      </c>
      <c r="S15" s="31" t="str">
        <f>Global!MO15</f>
        <v/>
      </c>
      <c r="T15" s="31" t="str">
        <f>Global!MP15</f>
        <v/>
      </c>
      <c r="U15" s="31" t="str">
        <f>Global!MQ15</f>
        <v/>
      </c>
      <c r="V15" s="31" t="str">
        <f>Global!MR15</f>
        <v/>
      </c>
      <c r="W15" s="31" t="str">
        <f>Global!MS15</f>
        <v/>
      </c>
      <c r="X15" s="31" t="str">
        <f>Global!MT15</f>
        <v/>
      </c>
      <c r="Y15" s="31" t="str">
        <f>Global!MU15</f>
        <v/>
      </c>
      <c r="Z15" s="31" t="str">
        <f>Global!MV15</f>
        <v/>
      </c>
      <c r="AA15" s="31" t="str">
        <f>Global!MW15</f>
        <v/>
      </c>
      <c r="AB15" s="31" t="str">
        <f>Global!MX15</f>
        <v/>
      </c>
      <c r="AC15" s="31" t="str">
        <f>Global!MY15</f>
        <v/>
      </c>
      <c r="AD15" s="31" t="str">
        <f>Global!MZ15</f>
        <v/>
      </c>
      <c r="AE15" s="31" t="str">
        <f>Global!NA15</f>
        <v/>
      </c>
      <c r="AF15" s="31" t="str">
        <f>Global!NB15</f>
        <v/>
      </c>
      <c r="AG15" s="31" t="str">
        <f>Global!NC15</f>
        <v/>
      </c>
      <c r="AH15" s="31" t="str">
        <f>Global!ND15</f>
        <v/>
      </c>
      <c r="AI15" s="31" t="str">
        <f>Global!NE15</f>
        <v/>
      </c>
      <c r="AJ15" s="48" t="str">
        <f>Global!NF15</f>
        <v/>
      </c>
      <c r="AK15" s="108">
        <f>COUNTIF(Décembre[[#This Row],[1]:[31]],"RTT")+(COUNTIF(Décembre[[#This Row],[1]:[31]],"dRTT")/2)</f>
        <v>0</v>
      </c>
      <c r="AL15" s="109">
        <f>COUNTIF(Décembre[[#This Row],[1]:[31]],"C")+(COUNTIF(Décembre[[#This Row],[1]:[31]],"DC")/2)</f>
        <v>0</v>
      </c>
      <c r="AM15" s="22">
        <f>COUNTIF(Décembre[[#This Row],[1]:[31]],"M")</f>
        <v>0</v>
      </c>
      <c r="AN15" s="22">
        <f>COUNTIF(Décembre[[#This Row],[1]:[31]],"AT")</f>
        <v>0</v>
      </c>
      <c r="AO15" s="84">
        <f>IF(AND(Décembre[[#This Row],[Maladie]]=0,Décembre[[#This Row],[AT]]=0),((10*(_xlfn.DAYS("31/12/2018","01/12/2018")+1))/365),((_xlfn.DAYS("31/12/2018","01/12/2018")+1-(Décembre[[#This Row],[Maladie]]+Décembre[[#This Row],[AT]]))*((10*(_xlfn.DAYS("31/12/2018","01/12/2018")+1))/365))/(_xlfn.DAYS("31/12/2018","01/12/2018")+1))</f>
        <v>0.84931506849315064</v>
      </c>
    </row>
    <row r="16" spans="1:41" ht="30" customHeight="1" x14ac:dyDescent="0.2">
      <c r="A16" s="15" t="s">
        <v>72</v>
      </c>
      <c r="B16" s="22" t="s">
        <v>153</v>
      </c>
      <c r="C16" s="22" t="s">
        <v>154</v>
      </c>
      <c r="D16" s="22" t="s">
        <v>155</v>
      </c>
      <c r="E16" s="44">
        <v>0</v>
      </c>
      <c r="F16" s="47" t="str">
        <f>Global!MB16</f>
        <v/>
      </c>
      <c r="G16" s="31" t="str">
        <f>Global!MC16</f>
        <v/>
      </c>
      <c r="H16" s="31" t="str">
        <f>Global!MD16</f>
        <v/>
      </c>
      <c r="I16" s="31" t="str">
        <f>Global!ME16</f>
        <v/>
      </c>
      <c r="J16" s="31" t="str">
        <f>Global!MF16</f>
        <v/>
      </c>
      <c r="K16" s="31" t="str">
        <f>Global!MG16</f>
        <v/>
      </c>
      <c r="L16" s="31" t="str">
        <f>Global!MH16</f>
        <v/>
      </c>
      <c r="M16" s="31" t="str">
        <f>Global!MI16</f>
        <v/>
      </c>
      <c r="N16" s="31" t="str">
        <f>Global!MJ16</f>
        <v/>
      </c>
      <c r="O16" s="31" t="str">
        <f>Global!MK16</f>
        <v/>
      </c>
      <c r="P16" s="31" t="str">
        <f>Global!ML16</f>
        <v/>
      </c>
      <c r="Q16" s="31" t="str">
        <f>Global!MM16</f>
        <v/>
      </c>
      <c r="R16" s="31" t="str">
        <f>Global!MN16</f>
        <v/>
      </c>
      <c r="S16" s="31" t="str">
        <f>Global!MO16</f>
        <v/>
      </c>
      <c r="T16" s="31" t="str">
        <f>Global!MP16</f>
        <v/>
      </c>
      <c r="U16" s="31" t="str">
        <f>Global!MQ16</f>
        <v/>
      </c>
      <c r="V16" s="31" t="str">
        <f>Global!MR16</f>
        <v/>
      </c>
      <c r="W16" s="31" t="str">
        <f>Global!MS16</f>
        <v/>
      </c>
      <c r="X16" s="31" t="str">
        <f>Global!MT16</f>
        <v/>
      </c>
      <c r="Y16" s="31" t="str">
        <f>Global!MU16</f>
        <v/>
      </c>
      <c r="Z16" s="31" t="str">
        <f>Global!MV16</f>
        <v/>
      </c>
      <c r="AA16" s="31" t="str">
        <f>Global!MW16</f>
        <v/>
      </c>
      <c r="AB16" s="31" t="str">
        <f>Global!MX16</f>
        <v/>
      </c>
      <c r="AC16" s="31" t="str">
        <f>Global!MY16</f>
        <v/>
      </c>
      <c r="AD16" s="31" t="str">
        <f>Global!MZ16</f>
        <v/>
      </c>
      <c r="AE16" s="31" t="str">
        <f>Global!NA16</f>
        <v/>
      </c>
      <c r="AF16" s="31" t="str">
        <f>Global!NB16</f>
        <v/>
      </c>
      <c r="AG16" s="31" t="str">
        <f>Global!NC16</f>
        <v/>
      </c>
      <c r="AH16" s="31" t="str">
        <f>Global!ND16</f>
        <v/>
      </c>
      <c r="AI16" s="31" t="str">
        <f>Global!NE16</f>
        <v/>
      </c>
      <c r="AJ16" s="48" t="str">
        <f>Global!NF16</f>
        <v/>
      </c>
      <c r="AK16" s="108">
        <f>COUNTIF(Décembre[[#This Row],[1]:[31]],"RTT")+(COUNTIF(Décembre[[#This Row],[1]:[31]],"dRTT")/2)</f>
        <v>0</v>
      </c>
      <c r="AL16" s="109">
        <f>COUNTIF(Décembre[[#This Row],[1]:[31]],"C")+(COUNTIF(Décembre[[#This Row],[1]:[31]],"DC")/2)</f>
        <v>0</v>
      </c>
      <c r="AM16" s="22">
        <f>COUNTIF(Décembre[[#This Row],[1]:[31]],"M")</f>
        <v>0</v>
      </c>
      <c r="AN16" s="22">
        <f>COUNTIF(Décembre[[#This Row],[1]:[31]],"AT")</f>
        <v>0</v>
      </c>
      <c r="AO16" s="84">
        <f>IF(AND(Décembre[[#This Row],[Maladie]]=0,Décembre[[#This Row],[AT]]=0),((10*(_xlfn.DAYS("31/12/2018","01/12/2018")+1))/365),((_xlfn.DAYS("31/12/2018","01/12/2018")+1-(Décembre[[#This Row],[Maladie]]+Décembre[[#This Row],[AT]]))*((10*(_xlfn.DAYS("31/12/2018","01/12/2018")+1))/365))/(_xlfn.DAYS("31/12/2018","01/12/2018")+1))</f>
        <v>0.84931506849315064</v>
      </c>
    </row>
    <row r="17" spans="1:41" ht="30" customHeight="1" x14ac:dyDescent="0.2">
      <c r="A17" s="15" t="s">
        <v>73</v>
      </c>
      <c r="B17" s="22" t="s">
        <v>156</v>
      </c>
      <c r="C17" s="22" t="s">
        <v>157</v>
      </c>
      <c r="D17" s="22" t="s">
        <v>158</v>
      </c>
      <c r="E17" s="44">
        <v>0</v>
      </c>
      <c r="F17" s="47" t="str">
        <f>Global!MB17</f>
        <v/>
      </c>
      <c r="G17" s="31" t="str">
        <f>Global!MC17</f>
        <v/>
      </c>
      <c r="H17" s="31" t="str">
        <f>Global!MD17</f>
        <v/>
      </c>
      <c r="I17" s="31" t="str">
        <f>Global!ME17</f>
        <v/>
      </c>
      <c r="J17" s="31" t="str">
        <f>Global!MF17</f>
        <v/>
      </c>
      <c r="K17" s="31" t="str">
        <f>Global!MG17</f>
        <v/>
      </c>
      <c r="L17" s="31" t="str">
        <f>Global!MH17</f>
        <v/>
      </c>
      <c r="M17" s="31" t="str">
        <f>Global!MI17</f>
        <v/>
      </c>
      <c r="N17" s="31" t="str">
        <f>Global!MJ17</f>
        <v/>
      </c>
      <c r="O17" s="31" t="str">
        <f>Global!MK17</f>
        <v/>
      </c>
      <c r="P17" s="31" t="str">
        <f>Global!ML17</f>
        <v/>
      </c>
      <c r="Q17" s="31" t="str">
        <f>Global!MM17</f>
        <v/>
      </c>
      <c r="R17" s="31" t="str">
        <f>Global!MN17</f>
        <v/>
      </c>
      <c r="S17" s="31" t="str">
        <f>Global!MO17</f>
        <v/>
      </c>
      <c r="T17" s="31" t="str">
        <f>Global!MP17</f>
        <v/>
      </c>
      <c r="U17" s="31" t="str">
        <f>Global!MQ17</f>
        <v/>
      </c>
      <c r="V17" s="31" t="str">
        <f>Global!MR17</f>
        <v/>
      </c>
      <c r="W17" s="31" t="str">
        <f>Global!MS17</f>
        <v/>
      </c>
      <c r="X17" s="31" t="str">
        <f>Global!MT17</f>
        <v/>
      </c>
      <c r="Y17" s="31" t="str">
        <f>Global!MU17</f>
        <v/>
      </c>
      <c r="Z17" s="31" t="str">
        <f>Global!MV17</f>
        <v/>
      </c>
      <c r="AA17" s="31" t="str">
        <f>Global!MW17</f>
        <v/>
      </c>
      <c r="AB17" s="31" t="str">
        <f>Global!MX17</f>
        <v/>
      </c>
      <c r="AC17" s="31" t="str">
        <f>Global!MY17</f>
        <v/>
      </c>
      <c r="AD17" s="31" t="str">
        <f>Global!MZ17</f>
        <v/>
      </c>
      <c r="AE17" s="31" t="str">
        <f>Global!NA17</f>
        <v/>
      </c>
      <c r="AF17" s="31" t="str">
        <f>Global!NB17</f>
        <v/>
      </c>
      <c r="AG17" s="31" t="str">
        <f>Global!NC17</f>
        <v/>
      </c>
      <c r="AH17" s="31" t="str">
        <f>Global!ND17</f>
        <v/>
      </c>
      <c r="AI17" s="31" t="str">
        <f>Global!NE17</f>
        <v/>
      </c>
      <c r="AJ17" s="48" t="str">
        <f>Global!NF17</f>
        <v/>
      </c>
      <c r="AK17" s="108">
        <f>COUNTIF(Décembre[[#This Row],[1]:[31]],"RTT")+(COUNTIF(Décembre[[#This Row],[1]:[31]],"dRTT")/2)</f>
        <v>0</v>
      </c>
      <c r="AL17" s="109">
        <f>COUNTIF(Décembre[[#This Row],[1]:[31]],"C")+(COUNTIF(Décembre[[#This Row],[1]:[31]],"DC")/2)</f>
        <v>0</v>
      </c>
      <c r="AM17" s="22">
        <f>COUNTIF(Décembre[[#This Row],[1]:[31]],"M")</f>
        <v>0</v>
      </c>
      <c r="AN17" s="22">
        <f>COUNTIF(Décembre[[#This Row],[1]:[31]],"AT")</f>
        <v>0</v>
      </c>
      <c r="AO17" s="84">
        <f>IF(AND(Décembre[[#This Row],[Maladie]]=0,Décembre[[#This Row],[AT]]=0),((10*(_xlfn.DAYS("31/12/2018","01/12/2018")+1))/365),((_xlfn.DAYS("31/12/2018","01/12/2018")+1-(Décembre[[#This Row],[Maladie]]+Décembre[[#This Row],[AT]]))*((10*(_xlfn.DAYS("31/12/2018","01/12/2018")+1))/365))/(_xlfn.DAYS("31/12/2018","01/12/2018")+1))</f>
        <v>0.84931506849315064</v>
      </c>
    </row>
    <row r="18" spans="1:41" ht="30" customHeight="1" x14ac:dyDescent="0.2">
      <c r="A18" s="15" t="s">
        <v>74</v>
      </c>
      <c r="B18" s="22" t="s">
        <v>159</v>
      </c>
      <c r="C18" s="22" t="s">
        <v>160</v>
      </c>
      <c r="D18" s="22" t="s">
        <v>161</v>
      </c>
      <c r="E18" s="44" t="s">
        <v>162</v>
      </c>
      <c r="F18" s="47" t="str">
        <f>Global!MB18</f>
        <v/>
      </c>
      <c r="G18" s="31" t="str">
        <f>Global!MC18</f>
        <v/>
      </c>
      <c r="H18" s="31" t="str">
        <f>Global!MD18</f>
        <v/>
      </c>
      <c r="I18" s="31" t="str">
        <f>Global!ME18</f>
        <v/>
      </c>
      <c r="J18" s="31" t="str">
        <f>Global!MF18</f>
        <v/>
      </c>
      <c r="K18" s="31" t="str">
        <f>Global!MG18</f>
        <v/>
      </c>
      <c r="L18" s="31" t="str">
        <f>Global!MH18</f>
        <v/>
      </c>
      <c r="M18" s="31" t="str">
        <f>Global!MI18</f>
        <v/>
      </c>
      <c r="N18" s="31" t="str">
        <f>Global!MJ18</f>
        <v/>
      </c>
      <c r="O18" s="31" t="str">
        <f>Global!MK18</f>
        <v/>
      </c>
      <c r="P18" s="31" t="str">
        <f>Global!ML18</f>
        <v/>
      </c>
      <c r="Q18" s="31" t="str">
        <f>Global!MM18</f>
        <v/>
      </c>
      <c r="R18" s="31" t="str">
        <f>Global!MN18</f>
        <v/>
      </c>
      <c r="S18" s="31" t="str">
        <f>Global!MO18</f>
        <v/>
      </c>
      <c r="T18" s="31" t="str">
        <f>Global!MP18</f>
        <v/>
      </c>
      <c r="U18" s="31" t="str">
        <f>Global!MQ18</f>
        <v/>
      </c>
      <c r="V18" s="31" t="str">
        <f>Global!MR18</f>
        <v/>
      </c>
      <c r="W18" s="31" t="str">
        <f>Global!MS18</f>
        <v/>
      </c>
      <c r="X18" s="31" t="str">
        <f>Global!MT18</f>
        <v/>
      </c>
      <c r="Y18" s="31" t="str">
        <f>Global!MU18</f>
        <v/>
      </c>
      <c r="Z18" s="31" t="str">
        <f>Global!MV18</f>
        <v/>
      </c>
      <c r="AA18" s="31" t="str">
        <f>Global!MW18</f>
        <v/>
      </c>
      <c r="AB18" s="31" t="str">
        <f>Global!MX18</f>
        <v/>
      </c>
      <c r="AC18" s="31" t="str">
        <f>Global!MY18</f>
        <v/>
      </c>
      <c r="AD18" s="31" t="str">
        <f>Global!MZ18</f>
        <v/>
      </c>
      <c r="AE18" s="31" t="str">
        <f>Global!NA18</f>
        <v/>
      </c>
      <c r="AF18" s="31" t="str">
        <f>Global!NB18</f>
        <v/>
      </c>
      <c r="AG18" s="31" t="str">
        <f>Global!NC18</f>
        <v/>
      </c>
      <c r="AH18" s="31" t="str">
        <f>Global!ND18</f>
        <v/>
      </c>
      <c r="AI18" s="31" t="str">
        <f>Global!NE18</f>
        <v/>
      </c>
      <c r="AJ18" s="48" t="str">
        <f>Global!NF18</f>
        <v/>
      </c>
      <c r="AK18" s="108">
        <f>COUNTIF(Décembre[[#This Row],[1]:[31]],"RTT")+(COUNTIF(Décembre[[#This Row],[1]:[31]],"dRTT")/2)</f>
        <v>0</v>
      </c>
      <c r="AL18" s="109">
        <f>COUNTIF(Décembre[[#This Row],[1]:[31]],"C")+(COUNTIF(Décembre[[#This Row],[1]:[31]],"DC")/2)</f>
        <v>0</v>
      </c>
      <c r="AM18" s="22">
        <f>COUNTIF(Décembre[[#This Row],[1]:[31]],"M")</f>
        <v>0</v>
      </c>
      <c r="AN18" s="22">
        <f>COUNTIF(Décembre[[#This Row],[1]:[31]],"AT")</f>
        <v>0</v>
      </c>
      <c r="AO18" s="84">
        <f>IF(AND(Décembre[[#This Row],[Maladie]]=0,Décembre[[#This Row],[AT]]=0),((10*(_xlfn.DAYS("31/12/2018","01/12/2018")+1))/365),((_xlfn.DAYS("31/12/2018","01/12/2018")+1-(Décembre[[#This Row],[Maladie]]+Décembre[[#This Row],[AT]]))*((10*(_xlfn.DAYS("31/12/2018","01/12/2018")+1))/365))/(_xlfn.DAYS("31/12/2018","01/12/2018")+1))</f>
        <v>0.84931506849315064</v>
      </c>
    </row>
    <row r="19" spans="1:41" ht="30" customHeight="1" x14ac:dyDescent="0.2">
      <c r="A19" s="15" t="s">
        <v>75</v>
      </c>
      <c r="B19" s="22" t="s">
        <v>163</v>
      </c>
      <c r="C19" s="22" t="s">
        <v>164</v>
      </c>
      <c r="D19" s="22" t="s">
        <v>165</v>
      </c>
      <c r="E19" s="44">
        <v>0</v>
      </c>
      <c r="F19" s="47" t="str">
        <f>Global!MB19</f>
        <v/>
      </c>
      <c r="G19" s="31" t="str">
        <f>Global!MC19</f>
        <v/>
      </c>
      <c r="H19" s="31" t="str">
        <f>Global!MD19</f>
        <v/>
      </c>
      <c r="I19" s="31" t="str">
        <f>Global!ME19</f>
        <v/>
      </c>
      <c r="J19" s="31" t="str">
        <f>Global!MF19</f>
        <v/>
      </c>
      <c r="K19" s="31" t="str">
        <f>Global!MG19</f>
        <v/>
      </c>
      <c r="L19" s="31" t="str">
        <f>Global!MH19</f>
        <v/>
      </c>
      <c r="M19" s="31" t="str">
        <f>Global!MI19</f>
        <v/>
      </c>
      <c r="N19" s="31" t="str">
        <f>Global!MJ19</f>
        <v/>
      </c>
      <c r="O19" s="31" t="str">
        <f>Global!MK19</f>
        <v/>
      </c>
      <c r="P19" s="31" t="str">
        <f>Global!ML19</f>
        <v/>
      </c>
      <c r="Q19" s="31" t="str">
        <f>Global!MM19</f>
        <v/>
      </c>
      <c r="R19" s="31" t="str">
        <f>Global!MN19</f>
        <v/>
      </c>
      <c r="S19" s="31" t="str">
        <f>Global!MO19</f>
        <v/>
      </c>
      <c r="T19" s="31" t="str">
        <f>Global!MP19</f>
        <v/>
      </c>
      <c r="U19" s="31" t="str">
        <f>Global!MQ19</f>
        <v/>
      </c>
      <c r="V19" s="31" t="str">
        <f>Global!MR19</f>
        <v/>
      </c>
      <c r="W19" s="31" t="str">
        <f>Global!MS19</f>
        <v/>
      </c>
      <c r="X19" s="31" t="str">
        <f>Global!MT19</f>
        <v/>
      </c>
      <c r="Y19" s="31" t="str">
        <f>Global!MU19</f>
        <v/>
      </c>
      <c r="Z19" s="31" t="str">
        <f>Global!MV19</f>
        <v/>
      </c>
      <c r="AA19" s="31" t="str">
        <f>Global!MW19</f>
        <v/>
      </c>
      <c r="AB19" s="31" t="str">
        <f>Global!MX19</f>
        <v/>
      </c>
      <c r="AC19" s="31" t="str">
        <f>Global!MY19</f>
        <v/>
      </c>
      <c r="AD19" s="31" t="str">
        <f>Global!MZ19</f>
        <v/>
      </c>
      <c r="AE19" s="31" t="str">
        <f>Global!NA19</f>
        <v/>
      </c>
      <c r="AF19" s="31" t="str">
        <f>Global!NB19</f>
        <v/>
      </c>
      <c r="AG19" s="31" t="str">
        <f>Global!NC19</f>
        <v/>
      </c>
      <c r="AH19" s="31" t="str">
        <f>Global!ND19</f>
        <v/>
      </c>
      <c r="AI19" s="31" t="str">
        <f>Global!NE19</f>
        <v/>
      </c>
      <c r="AJ19" s="48" t="str">
        <f>Global!NF19</f>
        <v/>
      </c>
      <c r="AK19" s="108">
        <f>COUNTIF(Décembre[[#This Row],[1]:[31]],"RTT")+(COUNTIF(Décembre[[#This Row],[1]:[31]],"dRTT")/2)</f>
        <v>0</v>
      </c>
      <c r="AL19" s="109">
        <f>COUNTIF(Décembre[[#This Row],[1]:[31]],"C")+(COUNTIF(Décembre[[#This Row],[1]:[31]],"DC")/2)</f>
        <v>0</v>
      </c>
      <c r="AM19" s="22">
        <f>COUNTIF(Décembre[[#This Row],[1]:[31]],"M")</f>
        <v>0</v>
      </c>
      <c r="AN19" s="22">
        <f>COUNTIF(Décembre[[#This Row],[1]:[31]],"AT")</f>
        <v>0</v>
      </c>
      <c r="AO19" s="84">
        <f>IF(AND(Décembre[[#This Row],[Maladie]]=0,Décembre[[#This Row],[AT]]=0),((10*(_xlfn.DAYS("31/12/2018","01/12/2018")+1))/365),((_xlfn.DAYS("31/12/2018","01/12/2018")+1-(Décembre[[#This Row],[Maladie]]+Décembre[[#This Row],[AT]]))*((10*(_xlfn.DAYS("31/12/2018","01/12/2018")+1))/365))/(_xlfn.DAYS("31/12/2018","01/12/2018")+1))</f>
        <v>0.84931506849315064</v>
      </c>
    </row>
    <row r="20" spans="1:41" ht="30" customHeight="1" x14ac:dyDescent="0.2">
      <c r="A20" s="15" t="s">
        <v>76</v>
      </c>
      <c r="B20" s="22" t="s">
        <v>166</v>
      </c>
      <c r="C20" s="22" t="s">
        <v>151</v>
      </c>
      <c r="D20" s="22" t="s">
        <v>167</v>
      </c>
      <c r="E20" s="44">
        <v>0</v>
      </c>
      <c r="F20" s="47" t="str">
        <f>Global!MB20</f>
        <v/>
      </c>
      <c r="G20" s="31" t="str">
        <f>Global!MC20</f>
        <v/>
      </c>
      <c r="H20" s="31" t="str">
        <f>Global!MD20</f>
        <v/>
      </c>
      <c r="I20" s="31" t="str">
        <f>Global!ME20</f>
        <v/>
      </c>
      <c r="J20" s="31" t="str">
        <f>Global!MF20</f>
        <v/>
      </c>
      <c r="K20" s="31" t="str">
        <f>Global!MG20</f>
        <v/>
      </c>
      <c r="L20" s="31" t="str">
        <f>Global!MH20</f>
        <v/>
      </c>
      <c r="M20" s="31" t="str">
        <f>Global!MI20</f>
        <v/>
      </c>
      <c r="N20" s="31" t="str">
        <f>Global!MJ20</f>
        <v/>
      </c>
      <c r="O20" s="31" t="str">
        <f>Global!MK20</f>
        <v/>
      </c>
      <c r="P20" s="31" t="str">
        <f>Global!ML20</f>
        <v/>
      </c>
      <c r="Q20" s="31" t="str">
        <f>Global!MM20</f>
        <v/>
      </c>
      <c r="R20" s="31" t="str">
        <f>Global!MN20</f>
        <v/>
      </c>
      <c r="S20" s="31" t="str">
        <f>Global!MO20</f>
        <v/>
      </c>
      <c r="T20" s="31" t="str">
        <f>Global!MP20</f>
        <v/>
      </c>
      <c r="U20" s="31" t="str">
        <f>Global!MQ20</f>
        <v/>
      </c>
      <c r="V20" s="31" t="str">
        <f>Global!MR20</f>
        <v/>
      </c>
      <c r="W20" s="31" t="str">
        <f>Global!MS20</f>
        <v/>
      </c>
      <c r="X20" s="31" t="str">
        <f>Global!MT20</f>
        <v/>
      </c>
      <c r="Y20" s="31" t="str">
        <f>Global!MU20</f>
        <v/>
      </c>
      <c r="Z20" s="31" t="str">
        <f>Global!MV20</f>
        <v/>
      </c>
      <c r="AA20" s="31" t="str">
        <f>Global!MW20</f>
        <v/>
      </c>
      <c r="AB20" s="31" t="str">
        <f>Global!MX20</f>
        <v/>
      </c>
      <c r="AC20" s="31" t="str">
        <f>Global!MY20</f>
        <v/>
      </c>
      <c r="AD20" s="31" t="str">
        <f>Global!MZ20</f>
        <v/>
      </c>
      <c r="AE20" s="31" t="str">
        <f>Global!NA20</f>
        <v/>
      </c>
      <c r="AF20" s="31" t="str">
        <f>Global!NB20</f>
        <v/>
      </c>
      <c r="AG20" s="31" t="str">
        <f>Global!NC20</f>
        <v/>
      </c>
      <c r="AH20" s="31" t="str">
        <f>Global!ND20</f>
        <v/>
      </c>
      <c r="AI20" s="31" t="str">
        <f>Global!NE20</f>
        <v/>
      </c>
      <c r="AJ20" s="48" t="str">
        <f>Global!NF20</f>
        <v/>
      </c>
      <c r="AK20" s="108">
        <f>COUNTIF(Décembre[[#This Row],[1]:[31]],"RTT")+(COUNTIF(Décembre[[#This Row],[1]:[31]],"dRTT")/2)</f>
        <v>0</v>
      </c>
      <c r="AL20" s="109">
        <f>COUNTIF(Décembre[[#This Row],[1]:[31]],"C")+(COUNTIF(Décembre[[#This Row],[1]:[31]],"DC")/2)</f>
        <v>0</v>
      </c>
      <c r="AM20" s="22">
        <f>COUNTIF(Décembre[[#This Row],[1]:[31]],"M")</f>
        <v>0</v>
      </c>
      <c r="AN20" s="22">
        <f>COUNTIF(Décembre[[#This Row],[1]:[31]],"AT")</f>
        <v>0</v>
      </c>
      <c r="AO20" s="84">
        <f>IF(AND(Décembre[[#This Row],[Maladie]]=0,Décembre[[#This Row],[AT]]=0),((10*(_xlfn.DAYS("31/12/2018","01/12/2018")+1))/365),((_xlfn.DAYS("31/12/2018","01/12/2018")+1-(Décembre[[#This Row],[Maladie]]+Décembre[[#This Row],[AT]]))*((10*(_xlfn.DAYS("31/12/2018","01/12/2018")+1))/365))/(_xlfn.DAYS("31/12/2018","01/12/2018")+1))</f>
        <v>0.84931506849315064</v>
      </c>
    </row>
    <row r="21" spans="1:41" ht="30" customHeight="1" x14ac:dyDescent="0.2">
      <c r="A21" s="15" t="s">
        <v>77</v>
      </c>
      <c r="B21" s="22" t="s">
        <v>168</v>
      </c>
      <c r="C21" s="22" t="s">
        <v>169</v>
      </c>
      <c r="D21" s="22" t="s">
        <v>170</v>
      </c>
      <c r="E21" s="44">
        <v>0</v>
      </c>
      <c r="F21" s="47" t="str">
        <f>Global!MB21</f>
        <v/>
      </c>
      <c r="G21" s="31" t="str">
        <f>Global!MC21</f>
        <v/>
      </c>
      <c r="H21" s="31" t="str">
        <f>Global!MD21</f>
        <v/>
      </c>
      <c r="I21" s="31" t="str">
        <f>Global!ME21</f>
        <v/>
      </c>
      <c r="J21" s="31" t="str">
        <f>Global!MF21</f>
        <v/>
      </c>
      <c r="K21" s="31" t="str">
        <f>Global!MG21</f>
        <v/>
      </c>
      <c r="L21" s="31" t="str">
        <f>Global!MH21</f>
        <v/>
      </c>
      <c r="M21" s="31" t="str">
        <f>Global!MI21</f>
        <v/>
      </c>
      <c r="N21" s="31" t="str">
        <f>Global!MJ21</f>
        <v/>
      </c>
      <c r="O21" s="31" t="str">
        <f>Global!MK21</f>
        <v/>
      </c>
      <c r="P21" s="31" t="str">
        <f>Global!ML21</f>
        <v/>
      </c>
      <c r="Q21" s="31" t="str">
        <f>Global!MM21</f>
        <v/>
      </c>
      <c r="R21" s="31" t="str">
        <f>Global!MN21</f>
        <v/>
      </c>
      <c r="S21" s="31" t="str">
        <f>Global!MO21</f>
        <v/>
      </c>
      <c r="T21" s="31" t="str">
        <f>Global!MP21</f>
        <v/>
      </c>
      <c r="U21" s="31" t="str">
        <f>Global!MQ21</f>
        <v/>
      </c>
      <c r="V21" s="31" t="str">
        <f>Global!MR21</f>
        <v/>
      </c>
      <c r="W21" s="31" t="str">
        <f>Global!MS21</f>
        <v/>
      </c>
      <c r="X21" s="31" t="str">
        <f>Global!MT21</f>
        <v/>
      </c>
      <c r="Y21" s="31" t="str">
        <f>Global!MU21</f>
        <v/>
      </c>
      <c r="Z21" s="31" t="str">
        <f>Global!MV21</f>
        <v/>
      </c>
      <c r="AA21" s="31" t="str">
        <f>Global!MW21</f>
        <v/>
      </c>
      <c r="AB21" s="31" t="str">
        <f>Global!MX21</f>
        <v/>
      </c>
      <c r="AC21" s="31" t="str">
        <f>Global!MY21</f>
        <v/>
      </c>
      <c r="AD21" s="31" t="str">
        <f>Global!MZ21</f>
        <v/>
      </c>
      <c r="AE21" s="31" t="str">
        <f>Global!NA21</f>
        <v/>
      </c>
      <c r="AF21" s="31" t="str">
        <f>Global!NB21</f>
        <v/>
      </c>
      <c r="AG21" s="31" t="str">
        <f>Global!NC21</f>
        <v/>
      </c>
      <c r="AH21" s="31" t="str">
        <f>Global!ND21</f>
        <v/>
      </c>
      <c r="AI21" s="31" t="str">
        <f>Global!NE21</f>
        <v/>
      </c>
      <c r="AJ21" s="48" t="str">
        <f>Global!NF21</f>
        <v/>
      </c>
      <c r="AK21" s="108">
        <f>COUNTIF(Décembre[[#This Row],[1]:[31]],"RTT")+(COUNTIF(Décembre[[#This Row],[1]:[31]],"dRTT")/2)</f>
        <v>0</v>
      </c>
      <c r="AL21" s="109">
        <f>COUNTIF(Décembre[[#This Row],[1]:[31]],"C")+(COUNTIF(Décembre[[#This Row],[1]:[31]],"DC")/2)</f>
        <v>0</v>
      </c>
      <c r="AM21" s="22">
        <f>COUNTIF(Décembre[[#This Row],[1]:[31]],"M")</f>
        <v>0</v>
      </c>
      <c r="AN21" s="22">
        <f>COUNTIF(Décembre[[#This Row],[1]:[31]],"AT")</f>
        <v>0</v>
      </c>
      <c r="AO21" s="84">
        <f>IF(AND(Décembre[[#This Row],[Maladie]]=0,Décembre[[#This Row],[AT]]=0),((10*(_xlfn.DAYS("31/12/2018","01/12/2018")+1))/365),((_xlfn.DAYS("31/12/2018","01/12/2018")+1-(Décembre[[#This Row],[Maladie]]+Décembre[[#This Row],[AT]]))*((10*(_xlfn.DAYS("31/12/2018","01/12/2018")+1))/365))/(_xlfn.DAYS("31/12/2018","01/12/2018")+1))</f>
        <v>0.84931506849315064</v>
      </c>
    </row>
    <row r="22" spans="1:41" ht="30" customHeight="1" x14ac:dyDescent="0.2">
      <c r="A22" s="13" t="s">
        <v>78</v>
      </c>
      <c r="B22" s="22" t="s">
        <v>171</v>
      </c>
      <c r="C22" s="22" t="s">
        <v>172</v>
      </c>
      <c r="D22" s="22" t="s">
        <v>173</v>
      </c>
      <c r="E22" s="44">
        <v>0</v>
      </c>
      <c r="F22" s="47" t="str">
        <f>Global!MB22</f>
        <v/>
      </c>
      <c r="G22" s="31" t="str">
        <f>Global!MC22</f>
        <v/>
      </c>
      <c r="H22" s="31" t="str">
        <f>Global!MD22</f>
        <v/>
      </c>
      <c r="I22" s="31" t="str">
        <f>Global!ME22</f>
        <v/>
      </c>
      <c r="J22" s="31" t="str">
        <f>Global!MF22</f>
        <v/>
      </c>
      <c r="K22" s="31" t="str">
        <f>Global!MG22</f>
        <v/>
      </c>
      <c r="L22" s="31" t="str">
        <f>Global!MH22</f>
        <v/>
      </c>
      <c r="M22" s="31" t="str">
        <f>Global!MI22</f>
        <v/>
      </c>
      <c r="N22" s="31" t="str">
        <f>Global!MJ22</f>
        <v/>
      </c>
      <c r="O22" s="31" t="str">
        <f>Global!MK22</f>
        <v/>
      </c>
      <c r="P22" s="31" t="str">
        <f>Global!ML22</f>
        <v/>
      </c>
      <c r="Q22" s="31" t="str">
        <f>Global!MM22</f>
        <v/>
      </c>
      <c r="R22" s="31" t="str">
        <f>Global!MN22</f>
        <v/>
      </c>
      <c r="S22" s="31" t="str">
        <f>Global!MO22</f>
        <v/>
      </c>
      <c r="T22" s="31" t="str">
        <f>Global!MP22</f>
        <v/>
      </c>
      <c r="U22" s="31" t="str">
        <f>Global!MQ22</f>
        <v/>
      </c>
      <c r="V22" s="31" t="str">
        <f>Global!MR22</f>
        <v/>
      </c>
      <c r="W22" s="31" t="str">
        <f>Global!MS22</f>
        <v/>
      </c>
      <c r="X22" s="31" t="str">
        <f>Global!MT22</f>
        <v/>
      </c>
      <c r="Y22" s="31" t="str">
        <f>Global!MU22</f>
        <v/>
      </c>
      <c r="Z22" s="31" t="str">
        <f>Global!MV22</f>
        <v/>
      </c>
      <c r="AA22" s="31" t="str">
        <f>Global!MW22</f>
        <v/>
      </c>
      <c r="AB22" s="31" t="str">
        <f>Global!MX22</f>
        <v/>
      </c>
      <c r="AC22" s="31" t="str">
        <f>Global!MY22</f>
        <v/>
      </c>
      <c r="AD22" s="31" t="str">
        <f>Global!MZ22</f>
        <v/>
      </c>
      <c r="AE22" s="31" t="str">
        <f>Global!NA22</f>
        <v/>
      </c>
      <c r="AF22" s="31" t="str">
        <f>Global!NB22</f>
        <v/>
      </c>
      <c r="AG22" s="31" t="str">
        <f>Global!NC22</f>
        <v/>
      </c>
      <c r="AH22" s="31" t="str">
        <f>Global!ND22</f>
        <v/>
      </c>
      <c r="AI22" s="31" t="str">
        <f>Global!NE22</f>
        <v/>
      </c>
      <c r="AJ22" s="48" t="str">
        <f>Global!NF22</f>
        <v/>
      </c>
      <c r="AK22" s="108">
        <f>COUNTIF(Décembre[[#This Row],[1]:[31]],"RTT")+(COUNTIF(Décembre[[#This Row],[1]:[31]],"dRTT")/2)</f>
        <v>0</v>
      </c>
      <c r="AL22" s="109">
        <f>COUNTIF(Décembre[[#This Row],[1]:[31]],"C")+(COUNTIF(Décembre[[#This Row],[1]:[31]],"DC")/2)</f>
        <v>0</v>
      </c>
      <c r="AM22" s="22">
        <f>COUNTIF(Décembre[[#This Row],[1]:[31]],"M")</f>
        <v>0</v>
      </c>
      <c r="AN22" s="22">
        <f>COUNTIF(Décembre[[#This Row],[1]:[31]],"AT")</f>
        <v>0</v>
      </c>
      <c r="AO22" s="84">
        <f>IF(AND(Décembre[[#This Row],[Maladie]]=0,Décembre[[#This Row],[AT]]=0),((10*(_xlfn.DAYS("31/12/2018","01/12/2018")+1))/365),((_xlfn.DAYS("31/12/2018","01/12/2018")+1-(Décembre[[#This Row],[Maladie]]+Décembre[[#This Row],[AT]]))*((10*(_xlfn.DAYS("31/12/2018","01/12/2018")+1))/365))/(_xlfn.DAYS("31/12/2018","01/12/2018")+1))</f>
        <v>0.84931506849315064</v>
      </c>
    </row>
    <row r="23" spans="1:41" ht="30" customHeight="1" x14ac:dyDescent="0.2">
      <c r="A23" s="13" t="s">
        <v>79</v>
      </c>
      <c r="B23" s="22" t="s">
        <v>174</v>
      </c>
      <c r="C23" s="22" t="s">
        <v>175</v>
      </c>
      <c r="D23" s="22" t="s">
        <v>176</v>
      </c>
      <c r="E23" s="44">
        <v>0</v>
      </c>
      <c r="F23" s="47" t="str">
        <f>Global!MB23</f>
        <v/>
      </c>
      <c r="G23" s="31" t="str">
        <f>Global!MC23</f>
        <v/>
      </c>
      <c r="H23" s="31" t="str">
        <f>Global!MD23</f>
        <v/>
      </c>
      <c r="I23" s="31" t="str">
        <f>Global!ME23</f>
        <v/>
      </c>
      <c r="J23" s="31" t="str">
        <f>Global!MF23</f>
        <v/>
      </c>
      <c r="K23" s="31" t="str">
        <f>Global!MG23</f>
        <v/>
      </c>
      <c r="L23" s="31" t="str">
        <f>Global!MH23</f>
        <v/>
      </c>
      <c r="M23" s="31" t="str">
        <f>Global!MI23</f>
        <v/>
      </c>
      <c r="N23" s="31" t="str">
        <f>Global!MJ23</f>
        <v/>
      </c>
      <c r="O23" s="31" t="str">
        <f>Global!MK23</f>
        <v/>
      </c>
      <c r="P23" s="31" t="str">
        <f>Global!ML23</f>
        <v/>
      </c>
      <c r="Q23" s="31" t="str">
        <f>Global!MM23</f>
        <v/>
      </c>
      <c r="R23" s="31" t="str">
        <f>Global!MN23</f>
        <v/>
      </c>
      <c r="S23" s="31" t="str">
        <f>Global!MO23</f>
        <v/>
      </c>
      <c r="T23" s="31" t="str">
        <f>Global!MP23</f>
        <v/>
      </c>
      <c r="U23" s="31" t="str">
        <f>Global!MQ23</f>
        <v/>
      </c>
      <c r="V23" s="31" t="str">
        <f>Global!MR23</f>
        <v/>
      </c>
      <c r="W23" s="31" t="str">
        <f>Global!MS23</f>
        <v/>
      </c>
      <c r="X23" s="31" t="str">
        <f>Global!MT23</f>
        <v/>
      </c>
      <c r="Y23" s="31" t="str">
        <f>Global!MU23</f>
        <v/>
      </c>
      <c r="Z23" s="31" t="str">
        <f>Global!MV23</f>
        <v/>
      </c>
      <c r="AA23" s="31" t="str">
        <f>Global!MW23</f>
        <v/>
      </c>
      <c r="AB23" s="31" t="str">
        <f>Global!MX23</f>
        <v/>
      </c>
      <c r="AC23" s="31" t="str">
        <f>Global!MY23</f>
        <v/>
      </c>
      <c r="AD23" s="31" t="str">
        <f>Global!MZ23</f>
        <v/>
      </c>
      <c r="AE23" s="31" t="str">
        <f>Global!NA23</f>
        <v/>
      </c>
      <c r="AF23" s="31" t="str">
        <f>Global!NB23</f>
        <v/>
      </c>
      <c r="AG23" s="31" t="str">
        <f>Global!NC23</f>
        <v/>
      </c>
      <c r="AH23" s="31" t="str">
        <f>Global!ND23</f>
        <v/>
      </c>
      <c r="AI23" s="31" t="str">
        <f>Global!NE23</f>
        <v/>
      </c>
      <c r="AJ23" s="48" t="str">
        <f>Global!NF23</f>
        <v/>
      </c>
      <c r="AK23" s="108">
        <f>COUNTIF(Décembre[[#This Row],[1]:[31]],"RTT")+(COUNTIF(Décembre[[#This Row],[1]:[31]],"dRTT")/2)</f>
        <v>0</v>
      </c>
      <c r="AL23" s="109">
        <f>COUNTIF(Décembre[[#This Row],[1]:[31]],"C")+(COUNTIF(Décembre[[#This Row],[1]:[31]],"DC")/2)</f>
        <v>0</v>
      </c>
      <c r="AM23" s="22">
        <f>COUNTIF(Décembre[[#This Row],[1]:[31]],"M")</f>
        <v>0</v>
      </c>
      <c r="AN23" s="22">
        <f>COUNTIF(Décembre[[#This Row],[1]:[31]],"AT")</f>
        <v>0</v>
      </c>
      <c r="AO23" s="84">
        <f>IF(AND(Décembre[[#This Row],[Maladie]]=0,Décembre[[#This Row],[AT]]=0),((10*(_xlfn.DAYS("31/12/2018","01/12/2018")+1))/365),((_xlfn.DAYS("31/12/2018","01/12/2018")+1-(Décembre[[#This Row],[Maladie]]+Décembre[[#This Row],[AT]]))*((10*(_xlfn.DAYS("31/12/2018","01/12/2018")+1))/365))/(_xlfn.DAYS("31/12/2018","01/12/2018")+1))</f>
        <v>0.84931506849315064</v>
      </c>
    </row>
    <row r="24" spans="1:41" ht="30" customHeight="1" x14ac:dyDescent="0.2">
      <c r="A24" s="15" t="s">
        <v>80</v>
      </c>
      <c r="B24" s="22" t="s">
        <v>177</v>
      </c>
      <c r="C24" s="22" t="s">
        <v>178</v>
      </c>
      <c r="D24" s="22" t="s">
        <v>179</v>
      </c>
      <c r="E24" s="44">
        <v>0</v>
      </c>
      <c r="F24" s="47" t="str">
        <f>Global!MB24</f>
        <v/>
      </c>
      <c r="G24" s="31" t="str">
        <f>Global!MC24</f>
        <v/>
      </c>
      <c r="H24" s="31" t="str">
        <f>Global!MD24</f>
        <v>C</v>
      </c>
      <c r="I24" s="31" t="str">
        <f>Global!ME24</f>
        <v>C</v>
      </c>
      <c r="J24" s="31" t="str">
        <f>Global!MF24</f>
        <v>C</v>
      </c>
      <c r="K24" s="31" t="str">
        <f>Global!MG24</f>
        <v>C</v>
      </c>
      <c r="L24" s="31" t="str">
        <f>Global!MH24</f>
        <v>C</v>
      </c>
      <c r="M24" s="31" t="str">
        <f>Global!MI24</f>
        <v/>
      </c>
      <c r="N24" s="31" t="str">
        <f>Global!MJ24</f>
        <v/>
      </c>
      <c r="O24" s="31" t="str">
        <f>Global!MK24</f>
        <v>C</v>
      </c>
      <c r="P24" s="31" t="str">
        <f>Global!ML24</f>
        <v>C</v>
      </c>
      <c r="Q24" s="31" t="str">
        <f>Global!MM24</f>
        <v>C</v>
      </c>
      <c r="R24" s="31" t="str">
        <f>Global!MN24</f>
        <v>C</v>
      </c>
      <c r="S24" s="31" t="str">
        <f>Global!MO24</f>
        <v>C</v>
      </c>
      <c r="T24" s="31" t="str">
        <f>Global!MP24</f>
        <v/>
      </c>
      <c r="U24" s="31" t="str">
        <f>Global!MQ24</f>
        <v/>
      </c>
      <c r="V24" s="31" t="str">
        <f>Global!MR24</f>
        <v/>
      </c>
      <c r="W24" s="31" t="str">
        <f>Global!MS24</f>
        <v/>
      </c>
      <c r="X24" s="31" t="str">
        <f>Global!MT24</f>
        <v/>
      </c>
      <c r="Y24" s="31" t="str">
        <f>Global!MU24</f>
        <v/>
      </c>
      <c r="Z24" s="31" t="str">
        <f>Global!MV24</f>
        <v/>
      </c>
      <c r="AA24" s="31" t="str">
        <f>Global!MW24</f>
        <v/>
      </c>
      <c r="AB24" s="31" t="str">
        <f>Global!MX24</f>
        <v/>
      </c>
      <c r="AC24" s="31" t="str">
        <f>Global!MY24</f>
        <v/>
      </c>
      <c r="AD24" s="31" t="str">
        <f>Global!MZ24</f>
        <v/>
      </c>
      <c r="AE24" s="31" t="str">
        <f>Global!NA24</f>
        <v/>
      </c>
      <c r="AF24" s="31" t="str">
        <f>Global!NB24</f>
        <v/>
      </c>
      <c r="AG24" s="31" t="str">
        <f>Global!NC24</f>
        <v/>
      </c>
      <c r="AH24" s="31" t="str">
        <f>Global!ND24</f>
        <v/>
      </c>
      <c r="AI24" s="31" t="str">
        <f>Global!NE24</f>
        <v/>
      </c>
      <c r="AJ24" s="48" t="str">
        <f>Global!NF24</f>
        <v/>
      </c>
      <c r="AK24" s="108">
        <f>COUNTIF(Décembre[[#This Row],[1]:[31]],"RTT")+(COUNTIF(Décembre[[#This Row],[1]:[31]],"dRTT")/2)</f>
        <v>0</v>
      </c>
      <c r="AL24" s="109">
        <f>COUNTIF(Décembre[[#This Row],[1]:[31]],"C")+(COUNTIF(Décembre[[#This Row],[1]:[31]],"DC")/2)</f>
        <v>10</v>
      </c>
      <c r="AM24" s="22">
        <f>COUNTIF(Décembre[[#This Row],[1]:[31]],"M")</f>
        <v>0</v>
      </c>
      <c r="AN24" s="22">
        <f>COUNTIF(Décembre[[#This Row],[1]:[31]],"AT")</f>
        <v>0</v>
      </c>
      <c r="AO24" s="84">
        <f>IF(AND(Décembre[[#This Row],[Maladie]]=0,Décembre[[#This Row],[AT]]=0),((10*(_xlfn.DAYS("31/12/2018","01/12/2018")+1))/365),((_xlfn.DAYS("31/12/2018","01/12/2018")+1-(Décembre[[#This Row],[Maladie]]+Décembre[[#This Row],[AT]]))*((10*(_xlfn.DAYS("31/12/2018","01/12/2018")+1))/365))/(_xlfn.DAYS("31/12/2018","01/12/2018")+1))</f>
        <v>0.84931506849315064</v>
      </c>
    </row>
    <row r="25" spans="1:41" ht="30" customHeight="1" x14ac:dyDescent="0.2">
      <c r="A25" s="15" t="s">
        <v>81</v>
      </c>
      <c r="B25" s="22" t="s">
        <v>180</v>
      </c>
      <c r="C25" s="22" t="s">
        <v>157</v>
      </c>
      <c r="D25" s="22" t="s">
        <v>181</v>
      </c>
      <c r="E25" s="44">
        <v>0</v>
      </c>
      <c r="F25" s="47" t="str">
        <f>Global!MB25</f>
        <v/>
      </c>
      <c r="G25" s="31" t="str">
        <f>Global!MC25</f>
        <v/>
      </c>
      <c r="H25" s="31" t="str">
        <f>Global!MD25</f>
        <v/>
      </c>
      <c r="I25" s="31" t="str">
        <f>Global!ME25</f>
        <v/>
      </c>
      <c r="J25" s="31" t="str">
        <f>Global!MF25</f>
        <v/>
      </c>
      <c r="K25" s="31" t="str">
        <f>Global!MG25</f>
        <v/>
      </c>
      <c r="L25" s="31" t="str">
        <f>Global!MH25</f>
        <v/>
      </c>
      <c r="M25" s="31" t="str">
        <f>Global!MI25</f>
        <v/>
      </c>
      <c r="N25" s="31" t="str">
        <f>Global!MJ25</f>
        <v/>
      </c>
      <c r="O25" s="31" t="str">
        <f>Global!MK25</f>
        <v/>
      </c>
      <c r="P25" s="31" t="str">
        <f>Global!ML25</f>
        <v/>
      </c>
      <c r="Q25" s="31" t="str">
        <f>Global!MM25</f>
        <v/>
      </c>
      <c r="R25" s="31" t="str">
        <f>Global!MN25</f>
        <v/>
      </c>
      <c r="S25" s="31" t="str">
        <f>Global!MO25</f>
        <v/>
      </c>
      <c r="T25" s="31" t="str">
        <f>Global!MP25</f>
        <v/>
      </c>
      <c r="U25" s="31" t="str">
        <f>Global!MQ25</f>
        <v/>
      </c>
      <c r="V25" s="31" t="str">
        <f>Global!MR25</f>
        <v/>
      </c>
      <c r="W25" s="31" t="str">
        <f>Global!MS25</f>
        <v/>
      </c>
      <c r="X25" s="31" t="str">
        <f>Global!MT25</f>
        <v/>
      </c>
      <c r="Y25" s="31" t="str">
        <f>Global!MU25</f>
        <v/>
      </c>
      <c r="Z25" s="31" t="str">
        <f>Global!MV25</f>
        <v/>
      </c>
      <c r="AA25" s="31" t="str">
        <f>Global!MW25</f>
        <v/>
      </c>
      <c r="AB25" s="31" t="str">
        <f>Global!MX25</f>
        <v/>
      </c>
      <c r="AC25" s="31" t="str">
        <f>Global!MY25</f>
        <v/>
      </c>
      <c r="AD25" s="31" t="str">
        <f>Global!MZ25</f>
        <v/>
      </c>
      <c r="AE25" s="31" t="str">
        <f>Global!NA25</f>
        <v/>
      </c>
      <c r="AF25" s="31" t="str">
        <f>Global!NB25</f>
        <v/>
      </c>
      <c r="AG25" s="31" t="str">
        <f>Global!NC25</f>
        <v/>
      </c>
      <c r="AH25" s="31" t="str">
        <f>Global!ND25</f>
        <v/>
      </c>
      <c r="AI25" s="31" t="str">
        <f>Global!NE25</f>
        <v/>
      </c>
      <c r="AJ25" s="48" t="str">
        <f>Global!NF25</f>
        <v/>
      </c>
      <c r="AK25" s="108">
        <f>COUNTIF(Décembre[[#This Row],[1]:[31]],"RTT")+(COUNTIF(Décembre[[#This Row],[1]:[31]],"dRTT")/2)</f>
        <v>0</v>
      </c>
      <c r="AL25" s="109">
        <f>COUNTIF(Décembre[[#This Row],[1]:[31]],"C")+(COUNTIF(Décembre[[#This Row],[1]:[31]],"DC")/2)</f>
        <v>0</v>
      </c>
      <c r="AM25" s="22">
        <f>COUNTIF(Décembre[[#This Row],[1]:[31]],"M")</f>
        <v>0</v>
      </c>
      <c r="AN25" s="22">
        <f>COUNTIF(Décembre[[#This Row],[1]:[31]],"AT")</f>
        <v>0</v>
      </c>
      <c r="AO25" s="84">
        <f>IF(AND(Décembre[[#This Row],[Maladie]]=0,Décembre[[#This Row],[AT]]=0),((10*(_xlfn.DAYS("31/12/2018","01/12/2018")+1))/365),((_xlfn.DAYS("31/12/2018","01/12/2018")+1-(Décembre[[#This Row],[Maladie]]+Décembre[[#This Row],[AT]]))*((10*(_xlfn.DAYS("31/12/2018","01/12/2018")+1))/365))/(_xlfn.DAYS("31/12/2018","01/12/2018")+1))</f>
        <v>0.84931506849315064</v>
      </c>
    </row>
    <row r="26" spans="1:41" ht="30" customHeight="1" x14ac:dyDescent="0.2">
      <c r="A26" s="15" t="s">
        <v>82</v>
      </c>
      <c r="B26" s="22" t="s">
        <v>182</v>
      </c>
      <c r="C26" s="22" t="s">
        <v>183</v>
      </c>
      <c r="D26" s="22" t="s">
        <v>184</v>
      </c>
      <c r="E26" s="44">
        <v>0</v>
      </c>
      <c r="F26" s="47" t="str">
        <f>Global!MB26</f>
        <v/>
      </c>
      <c r="G26" s="31" t="str">
        <f>Global!MC26</f>
        <v/>
      </c>
      <c r="H26" s="31" t="str">
        <f>Global!MD26</f>
        <v/>
      </c>
      <c r="I26" s="31" t="str">
        <f>Global!ME26</f>
        <v/>
      </c>
      <c r="J26" s="31" t="str">
        <f>Global!MF26</f>
        <v/>
      </c>
      <c r="K26" s="31" t="str">
        <f>Global!MG26</f>
        <v/>
      </c>
      <c r="L26" s="31" t="str">
        <f>Global!MH26</f>
        <v/>
      </c>
      <c r="M26" s="31" t="str">
        <f>Global!MI26</f>
        <v/>
      </c>
      <c r="N26" s="31" t="str">
        <f>Global!MJ26</f>
        <v/>
      </c>
      <c r="O26" s="31" t="str">
        <f>Global!MK26</f>
        <v/>
      </c>
      <c r="P26" s="31" t="str">
        <f>Global!ML26</f>
        <v/>
      </c>
      <c r="Q26" s="31" t="str">
        <f>Global!MM26</f>
        <v/>
      </c>
      <c r="R26" s="31" t="str">
        <f>Global!MN26</f>
        <v/>
      </c>
      <c r="S26" s="31" t="str">
        <f>Global!MO26</f>
        <v/>
      </c>
      <c r="T26" s="31" t="str">
        <f>Global!MP26</f>
        <v/>
      </c>
      <c r="U26" s="31" t="str">
        <f>Global!MQ26</f>
        <v/>
      </c>
      <c r="V26" s="31" t="str">
        <f>Global!MR26</f>
        <v/>
      </c>
      <c r="W26" s="31" t="str">
        <f>Global!MS26</f>
        <v/>
      </c>
      <c r="X26" s="31" t="str">
        <f>Global!MT26</f>
        <v/>
      </c>
      <c r="Y26" s="31" t="str">
        <f>Global!MU26</f>
        <v/>
      </c>
      <c r="Z26" s="31" t="str">
        <f>Global!MV26</f>
        <v/>
      </c>
      <c r="AA26" s="31" t="str">
        <f>Global!MW26</f>
        <v/>
      </c>
      <c r="AB26" s="31" t="str">
        <f>Global!MX26</f>
        <v/>
      </c>
      <c r="AC26" s="31" t="str">
        <f>Global!MY26</f>
        <v/>
      </c>
      <c r="AD26" s="31" t="str">
        <f>Global!MZ26</f>
        <v/>
      </c>
      <c r="AE26" s="31" t="str">
        <f>Global!NA26</f>
        <v/>
      </c>
      <c r="AF26" s="31" t="str">
        <f>Global!NB26</f>
        <v/>
      </c>
      <c r="AG26" s="31" t="str">
        <f>Global!NC26</f>
        <v/>
      </c>
      <c r="AH26" s="31" t="str">
        <f>Global!ND26</f>
        <v/>
      </c>
      <c r="AI26" s="31" t="str">
        <f>Global!NE26</f>
        <v/>
      </c>
      <c r="AJ26" s="48" t="str">
        <f>Global!NF26</f>
        <v/>
      </c>
      <c r="AK26" s="108">
        <f>COUNTIF(Décembre[[#This Row],[1]:[31]],"RTT")+(COUNTIF(Décembre[[#This Row],[1]:[31]],"dRTT")/2)</f>
        <v>0</v>
      </c>
      <c r="AL26" s="109">
        <f>COUNTIF(Décembre[[#This Row],[1]:[31]],"C")+(COUNTIF(Décembre[[#This Row],[1]:[31]],"DC")/2)</f>
        <v>0</v>
      </c>
      <c r="AM26" s="22">
        <f>COUNTIF(Décembre[[#This Row],[1]:[31]],"M")</f>
        <v>0</v>
      </c>
      <c r="AN26" s="22">
        <f>COUNTIF(Décembre[[#This Row],[1]:[31]],"AT")</f>
        <v>0</v>
      </c>
      <c r="AO26" s="84">
        <f>IF(AND(Décembre[[#This Row],[Maladie]]=0,Décembre[[#This Row],[AT]]=0),((10*(_xlfn.DAYS("31/12/2018","01/12/2018")+1))/365),((_xlfn.DAYS("31/12/2018","01/12/2018")+1-(Décembre[[#This Row],[Maladie]]+Décembre[[#This Row],[AT]]))*((10*(_xlfn.DAYS("31/12/2018","01/12/2018")+1))/365))/(_xlfn.DAYS("31/12/2018","01/12/2018")+1))</f>
        <v>0.84931506849315064</v>
      </c>
    </row>
    <row r="27" spans="1:41" ht="30" customHeight="1" x14ac:dyDescent="0.2">
      <c r="A27" s="15" t="s">
        <v>83</v>
      </c>
      <c r="B27" s="22" t="s">
        <v>185</v>
      </c>
      <c r="C27" s="22" t="s">
        <v>186</v>
      </c>
      <c r="D27" s="22" t="s">
        <v>187</v>
      </c>
      <c r="E27" s="44">
        <v>0</v>
      </c>
      <c r="F27" s="47" t="str">
        <f>Global!MB27</f>
        <v/>
      </c>
      <c r="G27" s="31" t="str">
        <f>Global!MC27</f>
        <v/>
      </c>
      <c r="H27" s="31" t="str">
        <f>Global!MD27</f>
        <v/>
      </c>
      <c r="I27" s="31" t="str">
        <f>Global!ME27</f>
        <v/>
      </c>
      <c r="J27" s="31" t="str">
        <f>Global!MF27</f>
        <v/>
      </c>
      <c r="K27" s="31" t="str">
        <f>Global!MG27</f>
        <v/>
      </c>
      <c r="L27" s="31" t="str">
        <f>Global!MH27</f>
        <v/>
      </c>
      <c r="M27" s="31" t="str">
        <f>Global!MI27</f>
        <v/>
      </c>
      <c r="N27" s="31" t="str">
        <f>Global!MJ27</f>
        <v/>
      </c>
      <c r="O27" s="31" t="str">
        <f>Global!MK27</f>
        <v/>
      </c>
      <c r="P27" s="31" t="str">
        <f>Global!ML27</f>
        <v/>
      </c>
      <c r="Q27" s="31" t="str">
        <f>Global!MM27</f>
        <v/>
      </c>
      <c r="R27" s="31" t="str">
        <f>Global!MN27</f>
        <v/>
      </c>
      <c r="S27" s="31" t="str">
        <f>Global!MO27</f>
        <v/>
      </c>
      <c r="T27" s="31" t="str">
        <f>Global!MP27</f>
        <v/>
      </c>
      <c r="U27" s="31" t="str">
        <f>Global!MQ27</f>
        <v/>
      </c>
      <c r="V27" s="31" t="str">
        <f>Global!MR27</f>
        <v/>
      </c>
      <c r="W27" s="31" t="str">
        <f>Global!MS27</f>
        <v/>
      </c>
      <c r="X27" s="31" t="str">
        <f>Global!MT27</f>
        <v/>
      </c>
      <c r="Y27" s="31" t="str">
        <f>Global!MU27</f>
        <v/>
      </c>
      <c r="Z27" s="31" t="str">
        <f>Global!MV27</f>
        <v/>
      </c>
      <c r="AA27" s="31" t="str">
        <f>Global!MW27</f>
        <v/>
      </c>
      <c r="AB27" s="31" t="str">
        <f>Global!MX27</f>
        <v/>
      </c>
      <c r="AC27" s="31" t="str">
        <f>Global!MY27</f>
        <v/>
      </c>
      <c r="AD27" s="31" t="str">
        <f>Global!MZ27</f>
        <v/>
      </c>
      <c r="AE27" s="31" t="str">
        <f>Global!NA27</f>
        <v/>
      </c>
      <c r="AF27" s="31" t="str">
        <f>Global!NB27</f>
        <v/>
      </c>
      <c r="AG27" s="31" t="str">
        <f>Global!NC27</f>
        <v/>
      </c>
      <c r="AH27" s="31" t="str">
        <f>Global!ND27</f>
        <v/>
      </c>
      <c r="AI27" s="31" t="str">
        <f>Global!NE27</f>
        <v/>
      </c>
      <c r="AJ27" s="48" t="str">
        <f>Global!NF27</f>
        <v/>
      </c>
      <c r="AK27" s="108">
        <f>COUNTIF(Décembre[[#This Row],[1]:[31]],"RTT")+(COUNTIF(Décembre[[#This Row],[1]:[31]],"dRTT")/2)</f>
        <v>0</v>
      </c>
      <c r="AL27" s="109">
        <f>COUNTIF(Décembre[[#This Row],[1]:[31]],"C")+(COUNTIF(Décembre[[#This Row],[1]:[31]],"DC")/2)</f>
        <v>0</v>
      </c>
      <c r="AM27" s="22">
        <f>COUNTIF(Décembre[[#This Row],[1]:[31]],"M")</f>
        <v>0</v>
      </c>
      <c r="AN27" s="22">
        <f>COUNTIF(Décembre[[#This Row],[1]:[31]],"AT")</f>
        <v>0</v>
      </c>
      <c r="AO27" s="84">
        <f>IF(AND(Décembre[[#This Row],[Maladie]]=0,Décembre[[#This Row],[AT]]=0),((10*(_xlfn.DAYS("31/12/2018","01/12/2018")+1))/365),((_xlfn.DAYS("31/12/2018","01/12/2018")+1-(Décembre[[#This Row],[Maladie]]+Décembre[[#This Row],[AT]]))*((10*(_xlfn.DAYS("31/12/2018","01/12/2018")+1))/365))/(_xlfn.DAYS("31/12/2018","01/12/2018")+1))</f>
        <v>0.84931506849315064</v>
      </c>
    </row>
    <row r="28" spans="1:41" ht="30" customHeight="1" x14ac:dyDescent="0.2">
      <c r="A28" s="15" t="s">
        <v>84</v>
      </c>
      <c r="B28" s="22" t="s">
        <v>188</v>
      </c>
      <c r="C28" s="22" t="s">
        <v>189</v>
      </c>
      <c r="D28" s="22" t="s">
        <v>190</v>
      </c>
      <c r="E28" s="44">
        <v>0</v>
      </c>
      <c r="F28" s="47" t="str">
        <f>Global!MB28</f>
        <v/>
      </c>
      <c r="G28" s="31" t="str">
        <f>Global!MC28</f>
        <v/>
      </c>
      <c r="H28" s="31" t="str">
        <f>Global!MD28</f>
        <v/>
      </c>
      <c r="I28" s="31" t="str">
        <f>Global!ME28</f>
        <v/>
      </c>
      <c r="J28" s="31" t="str">
        <f>Global!MF28</f>
        <v/>
      </c>
      <c r="K28" s="31" t="str">
        <f>Global!MG28</f>
        <v/>
      </c>
      <c r="L28" s="31" t="str">
        <f>Global!MH28</f>
        <v/>
      </c>
      <c r="M28" s="31" t="str">
        <f>Global!MI28</f>
        <v/>
      </c>
      <c r="N28" s="31" t="str">
        <f>Global!MJ28</f>
        <v/>
      </c>
      <c r="O28" s="31" t="str">
        <f>Global!MK28</f>
        <v/>
      </c>
      <c r="P28" s="31" t="str">
        <f>Global!ML28</f>
        <v/>
      </c>
      <c r="Q28" s="31" t="str">
        <f>Global!MM28</f>
        <v/>
      </c>
      <c r="R28" s="31" t="str">
        <f>Global!MN28</f>
        <v/>
      </c>
      <c r="S28" s="31" t="str">
        <f>Global!MO28</f>
        <v/>
      </c>
      <c r="T28" s="31" t="str">
        <f>Global!MP28</f>
        <v/>
      </c>
      <c r="U28" s="31" t="str">
        <f>Global!MQ28</f>
        <v/>
      </c>
      <c r="V28" s="31" t="str">
        <f>Global!MR28</f>
        <v/>
      </c>
      <c r="W28" s="31" t="str">
        <f>Global!MS28</f>
        <v/>
      </c>
      <c r="X28" s="31" t="str">
        <f>Global!MT28</f>
        <v/>
      </c>
      <c r="Y28" s="31" t="str">
        <f>Global!MU28</f>
        <v/>
      </c>
      <c r="Z28" s="31" t="str">
        <f>Global!MV28</f>
        <v/>
      </c>
      <c r="AA28" s="31" t="str">
        <f>Global!MW28</f>
        <v/>
      </c>
      <c r="AB28" s="31" t="str">
        <f>Global!MX28</f>
        <v/>
      </c>
      <c r="AC28" s="31" t="str">
        <f>Global!MY28</f>
        <v/>
      </c>
      <c r="AD28" s="31" t="str">
        <f>Global!MZ28</f>
        <v/>
      </c>
      <c r="AE28" s="31" t="str">
        <f>Global!NA28</f>
        <v/>
      </c>
      <c r="AF28" s="31" t="str">
        <f>Global!NB28</f>
        <v/>
      </c>
      <c r="AG28" s="31" t="str">
        <f>Global!NC28</f>
        <v/>
      </c>
      <c r="AH28" s="31" t="str">
        <f>Global!ND28</f>
        <v/>
      </c>
      <c r="AI28" s="31" t="str">
        <f>Global!NE28</f>
        <v/>
      </c>
      <c r="AJ28" s="48" t="str">
        <f>Global!NF28</f>
        <v/>
      </c>
      <c r="AK28" s="108">
        <f>COUNTIF(Décembre[[#This Row],[1]:[31]],"RTT")+(COUNTIF(Décembre[[#This Row],[1]:[31]],"dRTT")/2)</f>
        <v>0</v>
      </c>
      <c r="AL28" s="109">
        <f>COUNTIF(Décembre[[#This Row],[1]:[31]],"C")+(COUNTIF(Décembre[[#This Row],[1]:[31]],"DC")/2)</f>
        <v>0</v>
      </c>
      <c r="AM28" s="22">
        <f>COUNTIF(Décembre[[#This Row],[1]:[31]],"M")</f>
        <v>0</v>
      </c>
      <c r="AN28" s="22">
        <f>COUNTIF(Décembre[[#This Row],[1]:[31]],"AT")</f>
        <v>0</v>
      </c>
      <c r="AO28" s="84">
        <f>IF(AND(Décembre[[#This Row],[Maladie]]=0,Décembre[[#This Row],[AT]]=0),((10*(_xlfn.DAYS("31/12/2018","01/12/2018")+1))/365),((_xlfn.DAYS("31/12/2018","01/12/2018")+1-(Décembre[[#This Row],[Maladie]]+Décembre[[#This Row],[AT]]))*((10*(_xlfn.DAYS("31/12/2018","01/12/2018")+1))/365))/(_xlfn.DAYS("31/12/2018","01/12/2018")+1))</f>
        <v>0.84931506849315064</v>
      </c>
    </row>
    <row r="29" spans="1:41" ht="30" customHeight="1" x14ac:dyDescent="0.2">
      <c r="A29" s="15" t="s">
        <v>85</v>
      </c>
      <c r="B29" s="22" t="s">
        <v>191</v>
      </c>
      <c r="C29" s="22" t="s">
        <v>192</v>
      </c>
      <c r="D29" s="22" t="s">
        <v>193</v>
      </c>
      <c r="E29" s="44">
        <v>0</v>
      </c>
      <c r="F29" s="47" t="str">
        <f>Global!MB29</f>
        <v/>
      </c>
      <c r="G29" s="31" t="str">
        <f>Global!MC29</f>
        <v/>
      </c>
      <c r="H29" s="31" t="str">
        <f>Global!MD29</f>
        <v/>
      </c>
      <c r="I29" s="31" t="str">
        <f>Global!ME29</f>
        <v/>
      </c>
      <c r="J29" s="31" t="str">
        <f>Global!MF29</f>
        <v/>
      </c>
      <c r="K29" s="31" t="str">
        <f>Global!MG29</f>
        <v/>
      </c>
      <c r="L29" s="31" t="str">
        <f>Global!MH29</f>
        <v/>
      </c>
      <c r="M29" s="31" t="str">
        <f>Global!MI29</f>
        <v/>
      </c>
      <c r="N29" s="31" t="str">
        <f>Global!MJ29</f>
        <v/>
      </c>
      <c r="O29" s="31" t="str">
        <f>Global!MK29</f>
        <v/>
      </c>
      <c r="P29" s="31" t="str">
        <f>Global!ML29</f>
        <v/>
      </c>
      <c r="Q29" s="31" t="str">
        <f>Global!MM29</f>
        <v/>
      </c>
      <c r="R29" s="31" t="str">
        <f>Global!MN29</f>
        <v/>
      </c>
      <c r="S29" s="31" t="str">
        <f>Global!MO29</f>
        <v/>
      </c>
      <c r="T29" s="31" t="str">
        <f>Global!MP29</f>
        <v/>
      </c>
      <c r="U29" s="31" t="str">
        <f>Global!MQ29</f>
        <v/>
      </c>
      <c r="V29" s="31" t="str">
        <f>Global!MR29</f>
        <v/>
      </c>
      <c r="W29" s="31" t="str">
        <f>Global!MS29</f>
        <v/>
      </c>
      <c r="X29" s="31" t="str">
        <f>Global!MT29</f>
        <v/>
      </c>
      <c r="Y29" s="31" t="str">
        <f>Global!MU29</f>
        <v/>
      </c>
      <c r="Z29" s="31" t="str">
        <f>Global!MV29</f>
        <v/>
      </c>
      <c r="AA29" s="31" t="str">
        <f>Global!MW29</f>
        <v/>
      </c>
      <c r="AB29" s="31" t="str">
        <f>Global!MX29</f>
        <v/>
      </c>
      <c r="AC29" s="31" t="str">
        <f>Global!MY29</f>
        <v/>
      </c>
      <c r="AD29" s="31" t="str">
        <f>Global!MZ29</f>
        <v/>
      </c>
      <c r="AE29" s="31" t="str">
        <f>Global!NA29</f>
        <v/>
      </c>
      <c r="AF29" s="31" t="str">
        <f>Global!NB29</f>
        <v/>
      </c>
      <c r="AG29" s="31" t="str">
        <f>Global!NC29</f>
        <v/>
      </c>
      <c r="AH29" s="31" t="str">
        <f>Global!ND29</f>
        <v/>
      </c>
      <c r="AI29" s="31" t="str">
        <f>Global!NE29</f>
        <v/>
      </c>
      <c r="AJ29" s="48" t="str">
        <f>Global!NF29</f>
        <v/>
      </c>
      <c r="AK29" s="108">
        <f>COUNTIF(Décembre[[#This Row],[1]:[31]],"RTT")+(COUNTIF(Décembre[[#This Row],[1]:[31]],"dRTT")/2)</f>
        <v>0</v>
      </c>
      <c r="AL29" s="109">
        <f>COUNTIF(Décembre[[#This Row],[1]:[31]],"C")+(COUNTIF(Décembre[[#This Row],[1]:[31]],"DC")/2)</f>
        <v>0</v>
      </c>
      <c r="AM29" s="22">
        <f>COUNTIF(Décembre[[#This Row],[1]:[31]],"M")</f>
        <v>0</v>
      </c>
      <c r="AN29" s="22">
        <f>COUNTIF(Décembre[[#This Row],[1]:[31]],"AT")</f>
        <v>0</v>
      </c>
      <c r="AO29" s="84">
        <f>IF(AND(Décembre[[#This Row],[Maladie]]=0,Décembre[[#This Row],[AT]]=0),((10*(_xlfn.DAYS("31/12/2018","01/12/2018")+1))/365),((_xlfn.DAYS("31/12/2018","01/12/2018")+1-(Décembre[[#This Row],[Maladie]]+Décembre[[#This Row],[AT]]))*((10*(_xlfn.DAYS("31/12/2018","01/12/2018")+1))/365))/(_xlfn.DAYS("31/12/2018","01/12/2018")+1))</f>
        <v>0.84931506849315064</v>
      </c>
    </row>
    <row r="30" spans="1:41" ht="30" customHeight="1" x14ac:dyDescent="0.2">
      <c r="A30" s="15" t="s">
        <v>86</v>
      </c>
      <c r="B30" s="22" t="s">
        <v>194</v>
      </c>
      <c r="C30" s="22" t="s">
        <v>192</v>
      </c>
      <c r="D30" s="22" t="s">
        <v>195</v>
      </c>
      <c r="E30" s="44" t="s">
        <v>162</v>
      </c>
      <c r="F30" s="47" t="str">
        <f>Global!MB30</f>
        <v/>
      </c>
      <c r="G30" s="31" t="str">
        <f>Global!MC30</f>
        <v/>
      </c>
      <c r="H30" s="31" t="str">
        <f>Global!MD30</f>
        <v/>
      </c>
      <c r="I30" s="31" t="str">
        <f>Global!ME30</f>
        <v/>
      </c>
      <c r="J30" s="31" t="str">
        <f>Global!MF30</f>
        <v/>
      </c>
      <c r="K30" s="31" t="str">
        <f>Global!MG30</f>
        <v/>
      </c>
      <c r="L30" s="31" t="str">
        <f>Global!MH30</f>
        <v/>
      </c>
      <c r="M30" s="31" t="str">
        <f>Global!MI30</f>
        <v/>
      </c>
      <c r="N30" s="31" t="str">
        <f>Global!MJ30</f>
        <v/>
      </c>
      <c r="O30" s="31" t="str">
        <f>Global!MK30</f>
        <v/>
      </c>
      <c r="P30" s="31" t="str">
        <f>Global!ML30</f>
        <v/>
      </c>
      <c r="Q30" s="31" t="str">
        <f>Global!MM30</f>
        <v/>
      </c>
      <c r="R30" s="31" t="str">
        <f>Global!MN30</f>
        <v/>
      </c>
      <c r="S30" s="31" t="str">
        <f>Global!MO30</f>
        <v/>
      </c>
      <c r="T30" s="31" t="str">
        <f>Global!MP30</f>
        <v/>
      </c>
      <c r="U30" s="31" t="str">
        <f>Global!MQ30</f>
        <v/>
      </c>
      <c r="V30" s="31" t="str">
        <f>Global!MR30</f>
        <v/>
      </c>
      <c r="W30" s="31" t="str">
        <f>Global!MS30</f>
        <v/>
      </c>
      <c r="X30" s="31" t="str">
        <f>Global!MT30</f>
        <v/>
      </c>
      <c r="Y30" s="31" t="str">
        <f>Global!MU30</f>
        <v/>
      </c>
      <c r="Z30" s="31" t="str">
        <f>Global!MV30</f>
        <v/>
      </c>
      <c r="AA30" s="31" t="str">
        <f>Global!MW30</f>
        <v/>
      </c>
      <c r="AB30" s="31" t="str">
        <f>Global!MX30</f>
        <v/>
      </c>
      <c r="AC30" s="31" t="str">
        <f>Global!MY30</f>
        <v/>
      </c>
      <c r="AD30" s="31" t="str">
        <f>Global!MZ30</f>
        <v/>
      </c>
      <c r="AE30" s="31" t="str">
        <f>Global!NA30</f>
        <v/>
      </c>
      <c r="AF30" s="31" t="str">
        <f>Global!NB30</f>
        <v/>
      </c>
      <c r="AG30" s="31" t="str">
        <f>Global!NC30</f>
        <v/>
      </c>
      <c r="AH30" s="31" t="str">
        <f>Global!ND30</f>
        <v/>
      </c>
      <c r="AI30" s="31" t="str">
        <f>Global!NE30</f>
        <v/>
      </c>
      <c r="AJ30" s="48" t="str">
        <f>Global!NF30</f>
        <v/>
      </c>
      <c r="AK30" s="108">
        <f>COUNTIF(Décembre[[#This Row],[1]:[31]],"RTT")+(COUNTIF(Décembre[[#This Row],[1]:[31]],"dRTT")/2)</f>
        <v>0</v>
      </c>
      <c r="AL30" s="109">
        <f>COUNTIF(Décembre[[#This Row],[1]:[31]],"C")+(COUNTIF(Décembre[[#This Row],[1]:[31]],"DC")/2)</f>
        <v>0</v>
      </c>
      <c r="AM30" s="22">
        <f>COUNTIF(Décembre[[#This Row],[1]:[31]],"M")</f>
        <v>0</v>
      </c>
      <c r="AN30" s="22">
        <f>COUNTIF(Décembre[[#This Row],[1]:[31]],"AT")</f>
        <v>0</v>
      </c>
      <c r="AO30" s="84">
        <f>IF(AND(Décembre[[#This Row],[Maladie]]=0,Décembre[[#This Row],[AT]]=0),((10*(_xlfn.DAYS("31/12/2018","01/12/2018")+1))/365),((_xlfn.DAYS("31/12/2018","01/12/2018")+1-(Décembre[[#This Row],[Maladie]]+Décembre[[#This Row],[AT]]))*((10*(_xlfn.DAYS("31/12/2018","01/12/2018")+1))/365))/(_xlfn.DAYS("31/12/2018","01/12/2018")+1))</f>
        <v>0.84931506849315064</v>
      </c>
    </row>
    <row r="31" spans="1:41" ht="30" customHeight="1" x14ac:dyDescent="0.2">
      <c r="A31" s="15" t="s">
        <v>87</v>
      </c>
      <c r="B31" s="22" t="s">
        <v>196</v>
      </c>
      <c r="C31" s="22" t="s">
        <v>197</v>
      </c>
      <c r="D31" s="22" t="s">
        <v>198</v>
      </c>
      <c r="E31" s="44" t="s">
        <v>162</v>
      </c>
      <c r="F31" s="47" t="str">
        <f>Global!MB31</f>
        <v/>
      </c>
      <c r="G31" s="31" t="str">
        <f>Global!MC31</f>
        <v/>
      </c>
      <c r="H31" s="31" t="str">
        <f>Global!MD31</f>
        <v/>
      </c>
      <c r="I31" s="31" t="str">
        <f>Global!ME31</f>
        <v/>
      </c>
      <c r="J31" s="31" t="str">
        <f>Global!MF31</f>
        <v/>
      </c>
      <c r="K31" s="31" t="str">
        <f>Global!MG31</f>
        <v/>
      </c>
      <c r="L31" s="31" t="str">
        <f>Global!MH31</f>
        <v/>
      </c>
      <c r="M31" s="31" t="str">
        <f>Global!MI31</f>
        <v/>
      </c>
      <c r="N31" s="31" t="str">
        <f>Global!MJ31</f>
        <v/>
      </c>
      <c r="O31" s="31" t="str">
        <f>Global!MK31</f>
        <v/>
      </c>
      <c r="P31" s="31" t="str">
        <f>Global!ML31</f>
        <v/>
      </c>
      <c r="Q31" s="31" t="str">
        <f>Global!MM31</f>
        <v/>
      </c>
      <c r="R31" s="31" t="str">
        <f>Global!MN31</f>
        <v/>
      </c>
      <c r="S31" s="31" t="str">
        <f>Global!MO31</f>
        <v/>
      </c>
      <c r="T31" s="31" t="str">
        <f>Global!MP31</f>
        <v/>
      </c>
      <c r="U31" s="31" t="str">
        <f>Global!MQ31</f>
        <v/>
      </c>
      <c r="V31" s="31" t="str">
        <f>Global!MR31</f>
        <v/>
      </c>
      <c r="W31" s="31" t="str">
        <f>Global!MS31</f>
        <v/>
      </c>
      <c r="X31" s="31" t="str">
        <f>Global!MT31</f>
        <v/>
      </c>
      <c r="Y31" s="31" t="str">
        <f>Global!MU31</f>
        <v/>
      </c>
      <c r="Z31" s="31" t="str">
        <f>Global!MV31</f>
        <v/>
      </c>
      <c r="AA31" s="31" t="str">
        <f>Global!MW31</f>
        <v/>
      </c>
      <c r="AB31" s="31" t="str">
        <f>Global!MX31</f>
        <v/>
      </c>
      <c r="AC31" s="31" t="str">
        <f>Global!MY31</f>
        <v/>
      </c>
      <c r="AD31" s="31" t="str">
        <f>Global!MZ31</f>
        <v/>
      </c>
      <c r="AE31" s="31" t="str">
        <f>Global!NA31</f>
        <v/>
      </c>
      <c r="AF31" s="31" t="str">
        <f>Global!NB31</f>
        <v/>
      </c>
      <c r="AG31" s="31" t="str">
        <f>Global!NC31</f>
        <v/>
      </c>
      <c r="AH31" s="31" t="str">
        <f>Global!ND31</f>
        <v/>
      </c>
      <c r="AI31" s="31" t="str">
        <f>Global!NE31</f>
        <v/>
      </c>
      <c r="AJ31" s="48" t="str">
        <f>Global!NF31</f>
        <v/>
      </c>
      <c r="AK31" s="108">
        <f>COUNTIF(Décembre[[#This Row],[1]:[31]],"RTT")+(COUNTIF(Décembre[[#This Row],[1]:[31]],"dRTT")/2)</f>
        <v>0</v>
      </c>
      <c r="AL31" s="109">
        <f>COUNTIF(Décembre[[#This Row],[1]:[31]],"C")+(COUNTIF(Décembre[[#This Row],[1]:[31]],"DC")/2)</f>
        <v>0</v>
      </c>
      <c r="AM31" s="22">
        <f>COUNTIF(Décembre[[#This Row],[1]:[31]],"M")</f>
        <v>0</v>
      </c>
      <c r="AN31" s="22">
        <f>COUNTIF(Décembre[[#This Row],[1]:[31]],"AT")</f>
        <v>0</v>
      </c>
      <c r="AO31" s="84">
        <f>IF(AND(Décembre[[#This Row],[Maladie]]=0,Décembre[[#This Row],[AT]]=0),((10*(_xlfn.DAYS("31/12/2018","01/12/2018")+1))/365),((_xlfn.DAYS("31/12/2018","01/12/2018")+1-(Décembre[[#This Row],[Maladie]]+Décembre[[#This Row],[AT]]))*((10*(_xlfn.DAYS("31/12/2018","01/12/2018")+1))/365))/(_xlfn.DAYS("31/12/2018","01/12/2018")+1))</f>
        <v>0.84931506849315064</v>
      </c>
    </row>
    <row r="32" spans="1:41" ht="30" customHeight="1" x14ac:dyDescent="0.2">
      <c r="A32" s="15" t="s">
        <v>88</v>
      </c>
      <c r="B32" s="22" t="s">
        <v>199</v>
      </c>
      <c r="C32" s="22" t="s">
        <v>200</v>
      </c>
      <c r="D32" s="22" t="s">
        <v>201</v>
      </c>
      <c r="E32" s="44">
        <v>0</v>
      </c>
      <c r="F32" s="47" t="str">
        <f>Global!MB32</f>
        <v/>
      </c>
      <c r="G32" s="31" t="str">
        <f>Global!MC32</f>
        <v/>
      </c>
      <c r="H32" s="31" t="str">
        <f>Global!MD32</f>
        <v/>
      </c>
      <c r="I32" s="31" t="str">
        <f>Global!ME32</f>
        <v/>
      </c>
      <c r="J32" s="31" t="str">
        <f>Global!MF32</f>
        <v/>
      </c>
      <c r="K32" s="31" t="str">
        <f>Global!MG32</f>
        <v/>
      </c>
      <c r="L32" s="31" t="str">
        <f>Global!MH32</f>
        <v/>
      </c>
      <c r="M32" s="31" t="str">
        <f>Global!MI32</f>
        <v/>
      </c>
      <c r="N32" s="31" t="str">
        <f>Global!MJ32</f>
        <v/>
      </c>
      <c r="O32" s="31" t="str">
        <f>Global!MK32</f>
        <v/>
      </c>
      <c r="P32" s="31" t="str">
        <f>Global!ML32</f>
        <v/>
      </c>
      <c r="Q32" s="31" t="str">
        <f>Global!MM32</f>
        <v/>
      </c>
      <c r="R32" s="31" t="str">
        <f>Global!MN32</f>
        <v/>
      </c>
      <c r="S32" s="31" t="str">
        <f>Global!MO32</f>
        <v/>
      </c>
      <c r="T32" s="31" t="str">
        <f>Global!MP32</f>
        <v/>
      </c>
      <c r="U32" s="31" t="str">
        <f>Global!MQ32</f>
        <v/>
      </c>
      <c r="V32" s="31" t="str">
        <f>Global!MR32</f>
        <v/>
      </c>
      <c r="W32" s="31" t="str">
        <f>Global!MS32</f>
        <v/>
      </c>
      <c r="X32" s="31" t="str">
        <f>Global!MT32</f>
        <v/>
      </c>
      <c r="Y32" s="31" t="str">
        <f>Global!MU32</f>
        <v/>
      </c>
      <c r="Z32" s="31" t="str">
        <f>Global!MV32</f>
        <v/>
      </c>
      <c r="AA32" s="31" t="str">
        <f>Global!MW32</f>
        <v/>
      </c>
      <c r="AB32" s="31" t="str">
        <f>Global!MX32</f>
        <v/>
      </c>
      <c r="AC32" s="31" t="str">
        <f>Global!MY32</f>
        <v/>
      </c>
      <c r="AD32" s="31" t="str">
        <f>Global!MZ32</f>
        <v/>
      </c>
      <c r="AE32" s="31" t="str">
        <f>Global!NA32</f>
        <v/>
      </c>
      <c r="AF32" s="31" t="str">
        <f>Global!NB32</f>
        <v/>
      </c>
      <c r="AG32" s="31" t="str">
        <f>Global!NC32</f>
        <v/>
      </c>
      <c r="AH32" s="31" t="str">
        <f>Global!ND32</f>
        <v/>
      </c>
      <c r="AI32" s="31" t="str">
        <f>Global!NE32</f>
        <v/>
      </c>
      <c r="AJ32" s="48" t="str">
        <f>Global!NF32</f>
        <v/>
      </c>
      <c r="AK32" s="108">
        <f>COUNTIF(Décembre[[#This Row],[1]:[31]],"RTT")+(COUNTIF(Décembre[[#This Row],[1]:[31]],"dRTT")/2)</f>
        <v>0</v>
      </c>
      <c r="AL32" s="109">
        <f>COUNTIF(Décembre[[#This Row],[1]:[31]],"C")+(COUNTIF(Décembre[[#This Row],[1]:[31]],"DC")/2)</f>
        <v>0</v>
      </c>
      <c r="AM32" s="22">
        <f>COUNTIF(Décembre[[#This Row],[1]:[31]],"M")</f>
        <v>0</v>
      </c>
      <c r="AN32" s="22">
        <f>COUNTIF(Décembre[[#This Row],[1]:[31]],"AT")</f>
        <v>0</v>
      </c>
      <c r="AO32" s="84">
        <f>IF(AND(Décembre[[#This Row],[Maladie]]=0,Décembre[[#This Row],[AT]]=0),((10*(_xlfn.DAYS("31/12/2018","01/12/2018")+1))/365),((_xlfn.DAYS("31/12/2018","01/12/2018")+1-(Décembre[[#This Row],[Maladie]]+Décembre[[#This Row],[AT]]))*((10*(_xlfn.DAYS("31/12/2018","01/12/2018")+1))/365))/(_xlfn.DAYS("31/12/2018","01/12/2018")+1))</f>
        <v>0.84931506849315064</v>
      </c>
    </row>
    <row r="33" spans="1:41" ht="30" customHeight="1" x14ac:dyDescent="0.2">
      <c r="A33" s="13" t="s">
        <v>89</v>
      </c>
      <c r="B33" s="22" t="s">
        <v>202</v>
      </c>
      <c r="C33" s="22" t="s">
        <v>172</v>
      </c>
      <c r="D33" s="22" t="s">
        <v>203</v>
      </c>
      <c r="E33" s="44">
        <v>0</v>
      </c>
      <c r="F33" s="47" t="str">
        <f>Global!MB33</f>
        <v/>
      </c>
      <c r="G33" s="31" t="str">
        <f>Global!MC33</f>
        <v/>
      </c>
      <c r="H33" s="31" t="str">
        <f>Global!MD33</f>
        <v/>
      </c>
      <c r="I33" s="31" t="str">
        <f>Global!ME33</f>
        <v/>
      </c>
      <c r="J33" s="31" t="str">
        <f>Global!MF33</f>
        <v/>
      </c>
      <c r="K33" s="31" t="str">
        <f>Global!MG33</f>
        <v/>
      </c>
      <c r="L33" s="31" t="str">
        <f>Global!MH33</f>
        <v/>
      </c>
      <c r="M33" s="31" t="str">
        <f>Global!MI33</f>
        <v/>
      </c>
      <c r="N33" s="31" t="str">
        <f>Global!MJ33</f>
        <v/>
      </c>
      <c r="O33" s="31" t="str">
        <f>Global!MK33</f>
        <v/>
      </c>
      <c r="P33" s="31" t="str">
        <f>Global!ML33</f>
        <v/>
      </c>
      <c r="Q33" s="31" t="str">
        <f>Global!MM33</f>
        <v/>
      </c>
      <c r="R33" s="31" t="str">
        <f>Global!MN33</f>
        <v/>
      </c>
      <c r="S33" s="31" t="str">
        <f>Global!MO33</f>
        <v/>
      </c>
      <c r="T33" s="31" t="str">
        <f>Global!MP33</f>
        <v/>
      </c>
      <c r="U33" s="31" t="str">
        <f>Global!MQ33</f>
        <v/>
      </c>
      <c r="V33" s="31" t="str">
        <f>Global!MR33</f>
        <v/>
      </c>
      <c r="W33" s="31" t="str">
        <f>Global!MS33</f>
        <v/>
      </c>
      <c r="X33" s="31" t="str">
        <f>Global!MT33</f>
        <v/>
      </c>
      <c r="Y33" s="31" t="str">
        <f>Global!MU33</f>
        <v/>
      </c>
      <c r="Z33" s="31" t="str">
        <f>Global!MV33</f>
        <v/>
      </c>
      <c r="AA33" s="31" t="str">
        <f>Global!MW33</f>
        <v/>
      </c>
      <c r="AB33" s="31" t="str">
        <f>Global!MX33</f>
        <v/>
      </c>
      <c r="AC33" s="31" t="str">
        <f>Global!MY33</f>
        <v/>
      </c>
      <c r="AD33" s="31" t="str">
        <f>Global!MZ33</f>
        <v/>
      </c>
      <c r="AE33" s="31" t="str">
        <f>Global!NA33</f>
        <v/>
      </c>
      <c r="AF33" s="31" t="str">
        <f>Global!NB33</f>
        <v/>
      </c>
      <c r="AG33" s="31" t="str">
        <f>Global!NC33</f>
        <v/>
      </c>
      <c r="AH33" s="31" t="str">
        <f>Global!ND33</f>
        <v/>
      </c>
      <c r="AI33" s="31" t="str">
        <f>Global!NE33</f>
        <v/>
      </c>
      <c r="AJ33" s="48" t="str">
        <f>Global!NF33</f>
        <v/>
      </c>
      <c r="AK33" s="108">
        <f>COUNTIF(Décembre[[#This Row],[1]:[31]],"RTT")+(COUNTIF(Décembre[[#This Row],[1]:[31]],"dRTT")/2)</f>
        <v>0</v>
      </c>
      <c r="AL33" s="109">
        <f>COUNTIF(Décembre[[#This Row],[1]:[31]],"C")+(COUNTIF(Décembre[[#This Row],[1]:[31]],"DC")/2)</f>
        <v>0</v>
      </c>
      <c r="AM33" s="22">
        <f>COUNTIF(Décembre[[#This Row],[1]:[31]],"M")</f>
        <v>0</v>
      </c>
      <c r="AN33" s="22">
        <f>COUNTIF(Décembre[[#This Row],[1]:[31]],"AT")</f>
        <v>0</v>
      </c>
      <c r="AO33" s="84">
        <f>IF(AND(Décembre[[#This Row],[Maladie]]=0,Décembre[[#This Row],[AT]]=0),((10*(_xlfn.DAYS("31/12/2018","01/12/2018")+1))/365),((_xlfn.DAYS("31/12/2018","01/12/2018")+1-(Décembre[[#This Row],[Maladie]]+Décembre[[#This Row],[AT]]))*((10*(_xlfn.DAYS("31/12/2018","01/12/2018")+1))/365))/(_xlfn.DAYS("31/12/2018","01/12/2018")+1))</f>
        <v>0.84931506849315064</v>
      </c>
    </row>
    <row r="34" spans="1:41" ht="30" customHeight="1" x14ac:dyDescent="0.2">
      <c r="A34" s="13" t="s">
        <v>90</v>
      </c>
      <c r="B34" s="22" t="s">
        <v>204</v>
      </c>
      <c r="C34" s="22" t="s">
        <v>205</v>
      </c>
      <c r="D34" s="22" t="s">
        <v>206</v>
      </c>
      <c r="E34" s="44" t="s">
        <v>162</v>
      </c>
      <c r="F34" s="47" t="str">
        <f>Global!MB34</f>
        <v/>
      </c>
      <c r="G34" s="31" t="str">
        <f>Global!MC34</f>
        <v/>
      </c>
      <c r="H34" s="31" t="str">
        <f>Global!MD34</f>
        <v/>
      </c>
      <c r="I34" s="31" t="str">
        <f>Global!ME34</f>
        <v/>
      </c>
      <c r="J34" s="31" t="str">
        <f>Global!MF34</f>
        <v/>
      </c>
      <c r="K34" s="31" t="str">
        <f>Global!MG34</f>
        <v/>
      </c>
      <c r="L34" s="31" t="str">
        <f>Global!MH34</f>
        <v/>
      </c>
      <c r="M34" s="31" t="str">
        <f>Global!MI34</f>
        <v/>
      </c>
      <c r="N34" s="31" t="str">
        <f>Global!MJ34</f>
        <v/>
      </c>
      <c r="O34" s="31" t="str">
        <f>Global!MK34</f>
        <v/>
      </c>
      <c r="P34" s="31" t="str">
        <f>Global!ML34</f>
        <v/>
      </c>
      <c r="Q34" s="31" t="str">
        <f>Global!MM34</f>
        <v/>
      </c>
      <c r="R34" s="31" t="str">
        <f>Global!MN34</f>
        <v/>
      </c>
      <c r="S34" s="31" t="str">
        <f>Global!MO34</f>
        <v/>
      </c>
      <c r="T34" s="31" t="str">
        <f>Global!MP34</f>
        <v/>
      </c>
      <c r="U34" s="31" t="str">
        <f>Global!MQ34</f>
        <v/>
      </c>
      <c r="V34" s="31" t="str">
        <f>Global!MR34</f>
        <v/>
      </c>
      <c r="W34" s="31" t="str">
        <f>Global!MS34</f>
        <v/>
      </c>
      <c r="X34" s="31" t="str">
        <f>Global!MT34</f>
        <v/>
      </c>
      <c r="Y34" s="31" t="str">
        <f>Global!MU34</f>
        <v/>
      </c>
      <c r="Z34" s="31" t="str">
        <f>Global!MV34</f>
        <v/>
      </c>
      <c r="AA34" s="31" t="str">
        <f>Global!MW34</f>
        <v/>
      </c>
      <c r="AB34" s="31" t="str">
        <f>Global!MX34</f>
        <v/>
      </c>
      <c r="AC34" s="31" t="str">
        <f>Global!MY34</f>
        <v/>
      </c>
      <c r="AD34" s="31" t="str">
        <f>Global!MZ34</f>
        <v/>
      </c>
      <c r="AE34" s="31" t="str">
        <f>Global!NA34</f>
        <v/>
      </c>
      <c r="AF34" s="31" t="str">
        <f>Global!NB34</f>
        <v/>
      </c>
      <c r="AG34" s="31" t="str">
        <f>Global!NC34</f>
        <v/>
      </c>
      <c r="AH34" s="31" t="str">
        <f>Global!ND34</f>
        <v/>
      </c>
      <c r="AI34" s="31" t="str">
        <f>Global!NE34</f>
        <v/>
      </c>
      <c r="AJ34" s="48" t="str">
        <f>Global!NF34</f>
        <v/>
      </c>
      <c r="AK34" s="108">
        <f>COUNTIF(Décembre[[#This Row],[1]:[31]],"RTT")+(COUNTIF(Décembre[[#This Row],[1]:[31]],"dRTT")/2)</f>
        <v>0</v>
      </c>
      <c r="AL34" s="109">
        <f>COUNTIF(Décembre[[#This Row],[1]:[31]],"C")+(COUNTIF(Décembre[[#This Row],[1]:[31]],"DC")/2)</f>
        <v>0</v>
      </c>
      <c r="AM34" s="22">
        <f>COUNTIF(Décembre[[#This Row],[1]:[31]],"M")</f>
        <v>0</v>
      </c>
      <c r="AN34" s="22">
        <f>COUNTIF(Décembre[[#This Row],[1]:[31]],"AT")</f>
        <v>0</v>
      </c>
      <c r="AO34" s="84">
        <f>IF(AND(Décembre[[#This Row],[Maladie]]=0,Décembre[[#This Row],[AT]]=0),((10*(_xlfn.DAYS("31/12/2018","01/12/2018")+1))/365),((_xlfn.DAYS("31/12/2018","01/12/2018")+1-(Décembre[[#This Row],[Maladie]]+Décembre[[#This Row],[AT]]))*((10*(_xlfn.DAYS("31/12/2018","01/12/2018")+1))/365))/(_xlfn.DAYS("31/12/2018","01/12/2018")+1))</f>
        <v>0.84931506849315064</v>
      </c>
    </row>
    <row r="35" spans="1:41" ht="30" customHeight="1" x14ac:dyDescent="0.2">
      <c r="A35" s="13" t="s">
        <v>91</v>
      </c>
      <c r="B35" s="22" t="s">
        <v>207</v>
      </c>
      <c r="C35" s="22" t="s">
        <v>208</v>
      </c>
      <c r="D35" s="22" t="s">
        <v>209</v>
      </c>
      <c r="E35" s="44" t="s">
        <v>162</v>
      </c>
      <c r="F35" s="47" t="str">
        <f>Global!MB35</f>
        <v/>
      </c>
      <c r="G35" s="31" t="str">
        <f>Global!MC35</f>
        <v/>
      </c>
      <c r="H35" s="31" t="str">
        <f>Global!MD35</f>
        <v/>
      </c>
      <c r="I35" s="31" t="str">
        <f>Global!ME35</f>
        <v/>
      </c>
      <c r="J35" s="31" t="str">
        <f>Global!MF35</f>
        <v/>
      </c>
      <c r="K35" s="31" t="str">
        <f>Global!MG35</f>
        <v/>
      </c>
      <c r="L35" s="31" t="str">
        <f>Global!MH35</f>
        <v/>
      </c>
      <c r="M35" s="31" t="str">
        <f>Global!MI35</f>
        <v/>
      </c>
      <c r="N35" s="31" t="str">
        <f>Global!MJ35</f>
        <v/>
      </c>
      <c r="O35" s="31" t="str">
        <f>Global!MK35</f>
        <v/>
      </c>
      <c r="P35" s="31" t="str">
        <f>Global!ML35</f>
        <v/>
      </c>
      <c r="Q35" s="31" t="str">
        <f>Global!MM35</f>
        <v/>
      </c>
      <c r="R35" s="31" t="str">
        <f>Global!MN35</f>
        <v/>
      </c>
      <c r="S35" s="31" t="str">
        <f>Global!MO35</f>
        <v/>
      </c>
      <c r="T35" s="31" t="str">
        <f>Global!MP35</f>
        <v/>
      </c>
      <c r="U35" s="31" t="str">
        <f>Global!MQ35</f>
        <v/>
      </c>
      <c r="V35" s="31" t="str">
        <f>Global!MR35</f>
        <v/>
      </c>
      <c r="W35" s="31" t="str">
        <f>Global!MS35</f>
        <v/>
      </c>
      <c r="X35" s="31" t="str">
        <f>Global!MT35</f>
        <v/>
      </c>
      <c r="Y35" s="31" t="str">
        <f>Global!MU35</f>
        <v/>
      </c>
      <c r="Z35" s="31" t="str">
        <f>Global!MV35</f>
        <v/>
      </c>
      <c r="AA35" s="31" t="str">
        <f>Global!MW35</f>
        <v/>
      </c>
      <c r="AB35" s="31" t="str">
        <f>Global!MX35</f>
        <v/>
      </c>
      <c r="AC35" s="31" t="str">
        <f>Global!MY35</f>
        <v/>
      </c>
      <c r="AD35" s="31" t="str">
        <f>Global!MZ35</f>
        <v/>
      </c>
      <c r="AE35" s="31" t="str">
        <f>Global!NA35</f>
        <v/>
      </c>
      <c r="AF35" s="31" t="str">
        <f>Global!NB35</f>
        <v/>
      </c>
      <c r="AG35" s="31" t="str">
        <f>Global!NC35</f>
        <v/>
      </c>
      <c r="AH35" s="31" t="str">
        <f>Global!ND35</f>
        <v/>
      </c>
      <c r="AI35" s="31" t="str">
        <f>Global!NE35</f>
        <v/>
      </c>
      <c r="AJ35" s="48" t="str">
        <f>Global!NF35</f>
        <v/>
      </c>
      <c r="AK35" s="108">
        <f>COUNTIF(Décembre[[#This Row],[1]:[31]],"RTT")+(COUNTIF(Décembre[[#This Row],[1]:[31]],"dRTT")/2)</f>
        <v>0</v>
      </c>
      <c r="AL35" s="109">
        <f>COUNTIF(Décembre[[#This Row],[1]:[31]],"C")+(COUNTIF(Décembre[[#This Row],[1]:[31]],"DC")/2)</f>
        <v>0</v>
      </c>
      <c r="AM35" s="22">
        <f>COUNTIF(Décembre[[#This Row],[1]:[31]],"M")</f>
        <v>0</v>
      </c>
      <c r="AN35" s="22">
        <f>COUNTIF(Décembre[[#This Row],[1]:[31]],"AT")</f>
        <v>0</v>
      </c>
      <c r="AO35" s="84">
        <f>IF(AND(Décembre[[#This Row],[Maladie]]=0,Décembre[[#This Row],[AT]]=0),((10*(_xlfn.DAYS("31/12/2018","01/12/2018")+1))/365),((_xlfn.DAYS("31/12/2018","01/12/2018")+1-(Décembre[[#This Row],[Maladie]]+Décembre[[#This Row],[AT]]))*((10*(_xlfn.DAYS("31/12/2018","01/12/2018")+1))/365))/(_xlfn.DAYS("31/12/2018","01/12/2018")+1))</f>
        <v>0.84931506849315064</v>
      </c>
    </row>
    <row r="36" spans="1:41" ht="30" customHeight="1" x14ac:dyDescent="0.2">
      <c r="A36" s="13" t="s">
        <v>92</v>
      </c>
      <c r="B36" s="22" t="s">
        <v>210</v>
      </c>
      <c r="C36" s="22" t="s">
        <v>211</v>
      </c>
      <c r="D36" s="22" t="s">
        <v>212</v>
      </c>
      <c r="E36" s="44">
        <v>0</v>
      </c>
      <c r="F36" s="47" t="str">
        <f>Global!MB36</f>
        <v/>
      </c>
      <c r="G36" s="31" t="str">
        <f>Global!MC36</f>
        <v/>
      </c>
      <c r="H36" s="31" t="str">
        <f>Global!MD36</f>
        <v/>
      </c>
      <c r="I36" s="31" t="str">
        <f>Global!ME36</f>
        <v/>
      </c>
      <c r="J36" s="31" t="str">
        <f>Global!MF36</f>
        <v/>
      </c>
      <c r="K36" s="31" t="str">
        <f>Global!MG36</f>
        <v/>
      </c>
      <c r="L36" s="31" t="str">
        <f>Global!MH36</f>
        <v/>
      </c>
      <c r="M36" s="31" t="str">
        <f>Global!MI36</f>
        <v/>
      </c>
      <c r="N36" s="31" t="str">
        <f>Global!MJ36</f>
        <v/>
      </c>
      <c r="O36" s="31" t="str">
        <f>Global!MK36</f>
        <v/>
      </c>
      <c r="P36" s="31" t="str">
        <f>Global!ML36</f>
        <v/>
      </c>
      <c r="Q36" s="31" t="str">
        <f>Global!MM36</f>
        <v/>
      </c>
      <c r="R36" s="31" t="str">
        <f>Global!MN36</f>
        <v/>
      </c>
      <c r="S36" s="31" t="str">
        <f>Global!MO36</f>
        <v/>
      </c>
      <c r="T36" s="31" t="str">
        <f>Global!MP36</f>
        <v/>
      </c>
      <c r="U36" s="31" t="str">
        <f>Global!MQ36</f>
        <v/>
      </c>
      <c r="V36" s="31" t="str">
        <f>Global!MR36</f>
        <v/>
      </c>
      <c r="W36" s="31" t="str">
        <f>Global!MS36</f>
        <v/>
      </c>
      <c r="X36" s="31" t="str">
        <f>Global!MT36</f>
        <v/>
      </c>
      <c r="Y36" s="31" t="str">
        <f>Global!MU36</f>
        <v/>
      </c>
      <c r="Z36" s="31" t="str">
        <f>Global!MV36</f>
        <v/>
      </c>
      <c r="AA36" s="31" t="str">
        <f>Global!MW36</f>
        <v/>
      </c>
      <c r="AB36" s="31" t="str">
        <f>Global!MX36</f>
        <v/>
      </c>
      <c r="AC36" s="31" t="str">
        <f>Global!MY36</f>
        <v/>
      </c>
      <c r="AD36" s="31" t="str">
        <f>Global!MZ36</f>
        <v/>
      </c>
      <c r="AE36" s="31" t="str">
        <f>Global!NA36</f>
        <v/>
      </c>
      <c r="AF36" s="31" t="str">
        <f>Global!NB36</f>
        <v/>
      </c>
      <c r="AG36" s="31" t="str">
        <f>Global!NC36</f>
        <v/>
      </c>
      <c r="AH36" s="31" t="str">
        <f>Global!ND36</f>
        <v/>
      </c>
      <c r="AI36" s="31" t="str">
        <f>Global!NE36</f>
        <v/>
      </c>
      <c r="AJ36" s="48" t="str">
        <f>Global!NF36</f>
        <v/>
      </c>
      <c r="AK36" s="108">
        <f>COUNTIF(Décembre[[#This Row],[1]:[31]],"RTT")+(COUNTIF(Décembre[[#This Row],[1]:[31]],"dRTT")/2)</f>
        <v>0</v>
      </c>
      <c r="AL36" s="109">
        <f>COUNTIF(Décembre[[#This Row],[1]:[31]],"C")+(COUNTIF(Décembre[[#This Row],[1]:[31]],"DC")/2)</f>
        <v>0</v>
      </c>
      <c r="AM36" s="22">
        <f>COUNTIF(Décembre[[#This Row],[1]:[31]],"M")</f>
        <v>0</v>
      </c>
      <c r="AN36" s="22">
        <f>COUNTIF(Décembre[[#This Row],[1]:[31]],"AT")</f>
        <v>0</v>
      </c>
      <c r="AO36" s="84">
        <f>IF(AND(Décembre[[#This Row],[Maladie]]=0,Décembre[[#This Row],[AT]]=0),((10*(_xlfn.DAYS("31/12/2018","01/12/2018")+1))/365),((_xlfn.DAYS("31/12/2018","01/12/2018")+1-(Décembre[[#This Row],[Maladie]]+Décembre[[#This Row],[AT]]))*((10*(_xlfn.DAYS("31/12/2018","01/12/2018")+1))/365))/(_xlfn.DAYS("31/12/2018","01/12/2018")+1))</f>
        <v>0.84931506849315064</v>
      </c>
    </row>
    <row r="37" spans="1:41" ht="30" customHeight="1" x14ac:dyDescent="0.2">
      <c r="A37" s="13" t="s">
        <v>93</v>
      </c>
      <c r="B37" s="22" t="s">
        <v>213</v>
      </c>
      <c r="C37" s="22" t="s">
        <v>148</v>
      </c>
      <c r="D37" s="22" t="s">
        <v>214</v>
      </c>
      <c r="E37" s="44">
        <v>0</v>
      </c>
      <c r="F37" s="47" t="str">
        <f>Global!MB37</f>
        <v/>
      </c>
      <c r="G37" s="31" t="str">
        <f>Global!MC37</f>
        <v/>
      </c>
      <c r="H37" s="31" t="str">
        <f>Global!MD37</f>
        <v/>
      </c>
      <c r="I37" s="31" t="str">
        <f>Global!ME37</f>
        <v/>
      </c>
      <c r="J37" s="31" t="str">
        <f>Global!MF37</f>
        <v/>
      </c>
      <c r="K37" s="31" t="str">
        <f>Global!MG37</f>
        <v/>
      </c>
      <c r="L37" s="31" t="str">
        <f>Global!MH37</f>
        <v/>
      </c>
      <c r="M37" s="31" t="str">
        <f>Global!MI37</f>
        <v/>
      </c>
      <c r="N37" s="31" t="str">
        <f>Global!MJ37</f>
        <v/>
      </c>
      <c r="O37" s="31" t="str">
        <f>Global!MK37</f>
        <v/>
      </c>
      <c r="P37" s="31" t="str">
        <f>Global!ML37</f>
        <v/>
      </c>
      <c r="Q37" s="31" t="str">
        <f>Global!MM37</f>
        <v/>
      </c>
      <c r="R37" s="31" t="str">
        <f>Global!MN37</f>
        <v/>
      </c>
      <c r="S37" s="31" t="str">
        <f>Global!MO37</f>
        <v/>
      </c>
      <c r="T37" s="31" t="str">
        <f>Global!MP37</f>
        <v/>
      </c>
      <c r="U37" s="31" t="str">
        <f>Global!MQ37</f>
        <v/>
      </c>
      <c r="V37" s="31" t="str">
        <f>Global!MR37</f>
        <v/>
      </c>
      <c r="W37" s="31" t="str">
        <f>Global!MS37</f>
        <v/>
      </c>
      <c r="X37" s="31" t="str">
        <f>Global!MT37</f>
        <v/>
      </c>
      <c r="Y37" s="31" t="str">
        <f>Global!MU37</f>
        <v/>
      </c>
      <c r="Z37" s="31" t="str">
        <f>Global!MV37</f>
        <v/>
      </c>
      <c r="AA37" s="31" t="str">
        <f>Global!MW37</f>
        <v/>
      </c>
      <c r="AB37" s="31" t="str">
        <f>Global!MX37</f>
        <v/>
      </c>
      <c r="AC37" s="31" t="str">
        <f>Global!MY37</f>
        <v/>
      </c>
      <c r="AD37" s="31" t="str">
        <f>Global!MZ37</f>
        <v/>
      </c>
      <c r="AE37" s="31" t="str">
        <f>Global!NA37</f>
        <v/>
      </c>
      <c r="AF37" s="31" t="str">
        <f>Global!NB37</f>
        <v/>
      </c>
      <c r="AG37" s="31" t="str">
        <f>Global!NC37</f>
        <v/>
      </c>
      <c r="AH37" s="31" t="str">
        <f>Global!ND37</f>
        <v/>
      </c>
      <c r="AI37" s="31" t="str">
        <f>Global!NE37</f>
        <v/>
      </c>
      <c r="AJ37" s="48" t="str">
        <f>Global!NF37</f>
        <v/>
      </c>
      <c r="AK37" s="108">
        <f>COUNTIF(Décembre[[#This Row],[1]:[31]],"RTT")+(COUNTIF(Décembre[[#This Row],[1]:[31]],"dRTT")/2)</f>
        <v>0</v>
      </c>
      <c r="AL37" s="109">
        <f>COUNTIF(Décembre[[#This Row],[1]:[31]],"C")+(COUNTIF(Décembre[[#This Row],[1]:[31]],"DC")/2)</f>
        <v>0</v>
      </c>
      <c r="AM37" s="22">
        <f>COUNTIF(Décembre[[#This Row],[1]:[31]],"M")</f>
        <v>0</v>
      </c>
      <c r="AN37" s="22">
        <f>COUNTIF(Décembre[[#This Row],[1]:[31]],"AT")</f>
        <v>0</v>
      </c>
      <c r="AO37" s="84">
        <f>IF(AND(Décembre[[#This Row],[Maladie]]=0,Décembre[[#This Row],[AT]]=0),((10*(_xlfn.DAYS("31/12/2018","01/12/2018")+1))/365),((_xlfn.DAYS("31/12/2018","01/12/2018")+1-(Décembre[[#This Row],[Maladie]]+Décembre[[#This Row],[AT]]))*((10*(_xlfn.DAYS("31/12/2018","01/12/2018")+1))/365))/(_xlfn.DAYS("31/12/2018","01/12/2018")+1))</f>
        <v>0.84931506849315064</v>
      </c>
    </row>
    <row r="38" spans="1:41" ht="30" customHeight="1" x14ac:dyDescent="0.2">
      <c r="A38" s="13" t="s">
        <v>94</v>
      </c>
      <c r="B38" s="22" t="s">
        <v>215</v>
      </c>
      <c r="C38" s="22" t="s">
        <v>216</v>
      </c>
      <c r="D38" s="22" t="s">
        <v>217</v>
      </c>
      <c r="E38" s="44">
        <v>0</v>
      </c>
      <c r="F38" s="47" t="str">
        <f>Global!MB38</f>
        <v/>
      </c>
      <c r="G38" s="31" t="str">
        <f>Global!MC38</f>
        <v/>
      </c>
      <c r="H38" s="31" t="str">
        <f>Global!MD38</f>
        <v/>
      </c>
      <c r="I38" s="31" t="str">
        <f>Global!ME38</f>
        <v/>
      </c>
      <c r="J38" s="31" t="str">
        <f>Global!MF38</f>
        <v/>
      </c>
      <c r="K38" s="31" t="str">
        <f>Global!MG38</f>
        <v/>
      </c>
      <c r="L38" s="31" t="str">
        <f>Global!MH38</f>
        <v/>
      </c>
      <c r="M38" s="31" t="str">
        <f>Global!MI38</f>
        <v/>
      </c>
      <c r="N38" s="31" t="str">
        <f>Global!MJ38</f>
        <v/>
      </c>
      <c r="O38" s="31" t="str">
        <f>Global!MK38</f>
        <v/>
      </c>
      <c r="P38" s="31" t="str">
        <f>Global!ML38</f>
        <v/>
      </c>
      <c r="Q38" s="31" t="str">
        <f>Global!MM38</f>
        <v/>
      </c>
      <c r="R38" s="31" t="str">
        <f>Global!MN38</f>
        <v/>
      </c>
      <c r="S38" s="31" t="str">
        <f>Global!MO38</f>
        <v/>
      </c>
      <c r="T38" s="31" t="str">
        <f>Global!MP38</f>
        <v/>
      </c>
      <c r="U38" s="31" t="str">
        <f>Global!MQ38</f>
        <v/>
      </c>
      <c r="V38" s="31" t="str">
        <f>Global!MR38</f>
        <v/>
      </c>
      <c r="W38" s="31" t="str">
        <f>Global!MS38</f>
        <v/>
      </c>
      <c r="X38" s="31" t="str">
        <f>Global!MT38</f>
        <v/>
      </c>
      <c r="Y38" s="31" t="str">
        <f>Global!MU38</f>
        <v/>
      </c>
      <c r="Z38" s="31" t="str">
        <f>Global!MV38</f>
        <v/>
      </c>
      <c r="AA38" s="31" t="str">
        <f>Global!MW38</f>
        <v/>
      </c>
      <c r="AB38" s="31" t="str">
        <f>Global!MX38</f>
        <v/>
      </c>
      <c r="AC38" s="31" t="str">
        <f>Global!MY38</f>
        <v/>
      </c>
      <c r="AD38" s="31" t="str">
        <f>Global!MZ38</f>
        <v/>
      </c>
      <c r="AE38" s="31" t="str">
        <f>Global!NA38</f>
        <v/>
      </c>
      <c r="AF38" s="31" t="str">
        <f>Global!NB38</f>
        <v/>
      </c>
      <c r="AG38" s="31" t="str">
        <f>Global!NC38</f>
        <v/>
      </c>
      <c r="AH38" s="31" t="str">
        <f>Global!ND38</f>
        <v/>
      </c>
      <c r="AI38" s="31" t="str">
        <f>Global!NE38</f>
        <v/>
      </c>
      <c r="AJ38" s="48" t="str">
        <f>Global!NF38</f>
        <v/>
      </c>
      <c r="AK38" s="108">
        <f>COUNTIF(Décembre[[#This Row],[1]:[31]],"RTT")+(COUNTIF(Décembre[[#This Row],[1]:[31]],"dRTT")/2)</f>
        <v>0</v>
      </c>
      <c r="AL38" s="109">
        <f>COUNTIF(Décembre[[#This Row],[1]:[31]],"C")+(COUNTIF(Décembre[[#This Row],[1]:[31]],"DC")/2)</f>
        <v>0</v>
      </c>
      <c r="AM38" s="22">
        <f>COUNTIF(Décembre[[#This Row],[1]:[31]],"M")</f>
        <v>0</v>
      </c>
      <c r="AN38" s="22">
        <f>COUNTIF(Décembre[[#This Row],[1]:[31]],"AT")</f>
        <v>0</v>
      </c>
      <c r="AO38" s="84">
        <f>IF(AND(Décembre[[#This Row],[Maladie]]=0,Décembre[[#This Row],[AT]]=0),((10*(_xlfn.DAYS("31/12/2018","01/12/2018")+1))/365),((_xlfn.DAYS("31/12/2018","01/12/2018")+1-(Décembre[[#This Row],[Maladie]]+Décembre[[#This Row],[AT]]))*((10*(_xlfn.DAYS("31/12/2018","01/12/2018")+1))/365))/(_xlfn.DAYS("31/12/2018","01/12/2018")+1))</f>
        <v>0.84931506849315064</v>
      </c>
    </row>
    <row r="39" spans="1:41" ht="30" customHeight="1" x14ac:dyDescent="0.2">
      <c r="A39" s="16" t="s">
        <v>95</v>
      </c>
      <c r="B39" s="22" t="s">
        <v>218</v>
      </c>
      <c r="C39" s="22" t="s">
        <v>219</v>
      </c>
      <c r="D39" s="22" t="s">
        <v>220</v>
      </c>
      <c r="E39" s="44">
        <v>0</v>
      </c>
      <c r="F39" s="47" t="str">
        <f>Global!MB39</f>
        <v/>
      </c>
      <c r="G39" s="31" t="str">
        <f>Global!MC39</f>
        <v/>
      </c>
      <c r="H39" s="31" t="str">
        <f>Global!MD39</f>
        <v/>
      </c>
      <c r="I39" s="31" t="str">
        <f>Global!ME39</f>
        <v/>
      </c>
      <c r="J39" s="31" t="str">
        <f>Global!MF39</f>
        <v/>
      </c>
      <c r="K39" s="31" t="str">
        <f>Global!MG39</f>
        <v/>
      </c>
      <c r="L39" s="31" t="str">
        <f>Global!MH39</f>
        <v/>
      </c>
      <c r="M39" s="31" t="str">
        <f>Global!MI39</f>
        <v/>
      </c>
      <c r="N39" s="31" t="str">
        <f>Global!MJ39</f>
        <v/>
      </c>
      <c r="O39" s="31" t="str">
        <f>Global!MK39</f>
        <v/>
      </c>
      <c r="P39" s="31" t="str">
        <f>Global!ML39</f>
        <v/>
      </c>
      <c r="Q39" s="31" t="str">
        <f>Global!MM39</f>
        <v/>
      </c>
      <c r="R39" s="31" t="str">
        <f>Global!MN39</f>
        <v/>
      </c>
      <c r="S39" s="31" t="str">
        <f>Global!MO39</f>
        <v/>
      </c>
      <c r="T39" s="31" t="str">
        <f>Global!MP39</f>
        <v/>
      </c>
      <c r="U39" s="31" t="str">
        <f>Global!MQ39</f>
        <v/>
      </c>
      <c r="V39" s="31" t="str">
        <f>Global!MR39</f>
        <v/>
      </c>
      <c r="W39" s="31" t="str">
        <f>Global!MS39</f>
        <v/>
      </c>
      <c r="X39" s="31" t="str">
        <f>Global!MT39</f>
        <v/>
      </c>
      <c r="Y39" s="31" t="str">
        <f>Global!MU39</f>
        <v/>
      </c>
      <c r="Z39" s="31" t="str">
        <f>Global!MV39</f>
        <v/>
      </c>
      <c r="AA39" s="31" t="str">
        <f>Global!MW39</f>
        <v/>
      </c>
      <c r="AB39" s="31" t="str">
        <f>Global!MX39</f>
        <v/>
      </c>
      <c r="AC39" s="31" t="str">
        <f>Global!MY39</f>
        <v/>
      </c>
      <c r="AD39" s="31" t="str">
        <f>Global!MZ39</f>
        <v/>
      </c>
      <c r="AE39" s="31" t="str">
        <f>Global!NA39</f>
        <v/>
      </c>
      <c r="AF39" s="31" t="str">
        <f>Global!NB39</f>
        <v/>
      </c>
      <c r="AG39" s="31" t="str">
        <f>Global!NC39</f>
        <v/>
      </c>
      <c r="AH39" s="31" t="str">
        <f>Global!ND39</f>
        <v/>
      </c>
      <c r="AI39" s="31" t="str">
        <f>Global!NE39</f>
        <v/>
      </c>
      <c r="AJ39" s="48" t="str">
        <f>Global!NF39</f>
        <v/>
      </c>
      <c r="AK39" s="108">
        <f>COUNTIF(Décembre[[#This Row],[1]:[31]],"RTT")+(COUNTIF(Décembre[[#This Row],[1]:[31]],"dRTT")/2)</f>
        <v>0</v>
      </c>
      <c r="AL39" s="109">
        <f>COUNTIF(Décembre[[#This Row],[1]:[31]],"C")+(COUNTIF(Décembre[[#This Row],[1]:[31]],"DC")/2)</f>
        <v>0</v>
      </c>
      <c r="AM39" s="22">
        <f>COUNTIF(Décembre[[#This Row],[1]:[31]],"M")</f>
        <v>0</v>
      </c>
      <c r="AN39" s="22">
        <f>COUNTIF(Décembre[[#This Row],[1]:[31]],"AT")</f>
        <v>0</v>
      </c>
      <c r="AO39" s="84">
        <f>IF(AND(Décembre[[#This Row],[Maladie]]=0,Décembre[[#This Row],[AT]]=0),((10*(_xlfn.DAYS("31/12/2018","01/12/2018")+1))/365),((_xlfn.DAYS("31/12/2018","01/12/2018")+1-(Décembre[[#This Row],[Maladie]]+Décembre[[#This Row],[AT]]))*((10*(_xlfn.DAYS("31/12/2018","01/12/2018")+1))/365))/(_xlfn.DAYS("31/12/2018","01/12/2018")+1))</f>
        <v>0.84931506849315064</v>
      </c>
    </row>
    <row r="40" spans="1:41" ht="30" customHeight="1" x14ac:dyDescent="0.2">
      <c r="A40" s="15" t="s">
        <v>96</v>
      </c>
      <c r="B40" s="22" t="s">
        <v>221</v>
      </c>
      <c r="C40" s="22" t="s">
        <v>222</v>
      </c>
      <c r="D40" s="22" t="s">
        <v>223</v>
      </c>
      <c r="E40" s="44">
        <v>0</v>
      </c>
      <c r="F40" s="47" t="str">
        <f>Global!MB40</f>
        <v/>
      </c>
      <c r="G40" s="31" t="str">
        <f>Global!MC40</f>
        <v/>
      </c>
      <c r="H40" s="31" t="str">
        <f>Global!MD40</f>
        <v/>
      </c>
      <c r="I40" s="31" t="str">
        <f>Global!ME40</f>
        <v/>
      </c>
      <c r="J40" s="31" t="str">
        <f>Global!MF40</f>
        <v/>
      </c>
      <c r="K40" s="31" t="str">
        <f>Global!MG40</f>
        <v/>
      </c>
      <c r="L40" s="31" t="str">
        <f>Global!MH40</f>
        <v/>
      </c>
      <c r="M40" s="31" t="str">
        <f>Global!MI40</f>
        <v/>
      </c>
      <c r="N40" s="31" t="str">
        <f>Global!MJ40</f>
        <v/>
      </c>
      <c r="O40" s="31" t="str">
        <f>Global!MK40</f>
        <v/>
      </c>
      <c r="P40" s="31" t="str">
        <f>Global!ML40</f>
        <v/>
      </c>
      <c r="Q40" s="31" t="str">
        <f>Global!MM40</f>
        <v/>
      </c>
      <c r="R40" s="31" t="str">
        <f>Global!MN40</f>
        <v/>
      </c>
      <c r="S40" s="31" t="str">
        <f>Global!MO40</f>
        <v/>
      </c>
      <c r="T40" s="31" t="str">
        <f>Global!MP40</f>
        <v/>
      </c>
      <c r="U40" s="31" t="str">
        <f>Global!MQ40</f>
        <v/>
      </c>
      <c r="V40" s="31" t="str">
        <f>Global!MR40</f>
        <v/>
      </c>
      <c r="W40" s="31" t="str">
        <f>Global!MS40</f>
        <v/>
      </c>
      <c r="X40" s="31" t="str">
        <f>Global!MT40</f>
        <v/>
      </c>
      <c r="Y40" s="31" t="str">
        <f>Global!MU40</f>
        <v/>
      </c>
      <c r="Z40" s="31" t="str">
        <f>Global!MV40</f>
        <v/>
      </c>
      <c r="AA40" s="31" t="str">
        <f>Global!MW40</f>
        <v/>
      </c>
      <c r="AB40" s="31" t="str">
        <f>Global!MX40</f>
        <v/>
      </c>
      <c r="AC40" s="31" t="str">
        <f>Global!MY40</f>
        <v/>
      </c>
      <c r="AD40" s="31" t="str">
        <f>Global!MZ40</f>
        <v/>
      </c>
      <c r="AE40" s="31" t="str">
        <f>Global!NA40</f>
        <v/>
      </c>
      <c r="AF40" s="31" t="str">
        <f>Global!NB40</f>
        <v/>
      </c>
      <c r="AG40" s="31" t="str">
        <f>Global!NC40</f>
        <v/>
      </c>
      <c r="AH40" s="31" t="str">
        <f>Global!ND40</f>
        <v/>
      </c>
      <c r="AI40" s="31" t="str">
        <f>Global!NE40</f>
        <v/>
      </c>
      <c r="AJ40" s="48" t="str">
        <f>Global!NF40</f>
        <v/>
      </c>
      <c r="AK40" s="108">
        <f>COUNTIF(Décembre[[#This Row],[1]:[31]],"RTT")+(COUNTIF(Décembre[[#This Row],[1]:[31]],"dRTT")/2)</f>
        <v>0</v>
      </c>
      <c r="AL40" s="109">
        <f>COUNTIF(Décembre[[#This Row],[1]:[31]],"C")+(COUNTIF(Décembre[[#This Row],[1]:[31]],"DC")/2)</f>
        <v>0</v>
      </c>
      <c r="AM40" s="22">
        <f>COUNTIF(Décembre[[#This Row],[1]:[31]],"M")</f>
        <v>0</v>
      </c>
      <c r="AN40" s="22">
        <f>COUNTIF(Décembre[[#This Row],[1]:[31]],"AT")</f>
        <v>0</v>
      </c>
      <c r="AO40" s="84">
        <f>IF(AND(Décembre[[#This Row],[Maladie]]=0,Décembre[[#This Row],[AT]]=0),((10*(_xlfn.DAYS("31/12/2018","01/12/2018")+1))/365),((_xlfn.DAYS("31/12/2018","01/12/2018")+1-(Décembre[[#This Row],[Maladie]]+Décembre[[#This Row],[AT]]))*((10*(_xlfn.DAYS("31/12/2018","01/12/2018")+1))/365))/(_xlfn.DAYS("31/12/2018","01/12/2018")+1))</f>
        <v>0.84931506849315064</v>
      </c>
    </row>
    <row r="41" spans="1:41" ht="30" customHeight="1" x14ac:dyDescent="0.2">
      <c r="A41" s="15" t="s">
        <v>97</v>
      </c>
      <c r="B41" s="22" t="s">
        <v>224</v>
      </c>
      <c r="C41" s="22" t="s">
        <v>225</v>
      </c>
      <c r="D41" s="22" t="s">
        <v>226</v>
      </c>
      <c r="E41" s="44">
        <v>0</v>
      </c>
      <c r="F41" s="47" t="str">
        <f>Global!MB41</f>
        <v/>
      </c>
      <c r="G41" s="31" t="str">
        <f>Global!MC41</f>
        <v/>
      </c>
      <c r="H41" s="31" t="str">
        <f>Global!MD41</f>
        <v/>
      </c>
      <c r="I41" s="31" t="str">
        <f>Global!ME41</f>
        <v/>
      </c>
      <c r="J41" s="31" t="str">
        <f>Global!MF41</f>
        <v/>
      </c>
      <c r="K41" s="31" t="str">
        <f>Global!MG41</f>
        <v/>
      </c>
      <c r="L41" s="31" t="str">
        <f>Global!MH41</f>
        <v/>
      </c>
      <c r="M41" s="31" t="str">
        <f>Global!MI41</f>
        <v/>
      </c>
      <c r="N41" s="31" t="str">
        <f>Global!MJ41</f>
        <v/>
      </c>
      <c r="O41" s="31" t="str">
        <f>Global!MK41</f>
        <v/>
      </c>
      <c r="P41" s="31" t="str">
        <f>Global!ML41</f>
        <v/>
      </c>
      <c r="Q41" s="31" t="str">
        <f>Global!MM41</f>
        <v/>
      </c>
      <c r="R41" s="31" t="str">
        <f>Global!MN41</f>
        <v/>
      </c>
      <c r="S41" s="31" t="str">
        <f>Global!MO41</f>
        <v/>
      </c>
      <c r="T41" s="31" t="str">
        <f>Global!MP41</f>
        <v/>
      </c>
      <c r="U41" s="31" t="str">
        <f>Global!MQ41</f>
        <v/>
      </c>
      <c r="V41" s="31" t="str">
        <f>Global!MR41</f>
        <v/>
      </c>
      <c r="W41" s="31" t="str">
        <f>Global!MS41</f>
        <v/>
      </c>
      <c r="X41" s="31" t="str">
        <f>Global!MT41</f>
        <v/>
      </c>
      <c r="Y41" s="31" t="str">
        <f>Global!MU41</f>
        <v/>
      </c>
      <c r="Z41" s="31" t="str">
        <f>Global!MV41</f>
        <v/>
      </c>
      <c r="AA41" s="31" t="str">
        <f>Global!MW41</f>
        <v/>
      </c>
      <c r="AB41" s="31" t="str">
        <f>Global!MX41</f>
        <v/>
      </c>
      <c r="AC41" s="31" t="str">
        <f>Global!MY41</f>
        <v/>
      </c>
      <c r="AD41" s="31" t="str">
        <f>Global!MZ41</f>
        <v/>
      </c>
      <c r="AE41" s="31" t="str">
        <f>Global!NA41</f>
        <v/>
      </c>
      <c r="AF41" s="31" t="str">
        <f>Global!NB41</f>
        <v/>
      </c>
      <c r="AG41" s="31" t="str">
        <f>Global!NC41</f>
        <v/>
      </c>
      <c r="AH41" s="31" t="str">
        <f>Global!ND41</f>
        <v/>
      </c>
      <c r="AI41" s="31" t="str">
        <f>Global!NE41</f>
        <v/>
      </c>
      <c r="AJ41" s="48" t="str">
        <f>Global!NF41</f>
        <v/>
      </c>
      <c r="AK41" s="108">
        <f>COUNTIF(Décembre[[#This Row],[1]:[31]],"RTT")+(COUNTIF(Décembre[[#This Row],[1]:[31]],"dRTT")/2)</f>
        <v>0</v>
      </c>
      <c r="AL41" s="109">
        <f>COUNTIF(Décembre[[#This Row],[1]:[31]],"C")+(COUNTIF(Décembre[[#This Row],[1]:[31]],"DC")/2)</f>
        <v>0</v>
      </c>
      <c r="AM41" s="22">
        <f>COUNTIF(Décembre[[#This Row],[1]:[31]],"M")</f>
        <v>0</v>
      </c>
      <c r="AN41" s="22">
        <f>COUNTIF(Décembre[[#This Row],[1]:[31]],"AT")</f>
        <v>0</v>
      </c>
      <c r="AO41" s="84">
        <f>IF(AND(Décembre[[#This Row],[Maladie]]=0,Décembre[[#This Row],[AT]]=0),((10*(_xlfn.DAYS("31/12/2018","01/12/2018")+1))/365),((_xlfn.DAYS("31/12/2018","01/12/2018")+1-(Décembre[[#This Row],[Maladie]]+Décembre[[#This Row],[AT]]))*((10*(_xlfn.DAYS("31/12/2018","01/12/2018")+1))/365))/(_xlfn.DAYS("31/12/2018","01/12/2018")+1))</f>
        <v>0.84931506849315064</v>
      </c>
    </row>
    <row r="42" spans="1:41" ht="30" customHeight="1" x14ac:dyDescent="0.2">
      <c r="A42" s="13" t="s">
        <v>98</v>
      </c>
      <c r="B42" s="22" t="s">
        <v>227</v>
      </c>
      <c r="C42" s="22" t="s">
        <v>228</v>
      </c>
      <c r="D42" s="22" t="s">
        <v>229</v>
      </c>
      <c r="E42" s="44">
        <v>0</v>
      </c>
      <c r="F42" s="47" t="str">
        <f>Global!MB42</f>
        <v/>
      </c>
      <c r="G42" s="31" t="str">
        <f>Global!MC42</f>
        <v/>
      </c>
      <c r="H42" s="31" t="str">
        <f>Global!MD42</f>
        <v/>
      </c>
      <c r="I42" s="31" t="str">
        <f>Global!ME42</f>
        <v/>
      </c>
      <c r="J42" s="31" t="str">
        <f>Global!MF42</f>
        <v/>
      </c>
      <c r="K42" s="31" t="str">
        <f>Global!MG42</f>
        <v/>
      </c>
      <c r="L42" s="31" t="str">
        <f>Global!MH42</f>
        <v/>
      </c>
      <c r="M42" s="31" t="str">
        <f>Global!MI42</f>
        <v/>
      </c>
      <c r="N42" s="31" t="str">
        <f>Global!MJ42</f>
        <v/>
      </c>
      <c r="O42" s="31" t="str">
        <f>Global!MK42</f>
        <v/>
      </c>
      <c r="P42" s="31" t="str">
        <f>Global!ML42</f>
        <v/>
      </c>
      <c r="Q42" s="31" t="str">
        <f>Global!MM42</f>
        <v/>
      </c>
      <c r="R42" s="31" t="str">
        <f>Global!MN42</f>
        <v/>
      </c>
      <c r="S42" s="31" t="str">
        <f>Global!MO42</f>
        <v/>
      </c>
      <c r="T42" s="31" t="str">
        <f>Global!MP42</f>
        <v/>
      </c>
      <c r="U42" s="31" t="str">
        <f>Global!MQ42</f>
        <v/>
      </c>
      <c r="V42" s="31" t="str">
        <f>Global!MR42</f>
        <v/>
      </c>
      <c r="W42" s="31" t="str">
        <f>Global!MS42</f>
        <v/>
      </c>
      <c r="X42" s="31" t="str">
        <f>Global!MT42</f>
        <v/>
      </c>
      <c r="Y42" s="31" t="str">
        <f>Global!MU42</f>
        <v/>
      </c>
      <c r="Z42" s="31" t="str">
        <f>Global!MV42</f>
        <v/>
      </c>
      <c r="AA42" s="31" t="str">
        <f>Global!MW42</f>
        <v/>
      </c>
      <c r="AB42" s="31" t="str">
        <f>Global!MX42</f>
        <v/>
      </c>
      <c r="AC42" s="31" t="str">
        <f>Global!MY42</f>
        <v/>
      </c>
      <c r="AD42" s="31" t="str">
        <f>Global!MZ42</f>
        <v/>
      </c>
      <c r="AE42" s="31" t="str">
        <f>Global!NA42</f>
        <v/>
      </c>
      <c r="AF42" s="31" t="str">
        <f>Global!NB42</f>
        <v/>
      </c>
      <c r="AG42" s="31" t="str">
        <f>Global!NC42</f>
        <v/>
      </c>
      <c r="AH42" s="31" t="str">
        <f>Global!ND42</f>
        <v/>
      </c>
      <c r="AI42" s="31" t="str">
        <f>Global!NE42</f>
        <v/>
      </c>
      <c r="AJ42" s="48" t="str">
        <f>Global!NF42</f>
        <v/>
      </c>
      <c r="AK42" s="108">
        <f>COUNTIF(Décembre[[#This Row],[1]:[31]],"RTT")+(COUNTIF(Décembre[[#This Row],[1]:[31]],"dRTT")/2)</f>
        <v>0</v>
      </c>
      <c r="AL42" s="109">
        <f>COUNTIF(Décembre[[#This Row],[1]:[31]],"C")+(COUNTIF(Décembre[[#This Row],[1]:[31]],"DC")/2)</f>
        <v>0</v>
      </c>
      <c r="AM42" s="22">
        <f>COUNTIF(Décembre[[#This Row],[1]:[31]],"M")</f>
        <v>0</v>
      </c>
      <c r="AN42" s="22">
        <f>COUNTIF(Décembre[[#This Row],[1]:[31]],"AT")</f>
        <v>0</v>
      </c>
      <c r="AO42" s="84">
        <f>IF(AND(Décembre[[#This Row],[Maladie]]=0,Décembre[[#This Row],[AT]]=0),((10*(_xlfn.DAYS("31/12/2018","01/12/2018")+1))/365),((_xlfn.DAYS("31/12/2018","01/12/2018")+1-(Décembre[[#This Row],[Maladie]]+Décembre[[#This Row],[AT]]))*((10*(_xlfn.DAYS("31/12/2018","01/12/2018")+1))/365))/(_xlfn.DAYS("31/12/2018","01/12/2018")+1))</f>
        <v>0.84931506849315064</v>
      </c>
    </row>
    <row r="43" spans="1:41" ht="30" customHeight="1" x14ac:dyDescent="0.2">
      <c r="A43" s="15" t="s">
        <v>99</v>
      </c>
      <c r="B43" s="22" t="s">
        <v>230</v>
      </c>
      <c r="C43" s="22" t="s">
        <v>231</v>
      </c>
      <c r="D43" s="22" t="s">
        <v>232</v>
      </c>
      <c r="E43" s="44">
        <v>0</v>
      </c>
      <c r="F43" s="47" t="str">
        <f>Global!MB43</f>
        <v/>
      </c>
      <c r="G43" s="31" t="str">
        <f>Global!MC43</f>
        <v/>
      </c>
      <c r="H43" s="31" t="str">
        <f>Global!MD43</f>
        <v/>
      </c>
      <c r="I43" s="31" t="str">
        <f>Global!ME43</f>
        <v/>
      </c>
      <c r="J43" s="31" t="str">
        <f>Global!MF43</f>
        <v/>
      </c>
      <c r="K43" s="31" t="str">
        <f>Global!MG43</f>
        <v/>
      </c>
      <c r="L43" s="31" t="str">
        <f>Global!MH43</f>
        <v/>
      </c>
      <c r="M43" s="31" t="str">
        <f>Global!MI43</f>
        <v/>
      </c>
      <c r="N43" s="31" t="str">
        <f>Global!MJ43</f>
        <v/>
      </c>
      <c r="O43" s="31" t="str">
        <f>Global!MK43</f>
        <v/>
      </c>
      <c r="P43" s="31" t="str">
        <f>Global!ML43</f>
        <v/>
      </c>
      <c r="Q43" s="31" t="str">
        <f>Global!MM43</f>
        <v/>
      </c>
      <c r="R43" s="31" t="str">
        <f>Global!MN43</f>
        <v/>
      </c>
      <c r="S43" s="31" t="str">
        <f>Global!MO43</f>
        <v/>
      </c>
      <c r="T43" s="31" t="str">
        <f>Global!MP43</f>
        <v/>
      </c>
      <c r="U43" s="31" t="str">
        <f>Global!MQ43</f>
        <v/>
      </c>
      <c r="V43" s="31" t="str">
        <f>Global!MR43</f>
        <v/>
      </c>
      <c r="W43" s="31" t="str">
        <f>Global!MS43</f>
        <v/>
      </c>
      <c r="X43" s="31" t="str">
        <f>Global!MT43</f>
        <v/>
      </c>
      <c r="Y43" s="31" t="str">
        <f>Global!MU43</f>
        <v/>
      </c>
      <c r="Z43" s="31" t="str">
        <f>Global!MV43</f>
        <v/>
      </c>
      <c r="AA43" s="31" t="str">
        <f>Global!MW43</f>
        <v/>
      </c>
      <c r="AB43" s="31" t="str">
        <f>Global!MX43</f>
        <v/>
      </c>
      <c r="AC43" s="31" t="str">
        <f>Global!MY43</f>
        <v/>
      </c>
      <c r="AD43" s="31" t="str">
        <f>Global!MZ43</f>
        <v/>
      </c>
      <c r="AE43" s="31" t="str">
        <f>Global!NA43</f>
        <v/>
      </c>
      <c r="AF43" s="31" t="str">
        <f>Global!NB43</f>
        <v/>
      </c>
      <c r="AG43" s="31" t="str">
        <f>Global!NC43</f>
        <v/>
      </c>
      <c r="AH43" s="31" t="str">
        <f>Global!ND43</f>
        <v/>
      </c>
      <c r="AI43" s="31" t="str">
        <f>Global!NE43</f>
        <v/>
      </c>
      <c r="AJ43" s="48" t="str">
        <f>Global!NF43</f>
        <v/>
      </c>
      <c r="AK43" s="108">
        <f>COUNTIF(Décembre[[#This Row],[1]:[31]],"RTT")+(COUNTIF(Décembre[[#This Row],[1]:[31]],"dRTT")/2)</f>
        <v>0</v>
      </c>
      <c r="AL43" s="109">
        <f>COUNTIF(Décembre[[#This Row],[1]:[31]],"C")+(COUNTIF(Décembre[[#This Row],[1]:[31]],"DC")/2)</f>
        <v>0</v>
      </c>
      <c r="AM43" s="22">
        <f>COUNTIF(Décembre[[#This Row],[1]:[31]],"M")</f>
        <v>0</v>
      </c>
      <c r="AN43" s="22">
        <f>COUNTIF(Décembre[[#This Row],[1]:[31]],"AT")</f>
        <v>0</v>
      </c>
      <c r="AO43" s="84">
        <f>IF(AND(Décembre[[#This Row],[Maladie]]=0,Décembre[[#This Row],[AT]]=0),((10*(_xlfn.DAYS("31/12/2018","01/12/2018")+1))/365),((_xlfn.DAYS("31/12/2018","01/12/2018")+1-(Décembre[[#This Row],[Maladie]]+Décembre[[#This Row],[AT]]))*((10*(_xlfn.DAYS("31/12/2018","01/12/2018")+1))/365))/(_xlfn.DAYS("31/12/2018","01/12/2018")+1))</f>
        <v>0.84931506849315064</v>
      </c>
    </row>
    <row r="44" spans="1:41" ht="30" customHeight="1" x14ac:dyDescent="0.2">
      <c r="A44" s="15" t="s">
        <v>100</v>
      </c>
      <c r="B44" s="22" t="s">
        <v>233</v>
      </c>
      <c r="C44" s="22" t="s">
        <v>234</v>
      </c>
      <c r="D44" s="22" t="s">
        <v>235</v>
      </c>
      <c r="E44" s="44">
        <v>0</v>
      </c>
      <c r="F44" s="47" t="str">
        <f>Global!MB44</f>
        <v/>
      </c>
      <c r="G44" s="31" t="str">
        <f>Global!MC44</f>
        <v/>
      </c>
      <c r="H44" s="31" t="str">
        <f>Global!MD44</f>
        <v/>
      </c>
      <c r="I44" s="31" t="str">
        <f>Global!ME44</f>
        <v/>
      </c>
      <c r="J44" s="31" t="str">
        <f>Global!MF44</f>
        <v/>
      </c>
      <c r="K44" s="31" t="str">
        <f>Global!MG44</f>
        <v/>
      </c>
      <c r="L44" s="31" t="str">
        <f>Global!MH44</f>
        <v/>
      </c>
      <c r="M44" s="31" t="str">
        <f>Global!MI44</f>
        <v/>
      </c>
      <c r="N44" s="31" t="str">
        <f>Global!MJ44</f>
        <v/>
      </c>
      <c r="O44" s="31" t="str">
        <f>Global!MK44</f>
        <v/>
      </c>
      <c r="P44" s="31" t="str">
        <f>Global!ML44</f>
        <v/>
      </c>
      <c r="Q44" s="31" t="str">
        <f>Global!MM44</f>
        <v/>
      </c>
      <c r="R44" s="31" t="str">
        <f>Global!MN44</f>
        <v/>
      </c>
      <c r="S44" s="31" t="str">
        <f>Global!MO44</f>
        <v/>
      </c>
      <c r="T44" s="31" t="str">
        <f>Global!MP44</f>
        <v/>
      </c>
      <c r="U44" s="31" t="str">
        <f>Global!MQ44</f>
        <v/>
      </c>
      <c r="V44" s="31" t="str">
        <f>Global!MR44</f>
        <v/>
      </c>
      <c r="W44" s="31" t="str">
        <f>Global!MS44</f>
        <v/>
      </c>
      <c r="X44" s="31" t="str">
        <f>Global!MT44</f>
        <v/>
      </c>
      <c r="Y44" s="31" t="str">
        <f>Global!MU44</f>
        <v/>
      </c>
      <c r="Z44" s="31" t="str">
        <f>Global!MV44</f>
        <v/>
      </c>
      <c r="AA44" s="31" t="str">
        <f>Global!MW44</f>
        <v/>
      </c>
      <c r="AB44" s="31" t="str">
        <f>Global!MX44</f>
        <v/>
      </c>
      <c r="AC44" s="31" t="str">
        <f>Global!MY44</f>
        <v/>
      </c>
      <c r="AD44" s="31" t="str">
        <f>Global!MZ44</f>
        <v/>
      </c>
      <c r="AE44" s="31" t="str">
        <f>Global!NA44</f>
        <v/>
      </c>
      <c r="AF44" s="31" t="str">
        <f>Global!NB44</f>
        <v/>
      </c>
      <c r="AG44" s="31" t="str">
        <f>Global!NC44</f>
        <v/>
      </c>
      <c r="AH44" s="31" t="str">
        <f>Global!ND44</f>
        <v/>
      </c>
      <c r="AI44" s="31" t="str">
        <f>Global!NE44</f>
        <v/>
      </c>
      <c r="AJ44" s="48" t="str">
        <f>Global!NF44</f>
        <v/>
      </c>
      <c r="AK44" s="108">
        <f>COUNTIF(Décembre[[#This Row],[1]:[31]],"RTT")+(COUNTIF(Décembre[[#This Row],[1]:[31]],"dRTT")/2)</f>
        <v>0</v>
      </c>
      <c r="AL44" s="109">
        <f>COUNTIF(Décembre[[#This Row],[1]:[31]],"C")+(COUNTIF(Décembre[[#This Row],[1]:[31]],"DC")/2)</f>
        <v>0</v>
      </c>
      <c r="AM44" s="22">
        <f>COUNTIF(Décembre[[#This Row],[1]:[31]],"M")</f>
        <v>0</v>
      </c>
      <c r="AN44" s="22">
        <f>COUNTIF(Décembre[[#This Row],[1]:[31]],"AT")</f>
        <v>0</v>
      </c>
      <c r="AO44" s="84">
        <f>IF(AND(Décembre[[#This Row],[Maladie]]=0,Décembre[[#This Row],[AT]]=0),((10*(_xlfn.DAYS("31/12/2018","01/12/2018")+1))/365),((_xlfn.DAYS("31/12/2018","01/12/2018")+1-(Décembre[[#This Row],[Maladie]]+Décembre[[#This Row],[AT]]))*((10*(_xlfn.DAYS("31/12/2018","01/12/2018")+1))/365))/(_xlfn.DAYS("31/12/2018","01/12/2018")+1))</f>
        <v>0.84931506849315064</v>
      </c>
    </row>
    <row r="45" spans="1:41" ht="30" customHeight="1" x14ac:dyDescent="0.2">
      <c r="A45" s="15" t="s">
        <v>101</v>
      </c>
      <c r="B45" s="22" t="s">
        <v>236</v>
      </c>
      <c r="C45" s="22" t="s">
        <v>237</v>
      </c>
      <c r="D45" s="22" t="s">
        <v>238</v>
      </c>
      <c r="E45" s="44">
        <v>0</v>
      </c>
      <c r="F45" s="47" t="str">
        <f>Global!MB45</f>
        <v/>
      </c>
      <c r="G45" s="31" t="str">
        <f>Global!MC45</f>
        <v/>
      </c>
      <c r="H45" s="31" t="str">
        <f>Global!MD45</f>
        <v/>
      </c>
      <c r="I45" s="31" t="str">
        <f>Global!ME45</f>
        <v/>
      </c>
      <c r="J45" s="31" t="str">
        <f>Global!MF45</f>
        <v/>
      </c>
      <c r="K45" s="31" t="str">
        <f>Global!MG45</f>
        <v/>
      </c>
      <c r="L45" s="31" t="str">
        <f>Global!MH45</f>
        <v/>
      </c>
      <c r="M45" s="31" t="str">
        <f>Global!MI45</f>
        <v/>
      </c>
      <c r="N45" s="31" t="str">
        <f>Global!MJ45</f>
        <v/>
      </c>
      <c r="O45" s="31" t="str">
        <f>Global!MK45</f>
        <v/>
      </c>
      <c r="P45" s="31" t="str">
        <f>Global!ML45</f>
        <v/>
      </c>
      <c r="Q45" s="31" t="str">
        <f>Global!MM45</f>
        <v/>
      </c>
      <c r="R45" s="31" t="str">
        <f>Global!MN45</f>
        <v/>
      </c>
      <c r="S45" s="31" t="str">
        <f>Global!MO45</f>
        <v/>
      </c>
      <c r="T45" s="31" t="str">
        <f>Global!MP45</f>
        <v/>
      </c>
      <c r="U45" s="31" t="str">
        <f>Global!MQ45</f>
        <v/>
      </c>
      <c r="V45" s="31" t="str">
        <f>Global!MR45</f>
        <v/>
      </c>
      <c r="W45" s="31" t="str">
        <f>Global!MS45</f>
        <v/>
      </c>
      <c r="X45" s="31" t="str">
        <f>Global!MT45</f>
        <v/>
      </c>
      <c r="Y45" s="31" t="str">
        <f>Global!MU45</f>
        <v/>
      </c>
      <c r="Z45" s="31" t="str">
        <f>Global!MV45</f>
        <v/>
      </c>
      <c r="AA45" s="31" t="str">
        <f>Global!MW45</f>
        <v/>
      </c>
      <c r="AB45" s="31" t="str">
        <f>Global!MX45</f>
        <v/>
      </c>
      <c r="AC45" s="31" t="str">
        <f>Global!MY45</f>
        <v/>
      </c>
      <c r="AD45" s="31" t="str">
        <f>Global!MZ45</f>
        <v/>
      </c>
      <c r="AE45" s="31" t="str">
        <f>Global!NA45</f>
        <v/>
      </c>
      <c r="AF45" s="31" t="str">
        <f>Global!NB45</f>
        <v/>
      </c>
      <c r="AG45" s="31" t="str">
        <f>Global!NC45</f>
        <v/>
      </c>
      <c r="AH45" s="31" t="str">
        <f>Global!ND45</f>
        <v/>
      </c>
      <c r="AI45" s="31" t="str">
        <f>Global!NE45</f>
        <v/>
      </c>
      <c r="AJ45" s="48" t="str">
        <f>Global!NF45</f>
        <v/>
      </c>
      <c r="AK45" s="108">
        <f>COUNTIF(Décembre[[#This Row],[1]:[31]],"RTT")+(COUNTIF(Décembre[[#This Row],[1]:[31]],"dRTT")/2)</f>
        <v>0</v>
      </c>
      <c r="AL45" s="109">
        <f>COUNTIF(Décembre[[#This Row],[1]:[31]],"C")+(COUNTIF(Décembre[[#This Row],[1]:[31]],"DC")/2)</f>
        <v>0</v>
      </c>
      <c r="AM45" s="22">
        <f>COUNTIF(Décembre[[#This Row],[1]:[31]],"M")</f>
        <v>0</v>
      </c>
      <c r="AN45" s="22">
        <f>COUNTIF(Décembre[[#This Row],[1]:[31]],"AT")</f>
        <v>0</v>
      </c>
      <c r="AO45" s="84">
        <f>IF(AND(Décembre[[#This Row],[Maladie]]=0,Décembre[[#This Row],[AT]]=0),((10*(_xlfn.DAYS("31/12/2018","01/12/2018")+1))/365),((_xlfn.DAYS("31/12/2018","01/12/2018")+1-(Décembre[[#This Row],[Maladie]]+Décembre[[#This Row],[AT]]))*((10*(_xlfn.DAYS("31/12/2018","01/12/2018")+1))/365))/(_xlfn.DAYS("31/12/2018","01/12/2018")+1))</f>
        <v>0.84931506849315064</v>
      </c>
    </row>
    <row r="46" spans="1:41" ht="30" customHeight="1" x14ac:dyDescent="0.2">
      <c r="A46" s="17" t="s">
        <v>102</v>
      </c>
      <c r="B46" s="17" t="s">
        <v>239</v>
      </c>
      <c r="C46" s="17" t="s">
        <v>240</v>
      </c>
      <c r="D46" s="17" t="s">
        <v>241</v>
      </c>
      <c r="E46" s="23">
        <v>0</v>
      </c>
      <c r="F46" s="47" t="str">
        <f>Global!MB46</f>
        <v/>
      </c>
      <c r="G46" s="31" t="str">
        <f>Global!MC46</f>
        <v/>
      </c>
      <c r="H46" s="31" t="str">
        <f>Global!MD46</f>
        <v/>
      </c>
      <c r="I46" s="31" t="str">
        <f>Global!ME46</f>
        <v/>
      </c>
      <c r="J46" s="31" t="str">
        <f>Global!MF46</f>
        <v/>
      </c>
      <c r="K46" s="31" t="str">
        <f>Global!MG46</f>
        <v/>
      </c>
      <c r="L46" s="31" t="str">
        <f>Global!MH46</f>
        <v/>
      </c>
      <c r="M46" s="31" t="str">
        <f>Global!MI46</f>
        <v/>
      </c>
      <c r="N46" s="31" t="str">
        <f>Global!MJ46</f>
        <v/>
      </c>
      <c r="O46" s="31" t="str">
        <f>Global!MK46</f>
        <v/>
      </c>
      <c r="P46" s="31" t="str">
        <f>Global!ML46</f>
        <v/>
      </c>
      <c r="Q46" s="31" t="str">
        <f>Global!MM46</f>
        <v/>
      </c>
      <c r="R46" s="31" t="str">
        <f>Global!MN46</f>
        <v/>
      </c>
      <c r="S46" s="31" t="str">
        <f>Global!MO46</f>
        <v/>
      </c>
      <c r="T46" s="31" t="str">
        <f>Global!MP46</f>
        <v/>
      </c>
      <c r="U46" s="31" t="str">
        <f>Global!MQ46</f>
        <v/>
      </c>
      <c r="V46" s="31" t="str">
        <f>Global!MR46</f>
        <v/>
      </c>
      <c r="W46" s="31" t="str">
        <f>Global!MS46</f>
        <v/>
      </c>
      <c r="X46" s="31" t="str">
        <f>Global!MT46</f>
        <v/>
      </c>
      <c r="Y46" s="31" t="str">
        <f>Global!MU46</f>
        <v/>
      </c>
      <c r="Z46" s="31" t="str">
        <f>Global!MV46</f>
        <v/>
      </c>
      <c r="AA46" s="31" t="str">
        <f>Global!MW46</f>
        <v/>
      </c>
      <c r="AB46" s="31" t="str">
        <f>Global!MX46</f>
        <v/>
      </c>
      <c r="AC46" s="31" t="str">
        <f>Global!MY46</f>
        <v/>
      </c>
      <c r="AD46" s="31" t="str">
        <f>Global!MZ46</f>
        <v/>
      </c>
      <c r="AE46" s="31" t="str">
        <f>Global!NA46</f>
        <v/>
      </c>
      <c r="AF46" s="31" t="str">
        <f>Global!NB46</f>
        <v/>
      </c>
      <c r="AG46" s="31" t="str">
        <f>Global!NC46</f>
        <v/>
      </c>
      <c r="AH46" s="31" t="str">
        <f>Global!ND46</f>
        <v/>
      </c>
      <c r="AI46" s="31" t="str">
        <f>Global!NE46</f>
        <v/>
      </c>
      <c r="AJ46" s="48" t="str">
        <f>Global!NF46</f>
        <v/>
      </c>
      <c r="AK46" s="108">
        <f>COUNTIF(Décembre[[#This Row],[1]:[31]],"RTT")+(COUNTIF(Décembre[[#This Row],[1]:[31]],"dRTT")/2)</f>
        <v>0</v>
      </c>
      <c r="AL46" s="109">
        <f>COUNTIF(Décembre[[#This Row],[1]:[31]],"C")+(COUNTIF(Décembre[[#This Row],[1]:[31]],"DC")/2)</f>
        <v>0</v>
      </c>
      <c r="AM46" s="22">
        <f>COUNTIF(Décembre[[#This Row],[1]:[31]],"M")</f>
        <v>0</v>
      </c>
      <c r="AN46" s="22">
        <f>COUNTIF(Décembre[[#This Row],[1]:[31]],"AT")</f>
        <v>0</v>
      </c>
      <c r="AO46" s="84">
        <f>IF(AND(Décembre[[#This Row],[Maladie]]=0,Décembre[[#This Row],[AT]]=0),((10*(_xlfn.DAYS("31/12/2018","01/12/2018")+1))/365),((_xlfn.DAYS("31/12/2018","01/12/2018")+1-(Décembre[[#This Row],[Maladie]]+Décembre[[#This Row],[AT]]))*((10*(_xlfn.DAYS("31/12/2018","01/12/2018")+1))/365))/(_xlfn.DAYS("31/12/2018","01/12/2018")+1))</f>
        <v>0.84931506849315064</v>
      </c>
    </row>
    <row r="47" spans="1:41" ht="30" customHeight="1" x14ac:dyDescent="0.2">
      <c r="A47" s="17" t="s">
        <v>103</v>
      </c>
      <c r="B47" s="17" t="s">
        <v>242</v>
      </c>
      <c r="C47" s="17" t="s">
        <v>243</v>
      </c>
      <c r="D47" s="17" t="s">
        <v>244</v>
      </c>
      <c r="E47" s="23">
        <v>0</v>
      </c>
      <c r="F47" s="47" t="str">
        <f>Global!MB47</f>
        <v/>
      </c>
      <c r="G47" s="31" t="str">
        <f>Global!MC47</f>
        <v/>
      </c>
      <c r="H47" s="31" t="str">
        <f>Global!MD47</f>
        <v/>
      </c>
      <c r="I47" s="31" t="str">
        <f>Global!ME47</f>
        <v/>
      </c>
      <c r="J47" s="31" t="str">
        <f>Global!MF47</f>
        <v/>
      </c>
      <c r="K47" s="31" t="str">
        <f>Global!MG47</f>
        <v/>
      </c>
      <c r="L47" s="31" t="str">
        <f>Global!MH47</f>
        <v/>
      </c>
      <c r="M47" s="31" t="str">
        <f>Global!MI47</f>
        <v/>
      </c>
      <c r="N47" s="31" t="str">
        <f>Global!MJ47</f>
        <v/>
      </c>
      <c r="O47" s="31" t="str">
        <f>Global!MK47</f>
        <v/>
      </c>
      <c r="P47" s="31" t="str">
        <f>Global!ML47</f>
        <v/>
      </c>
      <c r="Q47" s="31" t="str">
        <f>Global!MM47</f>
        <v/>
      </c>
      <c r="R47" s="31" t="str">
        <f>Global!MN47</f>
        <v/>
      </c>
      <c r="S47" s="31" t="str">
        <f>Global!MO47</f>
        <v/>
      </c>
      <c r="T47" s="31" t="str">
        <f>Global!MP47</f>
        <v/>
      </c>
      <c r="U47" s="31" t="str">
        <f>Global!MQ47</f>
        <v/>
      </c>
      <c r="V47" s="31" t="str">
        <f>Global!MR47</f>
        <v/>
      </c>
      <c r="W47" s="31" t="str">
        <f>Global!MS47</f>
        <v/>
      </c>
      <c r="X47" s="31" t="str">
        <f>Global!MT47</f>
        <v/>
      </c>
      <c r="Y47" s="31" t="str">
        <f>Global!MU47</f>
        <v/>
      </c>
      <c r="Z47" s="31" t="str">
        <f>Global!MV47</f>
        <v/>
      </c>
      <c r="AA47" s="31" t="str">
        <f>Global!MW47</f>
        <v/>
      </c>
      <c r="AB47" s="31" t="str">
        <f>Global!MX47</f>
        <v/>
      </c>
      <c r="AC47" s="31" t="str">
        <f>Global!MY47</f>
        <v/>
      </c>
      <c r="AD47" s="31" t="str">
        <f>Global!MZ47</f>
        <v/>
      </c>
      <c r="AE47" s="31" t="str">
        <f>Global!NA47</f>
        <v/>
      </c>
      <c r="AF47" s="31" t="str">
        <f>Global!NB47</f>
        <v/>
      </c>
      <c r="AG47" s="31" t="str">
        <f>Global!NC47</f>
        <v/>
      </c>
      <c r="AH47" s="31" t="str">
        <f>Global!ND47</f>
        <v/>
      </c>
      <c r="AI47" s="31" t="str">
        <f>Global!NE47</f>
        <v/>
      </c>
      <c r="AJ47" s="48" t="str">
        <f>Global!NF47</f>
        <v/>
      </c>
      <c r="AK47" s="108">
        <f>COUNTIF(Décembre[[#This Row],[1]:[31]],"RTT")+(COUNTIF(Décembre[[#This Row],[1]:[31]],"dRTT")/2)</f>
        <v>0</v>
      </c>
      <c r="AL47" s="109">
        <f>COUNTIF(Décembre[[#This Row],[1]:[31]],"C")+(COUNTIF(Décembre[[#This Row],[1]:[31]],"DC")/2)</f>
        <v>0</v>
      </c>
      <c r="AM47" s="22">
        <f>COUNTIF(Décembre[[#This Row],[1]:[31]],"M")</f>
        <v>0</v>
      </c>
      <c r="AN47" s="22">
        <f>COUNTIF(Décembre[[#This Row],[1]:[31]],"AT")</f>
        <v>0</v>
      </c>
      <c r="AO47" s="84">
        <f>IF(AND(Décembre[[#This Row],[Maladie]]=0,Décembre[[#This Row],[AT]]=0),((10*(_xlfn.DAYS("31/12/2018","01/12/2018")+1))/365),((_xlfn.DAYS("31/12/2018","01/12/2018")+1-(Décembre[[#This Row],[Maladie]]+Décembre[[#This Row],[AT]]))*((10*(_xlfn.DAYS("31/12/2018","01/12/2018")+1))/365))/(_xlfn.DAYS("31/12/2018","01/12/2018")+1))</f>
        <v>0.84931506849315064</v>
      </c>
    </row>
    <row r="48" spans="1:41" ht="30" customHeight="1" x14ac:dyDescent="0.2">
      <c r="A48" s="17" t="s">
        <v>104</v>
      </c>
      <c r="B48" s="17" t="s">
        <v>245</v>
      </c>
      <c r="C48" s="17" t="s">
        <v>246</v>
      </c>
      <c r="D48" s="17" t="s">
        <v>247</v>
      </c>
      <c r="E48" s="23">
        <v>0</v>
      </c>
      <c r="F48" s="47" t="str">
        <f>Global!MB48</f>
        <v/>
      </c>
      <c r="G48" s="31" t="str">
        <f>Global!MC48</f>
        <v/>
      </c>
      <c r="H48" s="31" t="str">
        <f>Global!MD48</f>
        <v/>
      </c>
      <c r="I48" s="31" t="str">
        <f>Global!ME48</f>
        <v/>
      </c>
      <c r="J48" s="31" t="str">
        <f>Global!MF48</f>
        <v/>
      </c>
      <c r="K48" s="31" t="str">
        <f>Global!MG48</f>
        <v/>
      </c>
      <c r="L48" s="31" t="str">
        <f>Global!MH48</f>
        <v/>
      </c>
      <c r="M48" s="31" t="str">
        <f>Global!MI48</f>
        <v/>
      </c>
      <c r="N48" s="31" t="str">
        <f>Global!MJ48</f>
        <v/>
      </c>
      <c r="O48" s="31" t="str">
        <f>Global!MK48</f>
        <v/>
      </c>
      <c r="P48" s="31" t="str">
        <f>Global!ML48</f>
        <v/>
      </c>
      <c r="Q48" s="31" t="str">
        <f>Global!MM48</f>
        <v/>
      </c>
      <c r="R48" s="31" t="str">
        <f>Global!MN48</f>
        <v/>
      </c>
      <c r="S48" s="31" t="str">
        <f>Global!MO48</f>
        <v/>
      </c>
      <c r="T48" s="31" t="str">
        <f>Global!MP48</f>
        <v/>
      </c>
      <c r="U48" s="31" t="str">
        <f>Global!MQ48</f>
        <v/>
      </c>
      <c r="V48" s="31" t="str">
        <f>Global!MR48</f>
        <v/>
      </c>
      <c r="W48" s="31" t="str">
        <f>Global!MS48</f>
        <v/>
      </c>
      <c r="X48" s="31" t="str">
        <f>Global!MT48</f>
        <v/>
      </c>
      <c r="Y48" s="31" t="str">
        <f>Global!MU48</f>
        <v/>
      </c>
      <c r="Z48" s="31" t="str">
        <f>Global!MV48</f>
        <v/>
      </c>
      <c r="AA48" s="31" t="str">
        <f>Global!MW48</f>
        <v/>
      </c>
      <c r="AB48" s="31" t="str">
        <f>Global!MX48</f>
        <v/>
      </c>
      <c r="AC48" s="31" t="str">
        <f>Global!MY48</f>
        <v/>
      </c>
      <c r="AD48" s="31" t="str">
        <f>Global!MZ48</f>
        <v/>
      </c>
      <c r="AE48" s="31" t="str">
        <f>Global!NA48</f>
        <v/>
      </c>
      <c r="AF48" s="31" t="str">
        <f>Global!NB48</f>
        <v/>
      </c>
      <c r="AG48" s="31" t="str">
        <f>Global!NC48</f>
        <v/>
      </c>
      <c r="AH48" s="31" t="str">
        <f>Global!ND48</f>
        <v/>
      </c>
      <c r="AI48" s="31" t="str">
        <f>Global!NE48</f>
        <v/>
      </c>
      <c r="AJ48" s="48" t="str">
        <f>Global!NF48</f>
        <v/>
      </c>
      <c r="AK48" s="108">
        <f>COUNTIF(Décembre[[#This Row],[1]:[31]],"RTT")+(COUNTIF(Décembre[[#This Row],[1]:[31]],"dRTT")/2)</f>
        <v>0</v>
      </c>
      <c r="AL48" s="109">
        <f>COUNTIF(Décembre[[#This Row],[1]:[31]],"C")+(COUNTIF(Décembre[[#This Row],[1]:[31]],"DC")/2)</f>
        <v>0</v>
      </c>
      <c r="AM48" s="22">
        <f>COUNTIF(Décembre[[#This Row],[1]:[31]],"M")</f>
        <v>0</v>
      </c>
      <c r="AN48" s="22">
        <f>COUNTIF(Décembre[[#This Row],[1]:[31]],"AT")</f>
        <v>0</v>
      </c>
      <c r="AO48" s="84">
        <f>IF(AND(Décembre[[#This Row],[Maladie]]=0,Décembre[[#This Row],[AT]]=0),((10*(_xlfn.DAYS("31/12/2018","01/12/2018")+1))/365),((_xlfn.DAYS("31/12/2018","01/12/2018")+1-(Décembre[[#This Row],[Maladie]]+Décembre[[#This Row],[AT]]))*((10*(_xlfn.DAYS("31/12/2018","01/12/2018")+1))/365))/(_xlfn.DAYS("31/12/2018","01/12/2018")+1))</f>
        <v>0.84931506849315064</v>
      </c>
    </row>
    <row r="49" spans="1:41" ht="30" customHeight="1" x14ac:dyDescent="0.2">
      <c r="A49" s="17" t="s">
        <v>105</v>
      </c>
      <c r="B49" s="17" t="s">
        <v>248</v>
      </c>
      <c r="C49" s="17" t="s">
        <v>249</v>
      </c>
      <c r="D49" s="17" t="s">
        <v>250</v>
      </c>
      <c r="E49" s="23">
        <v>0</v>
      </c>
      <c r="F49" s="47" t="str">
        <f>Global!MB49</f>
        <v/>
      </c>
      <c r="G49" s="31" t="str">
        <f>Global!MC49</f>
        <v/>
      </c>
      <c r="H49" s="31" t="str">
        <f>Global!MD49</f>
        <v/>
      </c>
      <c r="I49" s="31" t="str">
        <f>Global!ME49</f>
        <v/>
      </c>
      <c r="J49" s="31" t="str">
        <f>Global!MF49</f>
        <v/>
      </c>
      <c r="K49" s="31" t="str">
        <f>Global!MG49</f>
        <v/>
      </c>
      <c r="L49" s="31" t="str">
        <f>Global!MH49</f>
        <v/>
      </c>
      <c r="M49" s="31" t="str">
        <f>Global!MI49</f>
        <v/>
      </c>
      <c r="N49" s="31" t="str">
        <f>Global!MJ49</f>
        <v/>
      </c>
      <c r="O49" s="31" t="str">
        <f>Global!MK49</f>
        <v/>
      </c>
      <c r="P49" s="31" t="str">
        <f>Global!ML49</f>
        <v/>
      </c>
      <c r="Q49" s="31" t="str">
        <f>Global!MM49</f>
        <v/>
      </c>
      <c r="R49" s="31" t="str">
        <f>Global!MN49</f>
        <v/>
      </c>
      <c r="S49" s="31" t="str">
        <f>Global!MO49</f>
        <v/>
      </c>
      <c r="T49" s="31" t="str">
        <f>Global!MP49</f>
        <v/>
      </c>
      <c r="U49" s="31" t="str">
        <f>Global!MQ49</f>
        <v/>
      </c>
      <c r="V49" s="31" t="str">
        <f>Global!MR49</f>
        <v/>
      </c>
      <c r="W49" s="31" t="str">
        <f>Global!MS49</f>
        <v/>
      </c>
      <c r="X49" s="31" t="str">
        <f>Global!MT49</f>
        <v/>
      </c>
      <c r="Y49" s="31" t="str">
        <f>Global!MU49</f>
        <v/>
      </c>
      <c r="Z49" s="31" t="str">
        <f>Global!MV49</f>
        <v/>
      </c>
      <c r="AA49" s="31" t="str">
        <f>Global!MW49</f>
        <v/>
      </c>
      <c r="AB49" s="31" t="str">
        <f>Global!MX49</f>
        <v/>
      </c>
      <c r="AC49" s="31" t="str">
        <f>Global!MY49</f>
        <v/>
      </c>
      <c r="AD49" s="31" t="str">
        <f>Global!MZ49</f>
        <v/>
      </c>
      <c r="AE49" s="31" t="str">
        <f>Global!NA49</f>
        <v/>
      </c>
      <c r="AF49" s="31" t="str">
        <f>Global!NB49</f>
        <v/>
      </c>
      <c r="AG49" s="31" t="str">
        <f>Global!NC49</f>
        <v/>
      </c>
      <c r="AH49" s="31" t="str">
        <f>Global!ND49</f>
        <v/>
      </c>
      <c r="AI49" s="31" t="str">
        <f>Global!NE49</f>
        <v/>
      </c>
      <c r="AJ49" s="48" t="str">
        <f>Global!NF49</f>
        <v/>
      </c>
      <c r="AK49" s="108">
        <f>COUNTIF(Décembre[[#This Row],[1]:[31]],"RTT")+(COUNTIF(Décembre[[#This Row],[1]:[31]],"dRTT")/2)</f>
        <v>0</v>
      </c>
      <c r="AL49" s="109">
        <f>COUNTIF(Décembre[[#This Row],[1]:[31]],"C")+(COUNTIF(Décembre[[#This Row],[1]:[31]],"DC")/2)</f>
        <v>0</v>
      </c>
      <c r="AM49" s="22">
        <f>COUNTIF(Décembre[[#This Row],[1]:[31]],"M")</f>
        <v>0</v>
      </c>
      <c r="AN49" s="22">
        <f>COUNTIF(Décembre[[#This Row],[1]:[31]],"AT")</f>
        <v>0</v>
      </c>
      <c r="AO49" s="84">
        <f>IF(AND(Décembre[[#This Row],[Maladie]]=0,Décembre[[#This Row],[AT]]=0),((10*(_xlfn.DAYS("31/12/2018","01/12/2018")+1))/365),((_xlfn.DAYS("31/12/2018","01/12/2018")+1-(Décembre[[#This Row],[Maladie]]+Décembre[[#This Row],[AT]]))*((10*(_xlfn.DAYS("31/12/2018","01/12/2018")+1))/365))/(_xlfn.DAYS("31/12/2018","01/12/2018")+1))</f>
        <v>0.84931506849315064</v>
      </c>
    </row>
    <row r="50" spans="1:41" ht="30" customHeight="1" x14ac:dyDescent="0.2">
      <c r="A50" s="17" t="s">
        <v>106</v>
      </c>
      <c r="B50" s="17" t="s">
        <v>251</v>
      </c>
      <c r="C50" s="17" t="s">
        <v>252</v>
      </c>
      <c r="D50" s="17" t="s">
        <v>253</v>
      </c>
      <c r="E50" s="23">
        <v>0</v>
      </c>
      <c r="F50" s="47" t="str">
        <f>Global!MB50</f>
        <v/>
      </c>
      <c r="G50" s="31" t="str">
        <f>Global!MC50</f>
        <v/>
      </c>
      <c r="H50" s="31" t="str">
        <f>Global!MD50</f>
        <v/>
      </c>
      <c r="I50" s="31" t="str">
        <f>Global!ME50</f>
        <v/>
      </c>
      <c r="J50" s="31" t="str">
        <f>Global!MF50</f>
        <v/>
      </c>
      <c r="K50" s="31" t="str">
        <f>Global!MG50</f>
        <v/>
      </c>
      <c r="L50" s="31" t="str">
        <f>Global!MH50</f>
        <v/>
      </c>
      <c r="M50" s="31" t="str">
        <f>Global!MI50</f>
        <v/>
      </c>
      <c r="N50" s="31" t="str">
        <f>Global!MJ50</f>
        <v/>
      </c>
      <c r="O50" s="31" t="str">
        <f>Global!MK50</f>
        <v/>
      </c>
      <c r="P50" s="31" t="str">
        <f>Global!ML50</f>
        <v/>
      </c>
      <c r="Q50" s="31" t="str">
        <f>Global!MM50</f>
        <v/>
      </c>
      <c r="R50" s="31" t="str">
        <f>Global!MN50</f>
        <v/>
      </c>
      <c r="S50" s="31" t="str">
        <f>Global!MO50</f>
        <v/>
      </c>
      <c r="T50" s="31" t="str">
        <f>Global!MP50</f>
        <v/>
      </c>
      <c r="U50" s="31" t="str">
        <f>Global!MQ50</f>
        <v/>
      </c>
      <c r="V50" s="31" t="str">
        <f>Global!MR50</f>
        <v/>
      </c>
      <c r="W50" s="31" t="str">
        <f>Global!MS50</f>
        <v/>
      </c>
      <c r="X50" s="31" t="str">
        <f>Global!MT50</f>
        <v/>
      </c>
      <c r="Y50" s="31" t="str">
        <f>Global!MU50</f>
        <v/>
      </c>
      <c r="Z50" s="31" t="str">
        <f>Global!MV50</f>
        <v/>
      </c>
      <c r="AA50" s="31" t="str">
        <f>Global!MW50</f>
        <v/>
      </c>
      <c r="AB50" s="31" t="str">
        <f>Global!MX50</f>
        <v/>
      </c>
      <c r="AC50" s="31" t="str">
        <f>Global!MY50</f>
        <v/>
      </c>
      <c r="AD50" s="31" t="str">
        <f>Global!MZ50</f>
        <v/>
      </c>
      <c r="AE50" s="31" t="str">
        <f>Global!NA50</f>
        <v/>
      </c>
      <c r="AF50" s="31" t="str">
        <f>Global!NB50</f>
        <v/>
      </c>
      <c r="AG50" s="31" t="str">
        <f>Global!NC50</f>
        <v/>
      </c>
      <c r="AH50" s="31" t="str">
        <f>Global!ND50</f>
        <v/>
      </c>
      <c r="AI50" s="31" t="str">
        <f>Global!NE50</f>
        <v/>
      </c>
      <c r="AJ50" s="48" t="str">
        <f>Global!NF50</f>
        <v/>
      </c>
      <c r="AK50" s="108">
        <f>COUNTIF(Décembre[[#This Row],[1]:[31]],"RTT")+(COUNTIF(Décembre[[#This Row],[1]:[31]],"dRTT")/2)</f>
        <v>0</v>
      </c>
      <c r="AL50" s="109">
        <f>COUNTIF(Décembre[[#This Row],[1]:[31]],"C")+(COUNTIF(Décembre[[#This Row],[1]:[31]],"DC")/2)</f>
        <v>0</v>
      </c>
      <c r="AM50" s="22">
        <f>COUNTIF(Décembre[[#This Row],[1]:[31]],"M")</f>
        <v>0</v>
      </c>
      <c r="AN50" s="22">
        <f>COUNTIF(Décembre[[#This Row],[1]:[31]],"AT")</f>
        <v>0</v>
      </c>
      <c r="AO50" s="84">
        <f>IF(AND(Décembre[[#This Row],[Maladie]]=0,Décembre[[#This Row],[AT]]=0),((10*(_xlfn.DAYS("31/12/2018","01/12/2018")+1))/365),((_xlfn.DAYS("31/12/2018","01/12/2018")+1-(Décembre[[#This Row],[Maladie]]+Décembre[[#This Row],[AT]]))*((10*(_xlfn.DAYS("31/12/2018","01/12/2018")+1))/365))/(_xlfn.DAYS("31/12/2018","01/12/2018")+1))</f>
        <v>0.84931506849315064</v>
      </c>
    </row>
    <row r="51" spans="1:41" ht="30" customHeight="1" x14ac:dyDescent="0.2">
      <c r="A51" s="17" t="s">
        <v>107</v>
      </c>
      <c r="B51" s="17" t="s">
        <v>254</v>
      </c>
      <c r="C51" s="17" t="s">
        <v>255</v>
      </c>
      <c r="D51" s="17" t="s">
        <v>256</v>
      </c>
      <c r="E51" s="23">
        <v>0</v>
      </c>
      <c r="F51" s="47" t="str">
        <f>Global!MB51</f>
        <v/>
      </c>
      <c r="G51" s="31" t="str">
        <f>Global!MC51</f>
        <v/>
      </c>
      <c r="H51" s="31" t="str">
        <f>Global!MD51</f>
        <v/>
      </c>
      <c r="I51" s="31" t="str">
        <f>Global!ME51</f>
        <v/>
      </c>
      <c r="J51" s="31" t="str">
        <f>Global!MF51</f>
        <v/>
      </c>
      <c r="K51" s="31" t="str">
        <f>Global!MG51</f>
        <v/>
      </c>
      <c r="L51" s="31" t="str">
        <f>Global!MH51</f>
        <v/>
      </c>
      <c r="M51" s="31" t="str">
        <f>Global!MI51</f>
        <v/>
      </c>
      <c r="N51" s="31" t="str">
        <f>Global!MJ51</f>
        <v/>
      </c>
      <c r="O51" s="31" t="str">
        <f>Global!MK51</f>
        <v/>
      </c>
      <c r="P51" s="31" t="str">
        <f>Global!ML51</f>
        <v/>
      </c>
      <c r="Q51" s="31" t="str">
        <f>Global!MM51</f>
        <v/>
      </c>
      <c r="R51" s="31" t="str">
        <f>Global!MN51</f>
        <v/>
      </c>
      <c r="S51" s="31" t="str">
        <f>Global!MO51</f>
        <v/>
      </c>
      <c r="T51" s="31" t="str">
        <f>Global!MP51</f>
        <v/>
      </c>
      <c r="U51" s="31" t="str">
        <f>Global!MQ51</f>
        <v/>
      </c>
      <c r="V51" s="31" t="str">
        <f>Global!MR51</f>
        <v/>
      </c>
      <c r="W51" s="31" t="str">
        <f>Global!MS51</f>
        <v/>
      </c>
      <c r="X51" s="31" t="str">
        <f>Global!MT51</f>
        <v/>
      </c>
      <c r="Y51" s="31" t="str">
        <f>Global!MU51</f>
        <v/>
      </c>
      <c r="Z51" s="31" t="str">
        <f>Global!MV51</f>
        <v/>
      </c>
      <c r="AA51" s="31" t="str">
        <f>Global!MW51</f>
        <v/>
      </c>
      <c r="AB51" s="31" t="str">
        <f>Global!MX51</f>
        <v/>
      </c>
      <c r="AC51" s="31" t="str">
        <f>Global!MY51</f>
        <v/>
      </c>
      <c r="AD51" s="31" t="str">
        <f>Global!MZ51</f>
        <v/>
      </c>
      <c r="AE51" s="31" t="str">
        <f>Global!NA51</f>
        <v/>
      </c>
      <c r="AF51" s="31" t="str">
        <f>Global!NB51</f>
        <v/>
      </c>
      <c r="AG51" s="31" t="str">
        <f>Global!NC51</f>
        <v/>
      </c>
      <c r="AH51" s="31" t="str">
        <f>Global!ND51</f>
        <v/>
      </c>
      <c r="AI51" s="31" t="str">
        <f>Global!NE51</f>
        <v/>
      </c>
      <c r="AJ51" s="48" t="str">
        <f>Global!NF51</f>
        <v/>
      </c>
      <c r="AK51" s="108">
        <f>COUNTIF(Décembre[[#This Row],[1]:[31]],"RTT")+(COUNTIF(Décembre[[#This Row],[1]:[31]],"dRTT")/2)</f>
        <v>0</v>
      </c>
      <c r="AL51" s="109">
        <f>COUNTIF(Décembre[[#This Row],[1]:[31]],"C")+(COUNTIF(Décembre[[#This Row],[1]:[31]],"DC")/2)</f>
        <v>0</v>
      </c>
      <c r="AM51" s="22">
        <f>COUNTIF(Décembre[[#This Row],[1]:[31]],"M")</f>
        <v>0</v>
      </c>
      <c r="AN51" s="22">
        <f>COUNTIF(Décembre[[#This Row],[1]:[31]],"AT")</f>
        <v>0</v>
      </c>
      <c r="AO51" s="84">
        <f>IF(AND(Décembre[[#This Row],[Maladie]]=0,Décembre[[#This Row],[AT]]=0),((10*(_xlfn.DAYS("31/12/2018","01/12/2018")+1))/365),((_xlfn.DAYS("31/12/2018","01/12/2018")+1-(Décembre[[#This Row],[Maladie]]+Décembre[[#This Row],[AT]]))*((10*(_xlfn.DAYS("31/12/2018","01/12/2018")+1))/365))/(_xlfn.DAYS("31/12/2018","01/12/2018")+1))</f>
        <v>0.84931506849315064</v>
      </c>
    </row>
    <row r="52" spans="1:41" ht="30" customHeight="1" x14ac:dyDescent="0.2">
      <c r="A52" s="17" t="s">
        <v>108</v>
      </c>
      <c r="B52" s="17" t="s">
        <v>257</v>
      </c>
      <c r="C52" s="17" t="s">
        <v>258</v>
      </c>
      <c r="D52" s="17" t="s">
        <v>259</v>
      </c>
      <c r="E52" s="23">
        <v>0</v>
      </c>
      <c r="F52" s="47" t="str">
        <f>Global!MB52</f>
        <v/>
      </c>
      <c r="G52" s="31" t="str">
        <f>Global!MC52</f>
        <v/>
      </c>
      <c r="H52" s="31" t="str">
        <f>Global!MD52</f>
        <v/>
      </c>
      <c r="I52" s="31" t="str">
        <f>Global!ME52</f>
        <v/>
      </c>
      <c r="J52" s="31" t="str">
        <f>Global!MF52</f>
        <v/>
      </c>
      <c r="K52" s="31" t="str">
        <f>Global!MG52</f>
        <v/>
      </c>
      <c r="L52" s="31" t="str">
        <f>Global!MH52</f>
        <v/>
      </c>
      <c r="M52" s="31" t="str">
        <f>Global!MI52</f>
        <v/>
      </c>
      <c r="N52" s="31" t="str">
        <f>Global!MJ52</f>
        <v/>
      </c>
      <c r="O52" s="31" t="str">
        <f>Global!MK52</f>
        <v/>
      </c>
      <c r="P52" s="31" t="str">
        <f>Global!ML52</f>
        <v/>
      </c>
      <c r="Q52" s="31" t="str">
        <f>Global!MM52</f>
        <v/>
      </c>
      <c r="R52" s="31" t="str">
        <f>Global!MN52</f>
        <v/>
      </c>
      <c r="S52" s="31" t="str">
        <f>Global!MO52</f>
        <v/>
      </c>
      <c r="T52" s="31" t="str">
        <f>Global!MP52</f>
        <v/>
      </c>
      <c r="U52" s="31" t="str">
        <f>Global!MQ52</f>
        <v/>
      </c>
      <c r="V52" s="31" t="str">
        <f>Global!MR52</f>
        <v/>
      </c>
      <c r="W52" s="31" t="str">
        <f>Global!MS52</f>
        <v/>
      </c>
      <c r="X52" s="31" t="str">
        <f>Global!MT52</f>
        <v/>
      </c>
      <c r="Y52" s="31" t="str">
        <f>Global!MU52</f>
        <v/>
      </c>
      <c r="Z52" s="31" t="str">
        <f>Global!MV52</f>
        <v/>
      </c>
      <c r="AA52" s="31" t="str">
        <f>Global!MW52</f>
        <v/>
      </c>
      <c r="AB52" s="31" t="str">
        <f>Global!MX52</f>
        <v/>
      </c>
      <c r="AC52" s="31" t="str">
        <f>Global!MY52</f>
        <v/>
      </c>
      <c r="AD52" s="31" t="str">
        <f>Global!MZ52</f>
        <v/>
      </c>
      <c r="AE52" s="31" t="str">
        <f>Global!NA52</f>
        <v/>
      </c>
      <c r="AF52" s="31" t="str">
        <f>Global!NB52</f>
        <v/>
      </c>
      <c r="AG52" s="31" t="str">
        <f>Global!NC52</f>
        <v/>
      </c>
      <c r="AH52" s="31" t="str">
        <f>Global!ND52</f>
        <v/>
      </c>
      <c r="AI52" s="31" t="str">
        <f>Global!NE52</f>
        <v/>
      </c>
      <c r="AJ52" s="48" t="str">
        <f>Global!NF52</f>
        <v/>
      </c>
      <c r="AK52" s="108">
        <f>COUNTIF(Décembre[[#This Row],[1]:[31]],"RTT")+(COUNTIF(Décembre[[#This Row],[1]:[31]],"dRTT")/2)</f>
        <v>0</v>
      </c>
      <c r="AL52" s="109">
        <f>COUNTIF(Décembre[[#This Row],[1]:[31]],"C")+(COUNTIF(Décembre[[#This Row],[1]:[31]],"DC")/2)</f>
        <v>0</v>
      </c>
      <c r="AM52" s="22">
        <f>COUNTIF(Décembre[[#This Row],[1]:[31]],"M")</f>
        <v>0</v>
      </c>
      <c r="AN52" s="22">
        <f>COUNTIF(Décembre[[#This Row],[1]:[31]],"AT")</f>
        <v>0</v>
      </c>
      <c r="AO52" s="84">
        <f>IF(AND(Décembre[[#This Row],[Maladie]]=0,Décembre[[#This Row],[AT]]=0),((10*(_xlfn.DAYS("31/12/2018","01/12/2018")+1))/365),((_xlfn.DAYS("31/12/2018","01/12/2018")+1-(Décembre[[#This Row],[Maladie]]+Décembre[[#This Row],[AT]]))*((10*(_xlfn.DAYS("31/12/2018","01/12/2018")+1))/365))/(_xlfn.DAYS("31/12/2018","01/12/2018")+1))</f>
        <v>0.84931506849315064</v>
      </c>
    </row>
    <row r="53" spans="1:41" ht="30" customHeight="1" x14ac:dyDescent="0.2">
      <c r="A53" s="17" t="s">
        <v>109</v>
      </c>
      <c r="B53" s="17" t="s">
        <v>260</v>
      </c>
      <c r="C53" s="17" t="s">
        <v>261</v>
      </c>
      <c r="D53" s="17" t="s">
        <v>262</v>
      </c>
      <c r="E53" s="23">
        <v>0</v>
      </c>
      <c r="F53" s="47" t="str">
        <f>Global!MB53</f>
        <v/>
      </c>
      <c r="G53" s="31" t="str">
        <f>Global!MC53</f>
        <v/>
      </c>
      <c r="H53" s="31" t="str">
        <f>Global!MD53</f>
        <v/>
      </c>
      <c r="I53" s="31" t="str">
        <f>Global!ME53</f>
        <v/>
      </c>
      <c r="J53" s="31" t="str">
        <f>Global!MF53</f>
        <v/>
      </c>
      <c r="K53" s="31" t="str">
        <f>Global!MG53</f>
        <v/>
      </c>
      <c r="L53" s="31" t="str">
        <f>Global!MH53</f>
        <v/>
      </c>
      <c r="M53" s="31" t="str">
        <f>Global!MI53</f>
        <v/>
      </c>
      <c r="N53" s="31" t="str">
        <f>Global!MJ53</f>
        <v/>
      </c>
      <c r="O53" s="31" t="str">
        <f>Global!MK53</f>
        <v/>
      </c>
      <c r="P53" s="31" t="str">
        <f>Global!ML53</f>
        <v/>
      </c>
      <c r="Q53" s="31" t="str">
        <f>Global!MM53</f>
        <v/>
      </c>
      <c r="R53" s="31" t="str">
        <f>Global!MN53</f>
        <v/>
      </c>
      <c r="S53" s="31" t="str">
        <f>Global!MO53</f>
        <v/>
      </c>
      <c r="T53" s="31" t="str">
        <f>Global!MP53</f>
        <v/>
      </c>
      <c r="U53" s="31" t="str">
        <f>Global!MQ53</f>
        <v/>
      </c>
      <c r="V53" s="31" t="str">
        <f>Global!MR53</f>
        <v/>
      </c>
      <c r="W53" s="31" t="str">
        <f>Global!MS53</f>
        <v/>
      </c>
      <c r="X53" s="31" t="str">
        <f>Global!MT53</f>
        <v/>
      </c>
      <c r="Y53" s="31" t="str">
        <f>Global!MU53</f>
        <v/>
      </c>
      <c r="Z53" s="31" t="str">
        <f>Global!MV53</f>
        <v/>
      </c>
      <c r="AA53" s="31" t="str">
        <f>Global!MW53</f>
        <v/>
      </c>
      <c r="AB53" s="31" t="str">
        <f>Global!MX53</f>
        <v/>
      </c>
      <c r="AC53" s="31" t="str">
        <f>Global!MY53</f>
        <v/>
      </c>
      <c r="AD53" s="31" t="str">
        <f>Global!MZ53</f>
        <v/>
      </c>
      <c r="AE53" s="31" t="str">
        <f>Global!NA53</f>
        <v/>
      </c>
      <c r="AF53" s="31" t="str">
        <f>Global!NB53</f>
        <v/>
      </c>
      <c r="AG53" s="31" t="str">
        <f>Global!NC53</f>
        <v/>
      </c>
      <c r="AH53" s="31" t="str">
        <f>Global!ND53</f>
        <v/>
      </c>
      <c r="AI53" s="31" t="str">
        <f>Global!NE53</f>
        <v/>
      </c>
      <c r="AJ53" s="48" t="str">
        <f>Global!NF53</f>
        <v/>
      </c>
      <c r="AK53" s="108">
        <f>COUNTIF(Décembre[[#This Row],[1]:[31]],"RTT")+(COUNTIF(Décembre[[#This Row],[1]:[31]],"dRTT")/2)</f>
        <v>0</v>
      </c>
      <c r="AL53" s="109">
        <f>COUNTIF(Décembre[[#This Row],[1]:[31]],"C")+(COUNTIF(Décembre[[#This Row],[1]:[31]],"DC")/2)</f>
        <v>0</v>
      </c>
      <c r="AM53" s="22">
        <f>COUNTIF(Décembre[[#This Row],[1]:[31]],"M")</f>
        <v>0</v>
      </c>
      <c r="AN53" s="22">
        <f>COUNTIF(Décembre[[#This Row],[1]:[31]],"AT")</f>
        <v>0</v>
      </c>
      <c r="AO53" s="84">
        <f>IF(AND(Décembre[[#This Row],[Maladie]]=0,Décembre[[#This Row],[AT]]=0),((10*(_xlfn.DAYS("31/12/2018","01/12/2018")+1))/365),((_xlfn.DAYS("31/12/2018","01/12/2018")+1-(Décembre[[#This Row],[Maladie]]+Décembre[[#This Row],[AT]]))*((10*(_xlfn.DAYS("31/12/2018","01/12/2018")+1))/365))/(_xlfn.DAYS("31/12/2018","01/12/2018")+1))</f>
        <v>0.84931506849315064</v>
      </c>
    </row>
    <row r="54" spans="1:41" ht="30" customHeight="1" x14ac:dyDescent="0.2">
      <c r="A54" s="18" t="s">
        <v>110</v>
      </c>
      <c r="B54" s="18" t="s">
        <v>263</v>
      </c>
      <c r="C54" s="18" t="s">
        <v>264</v>
      </c>
      <c r="D54" s="18" t="s">
        <v>265</v>
      </c>
      <c r="E54" s="24">
        <v>0</v>
      </c>
      <c r="F54" s="47" t="str">
        <f>Global!MB54</f>
        <v/>
      </c>
      <c r="G54" s="31" t="str">
        <f>Global!MC54</f>
        <v/>
      </c>
      <c r="H54" s="31" t="str">
        <f>Global!MD54</f>
        <v/>
      </c>
      <c r="I54" s="31" t="str">
        <f>Global!ME54</f>
        <v/>
      </c>
      <c r="J54" s="31" t="str">
        <f>Global!MF54</f>
        <v/>
      </c>
      <c r="K54" s="31" t="str">
        <f>Global!MG54</f>
        <v/>
      </c>
      <c r="L54" s="31" t="str">
        <f>Global!MH54</f>
        <v/>
      </c>
      <c r="M54" s="31" t="str">
        <f>Global!MI54</f>
        <v/>
      </c>
      <c r="N54" s="31" t="str">
        <f>Global!MJ54</f>
        <v/>
      </c>
      <c r="O54" s="31" t="str">
        <f>Global!MK54</f>
        <v/>
      </c>
      <c r="P54" s="31" t="str">
        <f>Global!ML54</f>
        <v/>
      </c>
      <c r="Q54" s="31" t="str">
        <f>Global!MM54</f>
        <v/>
      </c>
      <c r="R54" s="31" t="str">
        <f>Global!MN54</f>
        <v/>
      </c>
      <c r="S54" s="31" t="str">
        <f>Global!MO54</f>
        <v/>
      </c>
      <c r="T54" s="31" t="str">
        <f>Global!MP54</f>
        <v/>
      </c>
      <c r="U54" s="31" t="str">
        <f>Global!MQ54</f>
        <v/>
      </c>
      <c r="V54" s="31" t="str">
        <f>Global!MR54</f>
        <v/>
      </c>
      <c r="W54" s="31" t="str">
        <f>Global!MS54</f>
        <v/>
      </c>
      <c r="X54" s="31" t="str">
        <f>Global!MT54</f>
        <v/>
      </c>
      <c r="Y54" s="31" t="str">
        <f>Global!MU54</f>
        <v/>
      </c>
      <c r="Z54" s="31" t="str">
        <f>Global!MV54</f>
        <v/>
      </c>
      <c r="AA54" s="31" t="str">
        <f>Global!MW54</f>
        <v/>
      </c>
      <c r="AB54" s="31" t="str">
        <f>Global!MX54</f>
        <v/>
      </c>
      <c r="AC54" s="31" t="str">
        <f>Global!MY54</f>
        <v/>
      </c>
      <c r="AD54" s="31" t="str">
        <f>Global!MZ54</f>
        <v/>
      </c>
      <c r="AE54" s="31" t="str">
        <f>Global!NA54</f>
        <v/>
      </c>
      <c r="AF54" s="31" t="str">
        <f>Global!NB54</f>
        <v/>
      </c>
      <c r="AG54" s="31" t="str">
        <f>Global!NC54</f>
        <v/>
      </c>
      <c r="AH54" s="31" t="str">
        <f>Global!ND54</f>
        <v/>
      </c>
      <c r="AI54" s="31" t="str">
        <f>Global!NE54</f>
        <v/>
      </c>
      <c r="AJ54" s="48" t="str">
        <f>Global!NF54</f>
        <v/>
      </c>
      <c r="AK54" s="108">
        <f>COUNTIF(Décembre[[#This Row],[1]:[31]],"RTT")+(COUNTIF(Décembre[[#This Row],[1]:[31]],"dRTT")/2)</f>
        <v>0</v>
      </c>
      <c r="AL54" s="109">
        <f>COUNTIF(Décembre[[#This Row],[1]:[31]],"C")+(COUNTIF(Décembre[[#This Row],[1]:[31]],"DC")/2)</f>
        <v>0</v>
      </c>
      <c r="AM54" s="22">
        <f>COUNTIF(Décembre[[#This Row],[1]:[31]],"M")</f>
        <v>0</v>
      </c>
      <c r="AN54" s="22">
        <f>COUNTIF(Décembre[[#This Row],[1]:[31]],"AT")</f>
        <v>0</v>
      </c>
      <c r="AO54" s="84">
        <f>IF(AND(Décembre[[#This Row],[Maladie]]=0,Décembre[[#This Row],[AT]]=0),((10*(_xlfn.DAYS("31/12/2018","01/12/2018")+1))/365),((_xlfn.DAYS("31/12/2018","01/12/2018")+1-(Décembre[[#This Row],[Maladie]]+Décembre[[#This Row],[AT]]))*((10*(_xlfn.DAYS("31/12/2018","01/12/2018")+1))/365))/(_xlfn.DAYS("31/12/2018","01/12/2018")+1))</f>
        <v>0.84931506849315064</v>
      </c>
    </row>
    <row r="55" spans="1:41" ht="30" customHeight="1" x14ac:dyDescent="0.2">
      <c r="A55" s="17" t="s">
        <v>111</v>
      </c>
      <c r="B55" s="17" t="s">
        <v>266</v>
      </c>
      <c r="C55" s="17" t="s">
        <v>267</v>
      </c>
      <c r="D55" s="17" t="s">
        <v>268</v>
      </c>
      <c r="E55" s="23">
        <v>0</v>
      </c>
      <c r="F55" s="47" t="str">
        <f>Global!MB55</f>
        <v/>
      </c>
      <c r="G55" s="31" t="str">
        <f>Global!MC55</f>
        <v/>
      </c>
      <c r="H55" s="31" t="str">
        <f>Global!MD55</f>
        <v/>
      </c>
      <c r="I55" s="31" t="str">
        <f>Global!ME55</f>
        <v/>
      </c>
      <c r="J55" s="31" t="str">
        <f>Global!MF55</f>
        <v/>
      </c>
      <c r="K55" s="31" t="str">
        <f>Global!MG55</f>
        <v/>
      </c>
      <c r="L55" s="31" t="str">
        <f>Global!MH55</f>
        <v/>
      </c>
      <c r="M55" s="31" t="str">
        <f>Global!MI55</f>
        <v/>
      </c>
      <c r="N55" s="31" t="str">
        <f>Global!MJ55</f>
        <v/>
      </c>
      <c r="O55" s="31" t="str">
        <f>Global!MK55</f>
        <v/>
      </c>
      <c r="P55" s="31" t="str">
        <f>Global!ML55</f>
        <v/>
      </c>
      <c r="Q55" s="31" t="str">
        <f>Global!MM55</f>
        <v/>
      </c>
      <c r="R55" s="31" t="str">
        <f>Global!MN55</f>
        <v/>
      </c>
      <c r="S55" s="31" t="str">
        <f>Global!MO55</f>
        <v/>
      </c>
      <c r="T55" s="31" t="str">
        <f>Global!MP55</f>
        <v/>
      </c>
      <c r="U55" s="31" t="str">
        <f>Global!MQ55</f>
        <v/>
      </c>
      <c r="V55" s="31" t="str">
        <f>Global!MR55</f>
        <v/>
      </c>
      <c r="W55" s="31" t="str">
        <f>Global!MS55</f>
        <v/>
      </c>
      <c r="X55" s="31" t="str">
        <f>Global!MT55</f>
        <v/>
      </c>
      <c r="Y55" s="31" t="str">
        <f>Global!MU55</f>
        <v/>
      </c>
      <c r="Z55" s="31" t="str">
        <f>Global!MV55</f>
        <v/>
      </c>
      <c r="AA55" s="31" t="str">
        <f>Global!MW55</f>
        <v/>
      </c>
      <c r="AB55" s="31" t="str">
        <f>Global!MX55</f>
        <v/>
      </c>
      <c r="AC55" s="31" t="str">
        <f>Global!MY55</f>
        <v/>
      </c>
      <c r="AD55" s="31" t="str">
        <f>Global!MZ55</f>
        <v/>
      </c>
      <c r="AE55" s="31" t="str">
        <f>Global!NA55</f>
        <v/>
      </c>
      <c r="AF55" s="31" t="str">
        <f>Global!NB55</f>
        <v/>
      </c>
      <c r="AG55" s="31" t="str">
        <f>Global!NC55</f>
        <v/>
      </c>
      <c r="AH55" s="31" t="str">
        <f>Global!ND55</f>
        <v/>
      </c>
      <c r="AI55" s="31" t="str">
        <f>Global!NE55</f>
        <v/>
      </c>
      <c r="AJ55" s="48" t="str">
        <f>Global!NF55</f>
        <v/>
      </c>
      <c r="AK55" s="108">
        <f>COUNTIF(Décembre[[#This Row],[1]:[31]],"RTT")+(COUNTIF(Décembre[[#This Row],[1]:[31]],"dRTT")/2)</f>
        <v>0</v>
      </c>
      <c r="AL55" s="109">
        <f>COUNTIF(Décembre[[#This Row],[1]:[31]],"C")+(COUNTIF(Décembre[[#This Row],[1]:[31]],"DC")/2)</f>
        <v>0</v>
      </c>
      <c r="AM55" s="22">
        <f>COUNTIF(Décembre[[#This Row],[1]:[31]],"M")</f>
        <v>0</v>
      </c>
      <c r="AN55" s="22">
        <f>COUNTIF(Décembre[[#This Row],[1]:[31]],"AT")</f>
        <v>0</v>
      </c>
      <c r="AO55" s="84">
        <f>IF(AND(Décembre[[#This Row],[Maladie]]=0,Décembre[[#This Row],[AT]]=0),((10*(_xlfn.DAYS("31/12/2018","01/12/2018")+1))/365),((_xlfn.DAYS("31/12/2018","01/12/2018")+1-(Décembre[[#This Row],[Maladie]]+Décembre[[#This Row],[AT]]))*((10*(_xlfn.DAYS("31/12/2018","01/12/2018")+1))/365))/(_xlfn.DAYS("31/12/2018","01/12/2018")+1))</f>
        <v>0.84931506849315064</v>
      </c>
    </row>
    <row r="56" spans="1:41" ht="30" customHeight="1" thickBot="1" x14ac:dyDescent="0.25">
      <c r="A56" s="17" t="s">
        <v>112</v>
      </c>
      <c r="B56" s="17" t="s">
        <v>269</v>
      </c>
      <c r="C56" s="17" t="s">
        <v>270</v>
      </c>
      <c r="D56" s="17" t="s">
        <v>271</v>
      </c>
      <c r="E56" s="23">
        <v>0</v>
      </c>
      <c r="F56" s="49" t="str">
        <f>Global!MB56</f>
        <v/>
      </c>
      <c r="G56" s="50" t="str">
        <f>Global!MC56</f>
        <v/>
      </c>
      <c r="H56" s="50" t="str">
        <f>Global!MD56</f>
        <v/>
      </c>
      <c r="I56" s="50" t="str">
        <f>Global!ME56</f>
        <v/>
      </c>
      <c r="J56" s="50" t="str">
        <f>Global!MF56</f>
        <v/>
      </c>
      <c r="K56" s="50" t="str">
        <f>Global!MG56</f>
        <v/>
      </c>
      <c r="L56" s="50" t="str">
        <f>Global!MH56</f>
        <v/>
      </c>
      <c r="M56" s="50" t="str">
        <f>Global!MI56</f>
        <v/>
      </c>
      <c r="N56" s="50" t="str">
        <f>Global!MJ56</f>
        <v/>
      </c>
      <c r="O56" s="50" t="str">
        <f>Global!MK56</f>
        <v/>
      </c>
      <c r="P56" s="50" t="str">
        <f>Global!ML56</f>
        <v/>
      </c>
      <c r="Q56" s="50" t="str">
        <f>Global!MM56</f>
        <v/>
      </c>
      <c r="R56" s="50" t="str">
        <f>Global!MN56</f>
        <v/>
      </c>
      <c r="S56" s="50" t="str">
        <f>Global!MO56</f>
        <v/>
      </c>
      <c r="T56" s="50" t="str">
        <f>Global!MP56</f>
        <v/>
      </c>
      <c r="U56" s="50" t="str">
        <f>Global!MQ56</f>
        <v/>
      </c>
      <c r="V56" s="50" t="str">
        <f>Global!MR56</f>
        <v/>
      </c>
      <c r="W56" s="50" t="str">
        <f>Global!MS56</f>
        <v/>
      </c>
      <c r="X56" s="50" t="str">
        <f>Global!MT56</f>
        <v/>
      </c>
      <c r="Y56" s="50" t="str">
        <f>Global!MU56</f>
        <v/>
      </c>
      <c r="Z56" s="50" t="str">
        <f>Global!MV56</f>
        <v/>
      </c>
      <c r="AA56" s="50" t="str">
        <f>Global!MW56</f>
        <v/>
      </c>
      <c r="AB56" s="50" t="str">
        <f>Global!MX56</f>
        <v/>
      </c>
      <c r="AC56" s="50" t="str">
        <f>Global!MY56</f>
        <v/>
      </c>
      <c r="AD56" s="50" t="str">
        <f>Global!MZ56</f>
        <v/>
      </c>
      <c r="AE56" s="50" t="str">
        <f>Global!NA56</f>
        <v/>
      </c>
      <c r="AF56" s="50" t="str">
        <f>Global!NB56</f>
        <v/>
      </c>
      <c r="AG56" s="50" t="str">
        <f>Global!NC56</f>
        <v/>
      </c>
      <c r="AH56" s="50" t="str">
        <f>Global!ND56</f>
        <v/>
      </c>
      <c r="AI56" s="50" t="str">
        <f>Global!NE56</f>
        <v/>
      </c>
      <c r="AJ56" s="51" t="str">
        <f>Global!NF56</f>
        <v/>
      </c>
      <c r="AK56" s="108">
        <f>COUNTIF(Décembre[[#This Row],[1]:[31]],"RTT")+(COUNTIF(Décembre[[#This Row],[1]:[31]],"dRTT")/2)</f>
        <v>0</v>
      </c>
      <c r="AL56" s="109">
        <f>COUNTIF(Décembre[[#This Row],[1]:[31]],"C")+(COUNTIF(Décembre[[#This Row],[1]:[31]],"DC")/2)</f>
        <v>0</v>
      </c>
      <c r="AM56" s="22">
        <f>COUNTIF(Décembre[[#This Row],[1]:[31]],"M")</f>
        <v>0</v>
      </c>
      <c r="AN56" s="22">
        <f>COUNTIF(Décembre[[#This Row],[1]:[31]],"AT")</f>
        <v>0</v>
      </c>
      <c r="AO56" s="84">
        <f>IF(AND(Décembre[[#This Row],[Maladie]]=0,Décembre[[#This Row],[AT]]=0),((10*(_xlfn.DAYS("31/12/2018","01/12/2018")+1))/365),((_xlfn.DAYS("31/12/2018","01/12/2018")+1-(Décembre[[#This Row],[Maladie]]+Décembre[[#This Row],[AT]]))*((10*(_xlfn.DAYS("31/12/2018","01/12/2018")+1))/365))/(_xlfn.DAYS("31/12/2018","01/12/2018")+1))</f>
        <v>0.84931506849315064</v>
      </c>
    </row>
    <row r="57" spans="1:41" x14ac:dyDescent="0.2">
      <c r="A57" s="1"/>
    </row>
  </sheetData>
  <mergeCells count="6">
    <mergeCell ref="F5:AJ5"/>
    <mergeCell ref="G3:H3"/>
    <mergeCell ref="J3:K3"/>
    <mergeCell ref="U3:V3"/>
    <mergeCell ref="AC3:AD3"/>
    <mergeCell ref="AH3:AI3"/>
  </mergeCells>
  <conditionalFormatting sqref="F8:AJ56">
    <cfRule type="expression" dxfId="18" priority="4">
      <formula>F8=CléPersonnalisée4</formula>
    </cfRule>
    <cfRule type="expression" dxfId="17" priority="5">
      <formula>F8=CléPersonnalisée5</formula>
    </cfRule>
    <cfRule type="expression" dxfId="16" priority="6">
      <formula>F8=CléPersonnalisée3</formula>
    </cfRule>
    <cfRule type="expression" dxfId="15" priority="7">
      <formula>F8=CléPersonnalisée2</formula>
    </cfRule>
    <cfRule type="expression" dxfId="14" priority="8">
      <formula>F8=CléPersonnalisée1</formula>
    </cfRule>
    <cfRule type="expression" dxfId="13" priority="9">
      <formula>F8=CléMaladie</formula>
    </cfRule>
    <cfRule type="expression" dxfId="12" priority="10">
      <formula>F8=CléPersonnel</formula>
    </cfRule>
    <cfRule type="expression" dxfId="11" priority="11" stopIfTrue="1">
      <formula>F8=CléCongé</formula>
    </cfRule>
    <cfRule type="expression" dxfId="10" priority="12" stopIfTrue="1">
      <formula>F8=CléDemiCongés</formula>
    </cfRule>
    <cfRule type="expression" dxfId="9" priority="13">
      <formula>F8=""</formula>
    </cfRule>
  </conditionalFormatting>
  <conditionalFormatting sqref="F6:AJ56">
    <cfRule type="expression" dxfId="8" priority="2" stopIfTrue="1">
      <formula>WEEKDAY(F$1)=7</formula>
    </cfRule>
    <cfRule type="expression" dxfId="7" priority="3" stopIfTrue="1">
      <formula>WEEKDAY(F$1)=1</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7">
      <formula1>0</formula1>
      <formula2>0</formula2>
    </dataValidation>
    <dataValidation allowBlank="1" showInputMessage="1" showErrorMessage="1" prompt="Cette ligne définit les clés utilisées dans le tableau : Congé en C2, Personnel en F2 et Congé maladie en J2. Les cellules M2 et R2 sont personnalisables " sqref="B3:E3">
      <formula1>0</formula1>
      <formula2>0</formula2>
    </dataValidation>
    <dataValidation allowBlank="1" showInputMessage="1" showErrorMessage="1" prompt="La lettre « C » indique une absence pour cause de congé" sqref="F3">
      <formula1>0</formula1>
      <formula2>0</formula2>
    </dataValidation>
    <dataValidation allowBlank="1" showInputMessage="1" showErrorMessage="1" prompt="La lettre « P » indique une absence pour motifs personnels" sqref="I3 M3">
      <formula1>0</formula1>
      <formula2>0</formula2>
    </dataValidation>
    <dataValidation allowBlank="1" showInputMessage="1" showErrorMessage="1" prompt="La lettre « M » indique une absence pour cause de maladie" sqref="Q3">
      <formula1>0</formula1>
      <formula2>0</formula2>
    </dataValidation>
    <dataValidation allowBlank="1" showInputMessage="1" showErrorMessage="1" prompt="Entrez une lettre et personnalisez l’étiquette à droite pour ajouter un élément de clé" sqref="T3">
      <formula1>0</formula1>
      <formula2>0</formula2>
    </dataValidation>
    <dataValidation allowBlank="1" showInputMessage="1" showErrorMessage="1" prompt="Entrez une étiquette pour décrire la clé personnalisée à gauche" sqref="U3">
      <formula1>0</formula1>
      <formula2>0</formula2>
    </dataValidation>
    <dataValidation allowBlank="1" showInputMessage="1" showErrorMessage="1" prompt="Année mise à jour automatiquement en fonction de l’année entrée dans la feuille de calcul Janvier" sqref="AK5">
      <formula1>0</formula1>
      <formula2>0</formula2>
    </dataValidation>
    <dataValidation allowBlank="1" showInputMessage="1" showErrorMessage="1" prompt="Le titre mis à jour automatiquement figure dans cette cellule. Pour modifier le titre, mettez à jour la cellule B1 de la feuille de calcul Janvier" sqref="B2:E2">
      <formula1>0</formula1>
      <formula2>0</formula2>
    </dataValidation>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F6">
      <formula1>0</formula1>
      <formula2>0</formula2>
    </dataValidation>
    <dataValidation allowBlank="1" showInputMessage="1" showErrorMessage="1" prompt="Le titre de la feuille de calcul figure dans cette cellule. Si vous mettez à jour le titre, le changement est automatiquement répercuté sur chaque feuille de calcul" sqref="A2">
      <formula1>0</formula1>
      <formula2>0</formula2>
    </dataValidation>
    <dataValidation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E7">
      <formula1>0</formula1>
      <formula2>0</formula2>
    </dataValidation>
    <dataValidation allowBlank="1" showInputMessage="1" showErrorMessage="1" prompt="Mois de ce calendrier des absences. Mettez à jour l’année dans la cellule AH4. Suivez les totaux mensuels dans la dernière cellule du tableau. Entrez les noms des employés dans la colonne B du tableau" sqref="B5:E5">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stopIfTrue="1" id="{11CB5711-3EFE-DF43-8189-D633ADC9C1AF}">
            <xm:f>F$1=VLOOKUP(F$1,JFériés!$D$1:$D$11,1,FALSE)</xm:f>
            <x14:dxf>
              <font>
                <color theme="1"/>
              </font>
              <fill>
                <patternFill>
                  <bgColor theme="5" tint="0.59996337778862885"/>
                </patternFill>
              </fill>
            </x14:dxf>
          </x14:cfRule>
          <xm:sqref>F6:AJ56</xm:sqref>
        </x14:conditionalFormatting>
      </x14:conditionalFormattings>
    </ext>
    <ext xmlns:x14="http://schemas.microsoft.com/office/spreadsheetml/2009/9/main" uri="{CCE6A557-97BC-4b89-ADB6-D9C93CAAB3DF}">
      <x14:dataValidations xmlns:xm="http://schemas.microsoft.com/office/excel/2006/main" count="1">
        <x14:dataValidation allowBlank="1" showInputMessage="1" showErrorMessage="1">
          <x14:formula1>
            <xm:f>'Noms des employés'!$C$4:$C$10</xm:f>
          </x14:formula1>
          <x14:formula2>
            <xm:f>0</xm:f>
          </x14:formula2>
          <xm:sqref>B8:E56</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5" enableFormatConditionsCalculation="0">
    <tabColor rgb="FF000000"/>
    <pageSetUpPr fitToPage="1"/>
  </sheetPr>
  <dimension ref="B1:R52"/>
  <sheetViews>
    <sheetView showGridLines="0" zoomScale="95" zoomScaleNormal="95" zoomScalePageLayoutView="95" workbookViewId="0">
      <selection activeCell="I3" sqref="I3:J3"/>
    </sheetView>
  </sheetViews>
  <sheetFormatPr baseColWidth="10" defaultColWidth="8.83203125" defaultRowHeight="15" x14ac:dyDescent="0.2"/>
  <cols>
    <col min="1" max="1" width="2.6640625" customWidth="1"/>
    <col min="2" max="2" width="9" customWidth="1"/>
    <col min="3" max="4" width="30.6640625" customWidth="1"/>
    <col min="5" max="5" width="10.33203125" customWidth="1"/>
    <col min="6" max="1028" width="9.1640625" customWidth="1"/>
  </cols>
  <sheetData>
    <row r="1" spans="2:18" ht="50.25" customHeight="1" x14ac:dyDescent="0.2">
      <c r="C1" s="12" t="s">
        <v>57</v>
      </c>
      <c r="D1" s="12"/>
    </row>
    <row r="2" spans="2:18" ht="15" customHeight="1" x14ac:dyDescent="0.2">
      <c r="G2" s="145" t="s">
        <v>58</v>
      </c>
      <c r="H2" s="145"/>
      <c r="I2" s="146" t="s">
        <v>59</v>
      </c>
      <c r="J2" s="146" t="s">
        <v>4</v>
      </c>
      <c r="K2" s="148" t="s">
        <v>60</v>
      </c>
      <c r="L2" s="148"/>
      <c r="M2" s="148"/>
      <c r="N2" s="148"/>
      <c r="O2" s="148"/>
      <c r="P2" s="148"/>
      <c r="Q2" s="147" t="s">
        <v>61</v>
      </c>
      <c r="R2" s="147" t="s">
        <v>62</v>
      </c>
    </row>
    <row r="3" spans="2:18" ht="30" customHeight="1" x14ac:dyDescent="0.2">
      <c r="B3" s="22" t="s">
        <v>63</v>
      </c>
      <c r="C3" s="25" t="s">
        <v>13</v>
      </c>
      <c r="D3" s="25" t="s">
        <v>113</v>
      </c>
      <c r="E3" s="120" t="s">
        <v>295</v>
      </c>
      <c r="F3" s="120" t="s">
        <v>296</v>
      </c>
      <c r="G3" s="121" t="s">
        <v>2</v>
      </c>
      <c r="H3" s="121" t="s">
        <v>4</v>
      </c>
      <c r="I3" s="122" t="s">
        <v>297</v>
      </c>
      <c r="J3" s="122" t="s">
        <v>298</v>
      </c>
      <c r="K3" s="123" t="s">
        <v>299</v>
      </c>
      <c r="L3" s="123" t="s">
        <v>300</v>
      </c>
      <c r="M3" s="123" t="s">
        <v>5</v>
      </c>
      <c r="N3" s="123" t="s">
        <v>7</v>
      </c>
      <c r="O3" s="123" t="s">
        <v>8</v>
      </c>
      <c r="P3" s="123" t="s">
        <v>293</v>
      </c>
      <c r="Q3" s="124" t="s">
        <v>301</v>
      </c>
      <c r="R3" s="124" t="s">
        <v>302</v>
      </c>
    </row>
    <row r="4" spans="2:18" ht="30" customHeight="1" x14ac:dyDescent="0.2">
      <c r="B4" s="13" t="s">
        <v>64</v>
      </c>
      <c r="C4" s="25" t="s">
        <v>132</v>
      </c>
      <c r="D4" s="25">
        <v>0</v>
      </c>
      <c r="E4" s="26"/>
      <c r="F4" s="26"/>
      <c r="G4" s="27">
        <v>1</v>
      </c>
      <c r="H4" s="27">
        <v>9</v>
      </c>
      <c r="I4" s="28">
        <v>25</v>
      </c>
      <c r="J4" s="28">
        <v>15</v>
      </c>
      <c r="K4" s="29">
        <f>SUM(COUNTIF(Janvier!F8:AJ8,"C"),COUNTIF(Février!F8:AI8,"C"),COUNTIF(Mars!F8:AJ8,"C"),COUNTIF(Avril!F8:AJ8,"C"),COUNTIF(Mai!F8:AJ8,"C"),COUNTIF(Juin!F8:AJ8,"C"),COUNTIF(Juillet!F8:AJ8,"C"),COUNTIF(Août!F8:AJ8,"C"),COUNTIF(Septembre!F8:AJ8,"C"),COUNTIF(Octobre!F8:AJ8,"C"),COUNTIF(Novembre!F8:AJ8,"C"),COUNTIF(Décembre!F8:AJ8,"C"))</f>
        <v>19</v>
      </c>
      <c r="L4" s="29">
        <f>SUM(COUNTIF(Janvier!F8:AJ8,"RTT"),COUNTIF(Février!F8:AI8,"RTT"),COUNTIF(Mars!F8:AJ8,"RTT"),COUNTIF(Avril!F8:AJ8,"RTT"),COUNTIF(Mai!F8:AJ8,"RTT"),COUNTIF(Juin!F8:AJ8,"RTT"),COUNTIF(Juillet!F8:AJ8,"RTT"),COUNTIF(Août!F8:AJ8,"RTT"),COUNTIF(Septembre!F8:AJ8,"RTT"),COUNTIF(Octobre!F8:AJ8,"RTT"),COUNTIF(Novembre!F8:AJ8,"RTT"),COUNTIF(Décembre!F8:AJ8,"RTT"))</f>
        <v>0</v>
      </c>
      <c r="M4" s="29">
        <f>SUM(COUNTIF(Janvier!F8:AJ8,"dRTT"),COUNTIF(Février!F8:AI8,"dRTT"),COUNTIF(Mars!F8:AJ8,"dRTT"),COUNTIF(Avril!F8:AJ8,"dRTT"),COUNTIF(Mai!F8:AJ8,"dRTT"),COUNTIF(Juin!F8:AJ8,"dRTT"),COUNTIF(Juillet!F8:AJ8,"dRTT"),COUNTIF(Août!F8:AJ8,"dRTT"),COUNTIF(Septembre!F8:AJ8,"dRTT"),COUNTIF(Octobre!F8:AJ8,"dRTT"),COUNTIF(Novembre!F8:AJ8,"dRTT"),COUNTIF(Décembre!F8:AJ8,"dRTT"))</f>
        <v>0</v>
      </c>
      <c r="N4" s="29">
        <f>SUM(COUNTIF(Janvier!F8:AJ8,"R"),COUNTIF(Février!F8:AI8,"R"),COUNTIF(Mars!F8:AJ8,"R"),COUNTIF(Avril!F8:AJ8,"R"),COUNTIF(Mai!F8:AJ8,"R"),COUNTIF(Juin!F8:AJ8,"R"),COUNTIF(Juillet!F8:AJ8,"R"),COUNTIF(Août!F8:AJ8,"R"),COUNTIF(Septembre!F8:AJ8,"R"),COUNTIF(Octobre!F8:AJ8,"R"),COUNTIF(Novembre!F8:AJ8,"R"),COUNTIF(Décembre!F8:AJ8,"R"))</f>
        <v>0</v>
      </c>
      <c r="O4" s="29">
        <f>SUM(COUNTIF(Janvier!F8:AJ8,"M"),COUNTIF(Février!F8:AI8,"M"),COUNTIF(Mars!F8:AJ8,"M"),COUNTIF(Avril!F8:AJ8,"M"),COUNTIF(Mai!F8:AJ8,"M"),COUNTIF(Juin!F8:AJ8,"M"),COUNTIF(Juillet!F8:AJ8,"M"),COUNTIF(Août!F8:AJ8,"M"),COUNTIF(Septembre!F8:AJ8,"M"),COUNTIF(Octobre!F8:AJ8,"M"),COUNTIF(Novembre!F8:AJ8,"M"),COUNTIF(Décembre!F8:AJ8,"M"))</f>
        <v>0</v>
      </c>
      <c r="P4" s="29">
        <f>SUM(COUNTIF(Janvier!G8:AK8,"AT"),COUNTIF(Février!G8:AJ8,"AT"),COUNTIF(Mars!G8:AK8,"AT"),COUNTIF(Avril!G8:AK8,"AT"),COUNTIF(Mai!G8:AK8,"AT"),COUNTIF(Juin!G8:AK8,"AT"),COUNTIF(Juillet!G8:AK8,"AT"),COUNTIF(Août!G8:AK8,"AT"),COUNTIF(Septembre!G8:AK8,"AT"),COUNTIF(Octobre!G8:AK8,"AT"),COUNTIF(Novembre!G8:AK8,"AT"),COUNTIF(Décembre!G8:AK8,"AT"))</f>
        <v>0</v>
      </c>
      <c r="Q4" s="30">
        <f>G4+I4-K4</f>
        <v>7</v>
      </c>
      <c r="R4" s="30">
        <f t="shared" ref="R4:R10" si="0">H4+J4-(L4+(M4/2))</f>
        <v>24</v>
      </c>
    </row>
    <row r="5" spans="2:18" ht="30" customHeight="1" x14ac:dyDescent="0.2">
      <c r="B5" s="13" t="s">
        <v>65</v>
      </c>
      <c r="C5" s="25" t="s">
        <v>134</v>
      </c>
      <c r="D5" s="25">
        <v>0</v>
      </c>
      <c r="E5" s="26"/>
      <c r="F5" s="26"/>
      <c r="G5" s="27">
        <v>2</v>
      </c>
      <c r="H5" s="27">
        <v>8</v>
      </c>
      <c r="I5" s="28">
        <v>27</v>
      </c>
      <c r="J5" s="28">
        <v>23</v>
      </c>
      <c r="K5" s="29">
        <f>SUM(COUNTIF(Janvier!F9:AJ9,"C"),COUNTIF(Février!F9:AI9,"C"),COUNTIF(Mars!F9:AJ9,"C"),COUNTIF(Avril!F9:AJ9,"C"),COUNTIF(Mai!F9:AJ9,"C"),COUNTIF(Juin!F9:AJ9,"C"),COUNTIF(Juillet!F9:AJ9,"C"),COUNTIF(Août!F9:AJ9,"C"),COUNTIF(Septembre!F9:AJ9,"C"),COUNTIF(Octobre!F9:AJ9,"C"),COUNTIF(Novembre!F9:AJ9,"C"),COUNTIF(Décembre!F9:AJ9,"C"))</f>
        <v>10</v>
      </c>
      <c r="L5" s="29">
        <f>SUM(COUNTIF(Janvier!F9:AJ9,"RTT"),COUNTIF(Février!F9:AI9,"RTT"),COUNTIF(Mars!F9:AJ9,"RTT"),COUNTIF(Avril!F9:AJ9,"RTT"),COUNTIF(Mai!F9:AJ9,"RTT"),COUNTIF(Juin!F9:AJ9,"RTT"),COUNTIF(Juillet!F9:AJ9,"RTT"),COUNTIF(Août!F9:AJ9,"RTT"),COUNTIF(Septembre!F9:AJ9,"RTT"),COUNTIF(Octobre!F9:AJ9,"RTT"),COUNTIF(Novembre!F9:AJ9,"RTT"),COUNTIF(Décembre!F9:AJ9,"RTT"))</f>
        <v>0</v>
      </c>
      <c r="M5" s="29">
        <f>SUM(COUNTIF(Janvier!F9:AJ9,"dRTT"),COUNTIF(Février!F9:AI9,"dRTT"),COUNTIF(Mars!F9:AJ9,"dRTT"),COUNTIF(Avril!F9:AJ9,"dRTT"),COUNTIF(Mai!F9:AJ9,"dRTT"),COUNTIF(Juin!F9:AJ9,"dRTT"),COUNTIF(Juillet!F9:AJ9,"dRTT"),COUNTIF(Août!F9:AJ9,"dRTT"),COUNTIF(Septembre!F9:AJ9,"dRTT"),COUNTIF(Octobre!F9:AJ9,"dRTT"),COUNTIF(Novembre!F9:AJ9,"dRTT"),COUNTIF(Décembre!F9:AJ9,"dRTT"))</f>
        <v>0</v>
      </c>
      <c r="N5" s="29">
        <f>SUM(COUNTIF(Janvier!F9:AJ9,"R"),COUNTIF(Février!F9:AI9,"R"),COUNTIF(Mars!F9:AJ9,"R"),COUNTIF(Avril!F9:AJ9,"R"),COUNTIF(Mai!F9:AJ9,"R"),COUNTIF(Juin!F9:AJ9,"R"),COUNTIF(Juillet!F9:AJ9,"R"),COUNTIF(Août!F9:AJ9,"R"),COUNTIF(Septembre!F9:AJ9,"R"),COUNTIF(Octobre!F9:AJ9,"R"),COUNTIF(Novembre!F9:AJ9,"R"),COUNTIF(Décembre!F9:AJ9,"R"))</f>
        <v>0</v>
      </c>
      <c r="O5" s="29">
        <f>SUM(COUNTIF(Janvier!F9:AJ9,"M"),COUNTIF(Février!F9:AI9,"M"),COUNTIF(Mars!F9:AJ9,"M"),COUNTIF(Avril!F9:AJ9,"M"),COUNTIF(Mai!F9:AJ9,"M"),COUNTIF(Juin!F9:AJ9,"M"),COUNTIF(Juillet!F9:AJ9,"M"),COUNTIF(Août!F9:AJ9,"M"),COUNTIF(Septembre!F9:AJ9,"M"),COUNTIF(Octobre!F9:AJ9,"M"),COUNTIF(Novembre!F9:AJ9,"M"),COUNTIF(Décembre!F9:AJ9,"M"))</f>
        <v>0</v>
      </c>
      <c r="P5" s="29">
        <f>SUM(COUNTIF(Janvier!G9:AK9,"AT"),COUNTIF(Février!G9:AJ9,"AT"),COUNTIF(Mars!G9:AK9,"AT"),COUNTIF(Avril!G9:AK9,"AT"),COUNTIF(Mai!G9:AK9,"AT"),COUNTIF(Juin!G9:AK9,"AT"),COUNTIF(Juillet!G9:AK9,"AT"),COUNTIF(Août!G9:AK9,"AT"),COUNTIF(Septembre!G9:AK9,"AT"),COUNTIF(Octobre!G9:AK9,"AT"),COUNTIF(Novembre!G9:AK9,"AT"),COUNTIF(Décembre!G9:AK9,"AT"))</f>
        <v>0</v>
      </c>
      <c r="Q5" s="30">
        <f t="shared" ref="Q5:Q10" si="1">G5+I5-K5</f>
        <v>19</v>
      </c>
      <c r="R5" s="30">
        <f t="shared" si="0"/>
        <v>31</v>
      </c>
    </row>
    <row r="6" spans="2:18" ht="30" customHeight="1" x14ac:dyDescent="0.2">
      <c r="B6" s="14" t="s">
        <v>66</v>
      </c>
      <c r="C6" s="25" t="s">
        <v>137</v>
      </c>
      <c r="D6" s="25">
        <v>0</v>
      </c>
      <c r="E6" s="26"/>
      <c r="F6" s="26"/>
      <c r="G6" s="27">
        <v>3</v>
      </c>
      <c r="H6" s="27">
        <v>7</v>
      </c>
      <c r="I6" s="28">
        <v>27</v>
      </c>
      <c r="J6" s="28">
        <v>23</v>
      </c>
      <c r="K6" s="29">
        <f>SUM(COUNTIF(Janvier!F10:AJ10,"C"),COUNTIF(Février!F10:AI10,"C"),COUNTIF(Mars!F10:AJ10,"C"),COUNTIF(Avril!F10:AJ10,"C"),COUNTIF(Mai!F10:AJ10,"C"),COUNTIF(Juin!F10:AJ10,"C"),COUNTIF(Juillet!F10:AJ10,"C"),COUNTIF(Août!F10:AJ10,"C"),COUNTIF(Septembre!F10:AJ10,"C"),COUNTIF(Octobre!F10:AJ10,"C"),COUNTIF(Novembre!F10:AJ10,"C"),COUNTIF(Décembre!F10:AJ10,"C"))</f>
        <v>23</v>
      </c>
      <c r="L6" s="29">
        <f>SUM(COUNTIF(Janvier!F10:AJ10,"RTT"),COUNTIF(Février!F10:AI10,"RTT"),COUNTIF(Mars!F10:AJ10,"RTT"),COUNTIF(Avril!F10:AJ10,"RTT"),COUNTIF(Mai!F10:AJ10,"RTT"),COUNTIF(Juin!F10:AJ10,"RTT"),COUNTIF(Juillet!F10:AJ10,"RTT"),COUNTIF(Août!F10:AJ10,"RTT"),COUNTIF(Septembre!F10:AJ10,"RTT"),COUNTIF(Octobre!F10:AJ10,"RTT"),COUNTIF(Novembre!F10:AJ10,"RTT"),COUNTIF(Décembre!F10:AJ10,"RTT"))</f>
        <v>1</v>
      </c>
      <c r="M6" s="29">
        <f>SUM(COUNTIF(Janvier!F10:AJ10,"dRTT"),COUNTIF(Février!F10:AI10,"dRTT"),COUNTIF(Mars!F10:AJ10,"dRTT"),COUNTIF(Avril!F10:AJ10,"dRTT"),COUNTIF(Mai!F10:AJ10,"dRTT"),COUNTIF(Juin!F10:AJ10,"dRTT"),COUNTIF(Juillet!F10:AJ10,"dRTT"),COUNTIF(Août!F10:AJ10,"dRTT"),COUNTIF(Septembre!F10:AJ10,"dRTT"),COUNTIF(Octobre!F10:AJ10,"dRTT"),COUNTIF(Novembre!F10:AJ10,"dRTT"),COUNTIF(Décembre!F10:AJ10,"dRTT"))</f>
        <v>0</v>
      </c>
      <c r="N6" s="29">
        <f>SUM(COUNTIF(Janvier!F10:AJ10,"R"),COUNTIF(Février!F10:AI10,"R"),COUNTIF(Mars!F10:AJ10,"R"),COUNTIF(Avril!F10:AJ10,"R"),COUNTIF(Mai!F10:AJ10,"R"),COUNTIF(Juin!F10:AJ10,"R"),COUNTIF(Juillet!F10:AJ10,"R"),COUNTIF(Août!F10:AJ10,"R"),COUNTIF(Septembre!F10:AJ10,"R"),COUNTIF(Octobre!F10:AJ10,"R"),COUNTIF(Novembre!F10:AJ10,"R"),COUNTIF(Décembre!F10:AJ10,"R"))</f>
        <v>0</v>
      </c>
      <c r="O6" s="29">
        <f>SUM(COUNTIF(Janvier!F10:AJ10,"M"),COUNTIF(Février!F10:AI10,"M"),COUNTIF(Mars!F10:AJ10,"M"),COUNTIF(Avril!F10:AJ10,"M"),COUNTIF(Mai!F10:AJ10,"M"),COUNTIF(Juin!F10:AJ10,"M"),COUNTIF(Juillet!F10:AJ10,"M"),COUNTIF(Août!F10:AJ10,"M"),COUNTIF(Septembre!F10:AJ10,"M"),COUNTIF(Octobre!F10:AJ10,"M"),COUNTIF(Novembre!F10:AJ10,"M"),COUNTIF(Décembre!F10:AJ10,"M"))</f>
        <v>0</v>
      </c>
      <c r="P6" s="29">
        <f>SUM(COUNTIF(Janvier!G10:AK10,"AT"),COUNTIF(Février!G10:AJ10,"AT"),COUNTIF(Mars!G10:AK10,"AT"),COUNTIF(Avril!G10:AK10,"AT"),COUNTIF(Mai!G10:AK10,"AT"),COUNTIF(Juin!G10:AK10,"AT"),COUNTIF(Juillet!G10:AK10,"AT"),COUNTIF(Août!G10:AK10,"AT"),COUNTIF(Septembre!G10:AK10,"AT"),COUNTIF(Octobre!G10:AK10,"AT"),COUNTIF(Novembre!G10:AK10,"AT"),COUNTIF(Décembre!G10:AK10,"AT"))</f>
        <v>0</v>
      </c>
      <c r="Q6" s="30">
        <f t="shared" si="1"/>
        <v>7</v>
      </c>
      <c r="R6" s="30">
        <f t="shared" si="0"/>
        <v>29</v>
      </c>
    </row>
    <row r="7" spans="2:18" ht="30" customHeight="1" x14ac:dyDescent="0.2">
      <c r="B7" s="15" t="s">
        <v>67</v>
      </c>
      <c r="C7" s="25" t="s">
        <v>140</v>
      </c>
      <c r="D7" s="25">
        <v>0</v>
      </c>
      <c r="E7" s="26"/>
      <c r="F7" s="26"/>
      <c r="G7" s="27">
        <v>4</v>
      </c>
      <c r="H7" s="27">
        <v>6</v>
      </c>
      <c r="I7" s="28">
        <v>27</v>
      </c>
      <c r="J7" s="28">
        <v>23</v>
      </c>
      <c r="K7" s="29">
        <f>SUM(COUNTIF(Janvier!F11:AJ11,"C"),COUNTIF(Février!F11:AI11,"C"),COUNTIF(Mars!F11:AJ11,"C"),COUNTIF(Avril!F11:AJ11,"C"),COUNTIF(Mai!F11:AJ11,"C"),COUNTIF(Juin!F11:AJ11,"C"),COUNTIF(Juillet!F11:AJ11,"C"),COUNTIF(Août!F11:AJ11,"C"),COUNTIF(Septembre!F11:AJ11,"C"),COUNTIF(Octobre!F11:AJ11,"C"),COUNTIF(Novembre!F11:AJ11,"C"),COUNTIF(Décembre!F11:AJ11,"C"))</f>
        <v>17</v>
      </c>
      <c r="L7" s="29">
        <f>SUM(COUNTIF(Janvier!F11:AJ11,"RTT"),COUNTIF(Février!F11:AI11,"RTT"),COUNTIF(Mars!F11:AJ11,"RTT"),COUNTIF(Avril!F11:AJ11,"RTT"),COUNTIF(Mai!F11:AJ11,"RTT"),COUNTIF(Juin!F11:AJ11,"RTT"),COUNTIF(Juillet!F11:AJ11,"RTT"),COUNTIF(Août!F11:AJ11,"RTT"),COUNTIF(Septembre!F11:AJ11,"RTT"),COUNTIF(Octobre!F11:AJ11,"RTT"),COUNTIF(Novembre!F11:AJ11,"RTT"),COUNTIF(Décembre!F11:AJ11,"RTT"))</f>
        <v>6</v>
      </c>
      <c r="M7" s="29">
        <f>SUM(COUNTIF(Janvier!F11:AJ11,"dRTT"),COUNTIF(Février!F11:AI11,"dRTT"),COUNTIF(Mars!F11:AJ11,"dRTT"),COUNTIF(Avril!F11:AJ11,"dRTT"),COUNTIF(Mai!F11:AJ11,"dRTT"),COUNTIF(Juin!F11:AJ11,"dRTT"),COUNTIF(Juillet!F11:AJ11,"dRTT"),COUNTIF(Août!F11:AJ11,"dRTT"),COUNTIF(Septembre!F11:AJ11,"dRTT"),COUNTIF(Octobre!F11:AJ11,"dRTT"),COUNTIF(Novembre!F11:AJ11,"dRTT"),COUNTIF(Décembre!F11:AJ11,"dRTT"))</f>
        <v>0</v>
      </c>
      <c r="N7" s="29">
        <f>SUM(COUNTIF(Janvier!F11:AJ11,"R"),COUNTIF(Février!F11:AI11,"R"),COUNTIF(Mars!F11:AJ11,"R"),COUNTIF(Avril!F11:AJ11,"R"),COUNTIF(Mai!F11:AJ11,"R"),COUNTIF(Juin!F11:AJ11,"R"),COUNTIF(Juillet!F11:AJ11,"R"),COUNTIF(Août!F11:AJ11,"R"),COUNTIF(Septembre!F11:AJ11,"R"),COUNTIF(Octobre!F11:AJ11,"R"),COUNTIF(Novembre!F11:AJ11,"R"),COUNTIF(Décembre!F11:AJ11,"R"))</f>
        <v>0</v>
      </c>
      <c r="O7" s="29">
        <f>SUM(COUNTIF(Janvier!F11:AJ11,"M"),COUNTIF(Février!F11:AI11,"M"),COUNTIF(Mars!F11:AJ11,"M"),COUNTIF(Avril!F11:AJ11,"M"),COUNTIF(Mai!F11:AJ11,"M"),COUNTIF(Juin!F11:AJ11,"M"),COUNTIF(Juillet!F11:AJ11,"M"),COUNTIF(Août!F11:AJ11,"M"),COUNTIF(Septembre!F11:AJ11,"M"),COUNTIF(Octobre!F11:AJ11,"M"),COUNTIF(Novembre!F11:AJ11,"M"),COUNTIF(Décembre!F11:AJ11,"M"))</f>
        <v>0</v>
      </c>
      <c r="P7" s="29">
        <f>SUM(COUNTIF(Janvier!G11:AK11,"AT"),COUNTIF(Février!G11:AJ11,"AT"),COUNTIF(Mars!G11:AK11,"AT"),COUNTIF(Avril!G11:AK11,"AT"),COUNTIF(Mai!G11:AK11,"AT"),COUNTIF(Juin!G11:AK11,"AT"),COUNTIF(Juillet!G11:AK11,"AT"),COUNTIF(Août!G11:AK11,"AT"),COUNTIF(Septembre!G11:AK11,"AT"),COUNTIF(Octobre!G11:AK11,"AT"),COUNTIF(Novembre!G11:AK11,"AT"),COUNTIF(Décembre!G11:AK11,"AT"))</f>
        <v>0</v>
      </c>
      <c r="Q7" s="30">
        <f t="shared" si="1"/>
        <v>14</v>
      </c>
      <c r="R7" s="30">
        <f t="shared" si="0"/>
        <v>23</v>
      </c>
    </row>
    <row r="8" spans="2:18" ht="30" customHeight="1" x14ac:dyDescent="0.2">
      <c r="B8" s="15" t="s">
        <v>68</v>
      </c>
      <c r="C8" s="25" t="s">
        <v>143</v>
      </c>
      <c r="D8" s="25">
        <v>0</v>
      </c>
      <c r="E8" s="26"/>
      <c r="F8" s="26"/>
      <c r="G8" s="27">
        <v>5</v>
      </c>
      <c r="H8" s="27">
        <v>5</v>
      </c>
      <c r="I8" s="28">
        <v>27</v>
      </c>
      <c r="J8" s="28">
        <v>23</v>
      </c>
      <c r="K8" s="29">
        <f>SUM(COUNTIF(Janvier!F12:AJ12,"C"),COUNTIF(Février!F12:AI12,"C"),COUNTIF(Mars!F12:AJ12,"C"),COUNTIF(Avril!F12:AJ12,"C"),COUNTIF(Mai!F12:AJ12,"C"),COUNTIF(Juin!F12:AJ12,"C"),COUNTIF(Juillet!F12:AJ12,"C"),COUNTIF(Août!F12:AJ12,"C"),COUNTIF(Septembre!F12:AJ12,"C"),COUNTIF(Octobre!F12:AJ12,"C"),COUNTIF(Novembre!F12:AJ12,"C"),COUNTIF(Décembre!F12:AJ12,"C"))</f>
        <v>30</v>
      </c>
      <c r="L8" s="29">
        <f>SUM(COUNTIF(Janvier!F12:AJ12,"RTT"),COUNTIF(Février!F12:AI12,"RTT"),COUNTIF(Mars!F12:AJ12,"RTT"),COUNTIF(Avril!F12:AJ12,"RTT"),COUNTIF(Mai!F12:AJ12,"RTT"),COUNTIF(Juin!F12:AJ12,"RTT"),COUNTIF(Juillet!F12:AJ12,"RTT"),COUNTIF(Août!F12:AJ12,"RTT"),COUNTIF(Septembre!F12:AJ12,"RTT"),COUNTIF(Octobre!F12:AJ12,"RTT"),COUNTIF(Novembre!F12:AJ12,"RTT"),COUNTIF(Décembre!F12:AJ12,"RTT"))</f>
        <v>4</v>
      </c>
      <c r="M8" s="29">
        <f>SUM(COUNTIF(Janvier!F12:AJ12,"dRTT"),COUNTIF(Février!F12:AI12,"dRTT"),COUNTIF(Mars!F12:AJ12,"dRTT"),COUNTIF(Avril!F12:AJ12,"dRTT"),COUNTIF(Mai!F12:AJ12,"dRTT"),COUNTIF(Juin!F12:AJ12,"dRTT"),COUNTIF(Juillet!F12:AJ12,"dRTT"),COUNTIF(Août!F12:AJ12,"dRTT"),COUNTIF(Septembre!F12:AJ12,"dRTT"),COUNTIF(Octobre!F12:AJ12,"dRTT"),COUNTIF(Novembre!F12:AJ12,"dRTT"),COUNTIF(Décembre!F12:AJ12,"dRTT"))</f>
        <v>0</v>
      </c>
      <c r="N8" s="29">
        <f>SUM(COUNTIF(Janvier!F12:AJ12,"R"),COUNTIF(Février!F12:AI12,"R"),COUNTIF(Mars!F12:AJ12,"R"),COUNTIF(Avril!F12:AJ12,"R"),COUNTIF(Mai!F12:AJ12,"R"),COUNTIF(Juin!F12:AJ12,"R"),COUNTIF(Juillet!F12:AJ12,"R"),COUNTIF(Août!F12:AJ12,"R"),COUNTIF(Septembre!F12:AJ12,"R"),COUNTIF(Octobre!F12:AJ12,"R"),COUNTIF(Novembre!F12:AJ12,"R"),COUNTIF(Décembre!F12:AJ12,"R"))</f>
        <v>0</v>
      </c>
      <c r="O8" s="29">
        <f>SUM(COUNTIF(Janvier!F12:AJ12,"M"),COUNTIF(Février!F12:AI12,"M"),COUNTIF(Mars!F12:AJ12,"M"),COUNTIF(Avril!F12:AJ12,"M"),COUNTIF(Mai!F12:AJ12,"M"),COUNTIF(Juin!F12:AJ12,"M"),COUNTIF(Juillet!F12:AJ12,"M"),COUNTIF(Août!F12:AJ12,"M"),COUNTIF(Septembre!F12:AJ12,"M"),COUNTIF(Octobre!F12:AJ12,"M"),COUNTIF(Novembre!F12:AJ12,"M"),COUNTIF(Décembre!F12:AJ12,"M"))</f>
        <v>0</v>
      </c>
      <c r="P8" s="29">
        <f>SUM(COUNTIF(Janvier!G12:AK12,"AT"),COUNTIF(Février!G12:AJ12,"AT"),COUNTIF(Mars!G12:AK12,"AT"),COUNTIF(Avril!G12:AK12,"AT"),COUNTIF(Mai!G12:AK12,"AT"),COUNTIF(Juin!G12:AK12,"AT"),COUNTIF(Juillet!G12:AK12,"AT"),COUNTIF(Août!G12:AK12,"AT"),COUNTIF(Septembre!G12:AK12,"AT"),COUNTIF(Octobre!G12:AK12,"AT"),COUNTIF(Novembre!G12:AK12,"AT"),COUNTIF(Décembre!G12:AK12,"AT"))</f>
        <v>0</v>
      </c>
      <c r="Q8" s="30">
        <f t="shared" si="1"/>
        <v>2</v>
      </c>
      <c r="R8" s="30">
        <f t="shared" si="0"/>
        <v>24</v>
      </c>
    </row>
    <row r="9" spans="2:18" ht="30" customHeight="1" x14ac:dyDescent="0.2">
      <c r="B9" s="13" t="s">
        <v>69</v>
      </c>
      <c r="C9" s="25" t="s">
        <v>146</v>
      </c>
      <c r="D9" s="25">
        <v>0</v>
      </c>
      <c r="E9" s="26"/>
      <c r="F9" s="26"/>
      <c r="G9" s="27">
        <v>6</v>
      </c>
      <c r="H9" s="27">
        <v>4</v>
      </c>
      <c r="I9" s="28">
        <v>27</v>
      </c>
      <c r="J9" s="28">
        <v>23</v>
      </c>
      <c r="K9" s="29">
        <f>SUM(COUNTIF(Janvier!F13:AJ13,"C"),COUNTIF(Février!F13:AI13,"C"),COUNTIF(Mars!F13:AJ13,"C"),COUNTIF(Avril!F13:AJ13,"C"),COUNTIF(Mai!F13:AJ13,"C"),COUNTIF(Juin!F13:AJ13,"C"),COUNTIF(Juillet!F13:AJ13,"C"),COUNTIF(Août!F13:AJ13,"C"),COUNTIF(Septembre!F13:AJ13,"C"),COUNTIF(Octobre!F13:AJ13,"C"),COUNTIF(Novembre!F13:AJ13,"C"),COUNTIF(Décembre!F13:AJ13,"C"))</f>
        <v>12</v>
      </c>
      <c r="L9" s="29">
        <f>SUM(COUNTIF(Janvier!F13:AJ13,"RTT"),COUNTIF(Février!F13:AI13,"RTT"),COUNTIF(Mars!F13:AJ13,"RTT"),COUNTIF(Avril!F13:AJ13,"RTT"),COUNTIF(Mai!F13:AJ13,"RTT"),COUNTIF(Juin!F13:AJ13,"RTT"),COUNTIF(Juillet!F13:AJ13,"RTT"),COUNTIF(Août!F13:AJ13,"RTT"),COUNTIF(Septembre!F13:AJ13,"RTT"),COUNTIF(Octobre!F13:AJ13,"RTT"),COUNTIF(Novembre!F13:AJ13,"RTT"),COUNTIF(Décembre!F13:AJ13,"RTT"))</f>
        <v>0</v>
      </c>
      <c r="M9" s="29">
        <f>SUM(COUNTIF(Janvier!F13:AJ13,"dRTT"),COUNTIF(Février!F13:AI13,"dRTT"),COUNTIF(Mars!F13:AJ13,"dRTT"),COUNTIF(Avril!F13:AJ13,"dRTT"),COUNTIF(Mai!F13:AJ13,"dRTT"),COUNTIF(Juin!F13:AJ13,"dRTT"),COUNTIF(Juillet!F13:AJ13,"dRTT"),COUNTIF(Août!F13:AJ13,"dRTT"),COUNTIF(Septembre!F13:AJ13,"dRTT"),COUNTIF(Octobre!F13:AJ13,"dRTT"),COUNTIF(Novembre!F13:AJ13,"dRTT"),COUNTIF(Décembre!F13:AJ13,"dRTT"))</f>
        <v>0</v>
      </c>
      <c r="N9" s="29">
        <f>SUM(COUNTIF(Janvier!F13:AJ13,"R"),COUNTIF(Février!F13:AI13,"R"),COUNTIF(Mars!F13:AJ13,"R"),COUNTIF(Avril!F13:AJ13,"R"),COUNTIF(Mai!F13:AJ13,"R"),COUNTIF(Juin!F13:AJ13,"R"),COUNTIF(Juillet!F13:AJ13,"R"),COUNTIF(Août!F13:AJ13,"R"),COUNTIF(Septembre!F13:AJ13,"R"),COUNTIF(Octobre!F13:AJ13,"R"),COUNTIF(Novembre!F13:AJ13,"R"),COUNTIF(Décembre!F13:AJ13,"R"))</f>
        <v>0</v>
      </c>
      <c r="O9" s="29">
        <f>SUM(COUNTIF(Janvier!F13:AJ13,"M"),COUNTIF(Février!F13:AI13,"M"),COUNTIF(Mars!F13:AJ13,"M"),COUNTIF(Avril!F13:AJ13,"M"),COUNTIF(Mai!F13:AJ13,"M"),COUNTIF(Juin!F13:AJ13,"M"),COUNTIF(Juillet!F13:AJ13,"M"),COUNTIF(Août!F13:AJ13,"M"),COUNTIF(Septembre!F13:AJ13,"M"),COUNTIF(Octobre!F13:AJ13,"M"),COUNTIF(Novembre!F13:AJ13,"M"),COUNTIF(Décembre!F13:AJ13,"M"))</f>
        <v>0</v>
      </c>
      <c r="P9" s="29">
        <f>SUM(COUNTIF(Janvier!G13:AK13,"AT"),COUNTIF(Février!G13:AJ13,"AT"),COUNTIF(Mars!G13:AK13,"AT"),COUNTIF(Avril!G13:AK13,"AT"),COUNTIF(Mai!G13:AK13,"AT"),COUNTIF(Juin!G13:AK13,"AT"),COUNTIF(Juillet!G13:AK13,"AT"),COUNTIF(Août!G13:AK13,"AT"),COUNTIF(Septembre!G13:AK13,"AT"),COUNTIF(Octobre!G13:AK13,"AT"),COUNTIF(Novembre!G13:AK13,"AT"),COUNTIF(Décembre!G13:AK13,"AT"))</f>
        <v>60</v>
      </c>
      <c r="Q9" s="30">
        <f t="shared" si="1"/>
        <v>21</v>
      </c>
      <c r="R9" s="30">
        <f t="shared" si="0"/>
        <v>27</v>
      </c>
    </row>
    <row r="10" spans="2:18" ht="30" customHeight="1" x14ac:dyDescent="0.2">
      <c r="B10" s="15" t="s">
        <v>70</v>
      </c>
      <c r="C10" s="25" t="s">
        <v>149</v>
      </c>
      <c r="D10" s="25">
        <v>0</v>
      </c>
      <c r="E10" s="26"/>
      <c r="F10" s="26"/>
      <c r="G10" s="27">
        <v>7</v>
      </c>
      <c r="H10" s="27">
        <v>3</v>
      </c>
      <c r="I10" s="28">
        <v>27</v>
      </c>
      <c r="J10" s="28">
        <v>23</v>
      </c>
      <c r="K10" s="29">
        <f>SUM(COUNTIF(Janvier!F14:AJ14,"C"),COUNTIF(Février!F14:AI14,"C"),COUNTIF(Mars!F14:AJ14,"C"),COUNTIF(Avril!F14:AJ14,"C"),COUNTIF(Mai!F14:AJ14,"C"),COUNTIF(Juin!F14:AJ14,"C"),COUNTIF(Juillet!F14:AJ14,"C"),COUNTIF(Août!F14:AJ14,"C"),COUNTIF(Septembre!F14:AJ14,"C"),COUNTIF(Octobre!F14:AJ14,"C"),COUNTIF(Novembre!F14:AJ14,"C"),COUNTIF(Décembre!F14:AJ14,"C"))</f>
        <v>18</v>
      </c>
      <c r="L10" s="29">
        <f>SUM(COUNTIF(Janvier!F14:AJ14,"RTT"),COUNTIF(Février!F14:AI14,"RTT"),COUNTIF(Mars!F14:AJ14,"RTT"),COUNTIF(Avril!F14:AJ14,"RTT"),COUNTIF(Mai!F14:AJ14,"RTT"),COUNTIF(Juin!F14:AJ14,"RTT"),COUNTIF(Juillet!F14:AJ14,"RTT"),COUNTIF(Août!F14:AJ14,"RTT"),COUNTIF(Septembre!F14:AJ14,"RTT"),COUNTIF(Octobre!F14:AJ14,"RTT"),COUNTIF(Novembre!F14:AJ14,"RTT"),COUNTIF(Décembre!F14:AJ14,"RTT"))</f>
        <v>0</v>
      </c>
      <c r="M10" s="29">
        <f>SUM(COUNTIF(Janvier!F14:AJ14,"dRTT"),COUNTIF(Février!F14:AI14,"dRTT"),COUNTIF(Mars!F14:AJ14,"dRTT"),COUNTIF(Avril!F14:AJ14,"dRTT"),COUNTIF(Mai!F14:AJ14,"dRTT"),COUNTIF(Juin!F14:AJ14,"dRTT"),COUNTIF(Juillet!F14:AJ14,"dRTT"),COUNTIF(Août!F14:AJ14,"dRTT"),COUNTIF(Septembre!F14:AJ14,"dRTT"),COUNTIF(Octobre!F14:AJ14,"dRTT"),COUNTIF(Novembre!F14:AJ14,"dRTT"),COUNTIF(Décembre!F14:AJ14,"dRTT"))</f>
        <v>0</v>
      </c>
      <c r="N10" s="29">
        <f>SUM(COUNTIF(Janvier!F14:AJ14,"R"),COUNTIF(Février!F14:AI14,"R"),COUNTIF(Mars!F14:AJ14,"R"),COUNTIF(Avril!F14:AJ14,"R"),COUNTIF(Mai!F14:AJ14,"R"),COUNTIF(Juin!F14:AJ14,"R"),COUNTIF(Juillet!F14:AJ14,"R"),COUNTIF(Août!F14:AJ14,"R"),COUNTIF(Septembre!F14:AJ14,"R"),COUNTIF(Octobre!F14:AJ14,"R"),COUNTIF(Novembre!F14:AJ14,"R"),COUNTIF(Décembre!F14:AJ14,"R"))</f>
        <v>0</v>
      </c>
      <c r="O10" s="29">
        <f>SUM(COUNTIF(Janvier!F14:AJ14,"M"),COUNTIF(Février!F14:AI14,"M"),COUNTIF(Mars!F14:AJ14,"M"),COUNTIF(Avril!F14:AJ14,"M"),COUNTIF(Mai!F14:AJ14,"M"),COUNTIF(Juin!F14:AJ14,"M"),COUNTIF(Juillet!F14:AJ14,"M"),COUNTIF(Août!F14:AJ14,"M"),COUNTIF(Septembre!F14:AJ14,"M"),COUNTIF(Octobre!F14:AJ14,"M"),COUNTIF(Novembre!F14:AJ14,"M"),COUNTIF(Décembre!F14:AJ14,"M"))</f>
        <v>105</v>
      </c>
      <c r="P10" s="29">
        <f>SUM(COUNTIF(Janvier!G14:AK14,"AT"),COUNTIF(Février!G14:AJ14,"AT"),COUNTIF(Mars!G14:AK14,"AT"),COUNTIF(Avril!G14:AK14,"AT"),COUNTIF(Mai!G14:AK14,"AT"),COUNTIF(Juin!G14:AK14,"AT"),COUNTIF(Juillet!G14:AK14,"AT"),COUNTIF(Août!G14:AK14,"AT"),COUNTIF(Septembre!G14:AK14,"AT"),COUNTIF(Octobre!G14:AK14,"AT"),COUNTIF(Novembre!G14:AK14,"AT"),COUNTIF(Décembre!G14:AK14,"AT"))</f>
        <v>0</v>
      </c>
      <c r="Q10" s="30">
        <f t="shared" si="1"/>
        <v>16</v>
      </c>
      <c r="R10" s="30">
        <f t="shared" si="0"/>
        <v>26</v>
      </c>
    </row>
    <row r="11" spans="2:18" ht="30" customHeight="1" x14ac:dyDescent="0.2">
      <c r="B11" s="15" t="s">
        <v>71</v>
      </c>
      <c r="C11" s="25" t="s">
        <v>152</v>
      </c>
      <c r="D11" s="25">
        <v>0</v>
      </c>
      <c r="E11" s="26"/>
      <c r="F11" s="26"/>
      <c r="G11" s="27">
        <v>7</v>
      </c>
      <c r="H11" s="27">
        <v>3</v>
      </c>
      <c r="I11" s="28">
        <v>27</v>
      </c>
      <c r="J11" s="28">
        <v>23</v>
      </c>
      <c r="K11" s="29">
        <f>SUM(COUNTIF(Janvier!F15:AJ15,"C"),COUNTIF(Février!F15:AI15,"C"),COUNTIF(Mars!F15:AJ15,"C"),COUNTIF(Avril!F15:AJ15,"C"),COUNTIF(Mai!F15:AJ15,"C"),COUNTIF(Juin!F15:AJ15,"C"),COUNTIF(Juillet!F15:AJ15,"C"),COUNTIF(Août!F15:AJ15,"C"),COUNTIF(Septembre!F15:AJ15,"C"),COUNTIF(Octobre!F15:AJ15,"C"),COUNTIF(Novembre!F15:AJ15,"C"),COUNTIF(Décembre!F15:AJ15,"C"))</f>
        <v>20</v>
      </c>
      <c r="L11" s="29">
        <f>SUM(COUNTIF(Janvier!F15:AJ15,"RTT"),COUNTIF(Février!F15:AI15,"RTT"),COUNTIF(Mars!F15:AJ15,"RTT"),COUNTIF(Avril!F15:AJ15,"RTT"),COUNTIF(Mai!F15:AJ15,"RTT"),COUNTIF(Juin!F15:AJ15,"RTT"),COUNTIF(Juillet!F15:AJ15,"RTT"),COUNTIF(Août!F15:AJ15,"RTT"),COUNTIF(Septembre!F15:AJ15,"RTT"),COUNTIF(Octobre!F15:AJ15,"RTT"),COUNTIF(Novembre!F15:AJ15,"RTT"),COUNTIF(Décembre!F15:AJ15,"RTT"))</f>
        <v>0</v>
      </c>
      <c r="M11" s="29">
        <f>SUM(COUNTIF(Janvier!F15:AJ15,"dRTT"),COUNTIF(Février!F15:AI15,"dRTT"),COUNTIF(Mars!F15:AJ15,"dRTT"),COUNTIF(Avril!F15:AJ15,"dRTT"),COUNTIF(Mai!F15:AJ15,"dRTT"),COUNTIF(Juin!F15:AJ15,"dRTT"),COUNTIF(Juillet!F15:AJ15,"dRTT"),COUNTIF(Août!F15:AJ15,"dRTT"),COUNTIF(Septembre!F15:AJ15,"dRTT"),COUNTIF(Octobre!F15:AJ15,"dRTT"),COUNTIF(Novembre!F15:AJ15,"dRTT"),COUNTIF(Décembre!F15:AJ15,"dRTT"))</f>
        <v>0</v>
      </c>
      <c r="N11" s="29">
        <f>SUM(COUNTIF(Janvier!F15:AJ15,"R"),COUNTIF(Février!F15:AI15,"R"),COUNTIF(Mars!F15:AJ15,"R"),COUNTIF(Avril!F15:AJ15,"R"),COUNTIF(Mai!F15:AJ15,"R"),COUNTIF(Juin!F15:AJ15,"R"),COUNTIF(Juillet!F15:AJ15,"R"),COUNTIF(Août!F15:AJ15,"R"),COUNTIF(Septembre!F15:AJ15,"R"),COUNTIF(Octobre!F15:AJ15,"R"),COUNTIF(Novembre!F15:AJ15,"R"),COUNTIF(Décembre!F15:AJ15,"R"))</f>
        <v>0</v>
      </c>
      <c r="O11" s="29">
        <f>SUM(COUNTIF(Janvier!F15:AJ15,"M"),COUNTIF(Février!F15:AI15,"M"),COUNTIF(Mars!F15:AJ15,"M"),COUNTIF(Avril!F15:AJ15,"M"),COUNTIF(Mai!F15:AJ15,"M"),COUNTIF(Juin!F15:AJ15,"M"),COUNTIF(Juillet!F15:AJ15,"M"),COUNTIF(Août!F15:AJ15,"M"),COUNTIF(Septembre!F15:AJ15,"M"),COUNTIF(Octobre!F15:AJ15,"M"),COUNTIF(Novembre!F15:AJ15,"M"),COUNTIF(Décembre!F15:AJ15,"M"))</f>
        <v>0</v>
      </c>
      <c r="P11" s="29">
        <f>SUM(COUNTIF(Janvier!G15:AK15,"AT"),COUNTIF(Février!G15:AJ15,"AT"),COUNTIF(Mars!G15:AK15,"AT"),COUNTIF(Avril!G15:AK15,"AT"),COUNTIF(Mai!G15:AK15,"AT"),COUNTIF(Juin!G15:AK15,"AT"),COUNTIF(Juillet!G15:AK15,"AT"),COUNTIF(Août!G15:AK15,"AT"),COUNTIF(Septembre!G15:AK15,"AT"),COUNTIF(Octobre!G15:AK15,"AT"),COUNTIF(Novembre!G15:AK15,"AT"),COUNTIF(Décembre!G15:AK15,"AT"))</f>
        <v>0</v>
      </c>
      <c r="Q11" s="30">
        <f t="shared" ref="Q11:Q52" si="2">G11+I11-K11</f>
        <v>14</v>
      </c>
      <c r="R11" s="30">
        <f t="shared" ref="R11:R52" si="3">H11+J11-(L11+(M11/2))</f>
        <v>26</v>
      </c>
    </row>
    <row r="12" spans="2:18" ht="30" customHeight="1" x14ac:dyDescent="0.2">
      <c r="B12" s="15" t="s">
        <v>72</v>
      </c>
      <c r="C12" s="25" t="s">
        <v>155</v>
      </c>
      <c r="D12" s="25">
        <v>0</v>
      </c>
      <c r="E12" s="26"/>
      <c r="F12" s="26"/>
      <c r="G12" s="27">
        <v>7</v>
      </c>
      <c r="H12" s="27">
        <v>3</v>
      </c>
      <c r="I12" s="28">
        <v>27</v>
      </c>
      <c r="J12" s="28">
        <v>23</v>
      </c>
      <c r="K12" s="29">
        <f>SUM(COUNTIF(Janvier!F16:AJ16,"C"),COUNTIF(Février!F16:AI16,"C"),COUNTIF(Mars!F16:AJ16,"C"),COUNTIF(Avril!F16:AJ16,"C"),COUNTIF(Mai!F16:AJ16,"C"),COUNTIF(Juin!F16:AJ16,"C"),COUNTIF(Juillet!F16:AJ16,"C"),COUNTIF(Août!F16:AJ16,"C"),COUNTIF(Septembre!F16:AJ16,"C"),COUNTIF(Octobre!F16:AJ16,"C"),COUNTIF(Novembre!F16:AJ16,"C"),COUNTIF(Décembre!F16:AJ16,"C"))</f>
        <v>14</v>
      </c>
      <c r="L12" s="29">
        <f>SUM(COUNTIF(Janvier!F16:AJ16,"RTT"),COUNTIF(Février!F16:AI16,"RTT"),COUNTIF(Mars!F16:AJ16,"RTT"),COUNTIF(Avril!F16:AJ16,"RTT"),COUNTIF(Mai!F16:AJ16,"RTT"),COUNTIF(Juin!F16:AJ16,"RTT"),COUNTIF(Juillet!F16:AJ16,"RTT"),COUNTIF(Août!F16:AJ16,"RTT"),COUNTIF(Septembre!F16:AJ16,"RTT"),COUNTIF(Octobre!F16:AJ16,"RTT"),COUNTIF(Novembre!F16:AJ16,"RTT"),COUNTIF(Décembre!F16:AJ16,"RTT"))</f>
        <v>5</v>
      </c>
      <c r="M12" s="29">
        <f>SUM(COUNTIF(Janvier!F16:AJ16,"dRTT"),COUNTIF(Février!F16:AI16,"dRTT"),COUNTIF(Mars!F16:AJ16,"dRTT"),COUNTIF(Avril!F16:AJ16,"dRTT"),COUNTIF(Mai!F16:AJ16,"dRTT"),COUNTIF(Juin!F16:AJ16,"dRTT"),COUNTIF(Juillet!F16:AJ16,"dRTT"),COUNTIF(Août!F16:AJ16,"dRTT"),COUNTIF(Septembre!F16:AJ16,"dRTT"),COUNTIF(Octobre!F16:AJ16,"dRTT"),COUNTIF(Novembre!F16:AJ16,"dRTT"),COUNTIF(Décembre!F16:AJ16,"dRTT"))</f>
        <v>2</v>
      </c>
      <c r="N12" s="29">
        <f>SUM(COUNTIF(Janvier!F16:AJ16,"R"),COUNTIF(Février!F16:AI16,"R"),COUNTIF(Mars!F16:AJ16,"R"),COUNTIF(Avril!F16:AJ16,"R"),COUNTIF(Mai!F16:AJ16,"R"),COUNTIF(Juin!F16:AJ16,"R"),COUNTIF(Juillet!F16:AJ16,"R"),COUNTIF(Août!F16:AJ16,"R"),COUNTIF(Septembre!F16:AJ16,"R"),COUNTIF(Octobre!F16:AJ16,"R"),COUNTIF(Novembre!F16:AJ16,"R"),COUNTIF(Décembre!F16:AJ16,"R"))</f>
        <v>0</v>
      </c>
      <c r="O12" s="29">
        <f>SUM(COUNTIF(Janvier!F16:AJ16,"M"),COUNTIF(Février!F16:AI16,"M"),COUNTIF(Mars!F16:AJ16,"M"),COUNTIF(Avril!F16:AJ16,"M"),COUNTIF(Mai!F16:AJ16,"M"),COUNTIF(Juin!F16:AJ16,"M"),COUNTIF(Juillet!F16:AJ16,"M"),COUNTIF(Août!F16:AJ16,"M"),COUNTIF(Septembre!F16:AJ16,"M"),COUNTIF(Octobre!F16:AJ16,"M"),COUNTIF(Novembre!F16:AJ16,"M"),COUNTIF(Décembre!F16:AJ16,"M"))</f>
        <v>0</v>
      </c>
      <c r="P12" s="29">
        <f>SUM(COUNTIF(Janvier!G16:AK16,"AT"),COUNTIF(Février!G16:AJ16,"AT"),COUNTIF(Mars!G16:AK16,"AT"),COUNTIF(Avril!G16:AK16,"AT"),COUNTIF(Mai!G16:AK16,"AT"),COUNTIF(Juin!G16:AK16,"AT"),COUNTIF(Juillet!G16:AK16,"AT"),COUNTIF(Août!G16:AK16,"AT"),COUNTIF(Septembre!G16:AK16,"AT"),COUNTIF(Octobre!G16:AK16,"AT"),COUNTIF(Novembre!G16:AK16,"AT"),COUNTIF(Décembre!G16:AK16,"AT"))</f>
        <v>0</v>
      </c>
      <c r="Q12" s="30">
        <f t="shared" si="2"/>
        <v>20</v>
      </c>
      <c r="R12" s="30">
        <f t="shared" si="3"/>
        <v>20</v>
      </c>
    </row>
    <row r="13" spans="2:18" ht="30" customHeight="1" x14ac:dyDescent="0.2">
      <c r="B13" s="15" t="s">
        <v>73</v>
      </c>
      <c r="C13" s="25" t="s">
        <v>158</v>
      </c>
      <c r="D13" s="25">
        <v>0</v>
      </c>
      <c r="E13" s="26"/>
      <c r="F13" s="26"/>
      <c r="G13" s="27">
        <v>7</v>
      </c>
      <c r="H13" s="27">
        <v>3</v>
      </c>
      <c r="I13" s="28">
        <v>27</v>
      </c>
      <c r="J13" s="28">
        <v>23</v>
      </c>
      <c r="K13" s="29">
        <f>SUM(COUNTIF(Janvier!F17:AJ17,"C"),COUNTIF(Février!F17:AI17,"C"),COUNTIF(Mars!F17:AJ17,"C"),COUNTIF(Avril!F17:AJ17,"C"),COUNTIF(Mai!F17:AJ17,"C"),COUNTIF(Juin!F17:AJ17,"C"),COUNTIF(Juillet!F17:AJ17,"C"),COUNTIF(Août!F17:AJ17,"C"),COUNTIF(Septembre!F17:AJ17,"C"),COUNTIF(Octobre!F17:AJ17,"C"),COUNTIF(Novembre!F17:AJ17,"C"),COUNTIF(Décembre!F17:AJ17,"C"))</f>
        <v>10</v>
      </c>
      <c r="L13" s="29">
        <f>SUM(COUNTIF(Janvier!F17:AJ17,"RTT"),COUNTIF(Février!F17:AI17,"RTT"),COUNTIF(Mars!F17:AJ17,"RTT"),COUNTIF(Avril!F17:AJ17,"RTT"),COUNTIF(Mai!F17:AJ17,"RTT"),COUNTIF(Juin!F17:AJ17,"RTT"),COUNTIF(Juillet!F17:AJ17,"RTT"),COUNTIF(Août!F17:AJ17,"RTT"),COUNTIF(Septembre!F17:AJ17,"RTT"),COUNTIF(Octobre!F17:AJ17,"RTT"),COUNTIF(Novembre!F17:AJ17,"RTT"),COUNTIF(Décembre!F17:AJ17,"RTT"))</f>
        <v>0</v>
      </c>
      <c r="M13" s="29">
        <f>SUM(COUNTIF(Janvier!F17:AJ17,"dRTT"),COUNTIF(Février!F17:AI17,"dRTT"),COUNTIF(Mars!F17:AJ17,"dRTT"),COUNTIF(Avril!F17:AJ17,"dRTT"),COUNTIF(Mai!F17:AJ17,"dRTT"),COUNTIF(Juin!F17:AJ17,"dRTT"),COUNTIF(Juillet!F17:AJ17,"dRTT"),COUNTIF(Août!F17:AJ17,"dRTT"),COUNTIF(Septembre!F17:AJ17,"dRTT"),COUNTIF(Octobre!F17:AJ17,"dRTT"),COUNTIF(Novembre!F17:AJ17,"dRTT"),COUNTIF(Décembre!F17:AJ17,"dRTT"))</f>
        <v>0</v>
      </c>
      <c r="N13" s="29">
        <f>SUM(COUNTIF(Janvier!F17:AJ17,"R"),COUNTIF(Février!F17:AI17,"R"),COUNTIF(Mars!F17:AJ17,"R"),COUNTIF(Avril!F17:AJ17,"R"),COUNTIF(Mai!F17:AJ17,"R"),COUNTIF(Juin!F17:AJ17,"R"),COUNTIF(Juillet!F17:AJ17,"R"),COUNTIF(Août!F17:AJ17,"R"),COUNTIF(Septembre!F17:AJ17,"R"),COUNTIF(Octobre!F17:AJ17,"R"),COUNTIF(Novembre!F17:AJ17,"R"),COUNTIF(Décembre!F17:AJ17,"R"))</f>
        <v>0</v>
      </c>
      <c r="O13" s="29">
        <f>SUM(COUNTIF(Janvier!F17:AJ17,"M"),COUNTIF(Février!F17:AI17,"M"),COUNTIF(Mars!F17:AJ17,"M"),COUNTIF(Avril!F17:AJ17,"M"),COUNTIF(Mai!F17:AJ17,"M"),COUNTIF(Juin!F17:AJ17,"M"),COUNTIF(Juillet!F17:AJ17,"M"),COUNTIF(Août!F17:AJ17,"M"),COUNTIF(Septembre!F17:AJ17,"M"),COUNTIF(Octobre!F17:AJ17,"M"),COUNTIF(Novembre!F17:AJ17,"M"),COUNTIF(Décembre!F17:AJ17,"M"))</f>
        <v>0</v>
      </c>
      <c r="P13" s="29">
        <f>SUM(COUNTIF(Janvier!G17:AK17,"AT"),COUNTIF(Février!G17:AJ17,"AT"),COUNTIF(Mars!G17:AK17,"AT"),COUNTIF(Avril!G17:AK17,"AT"),COUNTIF(Mai!G17:AK17,"AT"),COUNTIF(Juin!G17:AK17,"AT"),COUNTIF(Juillet!G17:AK17,"AT"),COUNTIF(Août!G17:AK17,"AT"),COUNTIF(Septembre!G17:AK17,"AT"),COUNTIF(Octobre!G17:AK17,"AT"),COUNTIF(Novembre!G17:AK17,"AT"),COUNTIF(Décembre!G17:AK17,"AT"))</f>
        <v>19</v>
      </c>
      <c r="Q13" s="30">
        <f t="shared" si="2"/>
        <v>24</v>
      </c>
      <c r="R13" s="30">
        <f t="shared" si="3"/>
        <v>26</v>
      </c>
    </row>
    <row r="14" spans="2:18" ht="30" customHeight="1" x14ac:dyDescent="0.2">
      <c r="B14" s="15" t="s">
        <v>74</v>
      </c>
      <c r="C14" s="25" t="s">
        <v>161</v>
      </c>
      <c r="D14" s="25" t="s">
        <v>162</v>
      </c>
      <c r="E14" s="26"/>
      <c r="F14" s="26"/>
      <c r="G14" s="27">
        <v>7</v>
      </c>
      <c r="H14" s="27">
        <v>3</v>
      </c>
      <c r="I14" s="28">
        <v>27</v>
      </c>
      <c r="J14" s="28">
        <v>23</v>
      </c>
      <c r="K14" s="29">
        <f>SUM(COUNTIF(Janvier!F18:AJ18,"C"),COUNTIF(Février!F18:AI18,"C"),COUNTIF(Mars!F18:AJ18,"C"),COUNTIF(Avril!F18:AJ18,"C"),COUNTIF(Mai!F18:AJ18,"C"),COUNTIF(Juin!F18:AJ18,"C"),COUNTIF(Juillet!F18:AJ18,"C"),COUNTIF(Août!F18:AJ18,"C"),COUNTIF(Septembre!F18:AJ18,"C"),COUNTIF(Octobre!F18:AJ18,"C"),COUNTIF(Novembre!F18:AJ18,"C"),COUNTIF(Décembre!F18:AJ18,"C"))</f>
        <v>13</v>
      </c>
      <c r="L14" s="29">
        <f>SUM(COUNTIF(Janvier!F18:AJ18,"RTT"),COUNTIF(Février!F18:AI18,"RTT"),COUNTIF(Mars!F18:AJ18,"RTT"),COUNTIF(Avril!F18:AJ18,"RTT"),COUNTIF(Mai!F18:AJ18,"RTT"),COUNTIF(Juin!F18:AJ18,"RTT"),COUNTIF(Juillet!F18:AJ18,"RTT"),COUNTIF(Août!F18:AJ18,"RTT"),COUNTIF(Septembre!F18:AJ18,"RTT"),COUNTIF(Octobre!F18:AJ18,"RTT"),COUNTIF(Novembre!F18:AJ18,"RTT"),COUNTIF(Décembre!F18:AJ18,"RTT"))</f>
        <v>0</v>
      </c>
      <c r="M14" s="29">
        <f>SUM(COUNTIF(Janvier!F18:AJ18,"dRTT"),COUNTIF(Février!F18:AI18,"dRTT"),COUNTIF(Mars!F18:AJ18,"dRTT"),COUNTIF(Avril!F18:AJ18,"dRTT"),COUNTIF(Mai!F18:AJ18,"dRTT"),COUNTIF(Juin!F18:AJ18,"dRTT"),COUNTIF(Juillet!F18:AJ18,"dRTT"),COUNTIF(Août!F18:AJ18,"dRTT"),COUNTIF(Septembre!F18:AJ18,"dRTT"),COUNTIF(Octobre!F18:AJ18,"dRTT"),COUNTIF(Novembre!F18:AJ18,"dRTT"),COUNTIF(Décembre!F18:AJ18,"dRTT"))</f>
        <v>0</v>
      </c>
      <c r="N14" s="29">
        <f>SUM(COUNTIF(Janvier!F18:AJ18,"R"),COUNTIF(Février!F18:AI18,"R"),COUNTIF(Mars!F18:AJ18,"R"),COUNTIF(Avril!F18:AJ18,"R"),COUNTIF(Mai!F18:AJ18,"R"),COUNTIF(Juin!F18:AJ18,"R"),COUNTIF(Juillet!F18:AJ18,"R"),COUNTIF(Août!F18:AJ18,"R"),COUNTIF(Septembre!F18:AJ18,"R"),COUNTIF(Octobre!F18:AJ18,"R"),COUNTIF(Novembre!F18:AJ18,"R"),COUNTIF(Décembre!F18:AJ18,"R"))</f>
        <v>0</v>
      </c>
      <c r="O14" s="29">
        <f>SUM(COUNTIF(Janvier!F18:AJ18,"M"),COUNTIF(Février!F18:AI18,"M"),COUNTIF(Mars!F18:AJ18,"M"),COUNTIF(Avril!F18:AJ18,"M"),COUNTIF(Mai!F18:AJ18,"M"),COUNTIF(Juin!F18:AJ18,"M"),COUNTIF(Juillet!F18:AJ18,"M"),COUNTIF(Août!F18:AJ18,"M"),COUNTIF(Septembre!F18:AJ18,"M"),COUNTIF(Octobre!F18:AJ18,"M"),COUNTIF(Novembre!F18:AJ18,"M"),COUNTIF(Décembre!F18:AJ18,"M"))</f>
        <v>2</v>
      </c>
      <c r="P14" s="29">
        <f>SUM(COUNTIF(Janvier!G18:AK18,"AT"),COUNTIF(Février!G18:AJ18,"AT"),COUNTIF(Mars!G18:AK18,"AT"),COUNTIF(Avril!G18:AK18,"AT"),COUNTIF(Mai!G18:AK18,"AT"),COUNTIF(Juin!G18:AK18,"AT"),COUNTIF(Juillet!G18:AK18,"AT"),COUNTIF(Août!G18:AK18,"AT"),COUNTIF(Septembre!G18:AK18,"AT"),COUNTIF(Octobre!G18:AK18,"AT"),COUNTIF(Novembre!G18:AK18,"AT"),COUNTIF(Décembre!G18:AK18,"AT"))</f>
        <v>0</v>
      </c>
      <c r="Q14" s="30">
        <f t="shared" si="2"/>
        <v>21</v>
      </c>
      <c r="R14" s="30">
        <f t="shared" si="3"/>
        <v>26</v>
      </c>
    </row>
    <row r="15" spans="2:18" ht="30" customHeight="1" x14ac:dyDescent="0.2">
      <c r="B15" s="15" t="s">
        <v>75</v>
      </c>
      <c r="C15" s="25" t="s">
        <v>165</v>
      </c>
      <c r="D15" s="25">
        <v>0</v>
      </c>
      <c r="E15" s="26"/>
      <c r="F15" s="26"/>
      <c r="G15" s="27">
        <v>7</v>
      </c>
      <c r="H15" s="27">
        <v>3</v>
      </c>
      <c r="I15" s="28">
        <v>27</v>
      </c>
      <c r="J15" s="28">
        <v>23</v>
      </c>
      <c r="K15" s="29">
        <f>SUM(COUNTIF(Janvier!F19:AJ19,"C"),COUNTIF(Février!F19:AI19,"C"),COUNTIF(Mars!F19:AJ19,"C"),COUNTIF(Avril!F19:AJ19,"C"),COUNTIF(Mai!F19:AJ19,"C"),COUNTIF(Juin!F19:AJ19,"C"),COUNTIF(Juillet!F19:AJ19,"C"),COUNTIF(Août!F19:AJ19,"C"),COUNTIF(Septembre!F19:AJ19,"C"),COUNTIF(Octobre!F19:AJ19,"C"),COUNTIF(Novembre!F19:AJ19,"C"),COUNTIF(Décembre!F19:AJ19,"C"))</f>
        <v>19</v>
      </c>
      <c r="L15" s="29">
        <f>SUM(COUNTIF(Janvier!F19:AJ19,"RTT"),COUNTIF(Février!F19:AI19,"RTT"),COUNTIF(Mars!F19:AJ19,"RTT"),COUNTIF(Avril!F19:AJ19,"RTT"),COUNTIF(Mai!F19:AJ19,"RTT"),COUNTIF(Juin!F19:AJ19,"RTT"),COUNTIF(Juillet!F19:AJ19,"RTT"),COUNTIF(Août!F19:AJ19,"RTT"),COUNTIF(Septembre!F19:AJ19,"RTT"),COUNTIF(Octobre!F19:AJ19,"RTT"),COUNTIF(Novembre!F19:AJ19,"RTT"),COUNTIF(Décembre!F19:AJ19,"RTT"))</f>
        <v>1</v>
      </c>
      <c r="M15" s="29">
        <f>SUM(COUNTIF(Janvier!F19:AJ19,"dRTT"),COUNTIF(Février!F19:AI19,"dRTT"),COUNTIF(Mars!F19:AJ19,"dRTT"),COUNTIF(Avril!F19:AJ19,"dRTT"),COUNTIF(Mai!F19:AJ19,"dRTT"),COUNTIF(Juin!F19:AJ19,"dRTT"),COUNTIF(Juillet!F19:AJ19,"dRTT"),COUNTIF(Août!F19:AJ19,"dRTT"),COUNTIF(Septembre!F19:AJ19,"dRTT"),COUNTIF(Octobre!F19:AJ19,"dRTT"),COUNTIF(Novembre!F19:AJ19,"dRTT"),COUNTIF(Décembre!F19:AJ19,"dRTT"))</f>
        <v>0</v>
      </c>
      <c r="N15" s="29">
        <f>SUM(COUNTIF(Janvier!F19:AJ19,"R"),COUNTIF(Février!F19:AI19,"R"),COUNTIF(Mars!F19:AJ19,"R"),COUNTIF(Avril!F19:AJ19,"R"),COUNTIF(Mai!F19:AJ19,"R"),COUNTIF(Juin!F19:AJ19,"R"),COUNTIF(Juillet!F19:AJ19,"R"),COUNTIF(Août!F19:AJ19,"R"),COUNTIF(Septembre!F19:AJ19,"R"),COUNTIF(Octobre!F19:AJ19,"R"),COUNTIF(Novembre!F19:AJ19,"R"),COUNTIF(Décembre!F19:AJ19,"R"))</f>
        <v>0</v>
      </c>
      <c r="O15" s="29">
        <f>SUM(COUNTIF(Janvier!F19:AJ19,"M"),COUNTIF(Février!F19:AI19,"M"),COUNTIF(Mars!F19:AJ19,"M"),COUNTIF(Avril!F19:AJ19,"M"),COUNTIF(Mai!F19:AJ19,"M"),COUNTIF(Juin!F19:AJ19,"M"),COUNTIF(Juillet!F19:AJ19,"M"),COUNTIF(Août!F19:AJ19,"M"),COUNTIF(Septembre!F19:AJ19,"M"),COUNTIF(Octobre!F19:AJ19,"M"),COUNTIF(Novembre!F19:AJ19,"M"),COUNTIF(Décembre!F19:AJ19,"M"))</f>
        <v>0</v>
      </c>
      <c r="P15" s="29">
        <f>SUM(COUNTIF(Janvier!G19:AK19,"AT"),COUNTIF(Février!G19:AJ19,"AT"),COUNTIF(Mars!G19:AK19,"AT"),COUNTIF(Avril!G19:AK19,"AT"),COUNTIF(Mai!G19:AK19,"AT"),COUNTIF(Juin!G19:AK19,"AT"),COUNTIF(Juillet!G19:AK19,"AT"),COUNTIF(Août!G19:AK19,"AT"),COUNTIF(Septembre!G19:AK19,"AT"),COUNTIF(Octobre!G19:AK19,"AT"),COUNTIF(Novembre!G19:AK19,"AT"),COUNTIF(Décembre!G19:AK19,"AT"))</f>
        <v>0</v>
      </c>
      <c r="Q15" s="30">
        <f t="shared" si="2"/>
        <v>15</v>
      </c>
      <c r="R15" s="30">
        <f t="shared" si="3"/>
        <v>25</v>
      </c>
    </row>
    <row r="16" spans="2:18" ht="30" customHeight="1" x14ac:dyDescent="0.2">
      <c r="B16" s="15" t="s">
        <v>76</v>
      </c>
      <c r="C16" s="25" t="s">
        <v>167</v>
      </c>
      <c r="D16" s="25">
        <v>0</v>
      </c>
      <c r="E16" s="26"/>
      <c r="F16" s="26"/>
      <c r="G16" s="27">
        <v>7</v>
      </c>
      <c r="H16" s="27">
        <v>3</v>
      </c>
      <c r="I16" s="28">
        <v>27</v>
      </c>
      <c r="J16" s="28">
        <v>23</v>
      </c>
      <c r="K16" s="29">
        <f>SUM(COUNTIF(Janvier!F20:AJ20,"C"),COUNTIF(Février!F20:AI20,"C"),COUNTIF(Mars!F20:AJ20,"C"),COUNTIF(Avril!F20:AJ20,"C"),COUNTIF(Mai!F20:AJ20,"C"),COUNTIF(Juin!F20:AJ20,"C"),COUNTIF(Juillet!F20:AJ20,"C"),COUNTIF(Août!F20:AJ20,"C"),COUNTIF(Septembre!F20:AJ20,"C"),COUNTIF(Octobre!F20:AJ20,"C"),COUNTIF(Novembre!F20:AJ20,"C"),COUNTIF(Décembre!F20:AJ20,"C"))</f>
        <v>30</v>
      </c>
      <c r="L16" s="29">
        <f>SUM(COUNTIF(Janvier!F20:AJ20,"RTT"),COUNTIF(Février!F20:AI20,"RTT"),COUNTIF(Mars!F20:AJ20,"RTT"),COUNTIF(Avril!F20:AJ20,"RTT"),COUNTIF(Mai!F20:AJ20,"RTT"),COUNTIF(Juin!F20:AJ20,"RTT"),COUNTIF(Juillet!F20:AJ20,"RTT"),COUNTIF(Août!F20:AJ20,"RTT"),COUNTIF(Septembre!F20:AJ20,"RTT"),COUNTIF(Octobre!F20:AJ20,"RTT"),COUNTIF(Novembre!F20:AJ20,"RTT"),COUNTIF(Décembre!F20:AJ20,"RTT"))</f>
        <v>7</v>
      </c>
      <c r="M16" s="29">
        <f>SUM(COUNTIF(Janvier!F20:AJ20,"dRTT"),COUNTIF(Février!F20:AI20,"dRTT"),COUNTIF(Mars!F20:AJ20,"dRTT"),COUNTIF(Avril!F20:AJ20,"dRTT"),COUNTIF(Mai!F20:AJ20,"dRTT"),COUNTIF(Juin!F20:AJ20,"dRTT"),COUNTIF(Juillet!F20:AJ20,"dRTT"),COUNTIF(Août!F20:AJ20,"dRTT"),COUNTIF(Septembre!F20:AJ20,"dRTT"),COUNTIF(Octobre!F20:AJ20,"dRTT"),COUNTIF(Novembre!F20:AJ20,"dRTT"),COUNTIF(Décembre!F20:AJ20,"dRTT"))</f>
        <v>0</v>
      </c>
      <c r="N16" s="29">
        <f>SUM(COUNTIF(Janvier!F20:AJ20,"R"),COUNTIF(Février!F20:AI20,"R"),COUNTIF(Mars!F20:AJ20,"R"),COUNTIF(Avril!F20:AJ20,"R"),COUNTIF(Mai!F20:AJ20,"R"),COUNTIF(Juin!F20:AJ20,"R"),COUNTIF(Juillet!F20:AJ20,"R"),COUNTIF(Août!F20:AJ20,"R"),COUNTIF(Septembre!F20:AJ20,"R"),COUNTIF(Octobre!F20:AJ20,"R"),COUNTIF(Novembre!F20:AJ20,"R"),COUNTIF(Décembre!F20:AJ20,"R"))</f>
        <v>0</v>
      </c>
      <c r="O16" s="29">
        <f>SUM(COUNTIF(Janvier!F20:AJ20,"M"),COUNTIF(Février!F20:AI20,"M"),COUNTIF(Mars!F20:AJ20,"M"),COUNTIF(Avril!F20:AJ20,"M"),COUNTIF(Mai!F20:AJ20,"M"),COUNTIF(Juin!F20:AJ20,"M"),COUNTIF(Juillet!F20:AJ20,"M"),COUNTIF(Août!F20:AJ20,"M"),COUNTIF(Septembre!F20:AJ20,"M"),COUNTIF(Octobre!F20:AJ20,"M"),COUNTIF(Novembre!F20:AJ20,"M"),COUNTIF(Décembre!F20:AJ20,"M"))</f>
        <v>0</v>
      </c>
      <c r="P16" s="29">
        <f>SUM(COUNTIF(Janvier!G20:AK20,"AT"),COUNTIF(Février!G20:AJ20,"AT"),COUNTIF(Mars!G20:AK20,"AT"),COUNTIF(Avril!G20:AK20,"AT"),COUNTIF(Mai!G20:AK20,"AT"),COUNTIF(Juin!G20:AK20,"AT"),COUNTIF(Juillet!G20:AK20,"AT"),COUNTIF(Août!G20:AK20,"AT"),COUNTIF(Septembre!G20:AK20,"AT"),COUNTIF(Octobre!G20:AK20,"AT"),COUNTIF(Novembre!G20:AK20,"AT"),COUNTIF(Décembre!G20:AK20,"AT"))</f>
        <v>0</v>
      </c>
      <c r="Q16" s="30">
        <f t="shared" si="2"/>
        <v>4</v>
      </c>
      <c r="R16" s="30">
        <f t="shared" si="3"/>
        <v>19</v>
      </c>
    </row>
    <row r="17" spans="2:18" ht="30" customHeight="1" x14ac:dyDescent="0.2">
      <c r="B17" s="15" t="s">
        <v>77</v>
      </c>
      <c r="C17" s="25" t="s">
        <v>170</v>
      </c>
      <c r="D17" s="25">
        <v>0</v>
      </c>
      <c r="E17" s="26"/>
      <c r="F17" s="26"/>
      <c r="G17" s="27">
        <v>7</v>
      </c>
      <c r="H17" s="27">
        <v>3</v>
      </c>
      <c r="I17" s="28">
        <v>27</v>
      </c>
      <c r="J17" s="28">
        <v>23</v>
      </c>
      <c r="K17" s="29">
        <f>SUM(COUNTIF(Janvier!F21:AJ21,"C"),COUNTIF(Février!F21:AI21,"C"),COUNTIF(Mars!F21:AJ21,"C"),COUNTIF(Avril!F21:AJ21,"C"),COUNTIF(Mai!F21:AJ21,"C"),COUNTIF(Juin!F21:AJ21,"C"),COUNTIF(Juillet!F21:AJ21,"C"),COUNTIF(Août!F21:AJ21,"C"),COUNTIF(Septembre!F21:AJ21,"C"),COUNTIF(Octobre!F21:AJ21,"C"),COUNTIF(Novembre!F21:AJ21,"C"),COUNTIF(Décembre!F21:AJ21,"C"))</f>
        <v>20</v>
      </c>
      <c r="L17" s="29">
        <f>SUM(COUNTIF(Janvier!F21:AJ21,"RTT"),COUNTIF(Février!F21:AI21,"RTT"),COUNTIF(Mars!F21:AJ21,"RTT"),COUNTIF(Avril!F21:AJ21,"RTT"),COUNTIF(Mai!F21:AJ21,"RTT"),COUNTIF(Juin!F21:AJ21,"RTT"),COUNTIF(Juillet!F21:AJ21,"RTT"),COUNTIF(Août!F21:AJ21,"RTT"),COUNTIF(Septembre!F21:AJ21,"RTT"),COUNTIF(Octobre!F21:AJ21,"RTT"),COUNTIF(Novembre!F21:AJ21,"RTT"),COUNTIF(Décembre!F21:AJ21,"RTT"))</f>
        <v>2</v>
      </c>
      <c r="M17" s="29">
        <f>SUM(COUNTIF(Janvier!F21:AJ21,"dRTT"),COUNTIF(Février!F21:AI21,"dRTT"),COUNTIF(Mars!F21:AJ21,"dRTT"),COUNTIF(Avril!F21:AJ21,"dRTT"),COUNTIF(Mai!F21:AJ21,"dRTT"),COUNTIF(Juin!F21:AJ21,"dRTT"),COUNTIF(Juillet!F21:AJ21,"dRTT"),COUNTIF(Août!F21:AJ21,"dRTT"),COUNTIF(Septembre!F21:AJ21,"dRTT"),COUNTIF(Octobre!F21:AJ21,"dRTT"),COUNTIF(Novembre!F21:AJ21,"dRTT"),COUNTIF(Décembre!F21:AJ21,"dRTT"))</f>
        <v>0</v>
      </c>
      <c r="N17" s="29">
        <f>SUM(COUNTIF(Janvier!F21:AJ21,"R"),COUNTIF(Février!F21:AI21,"R"),COUNTIF(Mars!F21:AJ21,"R"),COUNTIF(Avril!F21:AJ21,"R"),COUNTIF(Mai!F21:AJ21,"R"),COUNTIF(Juin!F21:AJ21,"R"),COUNTIF(Juillet!F21:AJ21,"R"),COUNTIF(Août!F21:AJ21,"R"),COUNTIF(Septembre!F21:AJ21,"R"),COUNTIF(Octobre!F21:AJ21,"R"),COUNTIF(Novembre!F21:AJ21,"R"),COUNTIF(Décembre!F21:AJ21,"R"))</f>
        <v>0</v>
      </c>
      <c r="O17" s="29">
        <f>SUM(COUNTIF(Janvier!F21:AJ21,"M"),COUNTIF(Février!F21:AI21,"M"),COUNTIF(Mars!F21:AJ21,"M"),COUNTIF(Avril!F21:AJ21,"M"),COUNTIF(Mai!F21:AJ21,"M"),COUNTIF(Juin!F21:AJ21,"M"),COUNTIF(Juillet!F21:AJ21,"M"),COUNTIF(Août!F21:AJ21,"M"),COUNTIF(Septembre!F21:AJ21,"M"),COUNTIF(Octobre!F21:AJ21,"M"),COUNTIF(Novembre!F21:AJ21,"M"),COUNTIF(Décembre!F21:AJ21,"M"))</f>
        <v>12</v>
      </c>
      <c r="P17" s="29">
        <f>SUM(COUNTIF(Janvier!G21:AK21,"AT"),COUNTIF(Février!G21:AJ21,"AT"),COUNTIF(Mars!G21:AK21,"AT"),COUNTIF(Avril!G21:AK21,"AT"),COUNTIF(Mai!G21:AK21,"AT"),COUNTIF(Juin!G21:AK21,"AT"),COUNTIF(Juillet!G21:AK21,"AT"),COUNTIF(Août!G21:AK21,"AT"),COUNTIF(Septembre!G21:AK21,"AT"),COUNTIF(Octobre!G21:AK21,"AT"),COUNTIF(Novembre!G21:AK21,"AT"),COUNTIF(Décembre!G21:AK21,"AT"))</f>
        <v>0</v>
      </c>
      <c r="Q17" s="30">
        <f t="shared" si="2"/>
        <v>14</v>
      </c>
      <c r="R17" s="30">
        <f t="shared" si="3"/>
        <v>24</v>
      </c>
    </row>
    <row r="18" spans="2:18" ht="30" customHeight="1" x14ac:dyDescent="0.2">
      <c r="B18" s="13" t="s">
        <v>78</v>
      </c>
      <c r="C18" s="25" t="s">
        <v>173</v>
      </c>
      <c r="D18" s="25">
        <v>0</v>
      </c>
      <c r="E18" s="26"/>
      <c r="F18" s="26"/>
      <c r="G18" s="27">
        <v>7</v>
      </c>
      <c r="H18" s="27">
        <v>3</v>
      </c>
      <c r="I18" s="28">
        <v>27</v>
      </c>
      <c r="J18" s="28">
        <v>23</v>
      </c>
      <c r="K18" s="29">
        <f>SUM(COUNTIF(Janvier!F22:AJ22,"C"),COUNTIF(Février!F22:AI22,"C"),COUNTIF(Mars!F22:AJ22,"C"),COUNTIF(Avril!F22:AJ22,"C"),COUNTIF(Mai!F22:AJ22,"C"),COUNTIF(Juin!F22:AJ22,"C"),COUNTIF(Juillet!F22:AJ22,"C"),COUNTIF(Août!F22:AJ22,"C"),COUNTIF(Septembre!F22:AJ22,"C"),COUNTIF(Octobre!F22:AJ22,"C"),COUNTIF(Novembre!F22:AJ22,"C"),COUNTIF(Décembre!F22:AJ22,"C"))</f>
        <v>16</v>
      </c>
      <c r="L18" s="29">
        <f>SUM(COUNTIF(Janvier!F22:AJ22,"RTT"),COUNTIF(Février!F22:AI22,"RTT"),COUNTIF(Mars!F22:AJ22,"RTT"),COUNTIF(Avril!F22:AJ22,"RTT"),COUNTIF(Mai!F22:AJ22,"RTT"),COUNTIF(Juin!F22:AJ22,"RTT"),COUNTIF(Juillet!F22:AJ22,"RTT"),COUNTIF(Août!F22:AJ22,"RTT"),COUNTIF(Septembre!F22:AJ22,"RTT"),COUNTIF(Octobre!F22:AJ22,"RTT"),COUNTIF(Novembre!F22:AJ22,"RTT"),COUNTIF(Décembre!F22:AJ22,"RTT"))</f>
        <v>0</v>
      </c>
      <c r="M18" s="29">
        <f>SUM(COUNTIF(Janvier!F22:AJ22,"dRTT"),COUNTIF(Février!F22:AI22,"dRTT"),COUNTIF(Mars!F22:AJ22,"dRTT"),COUNTIF(Avril!F22:AJ22,"dRTT"),COUNTIF(Mai!F22:AJ22,"dRTT"),COUNTIF(Juin!F22:AJ22,"dRTT"),COUNTIF(Juillet!F22:AJ22,"dRTT"),COUNTIF(Août!F22:AJ22,"dRTT"),COUNTIF(Septembre!F22:AJ22,"dRTT"),COUNTIF(Octobre!F22:AJ22,"dRTT"),COUNTIF(Novembre!F22:AJ22,"dRTT"),COUNTIF(Décembre!F22:AJ22,"dRTT"))</f>
        <v>0</v>
      </c>
      <c r="N18" s="29">
        <f>SUM(COUNTIF(Janvier!F22:AJ22,"R"),COUNTIF(Février!F22:AI22,"R"),COUNTIF(Mars!F22:AJ22,"R"),COUNTIF(Avril!F22:AJ22,"R"),COUNTIF(Mai!F22:AJ22,"R"),COUNTIF(Juin!F22:AJ22,"R"),COUNTIF(Juillet!F22:AJ22,"R"),COUNTIF(Août!F22:AJ22,"R"),COUNTIF(Septembre!F22:AJ22,"R"),COUNTIF(Octobre!F22:AJ22,"R"),COUNTIF(Novembre!F22:AJ22,"R"),COUNTIF(Décembre!F22:AJ22,"R"))</f>
        <v>0</v>
      </c>
      <c r="O18" s="29">
        <f>SUM(COUNTIF(Janvier!F22:AJ22,"M"),COUNTIF(Février!F22:AI22,"M"),COUNTIF(Mars!F22:AJ22,"M"),COUNTIF(Avril!F22:AJ22,"M"),COUNTIF(Mai!F22:AJ22,"M"),COUNTIF(Juin!F22:AJ22,"M"),COUNTIF(Juillet!F22:AJ22,"M"),COUNTIF(Août!F22:AJ22,"M"),COUNTIF(Septembre!F22:AJ22,"M"),COUNTIF(Octobre!F22:AJ22,"M"),COUNTIF(Novembre!F22:AJ22,"M"),COUNTIF(Décembre!F22:AJ22,"M"))</f>
        <v>7</v>
      </c>
      <c r="P18" s="29">
        <f>SUM(COUNTIF(Janvier!G22:AK22,"AT"),COUNTIF(Février!G22:AJ22,"AT"),COUNTIF(Mars!G22:AK22,"AT"),COUNTIF(Avril!G22:AK22,"AT"),COUNTIF(Mai!G22:AK22,"AT"),COUNTIF(Juin!G22:AK22,"AT"),COUNTIF(Juillet!G22:AK22,"AT"),COUNTIF(Août!G22:AK22,"AT"),COUNTIF(Septembre!G22:AK22,"AT"),COUNTIF(Octobre!G22:AK22,"AT"),COUNTIF(Novembre!G22:AK22,"AT"),COUNTIF(Décembre!G22:AK22,"AT"))</f>
        <v>0</v>
      </c>
      <c r="Q18" s="30">
        <f t="shared" si="2"/>
        <v>18</v>
      </c>
      <c r="R18" s="30">
        <f t="shared" si="3"/>
        <v>26</v>
      </c>
    </row>
    <row r="19" spans="2:18" ht="30" customHeight="1" x14ac:dyDescent="0.2">
      <c r="B19" s="13" t="s">
        <v>79</v>
      </c>
      <c r="C19" s="25" t="s">
        <v>176</v>
      </c>
      <c r="D19" s="25">
        <v>0</v>
      </c>
      <c r="E19" s="26"/>
      <c r="F19" s="26"/>
      <c r="G19" s="27">
        <v>7</v>
      </c>
      <c r="H19" s="27">
        <v>3</v>
      </c>
      <c r="I19" s="28">
        <v>27</v>
      </c>
      <c r="J19" s="28">
        <v>23</v>
      </c>
      <c r="K19" s="29">
        <f>SUM(COUNTIF(Janvier!F23:AJ23,"C"),COUNTIF(Février!F23:AI23,"C"),COUNTIF(Mars!F23:AJ23,"C"),COUNTIF(Avril!F23:AJ23,"C"),COUNTIF(Mai!F23:AJ23,"C"),COUNTIF(Juin!F23:AJ23,"C"),COUNTIF(Juillet!F23:AJ23,"C"),COUNTIF(Août!F23:AJ23,"C"),COUNTIF(Septembre!F23:AJ23,"C"),COUNTIF(Octobre!F23:AJ23,"C"),COUNTIF(Novembre!F23:AJ23,"C"),COUNTIF(Décembre!F23:AJ23,"C"))</f>
        <v>31</v>
      </c>
      <c r="L19" s="29">
        <f>SUM(COUNTIF(Janvier!F23:AJ23,"RTT"),COUNTIF(Février!F23:AI23,"RTT"),COUNTIF(Mars!F23:AJ23,"RTT"),COUNTIF(Avril!F23:AJ23,"RTT"),COUNTIF(Mai!F23:AJ23,"RTT"),COUNTIF(Juin!F23:AJ23,"RTT"),COUNTIF(Juillet!F23:AJ23,"RTT"),COUNTIF(Août!F23:AJ23,"RTT"),COUNTIF(Septembre!F23:AJ23,"RTT"),COUNTIF(Octobre!F23:AJ23,"RTT"),COUNTIF(Novembre!F23:AJ23,"RTT"),COUNTIF(Décembre!F23:AJ23,"RTT"))</f>
        <v>0</v>
      </c>
      <c r="M19" s="29">
        <f>SUM(COUNTIF(Janvier!F23:AJ23,"dRTT"),COUNTIF(Février!F23:AI23,"dRTT"),COUNTIF(Mars!F23:AJ23,"dRTT"),COUNTIF(Avril!F23:AJ23,"dRTT"),COUNTIF(Mai!F23:AJ23,"dRTT"),COUNTIF(Juin!F23:AJ23,"dRTT"),COUNTIF(Juillet!F23:AJ23,"dRTT"),COUNTIF(Août!F23:AJ23,"dRTT"),COUNTIF(Septembre!F23:AJ23,"dRTT"),COUNTIF(Octobre!F23:AJ23,"dRTT"),COUNTIF(Novembre!F23:AJ23,"dRTT"),COUNTIF(Décembre!F23:AJ23,"dRTT"))</f>
        <v>0</v>
      </c>
      <c r="N19" s="29">
        <f>SUM(COUNTIF(Janvier!F23:AJ23,"R"),COUNTIF(Février!F23:AI23,"R"),COUNTIF(Mars!F23:AJ23,"R"),COUNTIF(Avril!F23:AJ23,"R"),COUNTIF(Mai!F23:AJ23,"R"),COUNTIF(Juin!F23:AJ23,"R"),COUNTIF(Juillet!F23:AJ23,"R"),COUNTIF(Août!F23:AJ23,"R"),COUNTIF(Septembre!F23:AJ23,"R"),COUNTIF(Octobre!F23:AJ23,"R"),COUNTIF(Novembre!F23:AJ23,"R"),COUNTIF(Décembre!F23:AJ23,"R"))</f>
        <v>0</v>
      </c>
      <c r="O19" s="29">
        <f>SUM(COUNTIF(Janvier!F23:AJ23,"M"),COUNTIF(Février!F23:AI23,"M"),COUNTIF(Mars!F23:AJ23,"M"),COUNTIF(Avril!F23:AJ23,"M"),COUNTIF(Mai!F23:AJ23,"M"),COUNTIF(Juin!F23:AJ23,"M"),COUNTIF(Juillet!F23:AJ23,"M"),COUNTIF(Août!F23:AJ23,"M"),COUNTIF(Septembre!F23:AJ23,"M"),COUNTIF(Octobre!F23:AJ23,"M"),COUNTIF(Novembre!F23:AJ23,"M"),COUNTIF(Décembre!F23:AJ23,"M"))</f>
        <v>3</v>
      </c>
      <c r="P19" s="29">
        <f>SUM(COUNTIF(Janvier!G23:AK23,"AT"),COUNTIF(Février!G23:AJ23,"AT"),COUNTIF(Mars!G23:AK23,"AT"),COUNTIF(Avril!G23:AK23,"AT"),COUNTIF(Mai!G23:AK23,"AT"),COUNTIF(Juin!G23:AK23,"AT"),COUNTIF(Juillet!G23:AK23,"AT"),COUNTIF(Août!G23:AK23,"AT"),COUNTIF(Septembre!G23:AK23,"AT"),COUNTIF(Octobre!G23:AK23,"AT"),COUNTIF(Novembre!G23:AK23,"AT"),COUNTIF(Décembre!G23:AK23,"AT"))</f>
        <v>0</v>
      </c>
      <c r="Q19" s="30">
        <f t="shared" si="2"/>
        <v>3</v>
      </c>
      <c r="R19" s="30">
        <f t="shared" si="3"/>
        <v>26</v>
      </c>
    </row>
    <row r="20" spans="2:18" ht="30" customHeight="1" x14ac:dyDescent="0.2">
      <c r="B20" s="15" t="s">
        <v>80</v>
      </c>
      <c r="C20" s="25" t="s">
        <v>179</v>
      </c>
      <c r="D20" s="25">
        <v>0</v>
      </c>
      <c r="E20" s="26"/>
      <c r="F20" s="26"/>
      <c r="G20" s="27">
        <v>7</v>
      </c>
      <c r="H20" s="27">
        <v>3</v>
      </c>
      <c r="I20" s="28">
        <v>27</v>
      </c>
      <c r="J20" s="28">
        <v>23</v>
      </c>
      <c r="K20" s="29">
        <f>SUM(COUNTIF(Janvier!F24:AJ24,"C"),COUNTIF(Février!F24:AI24,"C"),COUNTIF(Mars!F24:AJ24,"C"),COUNTIF(Avril!F24:AJ24,"C"),COUNTIF(Mai!F24:AJ24,"C"),COUNTIF(Juin!F24:AJ24,"C"),COUNTIF(Juillet!F24:AJ24,"C"),COUNTIF(Août!F24:AJ24,"C"),COUNTIF(Septembre!F24:AJ24,"C"),COUNTIF(Octobre!F24:AJ24,"C"),COUNTIF(Novembre!F24:AJ24,"C"),COUNTIF(Décembre!F24:AJ24,"C"))</f>
        <v>42</v>
      </c>
      <c r="L20" s="29">
        <f>SUM(COUNTIF(Janvier!F24:AJ24,"RTT"),COUNTIF(Février!F24:AI24,"RTT"),COUNTIF(Mars!F24:AJ24,"RTT"),COUNTIF(Avril!F24:AJ24,"RTT"),COUNTIF(Mai!F24:AJ24,"RTT"),COUNTIF(Juin!F24:AJ24,"RTT"),COUNTIF(Juillet!F24:AJ24,"RTT"),COUNTIF(Août!F24:AJ24,"RTT"),COUNTIF(Septembre!F24:AJ24,"RTT"),COUNTIF(Octobre!F24:AJ24,"RTT"),COUNTIF(Novembre!F24:AJ24,"RTT"),COUNTIF(Décembre!F24:AJ24,"RTT"))</f>
        <v>0</v>
      </c>
      <c r="M20" s="29">
        <f>SUM(COUNTIF(Janvier!F24:AJ24,"dRTT"),COUNTIF(Février!F24:AI24,"dRTT"),COUNTIF(Mars!F24:AJ24,"dRTT"),COUNTIF(Avril!F24:AJ24,"dRTT"),COUNTIF(Mai!F24:AJ24,"dRTT"),COUNTIF(Juin!F24:AJ24,"dRTT"),COUNTIF(Juillet!F24:AJ24,"dRTT"),COUNTIF(Août!F24:AJ24,"dRTT"),COUNTIF(Septembre!F24:AJ24,"dRTT"),COUNTIF(Octobre!F24:AJ24,"dRTT"),COUNTIF(Novembre!F24:AJ24,"dRTT"),COUNTIF(Décembre!F24:AJ24,"dRTT"))</f>
        <v>0</v>
      </c>
      <c r="N20" s="29">
        <f>SUM(COUNTIF(Janvier!F24:AJ24,"R"),COUNTIF(Février!F24:AI24,"R"),COUNTIF(Mars!F24:AJ24,"R"),COUNTIF(Avril!F24:AJ24,"R"),COUNTIF(Mai!F24:AJ24,"R"),COUNTIF(Juin!F24:AJ24,"R"),COUNTIF(Juillet!F24:AJ24,"R"),COUNTIF(Août!F24:AJ24,"R"),COUNTIF(Septembre!F24:AJ24,"R"),COUNTIF(Octobre!F24:AJ24,"R"),COUNTIF(Novembre!F24:AJ24,"R"),COUNTIF(Décembre!F24:AJ24,"R"))</f>
        <v>0</v>
      </c>
      <c r="O20" s="29">
        <f>SUM(COUNTIF(Janvier!F24:AJ24,"M"),COUNTIF(Février!F24:AI24,"M"),COUNTIF(Mars!F24:AJ24,"M"),COUNTIF(Avril!F24:AJ24,"M"),COUNTIF(Mai!F24:AJ24,"M"),COUNTIF(Juin!F24:AJ24,"M"),COUNTIF(Juillet!F24:AJ24,"M"),COUNTIF(Août!F24:AJ24,"M"),COUNTIF(Septembre!F24:AJ24,"M"),COUNTIF(Octobre!F24:AJ24,"M"),COUNTIF(Novembre!F24:AJ24,"M"),COUNTIF(Décembre!F24:AJ24,"M"))</f>
        <v>4</v>
      </c>
      <c r="P20" s="29">
        <f>SUM(COUNTIF(Janvier!G24:AK24,"AT"),COUNTIF(Février!G24:AJ24,"AT"),COUNTIF(Mars!G24:AK24,"AT"),COUNTIF(Avril!G24:AK24,"AT"),COUNTIF(Mai!G24:AK24,"AT"),COUNTIF(Juin!G24:AK24,"AT"),COUNTIF(Juillet!G24:AK24,"AT"),COUNTIF(Août!G24:AK24,"AT"),COUNTIF(Septembre!G24:AK24,"AT"),COUNTIF(Octobre!G24:AK24,"AT"),COUNTIF(Novembre!G24:AK24,"AT"),COUNTIF(Décembre!G24:AK24,"AT"))</f>
        <v>0</v>
      </c>
      <c r="Q20" s="30">
        <f t="shared" si="2"/>
        <v>-8</v>
      </c>
      <c r="R20" s="30">
        <f t="shared" si="3"/>
        <v>26</v>
      </c>
    </row>
    <row r="21" spans="2:18" ht="30" customHeight="1" x14ac:dyDescent="0.2">
      <c r="B21" s="15" t="s">
        <v>81</v>
      </c>
      <c r="C21" s="25" t="s">
        <v>181</v>
      </c>
      <c r="D21" s="25">
        <v>0</v>
      </c>
      <c r="E21" s="26"/>
      <c r="F21" s="26"/>
      <c r="G21" s="27">
        <v>7</v>
      </c>
      <c r="H21" s="27">
        <v>3</v>
      </c>
      <c r="I21" s="28">
        <v>27</v>
      </c>
      <c r="J21" s="28">
        <v>23</v>
      </c>
      <c r="K21" s="29">
        <f>SUM(COUNTIF(Janvier!F25:AJ25,"C"),COUNTIF(Février!F25:AI25,"C"),COUNTIF(Mars!F25:AJ25,"C"),COUNTIF(Avril!F25:AJ25,"C"),COUNTIF(Mai!F25:AJ25,"C"),COUNTIF(Juin!F25:AJ25,"C"),COUNTIF(Juillet!F25:AJ25,"C"),COUNTIF(Août!F25:AJ25,"C"),COUNTIF(Septembre!F25:AJ25,"C"),COUNTIF(Octobre!F25:AJ25,"C"),COUNTIF(Novembre!F25:AJ25,"C"),COUNTIF(Décembre!F25:AJ25,"C"))</f>
        <v>0</v>
      </c>
      <c r="L21" s="29">
        <f>SUM(COUNTIF(Janvier!F25:AJ25,"RTT"),COUNTIF(Février!F25:AI25,"RTT"),COUNTIF(Mars!F25:AJ25,"RTT"),COUNTIF(Avril!F25:AJ25,"RTT"),COUNTIF(Mai!F25:AJ25,"RTT"),COUNTIF(Juin!F25:AJ25,"RTT"),COUNTIF(Juillet!F25:AJ25,"RTT"),COUNTIF(Août!F25:AJ25,"RTT"),COUNTIF(Septembre!F25:AJ25,"RTT"),COUNTIF(Octobre!F25:AJ25,"RTT"),COUNTIF(Novembre!F25:AJ25,"RTT"),COUNTIF(Décembre!F25:AJ25,"RTT"))</f>
        <v>0</v>
      </c>
      <c r="M21" s="29">
        <f>SUM(COUNTIF(Janvier!F25:AJ25,"dRTT"),COUNTIF(Février!F25:AI25,"dRTT"),COUNTIF(Mars!F25:AJ25,"dRTT"),COUNTIF(Avril!F25:AJ25,"dRTT"),COUNTIF(Mai!F25:AJ25,"dRTT"),COUNTIF(Juin!F25:AJ25,"dRTT"),COUNTIF(Juillet!F25:AJ25,"dRTT"),COUNTIF(Août!F25:AJ25,"dRTT"),COUNTIF(Septembre!F25:AJ25,"dRTT"),COUNTIF(Octobre!F25:AJ25,"dRTT"),COUNTIF(Novembre!F25:AJ25,"dRTT"),COUNTIF(Décembre!F25:AJ25,"dRTT"))</f>
        <v>0</v>
      </c>
      <c r="N21" s="29">
        <f>SUM(COUNTIF(Janvier!F25:AJ25,"R"),COUNTIF(Février!F25:AI25,"R"),COUNTIF(Mars!F25:AJ25,"R"),COUNTIF(Avril!F25:AJ25,"R"),COUNTIF(Mai!F25:AJ25,"R"),COUNTIF(Juin!F25:AJ25,"R"),COUNTIF(Juillet!F25:AJ25,"R"),COUNTIF(Août!F25:AJ25,"R"),COUNTIF(Septembre!F25:AJ25,"R"),COUNTIF(Octobre!F25:AJ25,"R"),COUNTIF(Novembre!F25:AJ25,"R"),COUNTIF(Décembre!F25:AJ25,"R"))</f>
        <v>0</v>
      </c>
      <c r="O21" s="29">
        <f>SUM(COUNTIF(Janvier!F25:AJ25,"M"),COUNTIF(Février!F25:AI25,"M"),COUNTIF(Mars!F25:AJ25,"M"),COUNTIF(Avril!F25:AJ25,"M"),COUNTIF(Mai!F25:AJ25,"M"),COUNTIF(Juin!F25:AJ25,"M"),COUNTIF(Juillet!F25:AJ25,"M"),COUNTIF(Août!F25:AJ25,"M"),COUNTIF(Septembre!F25:AJ25,"M"),COUNTIF(Octobre!F25:AJ25,"M"),COUNTIF(Novembre!F25:AJ25,"M"),COUNTIF(Décembre!F25:AJ25,"M"))</f>
        <v>175</v>
      </c>
      <c r="P21" s="29">
        <f>SUM(COUNTIF(Janvier!G25:AK25,"AT"),COUNTIF(Février!G25:AJ25,"AT"),COUNTIF(Mars!G25:AK25,"AT"),COUNTIF(Avril!G25:AK25,"AT"),COUNTIF(Mai!G25:AK25,"AT"),COUNTIF(Juin!G25:AK25,"AT"),COUNTIF(Juillet!G25:AK25,"AT"),COUNTIF(Août!G25:AK25,"AT"),COUNTIF(Septembre!G25:AK25,"AT"),COUNTIF(Octobre!G25:AK25,"AT"),COUNTIF(Novembre!G25:AK25,"AT"),COUNTIF(Décembre!G25:AK25,"AT"))</f>
        <v>0</v>
      </c>
      <c r="Q21" s="30">
        <f t="shared" si="2"/>
        <v>34</v>
      </c>
      <c r="R21" s="30">
        <f t="shared" si="3"/>
        <v>26</v>
      </c>
    </row>
    <row r="22" spans="2:18" ht="30" customHeight="1" x14ac:dyDescent="0.2">
      <c r="B22" s="15" t="s">
        <v>82</v>
      </c>
      <c r="C22" s="25" t="s">
        <v>184</v>
      </c>
      <c r="D22" s="25">
        <v>0</v>
      </c>
      <c r="E22" s="26"/>
      <c r="F22" s="26"/>
      <c r="G22" s="27">
        <v>7</v>
      </c>
      <c r="H22" s="27">
        <v>3</v>
      </c>
      <c r="I22" s="28">
        <v>27</v>
      </c>
      <c r="J22" s="28">
        <v>23</v>
      </c>
      <c r="K22" s="29">
        <f>SUM(COUNTIF(Janvier!F26:AJ26,"C"),COUNTIF(Février!F26:AI26,"C"),COUNTIF(Mars!F26:AJ26,"C"),COUNTIF(Avril!F26:AJ26,"C"),COUNTIF(Mai!F26:AJ26,"C"),COUNTIF(Juin!F26:AJ26,"C"),COUNTIF(Juillet!F26:AJ26,"C"),COUNTIF(Août!F26:AJ26,"C"),COUNTIF(Septembre!F26:AJ26,"C"),COUNTIF(Octobre!F26:AJ26,"C"),COUNTIF(Novembre!F26:AJ26,"C"),COUNTIF(Décembre!F26:AJ26,"C"))</f>
        <v>14</v>
      </c>
      <c r="L22" s="29">
        <f>SUM(COUNTIF(Janvier!F26:AJ26,"RTT"),COUNTIF(Février!F26:AI26,"RTT"),COUNTIF(Mars!F26:AJ26,"RTT"),COUNTIF(Avril!F26:AJ26,"RTT"),COUNTIF(Mai!F26:AJ26,"RTT"),COUNTIF(Juin!F26:AJ26,"RTT"),COUNTIF(Juillet!F26:AJ26,"RTT"),COUNTIF(Août!F26:AJ26,"RTT"),COUNTIF(Septembre!F26:AJ26,"RTT"),COUNTIF(Octobre!F26:AJ26,"RTT"),COUNTIF(Novembre!F26:AJ26,"RTT"),COUNTIF(Décembre!F26:AJ26,"RTT"))</f>
        <v>0</v>
      </c>
      <c r="M22" s="29">
        <f>SUM(COUNTIF(Janvier!F26:AJ26,"dRTT"),COUNTIF(Février!F26:AI26,"dRTT"),COUNTIF(Mars!F26:AJ26,"dRTT"),COUNTIF(Avril!F26:AJ26,"dRTT"),COUNTIF(Mai!F26:AJ26,"dRTT"),COUNTIF(Juin!F26:AJ26,"dRTT"),COUNTIF(Juillet!F26:AJ26,"dRTT"),COUNTIF(Août!F26:AJ26,"dRTT"),COUNTIF(Septembre!F26:AJ26,"dRTT"),COUNTIF(Octobre!F26:AJ26,"dRTT"),COUNTIF(Novembre!F26:AJ26,"dRTT"),COUNTIF(Décembre!F26:AJ26,"dRTT"))</f>
        <v>0</v>
      </c>
      <c r="N22" s="29">
        <f>SUM(COUNTIF(Janvier!F26:AJ26,"R"),COUNTIF(Février!F26:AI26,"R"),COUNTIF(Mars!F26:AJ26,"R"),COUNTIF(Avril!F26:AJ26,"R"),COUNTIF(Mai!F26:AJ26,"R"),COUNTIF(Juin!F26:AJ26,"R"),COUNTIF(Juillet!F26:AJ26,"R"),COUNTIF(Août!F26:AJ26,"R"),COUNTIF(Septembre!F26:AJ26,"R"),COUNTIF(Octobre!F26:AJ26,"R"),COUNTIF(Novembre!F26:AJ26,"R"),COUNTIF(Décembre!F26:AJ26,"R"))</f>
        <v>0</v>
      </c>
      <c r="O22" s="29">
        <f>SUM(COUNTIF(Janvier!F26:AJ26,"M"),COUNTIF(Février!F26:AI26,"M"),COUNTIF(Mars!F26:AJ26,"M"),COUNTIF(Avril!F26:AJ26,"M"),COUNTIF(Mai!F26:AJ26,"M"),COUNTIF(Juin!F26:AJ26,"M"),COUNTIF(Juillet!F26:AJ26,"M"),COUNTIF(Août!F26:AJ26,"M"),COUNTIF(Septembre!F26:AJ26,"M"),COUNTIF(Octobre!F26:AJ26,"M"),COUNTIF(Novembre!F26:AJ26,"M"),COUNTIF(Décembre!F26:AJ26,"M"))</f>
        <v>0</v>
      </c>
      <c r="P22" s="29">
        <f>SUM(COUNTIF(Janvier!G26:AK26,"AT"),COUNTIF(Février!G26:AJ26,"AT"),COUNTIF(Mars!G26:AK26,"AT"),COUNTIF(Avril!G26:AK26,"AT"),COUNTIF(Mai!G26:AK26,"AT"),COUNTIF(Juin!G26:AK26,"AT"),COUNTIF(Juillet!G26:AK26,"AT"),COUNTIF(Août!G26:AK26,"AT"),COUNTIF(Septembre!G26:AK26,"AT"),COUNTIF(Octobre!G26:AK26,"AT"),COUNTIF(Novembre!G26:AK26,"AT"),COUNTIF(Décembre!G26:AK26,"AT"))</f>
        <v>0</v>
      </c>
      <c r="Q22" s="30">
        <f t="shared" si="2"/>
        <v>20</v>
      </c>
      <c r="R22" s="30">
        <f t="shared" si="3"/>
        <v>26</v>
      </c>
    </row>
    <row r="23" spans="2:18" ht="30" customHeight="1" x14ac:dyDescent="0.2">
      <c r="B23" s="15" t="s">
        <v>83</v>
      </c>
      <c r="C23" s="25" t="s">
        <v>187</v>
      </c>
      <c r="D23" s="25">
        <v>0</v>
      </c>
      <c r="E23" s="26"/>
      <c r="F23" s="26"/>
      <c r="G23" s="27">
        <v>7</v>
      </c>
      <c r="H23" s="27">
        <v>3</v>
      </c>
      <c r="I23" s="28">
        <v>27</v>
      </c>
      <c r="J23" s="28">
        <v>23</v>
      </c>
      <c r="K23" s="29">
        <f>SUM(COUNTIF(Janvier!F27:AJ27,"C"),COUNTIF(Février!F27:AI27,"C"),COUNTIF(Mars!F27:AJ27,"C"),COUNTIF(Avril!F27:AJ27,"C"),COUNTIF(Mai!F27:AJ27,"C"),COUNTIF(Juin!F27:AJ27,"C"),COUNTIF(Juillet!F27:AJ27,"C"),COUNTIF(Août!F27:AJ27,"C"),COUNTIF(Septembre!F27:AJ27,"C"),COUNTIF(Octobre!F27:AJ27,"C"),COUNTIF(Novembre!F27:AJ27,"C"),COUNTIF(Décembre!F27:AJ27,"C"))</f>
        <v>39</v>
      </c>
      <c r="L23" s="29">
        <f>SUM(COUNTIF(Janvier!F27:AJ27,"RTT"),COUNTIF(Février!F27:AI27,"RTT"),COUNTIF(Mars!F27:AJ27,"RTT"),COUNTIF(Avril!F27:AJ27,"RTT"),COUNTIF(Mai!F27:AJ27,"RTT"),COUNTIF(Juin!F27:AJ27,"RTT"),COUNTIF(Juillet!F27:AJ27,"RTT"),COUNTIF(Août!F27:AJ27,"RTT"),COUNTIF(Septembre!F27:AJ27,"RTT"),COUNTIF(Octobre!F27:AJ27,"RTT"),COUNTIF(Novembre!F27:AJ27,"RTT"),COUNTIF(Décembre!F27:AJ27,"RTT"))</f>
        <v>0</v>
      </c>
      <c r="M23" s="29">
        <f>SUM(COUNTIF(Janvier!F27:AJ27,"dRTT"),COUNTIF(Février!F27:AI27,"dRTT"),COUNTIF(Mars!F27:AJ27,"dRTT"),COUNTIF(Avril!F27:AJ27,"dRTT"),COUNTIF(Mai!F27:AJ27,"dRTT"),COUNTIF(Juin!F27:AJ27,"dRTT"),COUNTIF(Juillet!F27:AJ27,"dRTT"),COUNTIF(Août!F27:AJ27,"dRTT"),COUNTIF(Septembre!F27:AJ27,"dRTT"),COUNTIF(Octobre!F27:AJ27,"dRTT"),COUNTIF(Novembre!F27:AJ27,"dRTT"),COUNTIF(Décembre!F27:AJ27,"dRTT"))</f>
        <v>0</v>
      </c>
      <c r="N23" s="29">
        <f>SUM(COUNTIF(Janvier!F27:AJ27,"R"),COUNTIF(Février!F27:AI27,"R"),COUNTIF(Mars!F27:AJ27,"R"),COUNTIF(Avril!F27:AJ27,"R"),COUNTIF(Mai!F27:AJ27,"R"),COUNTIF(Juin!F27:AJ27,"R"),COUNTIF(Juillet!F27:AJ27,"R"),COUNTIF(Août!F27:AJ27,"R"),COUNTIF(Septembre!F27:AJ27,"R"),COUNTIF(Octobre!F27:AJ27,"R"),COUNTIF(Novembre!F27:AJ27,"R"),COUNTIF(Décembre!F27:AJ27,"R"))</f>
        <v>0</v>
      </c>
      <c r="O23" s="29">
        <f>SUM(COUNTIF(Janvier!F27:AJ27,"M"),COUNTIF(Février!F27:AI27,"M"),COUNTIF(Mars!F27:AJ27,"M"),COUNTIF(Avril!F27:AJ27,"M"),COUNTIF(Mai!F27:AJ27,"M"),COUNTIF(Juin!F27:AJ27,"M"),COUNTIF(Juillet!F27:AJ27,"M"),COUNTIF(Août!F27:AJ27,"M"),COUNTIF(Septembre!F27:AJ27,"M"),COUNTIF(Octobre!F27:AJ27,"M"),COUNTIF(Novembre!F27:AJ27,"M"),COUNTIF(Décembre!F27:AJ27,"M"))</f>
        <v>0</v>
      </c>
      <c r="P23" s="29">
        <f>SUM(COUNTIF(Janvier!G27:AK27,"AT"),COUNTIF(Février!G27:AJ27,"AT"),COUNTIF(Mars!G27:AK27,"AT"),COUNTIF(Avril!G27:AK27,"AT"),COUNTIF(Mai!G27:AK27,"AT"),COUNTIF(Juin!G27:AK27,"AT"),COUNTIF(Juillet!G27:AK27,"AT"),COUNTIF(Août!G27:AK27,"AT"),COUNTIF(Septembre!G27:AK27,"AT"),COUNTIF(Octobre!G27:AK27,"AT"),COUNTIF(Novembre!G27:AK27,"AT"),COUNTIF(Décembre!G27:AK27,"AT"))</f>
        <v>0</v>
      </c>
      <c r="Q23" s="30">
        <f t="shared" si="2"/>
        <v>-5</v>
      </c>
      <c r="R23" s="30">
        <f t="shared" si="3"/>
        <v>26</v>
      </c>
    </row>
    <row r="24" spans="2:18" ht="30" customHeight="1" x14ac:dyDescent="0.2">
      <c r="B24" s="15" t="s">
        <v>84</v>
      </c>
      <c r="C24" s="25" t="s">
        <v>190</v>
      </c>
      <c r="D24" s="25">
        <v>0</v>
      </c>
      <c r="E24" s="26"/>
      <c r="F24" s="26"/>
      <c r="G24" s="27">
        <v>7</v>
      </c>
      <c r="H24" s="27">
        <v>3</v>
      </c>
      <c r="I24" s="28">
        <v>27</v>
      </c>
      <c r="J24" s="28">
        <v>23</v>
      </c>
      <c r="K24" s="29">
        <f>SUM(COUNTIF(Janvier!F28:AJ28,"C"),COUNTIF(Février!F28:AI28,"C"),COUNTIF(Mars!F28:AJ28,"C"),COUNTIF(Avril!F28:AJ28,"C"),COUNTIF(Mai!F28:AJ28,"C"),COUNTIF(Juin!F28:AJ28,"C"),COUNTIF(Juillet!F28:AJ28,"C"),COUNTIF(Août!F28:AJ28,"C"),COUNTIF(Septembre!F28:AJ28,"C"),COUNTIF(Octobre!F28:AJ28,"C"),COUNTIF(Novembre!F28:AJ28,"C"),COUNTIF(Décembre!F28:AJ28,"C"))</f>
        <v>2</v>
      </c>
      <c r="L24" s="29">
        <f>SUM(COUNTIF(Janvier!F28:AJ28,"RTT"),COUNTIF(Février!F28:AI28,"RTT"),COUNTIF(Mars!F28:AJ28,"RTT"),COUNTIF(Avril!F28:AJ28,"RTT"),COUNTIF(Mai!F28:AJ28,"RTT"),COUNTIF(Juin!F28:AJ28,"RTT"),COUNTIF(Juillet!F28:AJ28,"RTT"),COUNTIF(Août!F28:AJ28,"RTT"),COUNTIF(Septembre!F28:AJ28,"RTT"),COUNTIF(Octobre!F28:AJ28,"RTT"),COUNTIF(Novembre!F28:AJ28,"RTT"),COUNTIF(Décembre!F28:AJ28,"RTT"))</f>
        <v>0</v>
      </c>
      <c r="M24" s="29">
        <f>SUM(COUNTIF(Janvier!F28:AJ28,"dRTT"),COUNTIF(Février!F28:AI28,"dRTT"),COUNTIF(Mars!F28:AJ28,"dRTT"),COUNTIF(Avril!F28:AJ28,"dRTT"),COUNTIF(Mai!F28:AJ28,"dRTT"),COUNTIF(Juin!F28:AJ28,"dRTT"),COUNTIF(Juillet!F28:AJ28,"dRTT"),COUNTIF(Août!F28:AJ28,"dRTT"),COUNTIF(Septembre!F28:AJ28,"dRTT"),COUNTIF(Octobre!F28:AJ28,"dRTT"),COUNTIF(Novembre!F28:AJ28,"dRTT"),COUNTIF(Décembre!F28:AJ28,"dRTT"))</f>
        <v>1</v>
      </c>
      <c r="N24" s="29">
        <f>SUM(COUNTIF(Janvier!F28:AJ28,"R"),COUNTIF(Février!F28:AI28,"R"),COUNTIF(Mars!F28:AJ28,"R"),COUNTIF(Avril!F28:AJ28,"R"),COUNTIF(Mai!F28:AJ28,"R"),COUNTIF(Juin!F28:AJ28,"R"),COUNTIF(Juillet!F28:AJ28,"R"),COUNTIF(Août!F28:AJ28,"R"),COUNTIF(Septembre!F28:AJ28,"R"),COUNTIF(Octobre!F28:AJ28,"R"),COUNTIF(Novembre!F28:AJ28,"R"),COUNTIF(Décembre!F28:AJ28,"R"))</f>
        <v>0</v>
      </c>
      <c r="O24" s="29">
        <f>SUM(COUNTIF(Janvier!F28:AJ28,"M"),COUNTIF(Février!F28:AI28,"M"),COUNTIF(Mars!F28:AJ28,"M"),COUNTIF(Avril!F28:AJ28,"M"),COUNTIF(Mai!F28:AJ28,"M"),COUNTIF(Juin!F28:AJ28,"M"),COUNTIF(Juillet!F28:AJ28,"M"),COUNTIF(Août!F28:AJ28,"M"),COUNTIF(Septembre!F28:AJ28,"M"),COUNTIF(Octobre!F28:AJ28,"M"),COUNTIF(Novembre!F28:AJ28,"M"),COUNTIF(Décembre!F28:AJ28,"M"))</f>
        <v>0</v>
      </c>
      <c r="P24" s="29">
        <f>SUM(COUNTIF(Janvier!G28:AK28,"AT"),COUNTIF(Février!G28:AJ28,"AT"),COUNTIF(Mars!G28:AK28,"AT"),COUNTIF(Avril!G28:AK28,"AT"),COUNTIF(Mai!G28:AK28,"AT"),COUNTIF(Juin!G28:AK28,"AT"),COUNTIF(Juillet!G28:AK28,"AT"),COUNTIF(Août!G28:AK28,"AT"),COUNTIF(Septembre!G28:AK28,"AT"),COUNTIF(Octobre!G28:AK28,"AT"),COUNTIF(Novembre!G28:AK28,"AT"),COUNTIF(Décembre!G28:AK28,"AT"))</f>
        <v>0</v>
      </c>
      <c r="Q24" s="30">
        <f t="shared" si="2"/>
        <v>32</v>
      </c>
      <c r="R24" s="30">
        <f t="shared" si="3"/>
        <v>25.5</v>
      </c>
    </row>
    <row r="25" spans="2:18" ht="30" customHeight="1" x14ac:dyDescent="0.2">
      <c r="B25" s="15" t="s">
        <v>85</v>
      </c>
      <c r="C25" s="25" t="s">
        <v>193</v>
      </c>
      <c r="D25" s="25">
        <v>0</v>
      </c>
      <c r="E25" s="26"/>
      <c r="F25" s="26"/>
      <c r="G25" s="27">
        <v>7</v>
      </c>
      <c r="H25" s="27">
        <v>3</v>
      </c>
      <c r="I25" s="28">
        <v>27</v>
      </c>
      <c r="J25" s="28">
        <v>23</v>
      </c>
      <c r="K25" s="29">
        <f>SUM(COUNTIF(Janvier!F29:AJ29,"C"),COUNTIF(Février!F29:AI29,"C"),COUNTIF(Mars!F29:AJ29,"C"),COUNTIF(Avril!F29:AJ29,"C"),COUNTIF(Mai!F29:AJ29,"C"),COUNTIF(Juin!F29:AJ29,"C"),COUNTIF(Juillet!F29:AJ29,"C"),COUNTIF(Août!F29:AJ29,"C"),COUNTIF(Septembre!F29:AJ29,"C"),COUNTIF(Octobre!F29:AJ29,"C"),COUNTIF(Novembre!F29:AJ29,"C"),COUNTIF(Décembre!F29:AJ29,"C"))</f>
        <v>33</v>
      </c>
      <c r="L25" s="29">
        <f>SUM(COUNTIF(Janvier!F29:AJ29,"RTT"),COUNTIF(Février!F29:AI29,"RTT"),COUNTIF(Mars!F29:AJ29,"RTT"),COUNTIF(Avril!F29:AJ29,"RTT"),COUNTIF(Mai!F29:AJ29,"RTT"),COUNTIF(Juin!F29:AJ29,"RTT"),COUNTIF(Juillet!F29:AJ29,"RTT"),COUNTIF(Août!F29:AJ29,"RTT"),COUNTIF(Septembre!F29:AJ29,"RTT"),COUNTIF(Octobre!F29:AJ29,"RTT"),COUNTIF(Novembre!F29:AJ29,"RTT"),COUNTIF(Décembre!F29:AJ29,"RTT"))</f>
        <v>1</v>
      </c>
      <c r="M25" s="29">
        <f>SUM(COUNTIF(Janvier!F29:AJ29,"dRTT"),COUNTIF(Février!F29:AI29,"dRTT"),COUNTIF(Mars!F29:AJ29,"dRTT"),COUNTIF(Avril!F29:AJ29,"dRTT"),COUNTIF(Mai!F29:AJ29,"dRTT"),COUNTIF(Juin!F29:AJ29,"dRTT"),COUNTIF(Juillet!F29:AJ29,"dRTT"),COUNTIF(Août!F29:AJ29,"dRTT"),COUNTIF(Septembre!F29:AJ29,"dRTT"),COUNTIF(Octobre!F29:AJ29,"dRTT"),COUNTIF(Novembre!F29:AJ29,"dRTT"),COUNTIF(Décembre!F29:AJ29,"dRTT"))</f>
        <v>0</v>
      </c>
      <c r="N25" s="29">
        <f>SUM(COUNTIF(Janvier!F29:AJ29,"R"),COUNTIF(Février!F29:AI29,"R"),COUNTIF(Mars!F29:AJ29,"R"),COUNTIF(Avril!F29:AJ29,"R"),COUNTIF(Mai!F29:AJ29,"R"),COUNTIF(Juin!F29:AJ29,"R"),COUNTIF(Juillet!F29:AJ29,"R"),COUNTIF(Août!F29:AJ29,"R"),COUNTIF(Septembre!F29:AJ29,"R"),COUNTIF(Octobre!F29:AJ29,"R"),COUNTIF(Novembre!F29:AJ29,"R"),COUNTIF(Décembre!F29:AJ29,"R"))</f>
        <v>0</v>
      </c>
      <c r="O25" s="29">
        <f>SUM(COUNTIF(Janvier!F29:AJ29,"M"),COUNTIF(Février!F29:AI29,"M"),COUNTIF(Mars!F29:AJ29,"M"),COUNTIF(Avril!F29:AJ29,"M"),COUNTIF(Mai!F29:AJ29,"M"),COUNTIF(Juin!F29:AJ29,"M"),COUNTIF(Juillet!F29:AJ29,"M"),COUNTIF(Août!F29:AJ29,"M"),COUNTIF(Septembre!F29:AJ29,"M"),COUNTIF(Octobre!F29:AJ29,"M"),COUNTIF(Novembre!F29:AJ29,"M"),COUNTIF(Décembre!F29:AJ29,"M"))</f>
        <v>20</v>
      </c>
      <c r="P25" s="29">
        <f>SUM(COUNTIF(Janvier!G29:AK29,"AT"),COUNTIF(Février!G29:AJ29,"AT"),COUNTIF(Mars!G29:AK29,"AT"),COUNTIF(Avril!G29:AK29,"AT"),COUNTIF(Mai!G29:AK29,"AT"),COUNTIF(Juin!G29:AK29,"AT"),COUNTIF(Juillet!G29:AK29,"AT"),COUNTIF(Août!G29:AK29,"AT"),COUNTIF(Septembre!G29:AK29,"AT"),COUNTIF(Octobre!G29:AK29,"AT"),COUNTIF(Novembre!G29:AK29,"AT"),COUNTIF(Décembre!G29:AK29,"AT"))</f>
        <v>0</v>
      </c>
      <c r="Q25" s="30">
        <f t="shared" si="2"/>
        <v>1</v>
      </c>
      <c r="R25" s="30">
        <f t="shared" si="3"/>
        <v>25</v>
      </c>
    </row>
    <row r="26" spans="2:18" ht="30" customHeight="1" x14ac:dyDescent="0.2">
      <c r="B26" s="15" t="s">
        <v>86</v>
      </c>
      <c r="C26" s="25" t="s">
        <v>195</v>
      </c>
      <c r="D26" s="25" t="s">
        <v>162</v>
      </c>
      <c r="E26" s="26"/>
      <c r="F26" s="26"/>
      <c r="G26" s="27">
        <v>7</v>
      </c>
      <c r="H26" s="27">
        <v>3</v>
      </c>
      <c r="I26" s="28">
        <v>27</v>
      </c>
      <c r="J26" s="28">
        <v>23</v>
      </c>
      <c r="K26" s="29">
        <f>SUM(COUNTIF(Janvier!F30:AJ30,"C"),COUNTIF(Février!F30:AI30,"C"),COUNTIF(Mars!F30:AJ30,"C"),COUNTIF(Avril!F30:AJ30,"C"),COUNTIF(Mai!F30:AJ30,"C"),COUNTIF(Juin!F30:AJ30,"C"),COUNTIF(Juillet!F30:AJ30,"C"),COUNTIF(Août!F30:AJ30,"C"),COUNTIF(Septembre!F30:AJ30,"C"),COUNTIF(Octobre!F30:AJ30,"C"),COUNTIF(Novembre!F30:AJ30,"C"),COUNTIF(Décembre!F30:AJ30,"C"))</f>
        <v>0</v>
      </c>
      <c r="L26" s="29">
        <f>SUM(COUNTIF(Janvier!F30:AJ30,"RTT"),COUNTIF(Février!F30:AI30,"RTT"),COUNTIF(Mars!F30:AJ30,"RTT"),COUNTIF(Avril!F30:AJ30,"RTT"),COUNTIF(Mai!F30:AJ30,"RTT"),COUNTIF(Juin!F30:AJ30,"RTT"),COUNTIF(Juillet!F30:AJ30,"RTT"),COUNTIF(Août!F30:AJ30,"RTT"),COUNTIF(Septembre!F30:AJ30,"RTT"),COUNTIF(Octobre!F30:AJ30,"RTT"),COUNTIF(Novembre!F30:AJ30,"RTT"),COUNTIF(Décembre!F30:AJ30,"RTT"))</f>
        <v>0</v>
      </c>
      <c r="M26" s="29">
        <f>SUM(COUNTIF(Janvier!F30:AJ30,"dRTT"),COUNTIF(Février!F30:AI30,"dRTT"),COUNTIF(Mars!F30:AJ30,"dRTT"),COUNTIF(Avril!F30:AJ30,"dRTT"),COUNTIF(Mai!F30:AJ30,"dRTT"),COUNTIF(Juin!F30:AJ30,"dRTT"),COUNTIF(Juillet!F30:AJ30,"dRTT"),COUNTIF(Août!F30:AJ30,"dRTT"),COUNTIF(Septembre!F30:AJ30,"dRTT"),COUNTIF(Octobre!F30:AJ30,"dRTT"),COUNTIF(Novembre!F30:AJ30,"dRTT"),COUNTIF(Décembre!F30:AJ30,"dRTT"))</f>
        <v>0</v>
      </c>
      <c r="N26" s="29">
        <f>SUM(COUNTIF(Janvier!F30:AJ30,"R"),COUNTIF(Février!F30:AI30,"R"),COUNTIF(Mars!F30:AJ30,"R"),COUNTIF(Avril!F30:AJ30,"R"),COUNTIF(Mai!F30:AJ30,"R"),COUNTIF(Juin!F30:AJ30,"R"),COUNTIF(Juillet!F30:AJ30,"R"),COUNTIF(Août!F30:AJ30,"R"),COUNTIF(Septembre!F30:AJ30,"R"),COUNTIF(Octobre!F30:AJ30,"R"),COUNTIF(Novembre!F30:AJ30,"R"),COUNTIF(Décembre!F30:AJ30,"R"))</f>
        <v>0</v>
      </c>
      <c r="O26" s="29">
        <f>SUM(COUNTIF(Janvier!F30:AJ30,"M"),COUNTIF(Février!F30:AI30,"M"),COUNTIF(Mars!F30:AJ30,"M"),COUNTIF(Avril!F30:AJ30,"M"),COUNTIF(Mai!F30:AJ30,"M"),COUNTIF(Juin!F30:AJ30,"M"),COUNTIF(Juillet!F30:AJ30,"M"),COUNTIF(Août!F30:AJ30,"M"),COUNTIF(Septembre!F30:AJ30,"M"),COUNTIF(Octobre!F30:AJ30,"M"),COUNTIF(Novembre!F30:AJ30,"M"),COUNTIF(Décembre!F30:AJ30,"M"))</f>
        <v>0</v>
      </c>
      <c r="P26" s="29">
        <f>SUM(COUNTIF(Janvier!G30:AK30,"AT"),COUNTIF(Février!G30:AJ30,"AT"),COUNTIF(Mars!G30:AK30,"AT"),COUNTIF(Avril!G30:AK30,"AT"),COUNTIF(Mai!G30:AK30,"AT"),COUNTIF(Juin!G30:AK30,"AT"),COUNTIF(Juillet!G30:AK30,"AT"),COUNTIF(Août!G30:AK30,"AT"),COUNTIF(Septembre!G30:AK30,"AT"),COUNTIF(Octobre!G30:AK30,"AT"),COUNTIF(Novembre!G30:AK30,"AT"),COUNTIF(Décembre!G30:AK30,"AT"))</f>
        <v>0</v>
      </c>
      <c r="Q26" s="30">
        <f t="shared" si="2"/>
        <v>34</v>
      </c>
      <c r="R26" s="30">
        <f t="shared" si="3"/>
        <v>26</v>
      </c>
    </row>
    <row r="27" spans="2:18" ht="30" customHeight="1" x14ac:dyDescent="0.2">
      <c r="B27" s="15" t="s">
        <v>87</v>
      </c>
      <c r="C27" s="25" t="s">
        <v>198</v>
      </c>
      <c r="D27" s="25" t="s">
        <v>162</v>
      </c>
      <c r="E27" s="26"/>
      <c r="F27" s="26"/>
      <c r="G27" s="27">
        <v>7</v>
      </c>
      <c r="H27" s="27">
        <v>3</v>
      </c>
      <c r="I27" s="28">
        <v>27</v>
      </c>
      <c r="J27" s="28">
        <v>23</v>
      </c>
      <c r="K27" s="29">
        <f>SUM(COUNTIF(Janvier!F31:AJ31,"C"),COUNTIF(Février!F31:AI31,"C"),COUNTIF(Mars!F31:AJ31,"C"),COUNTIF(Avril!F31:AJ31,"C"),COUNTIF(Mai!F31:AJ31,"C"),COUNTIF(Juin!F31:AJ31,"C"),COUNTIF(Juillet!F31:AJ31,"C"),COUNTIF(Août!F31:AJ31,"C"),COUNTIF(Septembre!F31:AJ31,"C"),COUNTIF(Octobre!F31:AJ31,"C"),COUNTIF(Novembre!F31:AJ31,"C"),COUNTIF(Décembre!F31:AJ31,"C"))</f>
        <v>39</v>
      </c>
      <c r="L27" s="29">
        <f>SUM(COUNTIF(Janvier!F31:AJ31,"RTT"),COUNTIF(Février!F31:AI31,"RTT"),COUNTIF(Mars!F31:AJ31,"RTT"),COUNTIF(Avril!F31:AJ31,"RTT"),COUNTIF(Mai!F31:AJ31,"RTT"),COUNTIF(Juin!F31:AJ31,"RTT"),COUNTIF(Juillet!F31:AJ31,"RTT"),COUNTIF(Août!F31:AJ31,"RTT"),COUNTIF(Septembre!F31:AJ31,"RTT"),COUNTIF(Octobre!F31:AJ31,"RTT"),COUNTIF(Novembre!F31:AJ31,"RTT"),COUNTIF(Décembre!F31:AJ31,"RTT"))</f>
        <v>0</v>
      </c>
      <c r="M27" s="29">
        <f>SUM(COUNTIF(Janvier!F31:AJ31,"dRTT"),COUNTIF(Février!F31:AI31,"dRTT"),COUNTIF(Mars!F31:AJ31,"dRTT"),COUNTIF(Avril!F31:AJ31,"dRTT"),COUNTIF(Mai!F31:AJ31,"dRTT"),COUNTIF(Juin!F31:AJ31,"dRTT"),COUNTIF(Juillet!F31:AJ31,"dRTT"),COUNTIF(Août!F31:AJ31,"dRTT"),COUNTIF(Septembre!F31:AJ31,"dRTT"),COUNTIF(Octobre!F31:AJ31,"dRTT"),COUNTIF(Novembre!F31:AJ31,"dRTT"),COUNTIF(Décembre!F31:AJ31,"dRTT"))</f>
        <v>0</v>
      </c>
      <c r="N27" s="29">
        <f>SUM(COUNTIF(Janvier!F31:AJ31,"R"),COUNTIF(Février!F31:AI31,"R"),COUNTIF(Mars!F31:AJ31,"R"),COUNTIF(Avril!F31:AJ31,"R"),COUNTIF(Mai!F31:AJ31,"R"),COUNTIF(Juin!F31:AJ31,"R"),COUNTIF(Juillet!F31:AJ31,"R"),COUNTIF(Août!F31:AJ31,"R"),COUNTIF(Septembre!F31:AJ31,"R"),COUNTIF(Octobre!F31:AJ31,"R"),COUNTIF(Novembre!F31:AJ31,"R"),COUNTIF(Décembre!F31:AJ31,"R"))</f>
        <v>0</v>
      </c>
      <c r="O27" s="29">
        <f>SUM(COUNTIF(Janvier!F31:AJ31,"M"),COUNTIF(Février!F31:AI31,"M"),COUNTIF(Mars!F31:AJ31,"M"),COUNTIF(Avril!F31:AJ31,"M"),COUNTIF(Mai!F31:AJ31,"M"),COUNTIF(Juin!F31:AJ31,"M"),COUNTIF(Juillet!F31:AJ31,"M"),COUNTIF(Août!F31:AJ31,"M"),COUNTIF(Septembre!F31:AJ31,"M"),COUNTIF(Octobre!F31:AJ31,"M"),COUNTIF(Novembre!F31:AJ31,"M"),COUNTIF(Décembre!F31:AJ31,"M"))</f>
        <v>9</v>
      </c>
      <c r="P27" s="29">
        <f>SUM(COUNTIF(Janvier!G31:AK31,"AT"),COUNTIF(Février!G31:AJ31,"AT"),COUNTIF(Mars!G31:AK31,"AT"),COUNTIF(Avril!G31:AK31,"AT"),COUNTIF(Mai!G31:AK31,"AT"),COUNTIF(Juin!G31:AK31,"AT"),COUNTIF(Juillet!G31:AK31,"AT"),COUNTIF(Août!G31:AK31,"AT"),COUNTIF(Septembre!G31:AK31,"AT"),COUNTIF(Octobre!G31:AK31,"AT"),COUNTIF(Novembre!G31:AK31,"AT"),COUNTIF(Décembre!G31:AK31,"AT"))</f>
        <v>0</v>
      </c>
      <c r="Q27" s="30">
        <f t="shared" si="2"/>
        <v>-5</v>
      </c>
      <c r="R27" s="30">
        <f t="shared" si="3"/>
        <v>26</v>
      </c>
    </row>
    <row r="28" spans="2:18" ht="30" customHeight="1" x14ac:dyDescent="0.2">
      <c r="B28" s="15" t="s">
        <v>88</v>
      </c>
      <c r="C28" s="25" t="s">
        <v>201</v>
      </c>
      <c r="D28" s="25">
        <v>0</v>
      </c>
      <c r="E28" s="26"/>
      <c r="F28" s="26"/>
      <c r="G28" s="27">
        <v>7</v>
      </c>
      <c r="H28" s="27">
        <v>3</v>
      </c>
      <c r="I28" s="28">
        <v>27</v>
      </c>
      <c r="J28" s="28">
        <v>23</v>
      </c>
      <c r="K28" s="29">
        <f>SUM(COUNTIF(Janvier!F32:AJ32,"C"),COUNTIF(Février!F32:AI32,"C"),COUNTIF(Mars!F32:AJ32,"C"),COUNTIF(Avril!F32:AJ32,"C"),COUNTIF(Mai!F32:AJ32,"C"),COUNTIF(Juin!F32:AJ32,"C"),COUNTIF(Juillet!F32:AJ32,"C"),COUNTIF(Août!F32:AJ32,"C"),COUNTIF(Septembre!F32:AJ32,"C"),COUNTIF(Octobre!F32:AJ32,"C"),COUNTIF(Novembre!F32:AJ32,"C"),COUNTIF(Décembre!F32:AJ32,"C"))</f>
        <v>33</v>
      </c>
      <c r="L28" s="29">
        <f>SUM(COUNTIF(Janvier!F32:AJ32,"RTT"),COUNTIF(Février!F32:AI32,"RTT"),COUNTIF(Mars!F32:AJ32,"RTT"),COUNTIF(Avril!F32:AJ32,"RTT"),COUNTIF(Mai!F32:AJ32,"RTT"),COUNTIF(Juin!F32:AJ32,"RTT"),COUNTIF(Juillet!F32:AJ32,"RTT"),COUNTIF(Août!F32:AJ32,"RTT"),COUNTIF(Septembre!F32:AJ32,"RTT"),COUNTIF(Octobre!F32:AJ32,"RTT"),COUNTIF(Novembre!F32:AJ32,"RTT"),COUNTIF(Décembre!F32:AJ32,"RTT"))</f>
        <v>1</v>
      </c>
      <c r="M28" s="29">
        <f>SUM(COUNTIF(Janvier!F32:AJ32,"dRTT"),COUNTIF(Février!F32:AI32,"dRTT"),COUNTIF(Mars!F32:AJ32,"dRTT"),COUNTIF(Avril!F32:AJ32,"dRTT"),COUNTIF(Mai!F32:AJ32,"dRTT"),COUNTIF(Juin!F32:AJ32,"dRTT"),COUNTIF(Juillet!F32:AJ32,"dRTT"),COUNTIF(Août!F32:AJ32,"dRTT"),COUNTIF(Septembre!F32:AJ32,"dRTT"),COUNTIF(Octobre!F32:AJ32,"dRTT"),COUNTIF(Novembre!F32:AJ32,"dRTT"),COUNTIF(Décembre!F32:AJ32,"dRTT"))</f>
        <v>0</v>
      </c>
      <c r="N28" s="29">
        <f>SUM(COUNTIF(Janvier!F32:AJ32,"R"),COUNTIF(Février!F32:AI32,"R"),COUNTIF(Mars!F32:AJ32,"R"),COUNTIF(Avril!F32:AJ32,"R"),COUNTIF(Mai!F32:AJ32,"R"),COUNTIF(Juin!F32:AJ32,"R"),COUNTIF(Juillet!F32:AJ32,"R"),COUNTIF(Août!F32:AJ32,"R"),COUNTIF(Septembre!F32:AJ32,"R"),COUNTIF(Octobre!F32:AJ32,"R"),COUNTIF(Novembre!F32:AJ32,"R"),COUNTIF(Décembre!F32:AJ32,"R"))</f>
        <v>0</v>
      </c>
      <c r="O28" s="29">
        <f>SUM(COUNTIF(Janvier!F32:AJ32,"M"),COUNTIF(Février!F32:AI32,"M"),COUNTIF(Mars!F32:AJ32,"M"),COUNTIF(Avril!F32:AJ32,"M"),COUNTIF(Mai!F32:AJ32,"M"),COUNTIF(Juin!F32:AJ32,"M"),COUNTIF(Juillet!F32:AJ32,"M"),COUNTIF(Août!F32:AJ32,"M"),COUNTIF(Septembre!F32:AJ32,"M"),COUNTIF(Octobre!F32:AJ32,"M"),COUNTIF(Novembre!F32:AJ32,"M"),COUNTIF(Décembre!F32:AJ32,"M"))</f>
        <v>0</v>
      </c>
      <c r="P28" s="29">
        <f>SUM(COUNTIF(Janvier!G32:AK32,"AT"),COUNTIF(Février!G32:AJ32,"AT"),COUNTIF(Mars!G32:AK32,"AT"),COUNTIF(Avril!G32:AK32,"AT"),COUNTIF(Mai!G32:AK32,"AT"),COUNTIF(Juin!G32:AK32,"AT"),COUNTIF(Juillet!G32:AK32,"AT"),COUNTIF(Août!G32:AK32,"AT"),COUNTIF(Septembre!G32:AK32,"AT"),COUNTIF(Octobre!G32:AK32,"AT"),COUNTIF(Novembre!G32:AK32,"AT"),COUNTIF(Décembre!G32:AK32,"AT"))</f>
        <v>0</v>
      </c>
      <c r="Q28" s="30">
        <f t="shared" si="2"/>
        <v>1</v>
      </c>
      <c r="R28" s="30">
        <f t="shared" si="3"/>
        <v>25</v>
      </c>
    </row>
    <row r="29" spans="2:18" ht="30" customHeight="1" x14ac:dyDescent="0.2">
      <c r="B29" s="13" t="s">
        <v>89</v>
      </c>
      <c r="C29" s="25" t="s">
        <v>203</v>
      </c>
      <c r="D29" s="25">
        <v>0</v>
      </c>
      <c r="E29" s="26"/>
      <c r="F29" s="26"/>
      <c r="G29" s="27">
        <v>7</v>
      </c>
      <c r="H29" s="27">
        <v>3</v>
      </c>
      <c r="I29" s="28">
        <v>27</v>
      </c>
      <c r="J29" s="28">
        <v>23</v>
      </c>
      <c r="K29" s="29">
        <f>SUM(COUNTIF(Janvier!F33:AJ33,"C"),COUNTIF(Février!F33:AI33,"C"),COUNTIF(Mars!F33:AJ33,"C"),COUNTIF(Avril!F33:AJ33,"C"),COUNTIF(Mai!F33:AJ33,"C"),COUNTIF(Juin!F33:AJ33,"C"),COUNTIF(Juillet!F33:AJ33,"C"),COUNTIF(Août!F33:AJ33,"C"),COUNTIF(Septembre!F33:AJ33,"C"),COUNTIF(Octobre!F33:AJ33,"C"),COUNTIF(Novembre!F33:AJ33,"C"),COUNTIF(Décembre!F33:AJ33,"C"))</f>
        <v>17</v>
      </c>
      <c r="L29" s="29">
        <f>SUM(COUNTIF(Janvier!F33:AJ33,"RTT"),COUNTIF(Février!F33:AI33,"RTT"),COUNTIF(Mars!F33:AJ33,"RTT"),COUNTIF(Avril!F33:AJ33,"RTT"),COUNTIF(Mai!F33:AJ33,"RTT"),COUNTIF(Juin!F33:AJ33,"RTT"),COUNTIF(Juillet!F33:AJ33,"RTT"),COUNTIF(Août!F33:AJ33,"RTT"),COUNTIF(Septembre!F33:AJ33,"RTT"),COUNTIF(Octobre!F33:AJ33,"RTT"),COUNTIF(Novembre!F33:AJ33,"RTT"),COUNTIF(Décembre!F33:AJ33,"RTT"))</f>
        <v>0</v>
      </c>
      <c r="M29" s="29">
        <f>SUM(COUNTIF(Janvier!F33:AJ33,"dRTT"),COUNTIF(Février!F33:AI33,"dRTT"),COUNTIF(Mars!F33:AJ33,"dRTT"),COUNTIF(Avril!F33:AJ33,"dRTT"),COUNTIF(Mai!F33:AJ33,"dRTT"),COUNTIF(Juin!F33:AJ33,"dRTT"),COUNTIF(Juillet!F33:AJ33,"dRTT"),COUNTIF(Août!F33:AJ33,"dRTT"),COUNTIF(Septembre!F33:AJ33,"dRTT"),COUNTIF(Octobre!F33:AJ33,"dRTT"),COUNTIF(Novembre!F33:AJ33,"dRTT"),COUNTIF(Décembre!F33:AJ33,"dRTT"))</f>
        <v>0</v>
      </c>
      <c r="N29" s="29">
        <f>SUM(COUNTIF(Janvier!F33:AJ33,"R"),COUNTIF(Février!F33:AI33,"R"),COUNTIF(Mars!F33:AJ33,"R"),COUNTIF(Avril!F33:AJ33,"R"),COUNTIF(Mai!F33:AJ33,"R"),COUNTIF(Juin!F33:AJ33,"R"),COUNTIF(Juillet!F33:AJ33,"R"),COUNTIF(Août!F33:AJ33,"R"),COUNTIF(Septembre!F33:AJ33,"R"),COUNTIF(Octobre!F33:AJ33,"R"),COUNTIF(Novembre!F33:AJ33,"R"),COUNTIF(Décembre!F33:AJ33,"R"))</f>
        <v>0</v>
      </c>
      <c r="O29" s="29">
        <f>SUM(COUNTIF(Janvier!F33:AJ33,"M"),COUNTIF(Février!F33:AI33,"M"),COUNTIF(Mars!F33:AJ33,"M"),COUNTIF(Avril!F33:AJ33,"M"),COUNTIF(Mai!F33:AJ33,"M"),COUNTIF(Juin!F33:AJ33,"M"),COUNTIF(Juillet!F33:AJ33,"M"),COUNTIF(Août!F33:AJ33,"M"),COUNTIF(Septembre!F33:AJ33,"M"),COUNTIF(Octobre!F33:AJ33,"M"),COUNTIF(Novembre!F33:AJ33,"M"),COUNTIF(Décembre!F33:AJ33,"M"))</f>
        <v>11</v>
      </c>
      <c r="P29" s="29">
        <f>SUM(COUNTIF(Janvier!G33:AK33,"AT"),COUNTIF(Février!G33:AJ33,"AT"),COUNTIF(Mars!G33:AK33,"AT"),COUNTIF(Avril!G33:AK33,"AT"),COUNTIF(Mai!G33:AK33,"AT"),COUNTIF(Juin!G33:AK33,"AT"),COUNTIF(Juillet!G33:AK33,"AT"),COUNTIF(Août!G33:AK33,"AT"),COUNTIF(Septembre!G33:AK33,"AT"),COUNTIF(Octobre!G33:AK33,"AT"),COUNTIF(Novembre!G33:AK33,"AT"),COUNTIF(Décembre!G33:AK33,"AT"))</f>
        <v>0</v>
      </c>
      <c r="Q29" s="30">
        <f t="shared" si="2"/>
        <v>17</v>
      </c>
      <c r="R29" s="30">
        <f t="shared" si="3"/>
        <v>26</v>
      </c>
    </row>
    <row r="30" spans="2:18" ht="30" customHeight="1" x14ac:dyDescent="0.2">
      <c r="B30" s="13" t="s">
        <v>90</v>
      </c>
      <c r="C30" s="25" t="s">
        <v>206</v>
      </c>
      <c r="D30" s="25" t="s">
        <v>162</v>
      </c>
      <c r="E30" s="26"/>
      <c r="F30" s="26"/>
      <c r="G30" s="27">
        <v>7</v>
      </c>
      <c r="H30" s="27">
        <v>3</v>
      </c>
      <c r="I30" s="28">
        <v>27</v>
      </c>
      <c r="J30" s="28">
        <v>23</v>
      </c>
      <c r="K30" s="29">
        <f>SUM(COUNTIF(Janvier!F34:AJ34,"C"),COUNTIF(Février!F34:AI34,"C"),COUNTIF(Mars!F34:AJ34,"C"),COUNTIF(Avril!F34:AJ34,"C"),COUNTIF(Mai!F34:AJ34,"C"),COUNTIF(Juin!F34:AJ34,"C"),COUNTIF(Juillet!F34:AJ34,"C"),COUNTIF(Août!F34:AJ34,"C"),COUNTIF(Septembre!F34:AJ34,"C"),COUNTIF(Octobre!F34:AJ34,"C"),COUNTIF(Novembre!F34:AJ34,"C"),COUNTIF(Décembre!F34:AJ34,"C"))</f>
        <v>1</v>
      </c>
      <c r="L30" s="29">
        <f>SUM(COUNTIF(Janvier!F34:AJ34,"RTT"),COUNTIF(Février!F34:AI34,"RTT"),COUNTIF(Mars!F34:AJ34,"RTT"),COUNTIF(Avril!F34:AJ34,"RTT"),COUNTIF(Mai!F34:AJ34,"RTT"),COUNTIF(Juin!F34:AJ34,"RTT"),COUNTIF(Juillet!F34:AJ34,"RTT"),COUNTIF(Août!F34:AJ34,"RTT"),COUNTIF(Septembre!F34:AJ34,"RTT"),COUNTIF(Octobre!F34:AJ34,"RTT"),COUNTIF(Novembre!F34:AJ34,"RTT"),COUNTIF(Décembre!F34:AJ34,"RTT"))</f>
        <v>0</v>
      </c>
      <c r="M30" s="29">
        <f>SUM(COUNTIF(Janvier!F34:AJ34,"dRTT"),COUNTIF(Février!F34:AI34,"dRTT"),COUNTIF(Mars!F34:AJ34,"dRTT"),COUNTIF(Avril!F34:AJ34,"dRTT"),COUNTIF(Mai!F34:AJ34,"dRTT"),COUNTIF(Juin!F34:AJ34,"dRTT"),COUNTIF(Juillet!F34:AJ34,"dRTT"),COUNTIF(Août!F34:AJ34,"dRTT"),COUNTIF(Septembre!F34:AJ34,"dRTT"),COUNTIF(Octobre!F34:AJ34,"dRTT"),COUNTIF(Novembre!F34:AJ34,"dRTT"),COUNTIF(Décembre!F34:AJ34,"dRTT"))</f>
        <v>0</v>
      </c>
      <c r="N30" s="29">
        <f>SUM(COUNTIF(Janvier!F34:AJ34,"R"),COUNTIF(Février!F34:AI34,"R"),COUNTIF(Mars!F34:AJ34,"R"),COUNTIF(Avril!F34:AJ34,"R"),COUNTIF(Mai!F34:AJ34,"R"),COUNTIF(Juin!F34:AJ34,"R"),COUNTIF(Juillet!F34:AJ34,"R"),COUNTIF(Août!F34:AJ34,"R"),COUNTIF(Septembre!F34:AJ34,"R"),COUNTIF(Octobre!F34:AJ34,"R"),COUNTIF(Novembre!F34:AJ34,"R"),COUNTIF(Décembre!F34:AJ34,"R"))</f>
        <v>0</v>
      </c>
      <c r="O30" s="29">
        <f>SUM(COUNTIF(Janvier!F34:AJ34,"M"),COUNTIF(Février!F34:AI34,"M"),COUNTIF(Mars!F34:AJ34,"M"),COUNTIF(Avril!F34:AJ34,"M"),COUNTIF(Mai!F34:AJ34,"M"),COUNTIF(Juin!F34:AJ34,"M"),COUNTIF(Juillet!F34:AJ34,"M"),COUNTIF(Août!F34:AJ34,"M"),COUNTIF(Septembre!F34:AJ34,"M"),COUNTIF(Octobre!F34:AJ34,"M"),COUNTIF(Novembre!F34:AJ34,"M"),COUNTIF(Décembre!F34:AJ34,"M"))</f>
        <v>3</v>
      </c>
      <c r="P30" s="29">
        <f>SUM(COUNTIF(Janvier!G34:AK34,"AT"),COUNTIF(Février!G34:AJ34,"AT"),COUNTIF(Mars!G34:AK34,"AT"),COUNTIF(Avril!G34:AK34,"AT"),COUNTIF(Mai!G34:AK34,"AT"),COUNTIF(Juin!G34:AK34,"AT"),COUNTIF(Juillet!G34:AK34,"AT"),COUNTIF(Août!G34:AK34,"AT"),COUNTIF(Septembre!G34:AK34,"AT"),COUNTIF(Octobre!G34:AK34,"AT"),COUNTIF(Novembre!G34:AK34,"AT"),COUNTIF(Décembre!G34:AK34,"AT"))</f>
        <v>0</v>
      </c>
      <c r="Q30" s="30">
        <f t="shared" si="2"/>
        <v>33</v>
      </c>
      <c r="R30" s="30">
        <f t="shared" si="3"/>
        <v>26</v>
      </c>
    </row>
    <row r="31" spans="2:18" ht="30" customHeight="1" x14ac:dyDescent="0.2">
      <c r="B31" s="13" t="s">
        <v>91</v>
      </c>
      <c r="C31" s="25" t="s">
        <v>209</v>
      </c>
      <c r="D31" s="25" t="s">
        <v>162</v>
      </c>
      <c r="E31" s="26"/>
      <c r="F31" s="26"/>
      <c r="G31" s="27">
        <v>7</v>
      </c>
      <c r="H31" s="27">
        <v>3</v>
      </c>
      <c r="I31" s="28">
        <v>27</v>
      </c>
      <c r="J31" s="28">
        <v>23</v>
      </c>
      <c r="K31" s="29">
        <f>SUM(COUNTIF(Janvier!F35:AJ35,"C"),COUNTIF(Février!F35:AI35,"C"),COUNTIF(Mars!F35:AJ35,"C"),COUNTIF(Avril!F35:AJ35,"C"),COUNTIF(Mai!F35:AJ35,"C"),COUNTIF(Juin!F35:AJ35,"C"),COUNTIF(Juillet!F35:AJ35,"C"),COUNTIF(Août!F35:AJ35,"C"),COUNTIF(Septembre!F35:AJ35,"C"),COUNTIF(Octobre!F35:AJ35,"C"),COUNTIF(Novembre!F35:AJ35,"C"),COUNTIF(Décembre!F35:AJ35,"C"))</f>
        <v>8</v>
      </c>
      <c r="L31" s="29">
        <f>SUM(COUNTIF(Janvier!F35:AJ35,"RTT"),COUNTIF(Février!F35:AI35,"RTT"),COUNTIF(Mars!F35:AJ35,"RTT"),COUNTIF(Avril!F35:AJ35,"RTT"),COUNTIF(Mai!F35:AJ35,"RTT"),COUNTIF(Juin!F35:AJ35,"RTT"),COUNTIF(Juillet!F35:AJ35,"RTT"),COUNTIF(Août!F35:AJ35,"RTT"),COUNTIF(Septembre!F35:AJ35,"RTT"),COUNTIF(Octobre!F35:AJ35,"RTT"),COUNTIF(Novembre!F35:AJ35,"RTT"),COUNTIF(Décembre!F35:AJ35,"RTT"))</f>
        <v>0</v>
      </c>
      <c r="M31" s="29">
        <f>SUM(COUNTIF(Janvier!F35:AJ35,"dRTT"),COUNTIF(Février!F35:AI35,"dRTT"),COUNTIF(Mars!F35:AJ35,"dRTT"),COUNTIF(Avril!F35:AJ35,"dRTT"),COUNTIF(Mai!F35:AJ35,"dRTT"),COUNTIF(Juin!F35:AJ35,"dRTT"),COUNTIF(Juillet!F35:AJ35,"dRTT"),COUNTIF(Août!F35:AJ35,"dRTT"),COUNTIF(Septembre!F35:AJ35,"dRTT"),COUNTIF(Octobre!F35:AJ35,"dRTT"),COUNTIF(Novembre!F35:AJ35,"dRTT"),COUNTIF(Décembre!F35:AJ35,"dRTT"))</f>
        <v>0</v>
      </c>
      <c r="N31" s="29">
        <f>SUM(COUNTIF(Janvier!F35:AJ35,"R"),COUNTIF(Février!F35:AI35,"R"),COUNTIF(Mars!F35:AJ35,"R"),COUNTIF(Avril!F35:AJ35,"R"),COUNTIF(Mai!F35:AJ35,"R"),COUNTIF(Juin!F35:AJ35,"R"),COUNTIF(Juillet!F35:AJ35,"R"),COUNTIF(Août!F35:AJ35,"R"),COUNTIF(Septembre!F35:AJ35,"R"),COUNTIF(Octobre!F35:AJ35,"R"),COUNTIF(Novembre!F35:AJ35,"R"),COUNTIF(Décembre!F35:AJ35,"R"))</f>
        <v>0</v>
      </c>
      <c r="O31" s="29">
        <f>SUM(COUNTIF(Janvier!F35:AJ35,"M"),COUNTIF(Février!F35:AI35,"M"),COUNTIF(Mars!F35:AJ35,"M"),COUNTIF(Avril!F35:AJ35,"M"),COUNTIF(Mai!F35:AJ35,"M"),COUNTIF(Juin!F35:AJ35,"M"),COUNTIF(Juillet!F35:AJ35,"M"),COUNTIF(Août!F35:AJ35,"M"),COUNTIF(Septembre!F35:AJ35,"M"),COUNTIF(Octobre!F35:AJ35,"M"),COUNTIF(Novembre!F35:AJ35,"M"),COUNTIF(Décembre!F35:AJ35,"M"))</f>
        <v>0</v>
      </c>
      <c r="P31" s="29">
        <f>SUM(COUNTIF(Janvier!G35:AK35,"AT"),COUNTIF(Février!G35:AJ35,"AT"),COUNTIF(Mars!G35:AK35,"AT"),COUNTIF(Avril!G35:AK35,"AT"),COUNTIF(Mai!G35:AK35,"AT"),COUNTIF(Juin!G35:AK35,"AT"),COUNTIF(Juillet!G35:AK35,"AT"),COUNTIF(Août!G35:AK35,"AT"),COUNTIF(Septembre!G35:AK35,"AT"),COUNTIF(Octobre!G35:AK35,"AT"),COUNTIF(Novembre!G35:AK35,"AT"),COUNTIF(Décembre!G35:AK35,"AT"))</f>
        <v>0</v>
      </c>
      <c r="Q31" s="30">
        <f t="shared" si="2"/>
        <v>26</v>
      </c>
      <c r="R31" s="30">
        <f t="shared" si="3"/>
        <v>26</v>
      </c>
    </row>
    <row r="32" spans="2:18" ht="30" customHeight="1" x14ac:dyDescent="0.2">
      <c r="B32" s="13" t="s">
        <v>92</v>
      </c>
      <c r="C32" s="25" t="s">
        <v>212</v>
      </c>
      <c r="D32" s="25">
        <v>0</v>
      </c>
      <c r="E32" s="26"/>
      <c r="F32" s="26"/>
      <c r="G32" s="27">
        <v>7</v>
      </c>
      <c r="H32" s="27">
        <v>3</v>
      </c>
      <c r="I32" s="28">
        <v>27</v>
      </c>
      <c r="J32" s="28">
        <v>23</v>
      </c>
      <c r="K32" s="29">
        <f>SUM(COUNTIF(Janvier!F36:AJ36,"C"),COUNTIF(Février!F36:AI36,"C"),COUNTIF(Mars!F36:AJ36,"C"),COUNTIF(Avril!F36:AJ36,"C"),COUNTIF(Mai!F36:AJ36,"C"),COUNTIF(Juin!F36:AJ36,"C"),COUNTIF(Juillet!F36:AJ36,"C"),COUNTIF(Août!F36:AJ36,"C"),COUNTIF(Septembre!F36:AJ36,"C"),COUNTIF(Octobre!F36:AJ36,"C"),COUNTIF(Novembre!F36:AJ36,"C"),COUNTIF(Décembre!F36:AJ36,"C"))</f>
        <v>37</v>
      </c>
      <c r="L32" s="29">
        <f>SUM(COUNTIF(Janvier!F36:AJ36,"RTT"),COUNTIF(Février!F36:AI36,"RTT"),COUNTIF(Mars!F36:AJ36,"RTT"),COUNTIF(Avril!F36:AJ36,"RTT"),COUNTIF(Mai!F36:AJ36,"RTT"),COUNTIF(Juin!F36:AJ36,"RTT"),COUNTIF(Juillet!F36:AJ36,"RTT"),COUNTIF(Août!F36:AJ36,"RTT"),COUNTIF(Septembre!F36:AJ36,"RTT"),COUNTIF(Octobre!F36:AJ36,"RTT"),COUNTIF(Novembre!F36:AJ36,"RTT"),COUNTIF(Décembre!F36:AJ36,"RTT"))</f>
        <v>2</v>
      </c>
      <c r="M32" s="29">
        <f>SUM(COUNTIF(Janvier!F36:AJ36,"dRTT"),COUNTIF(Février!F36:AI36,"dRTT"),COUNTIF(Mars!F36:AJ36,"dRTT"),COUNTIF(Avril!F36:AJ36,"dRTT"),COUNTIF(Mai!F36:AJ36,"dRTT"),COUNTIF(Juin!F36:AJ36,"dRTT"),COUNTIF(Juillet!F36:AJ36,"dRTT"),COUNTIF(Août!F36:AJ36,"dRTT"),COUNTIF(Septembre!F36:AJ36,"dRTT"),COUNTIF(Octobre!F36:AJ36,"dRTT"),COUNTIF(Novembre!F36:AJ36,"dRTT"),COUNTIF(Décembre!F36:AJ36,"dRTT"))</f>
        <v>0</v>
      </c>
      <c r="N32" s="29">
        <f>SUM(COUNTIF(Janvier!F36:AJ36,"R"),COUNTIF(Février!F36:AI36,"R"),COUNTIF(Mars!F36:AJ36,"R"),COUNTIF(Avril!F36:AJ36,"R"),COUNTIF(Mai!F36:AJ36,"R"),COUNTIF(Juin!F36:AJ36,"R"),COUNTIF(Juillet!F36:AJ36,"R"),COUNTIF(Août!F36:AJ36,"R"),COUNTIF(Septembre!F36:AJ36,"R"),COUNTIF(Octobre!F36:AJ36,"R"),COUNTIF(Novembre!F36:AJ36,"R"),COUNTIF(Décembre!F36:AJ36,"R"))</f>
        <v>0</v>
      </c>
      <c r="O32" s="29">
        <f>SUM(COUNTIF(Janvier!F36:AJ36,"M"),COUNTIF(Février!F36:AI36,"M"),COUNTIF(Mars!F36:AJ36,"M"),COUNTIF(Avril!F36:AJ36,"M"),COUNTIF(Mai!F36:AJ36,"M"),COUNTIF(Juin!F36:AJ36,"M"),COUNTIF(Juillet!F36:AJ36,"M"),COUNTIF(Août!F36:AJ36,"M"),COUNTIF(Septembre!F36:AJ36,"M"),COUNTIF(Octobre!F36:AJ36,"M"),COUNTIF(Novembre!F36:AJ36,"M"),COUNTIF(Décembre!F36:AJ36,"M"))</f>
        <v>0</v>
      </c>
      <c r="P32" s="29">
        <f>SUM(COUNTIF(Janvier!G36:AK36,"AT"),COUNTIF(Février!G36:AJ36,"AT"),COUNTIF(Mars!G36:AK36,"AT"),COUNTIF(Avril!G36:AK36,"AT"),COUNTIF(Mai!G36:AK36,"AT"),COUNTIF(Juin!G36:AK36,"AT"),COUNTIF(Juillet!G36:AK36,"AT"),COUNTIF(Août!G36:AK36,"AT"),COUNTIF(Septembre!G36:AK36,"AT"),COUNTIF(Octobre!G36:AK36,"AT"),COUNTIF(Novembre!G36:AK36,"AT"),COUNTIF(Décembre!G36:AK36,"AT"))</f>
        <v>0</v>
      </c>
      <c r="Q32" s="30">
        <f t="shared" si="2"/>
        <v>-3</v>
      </c>
      <c r="R32" s="30">
        <f t="shared" si="3"/>
        <v>24</v>
      </c>
    </row>
    <row r="33" spans="2:18" ht="30" customHeight="1" x14ac:dyDescent="0.2">
      <c r="B33" s="13" t="s">
        <v>93</v>
      </c>
      <c r="C33" s="25" t="s">
        <v>214</v>
      </c>
      <c r="D33" s="25">
        <v>0</v>
      </c>
      <c r="E33" s="26"/>
      <c r="F33" s="26"/>
      <c r="G33" s="27">
        <v>7</v>
      </c>
      <c r="H33" s="27">
        <v>3</v>
      </c>
      <c r="I33" s="28">
        <v>27</v>
      </c>
      <c r="J33" s="28">
        <v>23</v>
      </c>
      <c r="K33" s="29">
        <f>SUM(COUNTIF(Janvier!F37:AJ37,"C"),COUNTIF(Février!F37:AI37,"C"),COUNTIF(Mars!F37:AJ37,"C"),COUNTIF(Avril!F37:AJ37,"C"),COUNTIF(Mai!F37:AJ37,"C"),COUNTIF(Juin!F37:AJ37,"C"),COUNTIF(Juillet!F37:AJ37,"C"),COUNTIF(Août!F37:AJ37,"C"),COUNTIF(Septembre!F37:AJ37,"C"),COUNTIF(Octobre!F37:AJ37,"C"),COUNTIF(Novembre!F37:AJ37,"C"),COUNTIF(Décembre!F37:AJ37,"C"))</f>
        <v>19</v>
      </c>
      <c r="L33" s="29">
        <f>SUM(COUNTIF(Janvier!F37:AJ37,"RTT"),COUNTIF(Février!F37:AI37,"RTT"),COUNTIF(Mars!F37:AJ37,"RTT"),COUNTIF(Avril!F37:AJ37,"RTT"),COUNTIF(Mai!F37:AJ37,"RTT"),COUNTIF(Juin!F37:AJ37,"RTT"),COUNTIF(Juillet!F37:AJ37,"RTT"),COUNTIF(Août!F37:AJ37,"RTT"),COUNTIF(Septembre!F37:AJ37,"RTT"),COUNTIF(Octobre!F37:AJ37,"RTT"),COUNTIF(Novembre!F37:AJ37,"RTT"),COUNTIF(Décembre!F37:AJ37,"RTT"))</f>
        <v>0</v>
      </c>
      <c r="M33" s="29">
        <f>SUM(COUNTIF(Janvier!F37:AJ37,"dRTT"),COUNTIF(Février!F37:AI37,"dRTT"),COUNTIF(Mars!F37:AJ37,"dRTT"),COUNTIF(Avril!F37:AJ37,"dRTT"),COUNTIF(Mai!F37:AJ37,"dRTT"),COUNTIF(Juin!F37:AJ37,"dRTT"),COUNTIF(Juillet!F37:AJ37,"dRTT"),COUNTIF(Août!F37:AJ37,"dRTT"),COUNTIF(Septembre!F37:AJ37,"dRTT"),COUNTIF(Octobre!F37:AJ37,"dRTT"),COUNTIF(Novembre!F37:AJ37,"dRTT"),COUNTIF(Décembre!F37:AJ37,"dRTT"))</f>
        <v>0</v>
      </c>
      <c r="N33" s="29">
        <f>SUM(COUNTIF(Janvier!F37:AJ37,"R"),COUNTIF(Février!F37:AI37,"R"),COUNTIF(Mars!F37:AJ37,"R"),COUNTIF(Avril!F37:AJ37,"R"),COUNTIF(Mai!F37:AJ37,"R"),COUNTIF(Juin!F37:AJ37,"R"),COUNTIF(Juillet!F37:AJ37,"R"),COUNTIF(Août!F37:AJ37,"R"),COUNTIF(Septembre!F37:AJ37,"R"),COUNTIF(Octobre!F37:AJ37,"R"),COUNTIF(Novembre!F37:AJ37,"R"),COUNTIF(Décembre!F37:AJ37,"R"))</f>
        <v>0</v>
      </c>
      <c r="O33" s="29">
        <f>SUM(COUNTIF(Janvier!F37:AJ37,"M"),COUNTIF(Février!F37:AI37,"M"),COUNTIF(Mars!F37:AJ37,"M"),COUNTIF(Avril!F37:AJ37,"M"),COUNTIF(Mai!F37:AJ37,"M"),COUNTIF(Juin!F37:AJ37,"M"),COUNTIF(Juillet!F37:AJ37,"M"),COUNTIF(Août!F37:AJ37,"M"),COUNTIF(Septembre!F37:AJ37,"M"),COUNTIF(Octobre!F37:AJ37,"M"),COUNTIF(Novembre!F37:AJ37,"M"),COUNTIF(Décembre!F37:AJ37,"M"))</f>
        <v>0</v>
      </c>
      <c r="P33" s="29">
        <f>SUM(COUNTIF(Janvier!G37:AK37,"AT"),COUNTIF(Février!G37:AJ37,"AT"),COUNTIF(Mars!G37:AK37,"AT"),COUNTIF(Avril!G37:AK37,"AT"),COUNTIF(Mai!G37:AK37,"AT"),COUNTIF(Juin!G37:AK37,"AT"),COUNTIF(Juillet!G37:AK37,"AT"),COUNTIF(Août!G37:AK37,"AT"),COUNTIF(Septembre!G37:AK37,"AT"),COUNTIF(Octobre!G37:AK37,"AT"),COUNTIF(Novembre!G37:AK37,"AT"),COUNTIF(Décembre!G37:AK37,"AT"))</f>
        <v>0</v>
      </c>
      <c r="Q33" s="30">
        <f t="shared" si="2"/>
        <v>15</v>
      </c>
      <c r="R33" s="30">
        <f t="shared" si="3"/>
        <v>26</v>
      </c>
    </row>
    <row r="34" spans="2:18" ht="30" customHeight="1" x14ac:dyDescent="0.2">
      <c r="B34" s="13" t="s">
        <v>94</v>
      </c>
      <c r="C34" s="25" t="s">
        <v>217</v>
      </c>
      <c r="D34" s="25">
        <v>0</v>
      </c>
      <c r="E34" s="26"/>
      <c r="F34" s="26"/>
      <c r="G34" s="27">
        <v>7</v>
      </c>
      <c r="H34" s="27">
        <v>3</v>
      </c>
      <c r="I34" s="28">
        <v>27</v>
      </c>
      <c r="J34" s="28">
        <v>23</v>
      </c>
      <c r="K34" s="29">
        <f>SUM(COUNTIF(Janvier!F38:AJ38,"C"),COUNTIF(Février!F38:AI38,"C"),COUNTIF(Mars!F38:AJ38,"C"),COUNTIF(Avril!F38:AJ38,"C"),COUNTIF(Mai!F38:AJ38,"C"),COUNTIF(Juin!F38:AJ38,"C"),COUNTIF(Juillet!F38:AJ38,"C"),COUNTIF(Août!F38:AJ38,"C"),COUNTIF(Septembre!F38:AJ38,"C"),COUNTIF(Octobre!F38:AJ38,"C"),COUNTIF(Novembre!F38:AJ38,"C"),COUNTIF(Décembre!F38:AJ38,"C"))</f>
        <v>15</v>
      </c>
      <c r="L34" s="29">
        <f>SUM(COUNTIF(Janvier!F38:AJ38,"RTT"),COUNTIF(Février!F38:AI38,"RTT"),COUNTIF(Mars!F38:AJ38,"RTT"),COUNTIF(Avril!F38:AJ38,"RTT"),COUNTIF(Mai!F38:AJ38,"RTT"),COUNTIF(Juin!F38:AJ38,"RTT"),COUNTIF(Juillet!F38:AJ38,"RTT"),COUNTIF(Août!F38:AJ38,"RTT"),COUNTIF(Septembre!F38:AJ38,"RTT"),COUNTIF(Octobre!F38:AJ38,"RTT"),COUNTIF(Novembre!F38:AJ38,"RTT"),COUNTIF(Décembre!F38:AJ38,"RTT"))</f>
        <v>0</v>
      </c>
      <c r="M34" s="29">
        <f>SUM(COUNTIF(Janvier!F38:AJ38,"dRTT"),COUNTIF(Février!F38:AI38,"dRTT"),COUNTIF(Mars!F38:AJ38,"dRTT"),COUNTIF(Avril!F38:AJ38,"dRTT"),COUNTIF(Mai!F38:AJ38,"dRTT"),COUNTIF(Juin!F38:AJ38,"dRTT"),COUNTIF(Juillet!F38:AJ38,"dRTT"),COUNTIF(Août!F38:AJ38,"dRTT"),COUNTIF(Septembre!F38:AJ38,"dRTT"),COUNTIF(Octobre!F38:AJ38,"dRTT"),COUNTIF(Novembre!F38:AJ38,"dRTT"),COUNTIF(Décembre!F38:AJ38,"dRTT"))</f>
        <v>0</v>
      </c>
      <c r="N34" s="29">
        <f>SUM(COUNTIF(Janvier!F38:AJ38,"R"),COUNTIF(Février!F38:AI38,"R"),COUNTIF(Mars!F38:AJ38,"R"),COUNTIF(Avril!F38:AJ38,"R"),COUNTIF(Mai!F38:AJ38,"R"),COUNTIF(Juin!F38:AJ38,"R"),COUNTIF(Juillet!F38:AJ38,"R"),COUNTIF(Août!F38:AJ38,"R"),COUNTIF(Septembre!F38:AJ38,"R"),COUNTIF(Octobre!F38:AJ38,"R"),COUNTIF(Novembre!F38:AJ38,"R"),COUNTIF(Décembre!F38:AJ38,"R"))</f>
        <v>0</v>
      </c>
      <c r="O34" s="29">
        <f>SUM(COUNTIF(Janvier!F38:AJ38,"M"),COUNTIF(Février!F38:AI38,"M"),COUNTIF(Mars!F38:AJ38,"M"),COUNTIF(Avril!F38:AJ38,"M"),COUNTIF(Mai!F38:AJ38,"M"),COUNTIF(Juin!F38:AJ38,"M"),COUNTIF(Juillet!F38:AJ38,"M"),COUNTIF(Août!F38:AJ38,"M"),COUNTIF(Septembre!F38:AJ38,"M"),COUNTIF(Octobre!F38:AJ38,"M"),COUNTIF(Novembre!F38:AJ38,"M"),COUNTIF(Décembre!F38:AJ38,"M"))</f>
        <v>0</v>
      </c>
      <c r="P34" s="29">
        <f>SUM(COUNTIF(Janvier!G38:AK38,"AT"),COUNTIF(Février!G38:AJ38,"AT"),COUNTIF(Mars!G38:AK38,"AT"),COUNTIF(Avril!G38:AK38,"AT"),COUNTIF(Mai!G38:AK38,"AT"),COUNTIF(Juin!G38:AK38,"AT"),COUNTIF(Juillet!G38:AK38,"AT"),COUNTIF(Août!G38:AK38,"AT"),COUNTIF(Septembre!G38:AK38,"AT"),COUNTIF(Octobre!G38:AK38,"AT"),COUNTIF(Novembre!G38:AK38,"AT"),COUNTIF(Décembre!G38:AK38,"AT"))</f>
        <v>13</v>
      </c>
      <c r="Q34" s="30">
        <f t="shared" si="2"/>
        <v>19</v>
      </c>
      <c r="R34" s="30">
        <f t="shared" si="3"/>
        <v>26</v>
      </c>
    </row>
    <row r="35" spans="2:18" ht="30" customHeight="1" x14ac:dyDescent="0.2">
      <c r="B35" s="16" t="s">
        <v>95</v>
      </c>
      <c r="C35" s="25" t="s">
        <v>220</v>
      </c>
      <c r="D35" s="25">
        <v>0</v>
      </c>
      <c r="E35" s="26"/>
      <c r="F35" s="26"/>
      <c r="G35" s="27">
        <v>7</v>
      </c>
      <c r="H35" s="27">
        <v>3</v>
      </c>
      <c r="I35" s="28">
        <v>27</v>
      </c>
      <c r="J35" s="28">
        <v>23</v>
      </c>
      <c r="K35" s="29">
        <f>SUM(COUNTIF(Janvier!F39:AJ39,"C"),COUNTIF(Février!F39:AI39,"C"),COUNTIF(Mars!F39:AJ39,"C"),COUNTIF(Avril!F39:AJ39,"C"),COUNTIF(Mai!F39:AJ39,"C"),COUNTIF(Juin!F39:AJ39,"C"),COUNTIF(Juillet!F39:AJ39,"C"),COUNTIF(Août!F39:AJ39,"C"),COUNTIF(Septembre!F39:AJ39,"C"),COUNTIF(Octobre!F39:AJ39,"C"),COUNTIF(Novembre!F39:AJ39,"C"),COUNTIF(Décembre!F39:AJ39,"C"))</f>
        <v>28</v>
      </c>
      <c r="L35" s="29">
        <f>SUM(COUNTIF(Janvier!F39:AJ39,"RTT"),COUNTIF(Février!F39:AI39,"RTT"),COUNTIF(Mars!F39:AJ39,"RTT"),COUNTIF(Avril!F39:AJ39,"RTT"),COUNTIF(Mai!F39:AJ39,"RTT"),COUNTIF(Juin!F39:AJ39,"RTT"),COUNTIF(Juillet!F39:AJ39,"RTT"),COUNTIF(Août!F39:AJ39,"RTT"),COUNTIF(Septembre!F39:AJ39,"RTT"),COUNTIF(Octobre!F39:AJ39,"RTT"),COUNTIF(Novembre!F39:AJ39,"RTT"),COUNTIF(Décembre!F39:AJ39,"RTT"))</f>
        <v>0</v>
      </c>
      <c r="M35" s="29">
        <f>SUM(COUNTIF(Janvier!F39:AJ39,"dRTT"),COUNTIF(Février!F39:AI39,"dRTT"),COUNTIF(Mars!F39:AJ39,"dRTT"),COUNTIF(Avril!F39:AJ39,"dRTT"),COUNTIF(Mai!F39:AJ39,"dRTT"),COUNTIF(Juin!F39:AJ39,"dRTT"),COUNTIF(Juillet!F39:AJ39,"dRTT"),COUNTIF(Août!F39:AJ39,"dRTT"),COUNTIF(Septembre!F39:AJ39,"dRTT"),COUNTIF(Octobre!F39:AJ39,"dRTT"),COUNTIF(Novembre!F39:AJ39,"dRTT"),COUNTIF(Décembre!F39:AJ39,"dRTT"))</f>
        <v>0</v>
      </c>
      <c r="N35" s="29">
        <f>SUM(COUNTIF(Janvier!F39:AJ39,"R"),COUNTIF(Février!F39:AI39,"R"),COUNTIF(Mars!F39:AJ39,"R"),COUNTIF(Avril!F39:AJ39,"R"),COUNTIF(Mai!F39:AJ39,"R"),COUNTIF(Juin!F39:AJ39,"R"),COUNTIF(Juillet!F39:AJ39,"R"),COUNTIF(Août!F39:AJ39,"R"),COUNTIF(Septembre!F39:AJ39,"R"),COUNTIF(Octobre!F39:AJ39,"R"),COUNTIF(Novembre!F39:AJ39,"R"),COUNTIF(Décembre!F39:AJ39,"R"))</f>
        <v>0</v>
      </c>
      <c r="O35" s="29">
        <f>SUM(COUNTIF(Janvier!F39:AJ39,"M"),COUNTIF(Février!F39:AI39,"M"),COUNTIF(Mars!F39:AJ39,"M"),COUNTIF(Avril!F39:AJ39,"M"),COUNTIF(Mai!F39:AJ39,"M"),COUNTIF(Juin!F39:AJ39,"M"),COUNTIF(Juillet!F39:AJ39,"M"),COUNTIF(Août!F39:AJ39,"M"),COUNTIF(Septembre!F39:AJ39,"M"),COUNTIF(Octobre!F39:AJ39,"M"),COUNTIF(Novembre!F39:AJ39,"M"),COUNTIF(Décembre!F39:AJ39,"M"))</f>
        <v>0</v>
      </c>
      <c r="P35" s="29">
        <f>SUM(COUNTIF(Janvier!G39:AK39,"AT"),COUNTIF(Février!G39:AJ39,"AT"),COUNTIF(Mars!G39:AK39,"AT"),COUNTIF(Avril!G39:AK39,"AT"),COUNTIF(Mai!G39:AK39,"AT"),COUNTIF(Juin!G39:AK39,"AT"),COUNTIF(Juillet!G39:AK39,"AT"),COUNTIF(Août!G39:AK39,"AT"),COUNTIF(Septembre!G39:AK39,"AT"),COUNTIF(Octobre!G39:AK39,"AT"),COUNTIF(Novembre!G39:AK39,"AT"),COUNTIF(Décembre!G39:AK39,"AT"))</f>
        <v>0</v>
      </c>
      <c r="Q35" s="30">
        <f t="shared" si="2"/>
        <v>6</v>
      </c>
      <c r="R35" s="30">
        <f t="shared" si="3"/>
        <v>26</v>
      </c>
    </row>
    <row r="36" spans="2:18" ht="30" customHeight="1" x14ac:dyDescent="0.2">
      <c r="B36" s="15" t="s">
        <v>96</v>
      </c>
      <c r="C36" s="25" t="s">
        <v>223</v>
      </c>
      <c r="D36" s="25">
        <v>0</v>
      </c>
      <c r="E36" s="26"/>
      <c r="F36" s="26"/>
      <c r="G36" s="27">
        <v>7</v>
      </c>
      <c r="H36" s="27">
        <v>3</v>
      </c>
      <c r="I36" s="28">
        <v>27</v>
      </c>
      <c r="J36" s="28">
        <v>23</v>
      </c>
      <c r="K36" s="29">
        <f>SUM(COUNTIF(Janvier!F40:AJ40,"C"),COUNTIF(Février!F40:AI40,"C"),COUNTIF(Mars!F40:AJ40,"C"),COUNTIF(Avril!F40:AJ40,"C"),COUNTIF(Mai!F40:AJ40,"C"),COUNTIF(Juin!F40:AJ40,"C"),COUNTIF(Juillet!F40:AJ40,"C"),COUNTIF(Août!F40:AJ40,"C"),COUNTIF(Septembre!F40:AJ40,"C"),COUNTIF(Octobre!F40:AJ40,"C"),COUNTIF(Novembre!F40:AJ40,"C"),COUNTIF(Décembre!F40:AJ40,"C"))</f>
        <v>27</v>
      </c>
      <c r="L36" s="29">
        <f>SUM(COUNTIF(Janvier!F40:AJ40,"RTT"),COUNTIF(Février!F40:AI40,"RTT"),COUNTIF(Mars!F40:AJ40,"RTT"),COUNTIF(Avril!F40:AJ40,"RTT"),COUNTIF(Mai!F40:AJ40,"RTT"),COUNTIF(Juin!F40:AJ40,"RTT"),COUNTIF(Juillet!F40:AJ40,"RTT"),COUNTIF(Août!F40:AJ40,"RTT"),COUNTIF(Septembre!F40:AJ40,"RTT"),COUNTIF(Octobre!F40:AJ40,"RTT"),COUNTIF(Novembre!F40:AJ40,"RTT"),COUNTIF(Décembre!F40:AJ40,"RTT"))</f>
        <v>0</v>
      </c>
      <c r="M36" s="29">
        <f>SUM(COUNTIF(Janvier!F40:AJ40,"dRTT"),COUNTIF(Février!F40:AI40,"dRTT"),COUNTIF(Mars!F40:AJ40,"dRTT"),COUNTIF(Avril!F40:AJ40,"dRTT"),COUNTIF(Mai!F40:AJ40,"dRTT"),COUNTIF(Juin!F40:AJ40,"dRTT"),COUNTIF(Juillet!F40:AJ40,"dRTT"),COUNTIF(Août!F40:AJ40,"dRTT"),COUNTIF(Septembre!F40:AJ40,"dRTT"),COUNTIF(Octobre!F40:AJ40,"dRTT"),COUNTIF(Novembre!F40:AJ40,"dRTT"),COUNTIF(Décembre!F40:AJ40,"dRTT"))</f>
        <v>0</v>
      </c>
      <c r="N36" s="29">
        <f>SUM(COUNTIF(Janvier!F40:AJ40,"R"),COUNTIF(Février!F40:AI40,"R"),COUNTIF(Mars!F40:AJ40,"R"),COUNTIF(Avril!F40:AJ40,"R"),COUNTIF(Mai!F40:AJ40,"R"),COUNTIF(Juin!F40:AJ40,"R"),COUNTIF(Juillet!F40:AJ40,"R"),COUNTIF(Août!F40:AJ40,"R"),COUNTIF(Septembre!F40:AJ40,"R"),COUNTIF(Octobre!F40:AJ40,"R"),COUNTIF(Novembre!F40:AJ40,"R"),COUNTIF(Décembre!F40:AJ40,"R"))</f>
        <v>0</v>
      </c>
      <c r="O36" s="29">
        <f>SUM(COUNTIF(Janvier!F40:AJ40,"M"),COUNTIF(Février!F40:AI40,"M"),COUNTIF(Mars!F40:AJ40,"M"),COUNTIF(Avril!F40:AJ40,"M"),COUNTIF(Mai!F40:AJ40,"M"),COUNTIF(Juin!F40:AJ40,"M"),COUNTIF(Juillet!F40:AJ40,"M"),COUNTIF(Août!F40:AJ40,"M"),COUNTIF(Septembre!F40:AJ40,"M"),COUNTIF(Octobre!F40:AJ40,"M"),COUNTIF(Novembre!F40:AJ40,"M"),COUNTIF(Décembre!F40:AJ40,"M"))</f>
        <v>0</v>
      </c>
      <c r="P36" s="29">
        <f>SUM(COUNTIF(Janvier!G40:AK40,"AT"),COUNTIF(Février!G40:AJ40,"AT"),COUNTIF(Mars!G40:AK40,"AT"),COUNTIF(Avril!G40:AK40,"AT"),COUNTIF(Mai!G40:AK40,"AT"),COUNTIF(Juin!G40:AK40,"AT"),COUNTIF(Juillet!G40:AK40,"AT"),COUNTIF(Août!G40:AK40,"AT"),COUNTIF(Septembre!G40:AK40,"AT"),COUNTIF(Octobre!G40:AK40,"AT"),COUNTIF(Novembre!G40:AK40,"AT"),COUNTIF(Décembre!G40:AK40,"AT"))</f>
        <v>0</v>
      </c>
      <c r="Q36" s="30">
        <f t="shared" si="2"/>
        <v>7</v>
      </c>
      <c r="R36" s="30">
        <f t="shared" si="3"/>
        <v>26</v>
      </c>
    </row>
    <row r="37" spans="2:18" ht="30" customHeight="1" x14ac:dyDescent="0.2">
      <c r="B37" s="15" t="s">
        <v>97</v>
      </c>
      <c r="C37" s="25" t="s">
        <v>226</v>
      </c>
      <c r="D37" s="25">
        <v>0</v>
      </c>
      <c r="E37" s="26"/>
      <c r="F37" s="26"/>
      <c r="G37" s="27">
        <v>7</v>
      </c>
      <c r="H37" s="27">
        <v>3</v>
      </c>
      <c r="I37" s="28">
        <v>27</v>
      </c>
      <c r="J37" s="28">
        <v>23</v>
      </c>
      <c r="K37" s="29">
        <f>SUM(COUNTIF(Janvier!F41:AJ41,"C"),COUNTIF(Février!F41:AI41,"C"),COUNTIF(Mars!F41:AJ41,"C"),COUNTIF(Avril!F41:AJ41,"C"),COUNTIF(Mai!F41:AJ41,"C"),COUNTIF(Juin!F41:AJ41,"C"),COUNTIF(Juillet!F41:AJ41,"C"),COUNTIF(Août!F41:AJ41,"C"),COUNTIF(Septembre!F41:AJ41,"C"),COUNTIF(Octobre!F41:AJ41,"C"),COUNTIF(Novembre!F41:AJ41,"C"),COUNTIF(Décembre!F41:AJ41,"C"))</f>
        <v>5</v>
      </c>
      <c r="L37" s="29">
        <f>SUM(COUNTIF(Janvier!F41:AJ41,"RTT"),COUNTIF(Février!F41:AI41,"RTT"),COUNTIF(Mars!F41:AJ41,"RTT"),COUNTIF(Avril!F41:AJ41,"RTT"),COUNTIF(Mai!F41:AJ41,"RTT"),COUNTIF(Juin!F41:AJ41,"RTT"),COUNTIF(Juillet!F41:AJ41,"RTT"),COUNTIF(Août!F41:AJ41,"RTT"),COUNTIF(Septembre!F41:AJ41,"RTT"),COUNTIF(Octobre!F41:AJ41,"RTT"),COUNTIF(Novembre!F41:AJ41,"RTT"),COUNTIF(Décembre!F41:AJ41,"RTT"))</f>
        <v>0</v>
      </c>
      <c r="M37" s="29">
        <f>SUM(COUNTIF(Janvier!F41:AJ41,"dRTT"),COUNTIF(Février!F41:AI41,"dRTT"),COUNTIF(Mars!F41:AJ41,"dRTT"),COUNTIF(Avril!F41:AJ41,"dRTT"),COUNTIF(Mai!F41:AJ41,"dRTT"),COUNTIF(Juin!F41:AJ41,"dRTT"),COUNTIF(Juillet!F41:AJ41,"dRTT"),COUNTIF(Août!F41:AJ41,"dRTT"),COUNTIF(Septembre!F41:AJ41,"dRTT"),COUNTIF(Octobre!F41:AJ41,"dRTT"),COUNTIF(Novembre!F41:AJ41,"dRTT"),COUNTIF(Décembre!F41:AJ41,"dRTT"))</f>
        <v>0</v>
      </c>
      <c r="N37" s="29">
        <f>SUM(COUNTIF(Janvier!F41:AJ41,"R"),COUNTIF(Février!F41:AI41,"R"),COUNTIF(Mars!F41:AJ41,"R"),COUNTIF(Avril!F41:AJ41,"R"),COUNTIF(Mai!F41:AJ41,"R"),COUNTIF(Juin!F41:AJ41,"R"),COUNTIF(Juillet!F41:AJ41,"R"),COUNTIF(Août!F41:AJ41,"R"),COUNTIF(Septembre!F41:AJ41,"R"),COUNTIF(Octobre!F41:AJ41,"R"),COUNTIF(Novembre!F41:AJ41,"R"),COUNTIF(Décembre!F41:AJ41,"R"))</f>
        <v>0</v>
      </c>
      <c r="O37" s="29">
        <f>SUM(COUNTIF(Janvier!F41:AJ41,"M"),COUNTIF(Février!F41:AI41,"M"),COUNTIF(Mars!F41:AJ41,"M"),COUNTIF(Avril!F41:AJ41,"M"),COUNTIF(Mai!F41:AJ41,"M"),COUNTIF(Juin!F41:AJ41,"M"),COUNTIF(Juillet!F41:AJ41,"M"),COUNTIF(Août!F41:AJ41,"M"),COUNTIF(Septembre!F41:AJ41,"M"),COUNTIF(Octobre!F41:AJ41,"M"),COUNTIF(Novembre!F41:AJ41,"M"),COUNTIF(Décembre!F41:AJ41,"M"))</f>
        <v>0</v>
      </c>
      <c r="P37" s="29">
        <f>SUM(COUNTIF(Janvier!G41:AK41,"AT"),COUNTIF(Février!G41:AJ41,"AT"),COUNTIF(Mars!G41:AK41,"AT"),COUNTIF(Avril!G41:AK41,"AT"),COUNTIF(Mai!G41:AK41,"AT"),COUNTIF(Juin!G41:AK41,"AT"),COUNTIF(Juillet!G41:AK41,"AT"),COUNTIF(Août!G41:AK41,"AT"),COUNTIF(Septembre!G41:AK41,"AT"),COUNTIF(Octobre!G41:AK41,"AT"),COUNTIF(Novembre!G41:AK41,"AT"),COUNTIF(Décembre!G41:AK41,"AT"))</f>
        <v>0</v>
      </c>
      <c r="Q37" s="30">
        <f t="shared" si="2"/>
        <v>29</v>
      </c>
      <c r="R37" s="30">
        <f t="shared" si="3"/>
        <v>26</v>
      </c>
    </row>
    <row r="38" spans="2:18" ht="30" customHeight="1" x14ac:dyDescent="0.2">
      <c r="B38" s="13" t="s">
        <v>98</v>
      </c>
      <c r="C38" s="25" t="s">
        <v>229</v>
      </c>
      <c r="D38" s="25">
        <v>0</v>
      </c>
      <c r="E38" s="26"/>
      <c r="F38" s="26"/>
      <c r="G38" s="27">
        <v>7</v>
      </c>
      <c r="H38" s="27">
        <v>3</v>
      </c>
      <c r="I38" s="28">
        <v>27</v>
      </c>
      <c r="J38" s="28">
        <v>23</v>
      </c>
      <c r="K38" s="29">
        <f>SUM(COUNTIF(Janvier!F42:AJ42,"C"),COUNTIF(Février!F42:AI42,"C"),COUNTIF(Mars!F42:AJ42,"C"),COUNTIF(Avril!F42:AJ42,"C"),COUNTIF(Mai!F42:AJ42,"C"),COUNTIF(Juin!F42:AJ42,"C"),COUNTIF(Juillet!F42:AJ42,"C"),COUNTIF(Août!F42:AJ42,"C"),COUNTIF(Septembre!F42:AJ42,"C"),COUNTIF(Octobre!F42:AJ42,"C"),COUNTIF(Novembre!F42:AJ42,"C"),COUNTIF(Décembre!F42:AJ42,"C"))</f>
        <v>10</v>
      </c>
      <c r="L38" s="29">
        <f>SUM(COUNTIF(Janvier!F42:AJ42,"RTT"),COUNTIF(Février!F42:AI42,"RTT"),COUNTIF(Mars!F42:AJ42,"RTT"),COUNTIF(Avril!F42:AJ42,"RTT"),COUNTIF(Mai!F42:AJ42,"RTT"),COUNTIF(Juin!F42:AJ42,"RTT"),COUNTIF(Juillet!F42:AJ42,"RTT"),COUNTIF(Août!F42:AJ42,"RTT"),COUNTIF(Septembre!F42:AJ42,"RTT"),COUNTIF(Octobre!F42:AJ42,"RTT"),COUNTIF(Novembre!F42:AJ42,"RTT"),COUNTIF(Décembre!F42:AJ42,"RTT"))</f>
        <v>0</v>
      </c>
      <c r="M38" s="29">
        <f>SUM(COUNTIF(Janvier!F42:AJ42,"dRTT"),COUNTIF(Février!F42:AI42,"dRTT"),COUNTIF(Mars!F42:AJ42,"dRTT"),COUNTIF(Avril!F42:AJ42,"dRTT"),COUNTIF(Mai!F42:AJ42,"dRTT"),COUNTIF(Juin!F42:AJ42,"dRTT"),COUNTIF(Juillet!F42:AJ42,"dRTT"),COUNTIF(Août!F42:AJ42,"dRTT"),COUNTIF(Septembre!F42:AJ42,"dRTT"),COUNTIF(Octobre!F42:AJ42,"dRTT"),COUNTIF(Novembre!F42:AJ42,"dRTT"),COUNTIF(Décembre!F42:AJ42,"dRTT"))</f>
        <v>0</v>
      </c>
      <c r="N38" s="29">
        <f>SUM(COUNTIF(Janvier!F42:AJ42,"R"),COUNTIF(Février!F42:AI42,"R"),COUNTIF(Mars!F42:AJ42,"R"),COUNTIF(Avril!F42:AJ42,"R"),COUNTIF(Mai!F42:AJ42,"R"),COUNTIF(Juin!F42:AJ42,"R"),COUNTIF(Juillet!F42:AJ42,"R"),COUNTIF(Août!F42:AJ42,"R"),COUNTIF(Septembre!F42:AJ42,"R"),COUNTIF(Octobre!F42:AJ42,"R"),COUNTIF(Novembre!F42:AJ42,"R"),COUNTIF(Décembre!F42:AJ42,"R"))</f>
        <v>0</v>
      </c>
      <c r="O38" s="29">
        <f>SUM(COUNTIF(Janvier!F42:AJ42,"M"),COUNTIF(Février!F42:AI42,"M"),COUNTIF(Mars!F42:AJ42,"M"),COUNTIF(Avril!F42:AJ42,"M"),COUNTIF(Mai!F42:AJ42,"M"),COUNTIF(Juin!F42:AJ42,"M"),COUNTIF(Juillet!F42:AJ42,"M"),COUNTIF(Août!F42:AJ42,"M"),COUNTIF(Septembre!F42:AJ42,"M"),COUNTIF(Octobre!F42:AJ42,"M"),COUNTIF(Novembre!F42:AJ42,"M"),COUNTIF(Décembre!F42:AJ42,"M"))</f>
        <v>0</v>
      </c>
      <c r="P38" s="29">
        <f>SUM(COUNTIF(Janvier!G42:AK42,"AT"),COUNTIF(Février!G42:AJ42,"AT"),COUNTIF(Mars!G42:AK42,"AT"),COUNTIF(Avril!G42:AK42,"AT"),COUNTIF(Mai!G42:AK42,"AT"),COUNTIF(Juin!G42:AK42,"AT"),COUNTIF(Juillet!G42:AK42,"AT"),COUNTIF(Août!G42:AK42,"AT"),COUNTIF(Septembre!G42:AK42,"AT"),COUNTIF(Octobre!G42:AK42,"AT"),COUNTIF(Novembre!G42:AK42,"AT"),COUNTIF(Décembre!G42:AK42,"AT"))</f>
        <v>0</v>
      </c>
      <c r="Q38" s="30">
        <f t="shared" si="2"/>
        <v>24</v>
      </c>
      <c r="R38" s="30">
        <f t="shared" si="3"/>
        <v>26</v>
      </c>
    </row>
    <row r="39" spans="2:18" ht="30" customHeight="1" x14ac:dyDescent="0.2">
      <c r="B39" s="15" t="s">
        <v>99</v>
      </c>
      <c r="C39" s="25" t="s">
        <v>232</v>
      </c>
      <c r="D39" s="25">
        <v>0</v>
      </c>
      <c r="E39" s="26"/>
      <c r="F39" s="26"/>
      <c r="G39" s="27">
        <v>7</v>
      </c>
      <c r="H39" s="27">
        <v>3</v>
      </c>
      <c r="I39" s="28">
        <v>27</v>
      </c>
      <c r="J39" s="28">
        <v>23</v>
      </c>
      <c r="K39" s="29">
        <f>SUM(COUNTIF(Janvier!F43:AJ43,"C"),COUNTIF(Février!F43:AI43,"C"),COUNTIF(Mars!F43:AJ43,"C"),COUNTIF(Avril!F43:AJ43,"C"),COUNTIF(Mai!F43:AJ43,"C"),COUNTIF(Juin!F43:AJ43,"C"),COUNTIF(Juillet!F43:AJ43,"C"),COUNTIF(Août!F43:AJ43,"C"),COUNTIF(Septembre!F43:AJ43,"C"),COUNTIF(Octobre!F43:AJ43,"C"),COUNTIF(Novembre!F43:AJ43,"C"),COUNTIF(Décembre!F43:AJ43,"C"))</f>
        <v>17</v>
      </c>
      <c r="L39" s="29">
        <f>SUM(COUNTIF(Janvier!F43:AJ43,"RTT"),COUNTIF(Février!F43:AI43,"RTT"),COUNTIF(Mars!F43:AJ43,"RTT"),COUNTIF(Avril!F43:AJ43,"RTT"),COUNTIF(Mai!F43:AJ43,"RTT"),COUNTIF(Juin!F43:AJ43,"RTT"),COUNTIF(Juillet!F43:AJ43,"RTT"),COUNTIF(Août!F43:AJ43,"RTT"),COUNTIF(Septembre!F43:AJ43,"RTT"),COUNTIF(Octobre!F43:AJ43,"RTT"),COUNTIF(Novembre!F43:AJ43,"RTT"),COUNTIF(Décembre!F43:AJ43,"RTT"))</f>
        <v>0</v>
      </c>
      <c r="M39" s="29">
        <f>SUM(COUNTIF(Janvier!F43:AJ43,"dRTT"),COUNTIF(Février!F43:AI43,"dRTT"),COUNTIF(Mars!F43:AJ43,"dRTT"),COUNTIF(Avril!F43:AJ43,"dRTT"),COUNTIF(Mai!F43:AJ43,"dRTT"),COUNTIF(Juin!F43:AJ43,"dRTT"),COUNTIF(Juillet!F43:AJ43,"dRTT"),COUNTIF(Août!F43:AJ43,"dRTT"),COUNTIF(Septembre!F43:AJ43,"dRTT"),COUNTIF(Octobre!F43:AJ43,"dRTT"),COUNTIF(Novembre!F43:AJ43,"dRTT"),COUNTIF(Décembre!F43:AJ43,"dRTT"))</f>
        <v>0</v>
      </c>
      <c r="N39" s="29">
        <f>SUM(COUNTIF(Janvier!F43:AJ43,"R"),COUNTIF(Février!F43:AI43,"R"),COUNTIF(Mars!F43:AJ43,"R"),COUNTIF(Avril!F43:AJ43,"R"),COUNTIF(Mai!F43:AJ43,"R"),COUNTIF(Juin!F43:AJ43,"R"),COUNTIF(Juillet!F43:AJ43,"R"),COUNTIF(Août!F43:AJ43,"R"),COUNTIF(Septembre!F43:AJ43,"R"),COUNTIF(Octobre!F43:AJ43,"R"),COUNTIF(Novembre!F43:AJ43,"R"),COUNTIF(Décembre!F43:AJ43,"R"))</f>
        <v>0</v>
      </c>
      <c r="O39" s="29">
        <f>SUM(COUNTIF(Janvier!F43:AJ43,"M"),COUNTIF(Février!F43:AI43,"M"),COUNTIF(Mars!F43:AJ43,"M"),COUNTIF(Avril!F43:AJ43,"M"),COUNTIF(Mai!F43:AJ43,"M"),COUNTIF(Juin!F43:AJ43,"M"),COUNTIF(Juillet!F43:AJ43,"M"),COUNTIF(Août!F43:AJ43,"M"),COUNTIF(Septembre!F43:AJ43,"M"),COUNTIF(Octobre!F43:AJ43,"M"),COUNTIF(Novembre!F43:AJ43,"M"),COUNTIF(Décembre!F43:AJ43,"M"))</f>
        <v>50</v>
      </c>
      <c r="P39" s="29">
        <f>SUM(COUNTIF(Janvier!G43:AK43,"AT"),COUNTIF(Février!G43:AJ43,"AT"),COUNTIF(Mars!G43:AK43,"AT"),COUNTIF(Avril!G43:AK43,"AT"),COUNTIF(Mai!G43:AK43,"AT"),COUNTIF(Juin!G43:AK43,"AT"),COUNTIF(Juillet!G43:AK43,"AT"),COUNTIF(Août!G43:AK43,"AT"),COUNTIF(Septembre!G43:AK43,"AT"),COUNTIF(Octobre!G43:AK43,"AT"),COUNTIF(Novembre!G43:AK43,"AT"),COUNTIF(Décembre!G43:AK43,"AT"))</f>
        <v>0</v>
      </c>
      <c r="Q39" s="30">
        <f t="shared" si="2"/>
        <v>17</v>
      </c>
      <c r="R39" s="30">
        <f t="shared" si="3"/>
        <v>26</v>
      </c>
    </row>
    <row r="40" spans="2:18" ht="30" customHeight="1" x14ac:dyDescent="0.2">
      <c r="B40" s="15" t="s">
        <v>100</v>
      </c>
      <c r="C40" s="25" t="s">
        <v>235</v>
      </c>
      <c r="D40" s="25">
        <v>0</v>
      </c>
      <c r="E40" s="26"/>
      <c r="F40" s="26"/>
      <c r="G40" s="27">
        <v>7</v>
      </c>
      <c r="H40" s="27">
        <v>3</v>
      </c>
      <c r="I40" s="28">
        <v>27</v>
      </c>
      <c r="J40" s="28">
        <v>23</v>
      </c>
      <c r="K40" s="29">
        <f>SUM(COUNTIF(Janvier!F44:AJ44,"C"),COUNTIF(Février!F44:AI44,"C"),COUNTIF(Mars!F44:AJ44,"C"),COUNTIF(Avril!F44:AJ44,"C"),COUNTIF(Mai!F44:AJ44,"C"),COUNTIF(Juin!F44:AJ44,"C"),COUNTIF(Juillet!F44:AJ44,"C"),COUNTIF(Août!F44:AJ44,"C"),COUNTIF(Septembre!F44:AJ44,"C"),COUNTIF(Octobre!F44:AJ44,"C"),COUNTIF(Novembre!F44:AJ44,"C"),COUNTIF(Décembre!F44:AJ44,"C"))</f>
        <v>0</v>
      </c>
      <c r="L40" s="29">
        <f>SUM(COUNTIF(Janvier!F44:AJ44,"RTT"),COUNTIF(Février!F44:AI44,"RTT"),COUNTIF(Mars!F44:AJ44,"RTT"),COUNTIF(Avril!F44:AJ44,"RTT"),COUNTIF(Mai!F44:AJ44,"RTT"),COUNTIF(Juin!F44:AJ44,"RTT"),COUNTIF(Juillet!F44:AJ44,"RTT"),COUNTIF(Août!F44:AJ44,"RTT"),COUNTIF(Septembre!F44:AJ44,"RTT"),COUNTIF(Octobre!F44:AJ44,"RTT"),COUNTIF(Novembre!F44:AJ44,"RTT"),COUNTIF(Décembre!F44:AJ44,"RTT"))</f>
        <v>0</v>
      </c>
      <c r="M40" s="29">
        <f>SUM(COUNTIF(Janvier!F44:AJ44,"dRTT"),COUNTIF(Février!F44:AI44,"dRTT"),COUNTIF(Mars!F44:AJ44,"dRTT"),COUNTIF(Avril!F44:AJ44,"dRTT"),COUNTIF(Mai!F44:AJ44,"dRTT"),COUNTIF(Juin!F44:AJ44,"dRTT"),COUNTIF(Juillet!F44:AJ44,"dRTT"),COUNTIF(Août!F44:AJ44,"dRTT"),COUNTIF(Septembre!F44:AJ44,"dRTT"),COUNTIF(Octobre!F44:AJ44,"dRTT"),COUNTIF(Novembre!F44:AJ44,"dRTT"),COUNTIF(Décembre!F44:AJ44,"dRTT"))</f>
        <v>0</v>
      </c>
      <c r="N40" s="29">
        <f>SUM(COUNTIF(Janvier!F44:AJ44,"R"),COUNTIF(Février!F44:AI44,"R"),COUNTIF(Mars!F44:AJ44,"R"),COUNTIF(Avril!F44:AJ44,"R"),COUNTIF(Mai!F44:AJ44,"R"),COUNTIF(Juin!F44:AJ44,"R"),COUNTIF(Juillet!F44:AJ44,"R"),COUNTIF(Août!F44:AJ44,"R"),COUNTIF(Septembre!F44:AJ44,"R"),COUNTIF(Octobre!F44:AJ44,"R"),COUNTIF(Novembre!F44:AJ44,"R"),COUNTIF(Décembre!F44:AJ44,"R"))</f>
        <v>0</v>
      </c>
      <c r="O40" s="29">
        <f>SUM(COUNTIF(Janvier!F44:AJ44,"M"),COUNTIF(Février!F44:AI44,"M"),COUNTIF(Mars!F44:AJ44,"M"),COUNTIF(Avril!F44:AJ44,"M"),COUNTIF(Mai!F44:AJ44,"M"),COUNTIF(Juin!F44:AJ44,"M"),COUNTIF(Juillet!F44:AJ44,"M"),COUNTIF(Août!F44:AJ44,"M"),COUNTIF(Septembre!F44:AJ44,"M"),COUNTIF(Octobre!F44:AJ44,"M"),COUNTIF(Novembre!F44:AJ44,"M"),COUNTIF(Décembre!F44:AJ44,"M"))</f>
        <v>180</v>
      </c>
      <c r="P40" s="29">
        <f>SUM(COUNTIF(Janvier!G44:AK44,"AT"),COUNTIF(Février!G44:AJ44,"AT"),COUNTIF(Mars!G44:AK44,"AT"),COUNTIF(Avril!G44:AK44,"AT"),COUNTIF(Mai!G44:AK44,"AT"),COUNTIF(Juin!G44:AK44,"AT"),COUNTIF(Juillet!G44:AK44,"AT"),COUNTIF(Août!G44:AK44,"AT"),COUNTIF(Septembre!G44:AK44,"AT"),COUNTIF(Octobre!G44:AK44,"AT"),COUNTIF(Novembre!G44:AK44,"AT"),COUNTIF(Décembre!G44:AK44,"AT"))</f>
        <v>0</v>
      </c>
      <c r="Q40" s="30">
        <f t="shared" si="2"/>
        <v>34</v>
      </c>
      <c r="R40" s="30">
        <f t="shared" si="3"/>
        <v>26</v>
      </c>
    </row>
    <row r="41" spans="2:18" ht="30" customHeight="1" x14ac:dyDescent="0.2">
      <c r="B41" s="15" t="s">
        <v>101</v>
      </c>
      <c r="C41" s="25" t="s">
        <v>238</v>
      </c>
      <c r="D41" s="25">
        <v>0</v>
      </c>
      <c r="E41" s="26"/>
      <c r="F41" s="26"/>
      <c r="G41" s="27">
        <v>7</v>
      </c>
      <c r="H41" s="27">
        <v>3</v>
      </c>
      <c r="I41" s="28">
        <v>27</v>
      </c>
      <c r="J41" s="28">
        <v>23</v>
      </c>
      <c r="K41" s="29">
        <f>SUM(COUNTIF(Janvier!F45:AJ45,"C"),COUNTIF(Février!F45:AI45,"C"),COUNTIF(Mars!F45:AJ45,"C"),COUNTIF(Avril!F45:AJ45,"C"),COUNTIF(Mai!F45:AJ45,"C"),COUNTIF(Juin!F45:AJ45,"C"),COUNTIF(Juillet!F45:AJ45,"C"),COUNTIF(Août!F45:AJ45,"C"),COUNTIF(Septembre!F45:AJ45,"C"),COUNTIF(Octobre!F45:AJ45,"C"),COUNTIF(Novembre!F45:AJ45,"C"),COUNTIF(Décembre!F45:AJ45,"C"))</f>
        <v>15</v>
      </c>
      <c r="L41" s="29">
        <f>SUM(COUNTIF(Janvier!F45:AJ45,"RTT"),COUNTIF(Février!F45:AI45,"RTT"),COUNTIF(Mars!F45:AJ45,"RTT"),COUNTIF(Avril!F45:AJ45,"RTT"),COUNTIF(Mai!F45:AJ45,"RTT"),COUNTIF(Juin!F45:AJ45,"RTT"),COUNTIF(Juillet!F45:AJ45,"RTT"),COUNTIF(Août!F45:AJ45,"RTT"),COUNTIF(Septembre!F45:AJ45,"RTT"),COUNTIF(Octobre!F45:AJ45,"RTT"),COUNTIF(Novembre!F45:AJ45,"RTT"),COUNTIF(Décembre!F45:AJ45,"RTT"))</f>
        <v>1</v>
      </c>
      <c r="M41" s="29">
        <f>SUM(COUNTIF(Janvier!F45:AJ45,"dRTT"),COUNTIF(Février!F45:AI45,"dRTT"),COUNTIF(Mars!F45:AJ45,"dRTT"),COUNTIF(Avril!F45:AJ45,"dRTT"),COUNTIF(Mai!F45:AJ45,"dRTT"),COUNTIF(Juin!F45:AJ45,"dRTT"),COUNTIF(Juillet!F45:AJ45,"dRTT"),COUNTIF(Août!F45:AJ45,"dRTT"),COUNTIF(Septembre!F45:AJ45,"dRTT"),COUNTIF(Octobre!F45:AJ45,"dRTT"),COUNTIF(Novembre!F45:AJ45,"dRTT"),COUNTIF(Décembre!F45:AJ45,"dRTT"))</f>
        <v>0</v>
      </c>
      <c r="N41" s="29">
        <f>SUM(COUNTIF(Janvier!F45:AJ45,"R"),COUNTIF(Février!F45:AI45,"R"),COUNTIF(Mars!F45:AJ45,"R"),COUNTIF(Avril!F45:AJ45,"R"),COUNTIF(Mai!F45:AJ45,"R"),COUNTIF(Juin!F45:AJ45,"R"),COUNTIF(Juillet!F45:AJ45,"R"),COUNTIF(Août!F45:AJ45,"R"),COUNTIF(Septembre!F45:AJ45,"R"),COUNTIF(Octobre!F45:AJ45,"R"),COUNTIF(Novembre!F45:AJ45,"R"),COUNTIF(Décembre!F45:AJ45,"R"))</f>
        <v>0</v>
      </c>
      <c r="O41" s="29">
        <f>SUM(COUNTIF(Janvier!F45:AJ45,"M"),COUNTIF(Février!F45:AI45,"M"),COUNTIF(Mars!F45:AJ45,"M"),COUNTIF(Avril!F45:AJ45,"M"),COUNTIF(Mai!F45:AJ45,"M"),COUNTIF(Juin!F45:AJ45,"M"),COUNTIF(Juillet!F45:AJ45,"M"),COUNTIF(Août!F45:AJ45,"M"),COUNTIF(Septembre!F45:AJ45,"M"),COUNTIF(Octobre!F45:AJ45,"M"),COUNTIF(Novembre!F45:AJ45,"M"),COUNTIF(Décembre!F45:AJ45,"M"))</f>
        <v>0</v>
      </c>
      <c r="P41" s="29">
        <f>SUM(COUNTIF(Janvier!G45:AK45,"AT"),COUNTIF(Février!G45:AJ45,"AT"),COUNTIF(Mars!G45:AK45,"AT"),COUNTIF(Avril!G45:AK45,"AT"),COUNTIF(Mai!G45:AK45,"AT"),COUNTIF(Juin!G45:AK45,"AT"),COUNTIF(Juillet!G45:AK45,"AT"),COUNTIF(Août!G45:AK45,"AT"),COUNTIF(Septembre!G45:AK45,"AT"),COUNTIF(Octobre!G45:AK45,"AT"),COUNTIF(Novembre!G45:AK45,"AT"),COUNTIF(Décembre!G45:AK45,"AT"))</f>
        <v>0</v>
      </c>
      <c r="Q41" s="30">
        <f t="shared" si="2"/>
        <v>19</v>
      </c>
      <c r="R41" s="30">
        <f t="shared" si="3"/>
        <v>25</v>
      </c>
    </row>
    <row r="42" spans="2:18" ht="30" customHeight="1" x14ac:dyDescent="0.2">
      <c r="B42" s="17" t="s">
        <v>102</v>
      </c>
      <c r="C42" s="25" t="s">
        <v>241</v>
      </c>
      <c r="D42" s="25">
        <v>0</v>
      </c>
      <c r="E42" s="26"/>
      <c r="F42" s="26"/>
      <c r="G42" s="27">
        <v>7</v>
      </c>
      <c r="H42" s="27">
        <v>3</v>
      </c>
      <c r="I42" s="28">
        <v>27</v>
      </c>
      <c r="J42" s="28">
        <v>23</v>
      </c>
      <c r="K42" s="29">
        <f>SUM(COUNTIF(Janvier!F46:AJ46,"C"),COUNTIF(Février!F46:AI46,"C"),COUNTIF(Mars!F46:AJ46,"C"),COUNTIF(Avril!F46:AJ46,"C"),COUNTIF(Mai!F46:AJ46,"C"),COUNTIF(Juin!F46:AJ46,"C"),COUNTIF(Juillet!F46:AJ46,"C"),COUNTIF(Août!F46:AJ46,"C"),COUNTIF(Septembre!F46:AJ46,"C"),COUNTIF(Octobre!F46:AJ46,"C"),COUNTIF(Novembre!F46:AJ46,"C"),COUNTIF(Décembre!F46:AJ46,"C"))</f>
        <v>38</v>
      </c>
      <c r="L42" s="29">
        <f>SUM(COUNTIF(Janvier!F46:AJ46,"RTT"),COUNTIF(Février!F46:AI46,"RTT"),COUNTIF(Mars!F46:AJ46,"RTT"),COUNTIF(Avril!F46:AJ46,"RTT"),COUNTIF(Mai!F46:AJ46,"RTT"),COUNTIF(Juin!F46:AJ46,"RTT"),COUNTIF(Juillet!F46:AJ46,"RTT"),COUNTIF(Août!F46:AJ46,"RTT"),COUNTIF(Septembre!F46:AJ46,"RTT"),COUNTIF(Octobre!F46:AJ46,"RTT"),COUNTIF(Novembre!F46:AJ46,"RTT"),COUNTIF(Décembre!F46:AJ46,"RTT"))</f>
        <v>6</v>
      </c>
      <c r="M42" s="29">
        <f>SUM(COUNTIF(Janvier!F46:AJ46,"dRTT"),COUNTIF(Février!F46:AI46,"dRTT"),COUNTIF(Mars!F46:AJ46,"dRTT"),COUNTIF(Avril!F46:AJ46,"dRTT"),COUNTIF(Mai!F46:AJ46,"dRTT"),COUNTIF(Juin!F46:AJ46,"dRTT"),COUNTIF(Juillet!F46:AJ46,"dRTT"),COUNTIF(Août!F46:AJ46,"dRTT"),COUNTIF(Septembre!F46:AJ46,"dRTT"),COUNTIF(Octobre!F46:AJ46,"dRTT"),COUNTIF(Novembre!F46:AJ46,"dRTT"),COUNTIF(Décembre!F46:AJ46,"dRTT"))</f>
        <v>0</v>
      </c>
      <c r="N42" s="29">
        <f>SUM(COUNTIF(Janvier!F46:AJ46,"R"),COUNTIF(Février!F46:AI46,"R"),COUNTIF(Mars!F46:AJ46,"R"),COUNTIF(Avril!F46:AJ46,"R"),COUNTIF(Mai!F46:AJ46,"R"),COUNTIF(Juin!F46:AJ46,"R"),COUNTIF(Juillet!F46:AJ46,"R"),COUNTIF(Août!F46:AJ46,"R"),COUNTIF(Septembre!F46:AJ46,"R"),COUNTIF(Octobre!F46:AJ46,"R"),COUNTIF(Novembre!F46:AJ46,"R"),COUNTIF(Décembre!F46:AJ46,"R"))</f>
        <v>0</v>
      </c>
      <c r="O42" s="29">
        <f>SUM(COUNTIF(Janvier!F46:AJ46,"M"),COUNTIF(Février!F46:AI46,"M"),COUNTIF(Mars!F46:AJ46,"M"),COUNTIF(Avril!F46:AJ46,"M"),COUNTIF(Mai!F46:AJ46,"M"),COUNTIF(Juin!F46:AJ46,"M"),COUNTIF(Juillet!F46:AJ46,"M"),COUNTIF(Août!F46:AJ46,"M"),COUNTIF(Septembre!F46:AJ46,"M"),COUNTIF(Octobre!F46:AJ46,"M"),COUNTIF(Novembre!F46:AJ46,"M"),COUNTIF(Décembre!F46:AJ46,"M"))</f>
        <v>18</v>
      </c>
      <c r="P42" s="29">
        <f>SUM(COUNTIF(Janvier!G46:AK46,"AT"),COUNTIF(Février!G46:AJ46,"AT"),COUNTIF(Mars!G46:AK46,"AT"),COUNTIF(Avril!G46:AK46,"AT"),COUNTIF(Mai!G46:AK46,"AT"),COUNTIF(Juin!G46:AK46,"AT"),COUNTIF(Juillet!G46:AK46,"AT"),COUNTIF(Août!G46:AK46,"AT"),COUNTIF(Septembre!G46:AK46,"AT"),COUNTIF(Octobre!G46:AK46,"AT"),COUNTIF(Novembre!G46:AK46,"AT"),COUNTIF(Décembre!G46:AK46,"AT"))</f>
        <v>0</v>
      </c>
      <c r="Q42" s="30">
        <f t="shared" si="2"/>
        <v>-4</v>
      </c>
      <c r="R42" s="30">
        <f t="shared" si="3"/>
        <v>20</v>
      </c>
    </row>
    <row r="43" spans="2:18" ht="30" customHeight="1" x14ac:dyDescent="0.2">
      <c r="B43" s="17" t="s">
        <v>103</v>
      </c>
      <c r="C43" s="25" t="s">
        <v>244</v>
      </c>
      <c r="D43" s="25">
        <v>0</v>
      </c>
      <c r="E43" s="26"/>
      <c r="F43" s="26"/>
      <c r="G43" s="27">
        <v>7</v>
      </c>
      <c r="H43" s="27">
        <v>3</v>
      </c>
      <c r="I43" s="28">
        <v>27</v>
      </c>
      <c r="J43" s="28">
        <v>23</v>
      </c>
      <c r="K43" s="29">
        <f>SUM(COUNTIF(Janvier!F47:AJ47,"C"),COUNTIF(Février!F47:AI47,"C"),COUNTIF(Mars!F47:AJ47,"C"),COUNTIF(Avril!F47:AJ47,"C"),COUNTIF(Mai!F47:AJ47,"C"),COUNTIF(Juin!F47:AJ47,"C"),COUNTIF(Juillet!F47:AJ47,"C"),COUNTIF(Août!F47:AJ47,"C"),COUNTIF(Septembre!F47:AJ47,"C"),COUNTIF(Octobre!F47:AJ47,"C"),COUNTIF(Novembre!F47:AJ47,"C"),COUNTIF(Décembre!F47:AJ47,"C"))</f>
        <v>20</v>
      </c>
      <c r="L43" s="29">
        <f>SUM(COUNTIF(Janvier!F47:AJ47,"RTT"),COUNTIF(Février!F47:AI47,"RTT"),COUNTIF(Mars!F47:AJ47,"RTT"),COUNTIF(Avril!F47:AJ47,"RTT"),COUNTIF(Mai!F47:AJ47,"RTT"),COUNTIF(Juin!F47:AJ47,"RTT"),COUNTIF(Juillet!F47:AJ47,"RTT"),COUNTIF(Août!F47:AJ47,"RTT"),COUNTIF(Septembre!F47:AJ47,"RTT"),COUNTIF(Octobre!F47:AJ47,"RTT"),COUNTIF(Novembre!F47:AJ47,"RTT"),COUNTIF(Décembre!F47:AJ47,"RTT"))</f>
        <v>5</v>
      </c>
      <c r="M43" s="29">
        <f>SUM(COUNTIF(Janvier!F47:AJ47,"dRTT"),COUNTIF(Février!F47:AI47,"dRTT"),COUNTIF(Mars!F47:AJ47,"dRTT"),COUNTIF(Avril!F47:AJ47,"dRTT"),COUNTIF(Mai!F47:AJ47,"dRTT"),COUNTIF(Juin!F47:AJ47,"dRTT"),COUNTIF(Juillet!F47:AJ47,"dRTT"),COUNTIF(Août!F47:AJ47,"dRTT"),COUNTIF(Septembre!F47:AJ47,"dRTT"),COUNTIF(Octobre!F47:AJ47,"dRTT"),COUNTIF(Novembre!F47:AJ47,"dRTT"),COUNTIF(Décembre!F47:AJ47,"dRTT"))</f>
        <v>0</v>
      </c>
      <c r="N43" s="29">
        <f>SUM(COUNTIF(Janvier!F47:AJ47,"R"),COUNTIF(Février!F47:AI47,"R"),COUNTIF(Mars!F47:AJ47,"R"),COUNTIF(Avril!F47:AJ47,"R"),COUNTIF(Mai!F47:AJ47,"R"),COUNTIF(Juin!F47:AJ47,"R"),COUNTIF(Juillet!F47:AJ47,"R"),COUNTIF(Août!F47:AJ47,"R"),COUNTIF(Septembre!F47:AJ47,"R"),COUNTIF(Octobre!F47:AJ47,"R"),COUNTIF(Novembre!F47:AJ47,"R"),COUNTIF(Décembre!F47:AJ47,"R"))</f>
        <v>0</v>
      </c>
      <c r="O43" s="29">
        <f>SUM(COUNTIF(Janvier!F47:AJ47,"M"),COUNTIF(Février!F47:AI47,"M"),COUNTIF(Mars!F47:AJ47,"M"),COUNTIF(Avril!F47:AJ47,"M"),COUNTIF(Mai!F47:AJ47,"M"),COUNTIF(Juin!F47:AJ47,"M"),COUNTIF(Juillet!F47:AJ47,"M"),COUNTIF(Août!F47:AJ47,"M"),COUNTIF(Septembre!F47:AJ47,"M"),COUNTIF(Octobre!F47:AJ47,"M"),COUNTIF(Novembre!F47:AJ47,"M"),COUNTIF(Décembre!F47:AJ47,"M"))</f>
        <v>13</v>
      </c>
      <c r="P43" s="29">
        <f>SUM(COUNTIF(Janvier!G47:AK47,"AT"),COUNTIF(Février!G47:AJ47,"AT"),COUNTIF(Mars!G47:AK47,"AT"),COUNTIF(Avril!G47:AK47,"AT"),COUNTIF(Mai!G47:AK47,"AT"),COUNTIF(Juin!G47:AK47,"AT"),COUNTIF(Juillet!G47:AK47,"AT"),COUNTIF(Août!G47:AK47,"AT"),COUNTIF(Septembre!G47:AK47,"AT"),COUNTIF(Octobre!G47:AK47,"AT"),COUNTIF(Novembre!G47:AK47,"AT"),COUNTIF(Décembre!G47:AK47,"AT"))</f>
        <v>0</v>
      </c>
      <c r="Q43" s="30">
        <f t="shared" si="2"/>
        <v>14</v>
      </c>
      <c r="R43" s="30">
        <f t="shared" si="3"/>
        <v>21</v>
      </c>
    </row>
    <row r="44" spans="2:18" ht="30" customHeight="1" x14ac:dyDescent="0.2">
      <c r="B44" s="17" t="s">
        <v>104</v>
      </c>
      <c r="C44" s="25" t="s">
        <v>247</v>
      </c>
      <c r="D44" s="25">
        <v>0</v>
      </c>
      <c r="E44" s="26"/>
      <c r="F44" s="26"/>
      <c r="G44" s="27">
        <v>7</v>
      </c>
      <c r="H44" s="27">
        <v>3</v>
      </c>
      <c r="I44" s="28">
        <v>27</v>
      </c>
      <c r="J44" s="28">
        <v>23</v>
      </c>
      <c r="K44" s="29">
        <f>SUM(COUNTIF(Janvier!F48:AJ48,"C"),COUNTIF(Février!F48:AI48,"C"),COUNTIF(Mars!F48:AJ48,"C"),COUNTIF(Avril!F48:AJ48,"C"),COUNTIF(Mai!F48:AJ48,"C"),COUNTIF(Juin!F48:AJ48,"C"),COUNTIF(Juillet!F48:AJ48,"C"),COUNTIF(Août!F48:AJ48,"C"),COUNTIF(Septembre!F48:AJ48,"C"),COUNTIF(Octobre!F48:AJ48,"C"),COUNTIF(Novembre!F48:AJ48,"C"),COUNTIF(Décembre!F48:AJ48,"C"))</f>
        <v>26</v>
      </c>
      <c r="L44" s="29">
        <f>SUM(COUNTIF(Janvier!F48:AJ48,"RTT"),COUNTIF(Février!F48:AI48,"RTT"),COUNTIF(Mars!F48:AJ48,"RTT"),COUNTIF(Avril!F48:AJ48,"RTT"),COUNTIF(Mai!F48:AJ48,"RTT"),COUNTIF(Juin!F48:AJ48,"RTT"),COUNTIF(Juillet!F48:AJ48,"RTT"),COUNTIF(Août!F48:AJ48,"RTT"),COUNTIF(Septembre!F48:AJ48,"RTT"),COUNTIF(Octobre!F48:AJ48,"RTT"),COUNTIF(Novembre!F48:AJ48,"RTT"),COUNTIF(Décembre!F48:AJ48,"RTT"))</f>
        <v>9</v>
      </c>
      <c r="M44" s="29">
        <f>SUM(COUNTIF(Janvier!F48:AJ48,"dRTT"),COUNTIF(Février!F48:AI48,"dRTT"),COUNTIF(Mars!F48:AJ48,"dRTT"),COUNTIF(Avril!F48:AJ48,"dRTT"),COUNTIF(Mai!F48:AJ48,"dRTT"),COUNTIF(Juin!F48:AJ48,"dRTT"),COUNTIF(Juillet!F48:AJ48,"dRTT"),COUNTIF(Août!F48:AJ48,"dRTT"),COUNTIF(Septembre!F48:AJ48,"dRTT"),COUNTIF(Octobre!F48:AJ48,"dRTT"),COUNTIF(Novembre!F48:AJ48,"dRTT"),COUNTIF(Décembre!F48:AJ48,"dRTT"))</f>
        <v>0</v>
      </c>
      <c r="N44" s="29">
        <f>SUM(COUNTIF(Janvier!F48:AJ48,"R"),COUNTIF(Février!F48:AI48,"R"),COUNTIF(Mars!F48:AJ48,"R"),COUNTIF(Avril!F48:AJ48,"R"),COUNTIF(Mai!F48:AJ48,"R"),COUNTIF(Juin!F48:AJ48,"R"),COUNTIF(Juillet!F48:AJ48,"R"),COUNTIF(Août!F48:AJ48,"R"),COUNTIF(Septembre!F48:AJ48,"R"),COUNTIF(Octobre!F48:AJ48,"R"),COUNTIF(Novembre!F48:AJ48,"R"),COUNTIF(Décembre!F48:AJ48,"R"))</f>
        <v>0</v>
      </c>
      <c r="O44" s="29">
        <f>SUM(COUNTIF(Janvier!F48:AJ48,"M"),COUNTIF(Février!F48:AI48,"M"),COUNTIF(Mars!F48:AJ48,"M"),COUNTIF(Avril!F48:AJ48,"M"),COUNTIF(Mai!F48:AJ48,"M"),COUNTIF(Juin!F48:AJ48,"M"),COUNTIF(Juillet!F48:AJ48,"M"),COUNTIF(Août!F48:AJ48,"M"),COUNTIF(Septembre!F48:AJ48,"M"),COUNTIF(Octobre!F48:AJ48,"M"),COUNTIF(Novembre!F48:AJ48,"M"),COUNTIF(Décembre!F48:AJ48,"M"))</f>
        <v>0</v>
      </c>
      <c r="P44" s="29">
        <f>SUM(COUNTIF(Janvier!G48:AK48,"AT"),COUNTIF(Février!G48:AJ48,"AT"),COUNTIF(Mars!G48:AK48,"AT"),COUNTIF(Avril!G48:AK48,"AT"),COUNTIF(Mai!G48:AK48,"AT"),COUNTIF(Juin!G48:AK48,"AT"),COUNTIF(Juillet!G48:AK48,"AT"),COUNTIF(Août!G48:AK48,"AT"),COUNTIF(Septembre!G48:AK48,"AT"),COUNTIF(Octobre!G48:AK48,"AT"),COUNTIF(Novembre!G48:AK48,"AT"),COUNTIF(Décembre!G48:AK48,"AT"))</f>
        <v>0</v>
      </c>
      <c r="Q44" s="30">
        <f t="shared" si="2"/>
        <v>8</v>
      </c>
      <c r="R44" s="30">
        <f t="shared" si="3"/>
        <v>17</v>
      </c>
    </row>
    <row r="45" spans="2:18" ht="30" customHeight="1" x14ac:dyDescent="0.2">
      <c r="B45" s="17" t="s">
        <v>105</v>
      </c>
      <c r="C45" s="25" t="s">
        <v>250</v>
      </c>
      <c r="D45" s="25">
        <v>0</v>
      </c>
      <c r="E45" s="26"/>
      <c r="F45" s="26"/>
      <c r="G45" s="27">
        <v>7</v>
      </c>
      <c r="H45" s="27">
        <v>3</v>
      </c>
      <c r="I45" s="28">
        <v>27</v>
      </c>
      <c r="J45" s="28">
        <v>23</v>
      </c>
      <c r="K45" s="29">
        <f>SUM(COUNTIF(Janvier!F49:AJ49,"C"),COUNTIF(Février!F49:AI49,"C"),COUNTIF(Mars!F49:AJ49,"C"),COUNTIF(Avril!F49:AJ49,"C"),COUNTIF(Mai!F49:AJ49,"C"),COUNTIF(Juin!F49:AJ49,"C"),COUNTIF(Juillet!F49:AJ49,"C"),COUNTIF(Août!F49:AJ49,"C"),COUNTIF(Septembre!F49:AJ49,"C"),COUNTIF(Octobre!F49:AJ49,"C"),COUNTIF(Novembre!F49:AJ49,"C"),COUNTIF(Décembre!F49:AJ49,"C"))</f>
        <v>14</v>
      </c>
      <c r="L45" s="29">
        <f>SUM(COUNTIF(Janvier!F49:AJ49,"RTT"),COUNTIF(Février!F49:AI49,"RTT"),COUNTIF(Mars!F49:AJ49,"RTT"),COUNTIF(Avril!F49:AJ49,"RTT"),COUNTIF(Mai!F49:AJ49,"RTT"),COUNTIF(Juin!F49:AJ49,"RTT"),COUNTIF(Juillet!F49:AJ49,"RTT"),COUNTIF(Août!F49:AJ49,"RTT"),COUNTIF(Septembre!F49:AJ49,"RTT"),COUNTIF(Octobre!F49:AJ49,"RTT"),COUNTIF(Novembre!F49:AJ49,"RTT"),COUNTIF(Décembre!F49:AJ49,"RTT"))</f>
        <v>3</v>
      </c>
      <c r="M45" s="29">
        <f>SUM(COUNTIF(Janvier!F49:AJ49,"dRTT"),COUNTIF(Février!F49:AI49,"dRTT"),COUNTIF(Mars!F49:AJ49,"dRTT"),COUNTIF(Avril!F49:AJ49,"dRTT"),COUNTIF(Mai!F49:AJ49,"dRTT"),COUNTIF(Juin!F49:AJ49,"dRTT"),COUNTIF(Juillet!F49:AJ49,"dRTT"),COUNTIF(Août!F49:AJ49,"dRTT"),COUNTIF(Septembre!F49:AJ49,"dRTT"),COUNTIF(Octobre!F49:AJ49,"dRTT"),COUNTIF(Novembre!F49:AJ49,"dRTT"),COUNTIF(Décembre!F49:AJ49,"dRTT"))</f>
        <v>0</v>
      </c>
      <c r="N45" s="29">
        <f>SUM(COUNTIF(Janvier!F49:AJ49,"R"),COUNTIF(Février!F49:AI49,"R"),COUNTIF(Mars!F49:AJ49,"R"),COUNTIF(Avril!F49:AJ49,"R"),COUNTIF(Mai!F49:AJ49,"R"),COUNTIF(Juin!F49:AJ49,"R"),COUNTIF(Juillet!F49:AJ49,"R"),COUNTIF(Août!F49:AJ49,"R"),COUNTIF(Septembre!F49:AJ49,"R"),COUNTIF(Octobre!F49:AJ49,"R"),COUNTIF(Novembre!F49:AJ49,"R"),COUNTIF(Décembre!F49:AJ49,"R"))</f>
        <v>0</v>
      </c>
      <c r="O45" s="29">
        <f>SUM(COUNTIF(Janvier!F49:AJ49,"M"),COUNTIF(Février!F49:AI49,"M"),COUNTIF(Mars!F49:AJ49,"M"),COUNTIF(Avril!F49:AJ49,"M"),COUNTIF(Mai!F49:AJ49,"M"),COUNTIF(Juin!F49:AJ49,"M"),COUNTIF(Juillet!F49:AJ49,"M"),COUNTIF(Août!F49:AJ49,"M"),COUNTIF(Septembre!F49:AJ49,"M"),COUNTIF(Octobre!F49:AJ49,"M"),COUNTIF(Novembre!F49:AJ49,"M"),COUNTIF(Décembre!F49:AJ49,"M"))</f>
        <v>0</v>
      </c>
      <c r="P45" s="29">
        <f>SUM(COUNTIF(Janvier!G49:AK49,"AT"),COUNTIF(Février!G49:AJ49,"AT"),COUNTIF(Mars!G49:AK49,"AT"),COUNTIF(Avril!G49:AK49,"AT"),COUNTIF(Mai!G49:AK49,"AT"),COUNTIF(Juin!G49:AK49,"AT"),COUNTIF(Juillet!G49:AK49,"AT"),COUNTIF(Août!G49:AK49,"AT"),COUNTIF(Septembre!G49:AK49,"AT"),COUNTIF(Octobre!G49:AK49,"AT"),COUNTIF(Novembre!G49:AK49,"AT"),COUNTIF(Décembre!G49:AK49,"AT"))</f>
        <v>0</v>
      </c>
      <c r="Q45" s="30">
        <f t="shared" si="2"/>
        <v>20</v>
      </c>
      <c r="R45" s="30">
        <f t="shared" si="3"/>
        <v>23</v>
      </c>
    </row>
    <row r="46" spans="2:18" ht="30" customHeight="1" x14ac:dyDescent="0.2">
      <c r="B46" s="17" t="s">
        <v>106</v>
      </c>
      <c r="C46" s="25" t="s">
        <v>253</v>
      </c>
      <c r="D46" s="25">
        <v>0</v>
      </c>
      <c r="E46" s="26"/>
      <c r="F46" s="26"/>
      <c r="G46" s="27">
        <v>7</v>
      </c>
      <c r="H46" s="27">
        <v>3</v>
      </c>
      <c r="I46" s="28">
        <v>27</v>
      </c>
      <c r="J46" s="28">
        <v>23</v>
      </c>
      <c r="K46" s="29">
        <f>SUM(COUNTIF(Janvier!F50:AJ50,"C"),COUNTIF(Février!F50:AI50,"C"),COUNTIF(Mars!F50:AJ50,"C"),COUNTIF(Avril!F50:AJ50,"C"),COUNTIF(Mai!F50:AJ50,"C"),COUNTIF(Juin!F50:AJ50,"C"),COUNTIF(Juillet!F50:AJ50,"C"),COUNTIF(Août!F50:AJ50,"C"),COUNTIF(Septembre!F50:AJ50,"C"),COUNTIF(Octobre!F50:AJ50,"C"),COUNTIF(Novembre!F50:AJ50,"C"),COUNTIF(Décembre!F50:AJ50,"C"))</f>
        <v>27</v>
      </c>
      <c r="L46" s="29">
        <f>SUM(COUNTIF(Janvier!F50:AJ50,"RTT"),COUNTIF(Février!F50:AI50,"RTT"),COUNTIF(Mars!F50:AJ50,"RTT"),COUNTIF(Avril!F50:AJ50,"RTT"),COUNTIF(Mai!F50:AJ50,"RTT"),COUNTIF(Juin!F50:AJ50,"RTT"),COUNTIF(Juillet!F50:AJ50,"RTT"),COUNTIF(Août!F50:AJ50,"RTT"),COUNTIF(Septembre!F50:AJ50,"RTT"),COUNTIF(Octobre!F50:AJ50,"RTT"),COUNTIF(Novembre!F50:AJ50,"RTT"),COUNTIF(Décembre!F50:AJ50,"RTT"))</f>
        <v>1</v>
      </c>
      <c r="M46" s="29">
        <f>SUM(COUNTIF(Janvier!F50:AJ50,"dRTT"),COUNTIF(Février!F50:AI50,"dRTT"),COUNTIF(Mars!F50:AJ50,"dRTT"),COUNTIF(Avril!F50:AJ50,"dRTT"),COUNTIF(Mai!F50:AJ50,"dRTT"),COUNTIF(Juin!F50:AJ50,"dRTT"),COUNTIF(Juillet!F50:AJ50,"dRTT"),COUNTIF(Août!F50:AJ50,"dRTT"),COUNTIF(Septembre!F50:AJ50,"dRTT"),COUNTIF(Octobre!F50:AJ50,"dRTT"),COUNTIF(Novembre!F50:AJ50,"dRTT"),COUNTIF(Décembre!F50:AJ50,"dRTT"))</f>
        <v>0</v>
      </c>
      <c r="N46" s="29">
        <f>SUM(COUNTIF(Janvier!F50:AJ50,"R"),COUNTIF(Février!F50:AI50,"R"),COUNTIF(Mars!F50:AJ50,"R"),COUNTIF(Avril!F50:AJ50,"R"),COUNTIF(Mai!F50:AJ50,"R"),COUNTIF(Juin!F50:AJ50,"R"),COUNTIF(Juillet!F50:AJ50,"R"),COUNTIF(Août!F50:AJ50,"R"),COUNTIF(Septembre!F50:AJ50,"R"),COUNTIF(Octobre!F50:AJ50,"R"),COUNTIF(Novembre!F50:AJ50,"R"),COUNTIF(Décembre!F50:AJ50,"R"))</f>
        <v>0</v>
      </c>
      <c r="O46" s="29">
        <f>SUM(COUNTIF(Janvier!F50:AJ50,"M"),COUNTIF(Février!F50:AI50,"M"),COUNTIF(Mars!F50:AJ50,"M"),COUNTIF(Avril!F50:AJ50,"M"),COUNTIF(Mai!F50:AJ50,"M"),COUNTIF(Juin!F50:AJ50,"M"),COUNTIF(Juillet!F50:AJ50,"M"),COUNTIF(Août!F50:AJ50,"M"),COUNTIF(Septembre!F50:AJ50,"M"),COUNTIF(Octobre!F50:AJ50,"M"),COUNTIF(Novembre!F50:AJ50,"M"),COUNTIF(Décembre!F50:AJ50,"M"))</f>
        <v>0</v>
      </c>
      <c r="P46" s="29">
        <f>SUM(COUNTIF(Janvier!G50:AK50,"AT"),COUNTIF(Février!G50:AJ50,"AT"),COUNTIF(Mars!G50:AK50,"AT"),COUNTIF(Avril!G50:AK50,"AT"),COUNTIF(Mai!G50:AK50,"AT"),COUNTIF(Juin!G50:AK50,"AT"),COUNTIF(Juillet!G50:AK50,"AT"),COUNTIF(Août!G50:AK50,"AT"),COUNTIF(Septembre!G50:AK50,"AT"),COUNTIF(Octobre!G50:AK50,"AT"),COUNTIF(Novembre!G50:AK50,"AT"),COUNTIF(Décembre!G50:AK50,"AT"))</f>
        <v>0</v>
      </c>
      <c r="Q46" s="30">
        <f t="shared" si="2"/>
        <v>7</v>
      </c>
      <c r="R46" s="30">
        <f t="shared" si="3"/>
        <v>25</v>
      </c>
    </row>
    <row r="47" spans="2:18" ht="30" customHeight="1" x14ac:dyDescent="0.2">
      <c r="B47" s="17" t="s">
        <v>107</v>
      </c>
      <c r="C47" s="25" t="s">
        <v>256</v>
      </c>
      <c r="D47" s="25">
        <v>0</v>
      </c>
      <c r="E47" s="26"/>
      <c r="F47" s="26"/>
      <c r="G47" s="27">
        <v>7</v>
      </c>
      <c r="H47" s="27">
        <v>3</v>
      </c>
      <c r="I47" s="28">
        <v>27</v>
      </c>
      <c r="J47" s="28">
        <v>23</v>
      </c>
      <c r="K47" s="29">
        <f>SUM(COUNTIF(Janvier!F51:AJ51,"C"),COUNTIF(Février!F51:AI51,"C"),COUNTIF(Mars!F51:AJ51,"C"),COUNTIF(Avril!F51:AJ51,"C"),COUNTIF(Mai!F51:AJ51,"C"),COUNTIF(Juin!F51:AJ51,"C"),COUNTIF(Juillet!F51:AJ51,"C"),COUNTIF(Août!F51:AJ51,"C"),COUNTIF(Septembre!F51:AJ51,"C"),COUNTIF(Octobre!F51:AJ51,"C"),COUNTIF(Novembre!F51:AJ51,"C"),COUNTIF(Décembre!F51:AJ51,"C"))</f>
        <v>37</v>
      </c>
      <c r="L47" s="29">
        <f>SUM(COUNTIF(Janvier!F51:AJ51,"RTT"),COUNTIF(Février!F51:AI51,"RTT"),COUNTIF(Mars!F51:AJ51,"RTT"),COUNTIF(Avril!F51:AJ51,"RTT"),COUNTIF(Mai!F51:AJ51,"RTT"),COUNTIF(Juin!F51:AJ51,"RTT"),COUNTIF(Juillet!F51:AJ51,"RTT"),COUNTIF(Août!F51:AJ51,"RTT"),COUNTIF(Septembre!F51:AJ51,"RTT"),COUNTIF(Octobre!F51:AJ51,"RTT"),COUNTIF(Novembre!F51:AJ51,"RTT"),COUNTIF(Décembre!F51:AJ51,"RTT"))</f>
        <v>1</v>
      </c>
      <c r="M47" s="29">
        <f>SUM(COUNTIF(Janvier!F51:AJ51,"dRTT"),COUNTIF(Février!F51:AI51,"dRTT"),COUNTIF(Mars!F51:AJ51,"dRTT"),COUNTIF(Avril!F51:AJ51,"dRTT"),COUNTIF(Mai!F51:AJ51,"dRTT"),COUNTIF(Juin!F51:AJ51,"dRTT"),COUNTIF(Juillet!F51:AJ51,"dRTT"),COUNTIF(Août!F51:AJ51,"dRTT"),COUNTIF(Septembre!F51:AJ51,"dRTT"),COUNTIF(Octobre!F51:AJ51,"dRTT"),COUNTIF(Novembre!F51:AJ51,"dRTT"),COUNTIF(Décembre!F51:AJ51,"dRTT"))</f>
        <v>0</v>
      </c>
      <c r="N47" s="29">
        <f>SUM(COUNTIF(Janvier!F51:AJ51,"R"),COUNTIF(Février!F51:AI51,"R"),COUNTIF(Mars!F51:AJ51,"R"),COUNTIF(Avril!F51:AJ51,"R"),COUNTIF(Mai!F51:AJ51,"R"),COUNTIF(Juin!F51:AJ51,"R"),COUNTIF(Juillet!F51:AJ51,"R"),COUNTIF(Août!F51:AJ51,"R"),COUNTIF(Septembre!F51:AJ51,"R"),COUNTIF(Octobre!F51:AJ51,"R"),COUNTIF(Novembre!F51:AJ51,"R"),COUNTIF(Décembre!F51:AJ51,"R"))</f>
        <v>0</v>
      </c>
      <c r="O47" s="29">
        <f>SUM(COUNTIF(Janvier!F51:AJ51,"M"),COUNTIF(Février!F51:AI51,"M"),COUNTIF(Mars!F51:AJ51,"M"),COUNTIF(Avril!F51:AJ51,"M"),COUNTIF(Mai!F51:AJ51,"M"),COUNTIF(Juin!F51:AJ51,"M"),COUNTIF(Juillet!F51:AJ51,"M"),COUNTIF(Août!F51:AJ51,"M"),COUNTIF(Septembre!F51:AJ51,"M"),COUNTIF(Octobre!F51:AJ51,"M"),COUNTIF(Novembre!F51:AJ51,"M"),COUNTIF(Décembre!F51:AJ51,"M"))</f>
        <v>1</v>
      </c>
      <c r="P47" s="29">
        <f>SUM(COUNTIF(Janvier!G51:AK51,"AT"),COUNTIF(Février!G51:AJ51,"AT"),COUNTIF(Mars!G51:AK51,"AT"),COUNTIF(Avril!G51:AK51,"AT"),COUNTIF(Mai!G51:AK51,"AT"),COUNTIF(Juin!G51:AK51,"AT"),COUNTIF(Juillet!G51:AK51,"AT"),COUNTIF(Août!G51:AK51,"AT"),COUNTIF(Septembre!G51:AK51,"AT"),COUNTIF(Octobre!G51:AK51,"AT"),COUNTIF(Novembre!G51:AK51,"AT"),COUNTIF(Décembre!G51:AK51,"AT"))</f>
        <v>0</v>
      </c>
      <c r="Q47" s="30">
        <f t="shared" si="2"/>
        <v>-3</v>
      </c>
      <c r="R47" s="30">
        <f t="shared" si="3"/>
        <v>25</v>
      </c>
    </row>
    <row r="48" spans="2:18" ht="30" customHeight="1" x14ac:dyDescent="0.2">
      <c r="B48" s="17" t="s">
        <v>108</v>
      </c>
      <c r="C48" s="25" t="s">
        <v>259</v>
      </c>
      <c r="D48" s="25">
        <v>0</v>
      </c>
      <c r="E48" s="26"/>
      <c r="F48" s="26"/>
      <c r="G48" s="27">
        <v>7</v>
      </c>
      <c r="H48" s="27">
        <v>3</v>
      </c>
      <c r="I48" s="28">
        <v>27</v>
      </c>
      <c r="J48" s="28">
        <v>23</v>
      </c>
      <c r="K48" s="29">
        <f>SUM(COUNTIF(Janvier!F52:AJ52,"C"),COUNTIF(Février!F52:AI52,"C"),COUNTIF(Mars!F52:AJ52,"C"),COUNTIF(Avril!F52:AJ52,"C"),COUNTIF(Mai!F52:AJ52,"C"),COUNTIF(Juin!F52:AJ52,"C"),COUNTIF(Juillet!F52:AJ52,"C"),COUNTIF(Août!F52:AJ52,"C"),COUNTIF(Septembre!F52:AJ52,"C"),COUNTIF(Octobre!F52:AJ52,"C"),COUNTIF(Novembre!F52:AJ52,"C"),COUNTIF(Décembre!F52:AJ52,"C"))</f>
        <v>22</v>
      </c>
      <c r="L48" s="29">
        <f>SUM(COUNTIF(Janvier!F52:AJ52,"RTT"),COUNTIF(Février!F52:AI52,"RTT"),COUNTIF(Mars!F52:AJ52,"RTT"),COUNTIF(Avril!F52:AJ52,"RTT"),COUNTIF(Mai!F52:AJ52,"RTT"),COUNTIF(Juin!F52:AJ52,"RTT"),COUNTIF(Juillet!F52:AJ52,"RTT"),COUNTIF(Août!F52:AJ52,"RTT"),COUNTIF(Septembre!F52:AJ52,"RTT"),COUNTIF(Octobre!F52:AJ52,"RTT"),COUNTIF(Novembre!F52:AJ52,"RTT"),COUNTIF(Décembre!F52:AJ52,"RTT"))</f>
        <v>2</v>
      </c>
      <c r="M48" s="29">
        <f>SUM(COUNTIF(Janvier!F52:AJ52,"dRTT"),COUNTIF(Février!F52:AI52,"dRTT"),COUNTIF(Mars!F52:AJ52,"dRTT"),COUNTIF(Avril!F52:AJ52,"dRTT"),COUNTIF(Mai!F52:AJ52,"dRTT"),COUNTIF(Juin!F52:AJ52,"dRTT"),COUNTIF(Juillet!F52:AJ52,"dRTT"),COUNTIF(Août!F52:AJ52,"dRTT"),COUNTIF(Septembre!F52:AJ52,"dRTT"),COUNTIF(Octobre!F52:AJ52,"dRTT"),COUNTIF(Novembre!F52:AJ52,"dRTT"),COUNTIF(Décembre!F52:AJ52,"dRTT"))</f>
        <v>0</v>
      </c>
      <c r="N48" s="29">
        <f>SUM(COUNTIF(Janvier!F52:AJ52,"R"),COUNTIF(Février!F52:AI52,"R"),COUNTIF(Mars!F52:AJ52,"R"),COUNTIF(Avril!F52:AJ52,"R"),COUNTIF(Mai!F52:AJ52,"R"),COUNTIF(Juin!F52:AJ52,"R"),COUNTIF(Juillet!F52:AJ52,"R"),COUNTIF(Août!F52:AJ52,"R"),COUNTIF(Septembre!F52:AJ52,"R"),COUNTIF(Octobre!F52:AJ52,"R"),COUNTIF(Novembre!F52:AJ52,"R"),COUNTIF(Décembre!F52:AJ52,"R"))</f>
        <v>0</v>
      </c>
      <c r="O48" s="29">
        <f>SUM(COUNTIF(Janvier!F52:AJ52,"M"),COUNTIF(Février!F52:AI52,"M"),COUNTIF(Mars!F52:AJ52,"M"),COUNTIF(Avril!F52:AJ52,"M"),COUNTIF(Mai!F52:AJ52,"M"),COUNTIF(Juin!F52:AJ52,"M"),COUNTIF(Juillet!F52:AJ52,"M"),COUNTIF(Août!F52:AJ52,"M"),COUNTIF(Septembre!F52:AJ52,"M"),COUNTIF(Octobre!F52:AJ52,"M"),COUNTIF(Novembre!F52:AJ52,"M"),COUNTIF(Décembre!F52:AJ52,"M"))</f>
        <v>4</v>
      </c>
      <c r="P48" s="29">
        <f>SUM(COUNTIF(Janvier!G52:AK52,"AT"),COUNTIF(Février!G52:AJ52,"AT"),COUNTIF(Mars!G52:AK52,"AT"),COUNTIF(Avril!G52:AK52,"AT"),COUNTIF(Mai!G52:AK52,"AT"),COUNTIF(Juin!G52:AK52,"AT"),COUNTIF(Juillet!G52:AK52,"AT"),COUNTIF(Août!G52:AK52,"AT"),COUNTIF(Septembre!G52:AK52,"AT"),COUNTIF(Octobre!G52:AK52,"AT"),COUNTIF(Novembre!G52:AK52,"AT"),COUNTIF(Décembre!G52:AK52,"AT"))</f>
        <v>0</v>
      </c>
      <c r="Q48" s="30">
        <f t="shared" si="2"/>
        <v>12</v>
      </c>
      <c r="R48" s="30">
        <f t="shared" si="3"/>
        <v>24</v>
      </c>
    </row>
    <row r="49" spans="2:18" ht="30" customHeight="1" x14ac:dyDescent="0.2">
      <c r="B49" s="17" t="s">
        <v>109</v>
      </c>
      <c r="C49" s="25" t="s">
        <v>262</v>
      </c>
      <c r="D49" s="25">
        <v>0</v>
      </c>
      <c r="E49" s="26"/>
      <c r="F49" s="26"/>
      <c r="G49" s="27">
        <v>7</v>
      </c>
      <c r="H49" s="27">
        <v>3</v>
      </c>
      <c r="I49" s="28">
        <v>27</v>
      </c>
      <c r="J49" s="28">
        <v>23</v>
      </c>
      <c r="K49" s="29">
        <f>SUM(COUNTIF(Janvier!F53:AJ53,"C"),COUNTIF(Février!F53:AI53,"C"),COUNTIF(Mars!F53:AJ53,"C"),COUNTIF(Avril!F53:AJ53,"C"),COUNTIF(Mai!F53:AJ53,"C"),COUNTIF(Juin!F53:AJ53,"C"),COUNTIF(Juillet!F53:AJ53,"C"),COUNTIF(Août!F53:AJ53,"C"),COUNTIF(Septembre!F53:AJ53,"C"),COUNTIF(Octobre!F53:AJ53,"C"),COUNTIF(Novembre!F53:AJ53,"C"),COUNTIF(Décembre!F53:AJ53,"C"))</f>
        <v>29</v>
      </c>
      <c r="L49" s="29">
        <f>SUM(COUNTIF(Janvier!F53:AJ53,"RTT"),COUNTIF(Février!F53:AI53,"RTT"),COUNTIF(Mars!F53:AJ53,"RTT"),COUNTIF(Avril!F53:AJ53,"RTT"),COUNTIF(Mai!F53:AJ53,"RTT"),COUNTIF(Juin!F53:AJ53,"RTT"),COUNTIF(Juillet!F53:AJ53,"RTT"),COUNTIF(Août!F53:AJ53,"RTT"),COUNTIF(Septembre!F53:AJ53,"RTT"),COUNTIF(Octobre!F53:AJ53,"RTT"),COUNTIF(Novembre!F53:AJ53,"RTT"),COUNTIF(Décembre!F53:AJ53,"RTT"))</f>
        <v>0</v>
      </c>
      <c r="M49" s="29">
        <f>SUM(COUNTIF(Janvier!F53:AJ53,"dRTT"),COUNTIF(Février!F53:AI53,"dRTT"),COUNTIF(Mars!F53:AJ53,"dRTT"),COUNTIF(Avril!F53:AJ53,"dRTT"),COUNTIF(Mai!F53:AJ53,"dRTT"),COUNTIF(Juin!F53:AJ53,"dRTT"),COUNTIF(Juillet!F53:AJ53,"dRTT"),COUNTIF(Août!F53:AJ53,"dRTT"),COUNTIF(Septembre!F53:AJ53,"dRTT"),COUNTIF(Octobre!F53:AJ53,"dRTT"),COUNTIF(Novembre!F53:AJ53,"dRTT"),COUNTIF(Décembre!F53:AJ53,"dRTT"))</f>
        <v>0</v>
      </c>
      <c r="N49" s="29">
        <f>SUM(COUNTIF(Janvier!F53:AJ53,"R"),COUNTIF(Février!F53:AI53,"R"),COUNTIF(Mars!F53:AJ53,"R"),COUNTIF(Avril!F53:AJ53,"R"),COUNTIF(Mai!F53:AJ53,"R"),COUNTIF(Juin!F53:AJ53,"R"),COUNTIF(Juillet!F53:AJ53,"R"),COUNTIF(Août!F53:AJ53,"R"),COUNTIF(Septembre!F53:AJ53,"R"),COUNTIF(Octobre!F53:AJ53,"R"),COUNTIF(Novembre!F53:AJ53,"R"),COUNTIF(Décembre!F53:AJ53,"R"))</f>
        <v>0</v>
      </c>
      <c r="O49" s="29">
        <f>SUM(COUNTIF(Janvier!F53:AJ53,"M"),COUNTIF(Février!F53:AI53,"M"),COUNTIF(Mars!F53:AJ53,"M"),COUNTIF(Avril!F53:AJ53,"M"),COUNTIF(Mai!F53:AJ53,"M"),COUNTIF(Juin!F53:AJ53,"M"),COUNTIF(Juillet!F53:AJ53,"M"),COUNTIF(Août!F53:AJ53,"M"),COUNTIF(Septembre!F53:AJ53,"M"),COUNTIF(Octobre!F53:AJ53,"M"),COUNTIF(Novembre!F53:AJ53,"M"),COUNTIF(Décembre!F53:AJ53,"M"))</f>
        <v>0</v>
      </c>
      <c r="P49" s="29">
        <f>SUM(COUNTIF(Janvier!G53:AK53,"AT"),COUNTIF(Février!G53:AJ53,"AT"),COUNTIF(Mars!G53:AK53,"AT"),COUNTIF(Avril!G53:AK53,"AT"),COUNTIF(Mai!G53:AK53,"AT"),COUNTIF(Juin!G53:AK53,"AT"),COUNTIF(Juillet!G53:AK53,"AT"),COUNTIF(Août!G53:AK53,"AT"),COUNTIF(Septembre!G53:AK53,"AT"),COUNTIF(Octobre!G53:AK53,"AT"),COUNTIF(Novembre!G53:AK53,"AT"),COUNTIF(Décembre!G53:AK53,"AT"))</f>
        <v>0</v>
      </c>
      <c r="Q49" s="30">
        <f t="shared" si="2"/>
        <v>5</v>
      </c>
      <c r="R49" s="30">
        <f t="shared" si="3"/>
        <v>26</v>
      </c>
    </row>
    <row r="50" spans="2:18" ht="30" customHeight="1" x14ac:dyDescent="0.2">
      <c r="B50" s="18" t="s">
        <v>110</v>
      </c>
      <c r="C50" s="25" t="s">
        <v>265</v>
      </c>
      <c r="D50" s="25">
        <v>0</v>
      </c>
      <c r="E50" s="26"/>
      <c r="F50" s="26"/>
      <c r="G50" s="27">
        <v>7</v>
      </c>
      <c r="H50" s="27">
        <v>3</v>
      </c>
      <c r="I50" s="28">
        <v>27</v>
      </c>
      <c r="J50" s="28">
        <v>23</v>
      </c>
      <c r="K50" s="29">
        <f>SUM(COUNTIF(Janvier!F54:AJ54,"C"),COUNTIF(Février!F54:AI54,"C"),COUNTIF(Mars!F54:AJ54,"C"),COUNTIF(Avril!F54:AJ54,"C"),COUNTIF(Mai!F54:AJ54,"C"),COUNTIF(Juin!F54:AJ54,"C"),COUNTIF(Juillet!F54:AJ54,"C"),COUNTIF(Août!F54:AJ54,"C"),COUNTIF(Septembre!F54:AJ54,"C"),COUNTIF(Octobre!F54:AJ54,"C"),COUNTIF(Novembre!F54:AJ54,"C"),COUNTIF(Décembre!F54:AJ54,"C"))</f>
        <v>44</v>
      </c>
      <c r="L50" s="29">
        <f>SUM(COUNTIF(Janvier!F54:AJ54,"RTT"),COUNTIF(Février!F54:AI54,"RTT"),COUNTIF(Mars!F54:AJ54,"RTT"),COUNTIF(Avril!F54:AJ54,"RTT"),COUNTIF(Mai!F54:AJ54,"RTT"),COUNTIF(Juin!F54:AJ54,"RTT"),COUNTIF(Juillet!F54:AJ54,"RTT"),COUNTIF(Août!F54:AJ54,"RTT"),COUNTIF(Septembre!F54:AJ54,"RTT"),COUNTIF(Octobre!F54:AJ54,"RTT"),COUNTIF(Novembre!F54:AJ54,"RTT"),COUNTIF(Décembre!F54:AJ54,"RTT"))</f>
        <v>2</v>
      </c>
      <c r="M50" s="29">
        <f>SUM(COUNTIF(Janvier!F54:AJ54,"dRTT"),COUNTIF(Février!F54:AI54,"dRTT"),COUNTIF(Mars!F54:AJ54,"dRTT"),COUNTIF(Avril!F54:AJ54,"dRTT"),COUNTIF(Mai!F54:AJ54,"dRTT"),COUNTIF(Juin!F54:AJ54,"dRTT"),COUNTIF(Juillet!F54:AJ54,"dRTT"),COUNTIF(Août!F54:AJ54,"dRTT"),COUNTIF(Septembre!F54:AJ54,"dRTT"),COUNTIF(Octobre!F54:AJ54,"dRTT"),COUNTIF(Novembre!F54:AJ54,"dRTT"),COUNTIF(Décembre!F54:AJ54,"dRTT"))</f>
        <v>0</v>
      </c>
      <c r="N50" s="29">
        <f>SUM(COUNTIF(Janvier!F54:AJ54,"R"),COUNTIF(Février!F54:AI54,"R"),COUNTIF(Mars!F54:AJ54,"R"),COUNTIF(Avril!F54:AJ54,"R"),COUNTIF(Mai!F54:AJ54,"R"),COUNTIF(Juin!F54:AJ54,"R"),COUNTIF(Juillet!F54:AJ54,"R"),COUNTIF(Août!F54:AJ54,"R"),COUNTIF(Septembre!F54:AJ54,"R"),COUNTIF(Octobre!F54:AJ54,"R"),COUNTIF(Novembre!F54:AJ54,"R"),COUNTIF(Décembre!F54:AJ54,"R"))</f>
        <v>0</v>
      </c>
      <c r="O50" s="29">
        <f>SUM(COUNTIF(Janvier!F54:AJ54,"M"),COUNTIF(Février!F54:AI54,"M"),COUNTIF(Mars!F54:AJ54,"M"),COUNTIF(Avril!F54:AJ54,"M"),COUNTIF(Mai!F54:AJ54,"M"),COUNTIF(Juin!F54:AJ54,"M"),COUNTIF(Juillet!F54:AJ54,"M"),COUNTIF(Août!F54:AJ54,"M"),COUNTIF(Septembre!F54:AJ54,"M"),COUNTIF(Octobre!F54:AJ54,"M"),COUNTIF(Novembre!F54:AJ54,"M"),COUNTIF(Décembre!F54:AJ54,"M"))</f>
        <v>5</v>
      </c>
      <c r="P50" s="29">
        <f>SUM(COUNTIF(Janvier!G54:AK54,"AT"),COUNTIF(Février!G54:AJ54,"AT"),COUNTIF(Mars!G54:AK54,"AT"),COUNTIF(Avril!G54:AK54,"AT"),COUNTIF(Mai!G54:AK54,"AT"),COUNTIF(Juin!G54:AK54,"AT"),COUNTIF(Juillet!G54:AK54,"AT"),COUNTIF(Août!G54:AK54,"AT"),COUNTIF(Septembre!G54:AK54,"AT"),COUNTIF(Octobre!G54:AK54,"AT"),COUNTIF(Novembre!G54:AK54,"AT"),COUNTIF(Décembre!G54:AK54,"AT"))</f>
        <v>0</v>
      </c>
      <c r="Q50" s="30">
        <f t="shared" si="2"/>
        <v>-10</v>
      </c>
      <c r="R50" s="30">
        <f t="shared" si="3"/>
        <v>24</v>
      </c>
    </row>
    <row r="51" spans="2:18" ht="30" customHeight="1" x14ac:dyDescent="0.2">
      <c r="B51" s="17" t="s">
        <v>111</v>
      </c>
      <c r="C51" s="25" t="s">
        <v>268</v>
      </c>
      <c r="D51" s="25">
        <v>0</v>
      </c>
      <c r="E51" s="26"/>
      <c r="F51" s="26"/>
      <c r="G51" s="27">
        <v>7</v>
      </c>
      <c r="H51" s="27">
        <v>3</v>
      </c>
      <c r="I51" s="28">
        <v>27</v>
      </c>
      <c r="J51" s="28">
        <v>23</v>
      </c>
      <c r="K51" s="29">
        <f>SUM(COUNTIF(Janvier!F55:AJ55,"C"),COUNTIF(Février!F55:AI55,"C"),COUNTIF(Mars!F55:AJ55,"C"),COUNTIF(Avril!F55:AJ55,"C"),COUNTIF(Mai!F55:AJ55,"C"),COUNTIF(Juin!F55:AJ55,"C"),COUNTIF(Juillet!F55:AJ55,"C"),COUNTIF(Août!F55:AJ55,"C"),COUNTIF(Septembre!F55:AJ55,"C"),COUNTIF(Octobre!F55:AJ55,"C"),COUNTIF(Novembre!F55:AJ55,"C"),COUNTIF(Décembre!F55:AJ55,"C"))</f>
        <v>0</v>
      </c>
      <c r="L51" s="29">
        <f>SUM(COUNTIF(Janvier!F55:AJ55,"RTT"),COUNTIF(Février!F55:AI55,"RTT"),COUNTIF(Mars!F55:AJ55,"RTT"),COUNTIF(Avril!F55:AJ55,"RTT"),COUNTIF(Mai!F55:AJ55,"RTT"),COUNTIF(Juin!F55:AJ55,"RTT"),COUNTIF(Juillet!F55:AJ55,"RTT"),COUNTIF(Août!F55:AJ55,"RTT"),COUNTIF(Septembre!F55:AJ55,"RTT"),COUNTIF(Octobre!F55:AJ55,"RTT"),COUNTIF(Novembre!F55:AJ55,"RTT"),COUNTIF(Décembre!F55:AJ55,"RTT"))</f>
        <v>0</v>
      </c>
      <c r="M51" s="29">
        <f>SUM(COUNTIF(Janvier!F55:AJ55,"dRTT"),COUNTIF(Février!F55:AI55,"dRTT"),COUNTIF(Mars!F55:AJ55,"dRTT"),COUNTIF(Avril!F55:AJ55,"dRTT"),COUNTIF(Mai!F55:AJ55,"dRTT"),COUNTIF(Juin!F55:AJ55,"dRTT"),COUNTIF(Juillet!F55:AJ55,"dRTT"),COUNTIF(Août!F55:AJ55,"dRTT"),COUNTIF(Septembre!F55:AJ55,"dRTT"),COUNTIF(Octobre!F55:AJ55,"dRTT"),COUNTIF(Novembre!F55:AJ55,"dRTT"),COUNTIF(Décembre!F55:AJ55,"dRTT"))</f>
        <v>0</v>
      </c>
      <c r="N51" s="29">
        <f>SUM(COUNTIF(Janvier!F55:AJ55,"R"),COUNTIF(Février!F55:AI55,"R"),COUNTIF(Mars!F55:AJ55,"R"),COUNTIF(Avril!F55:AJ55,"R"),COUNTIF(Mai!F55:AJ55,"R"),COUNTIF(Juin!F55:AJ55,"R"),COUNTIF(Juillet!F55:AJ55,"R"),COUNTIF(Août!F55:AJ55,"R"),COUNTIF(Septembre!F55:AJ55,"R"),COUNTIF(Octobre!F55:AJ55,"R"),COUNTIF(Novembre!F55:AJ55,"R"),COUNTIF(Décembre!F55:AJ55,"R"))</f>
        <v>0</v>
      </c>
      <c r="O51" s="29">
        <f>SUM(COUNTIF(Janvier!F55:AJ55,"M"),COUNTIF(Février!F55:AI55,"M"),COUNTIF(Mars!F55:AJ55,"M"),COUNTIF(Avril!F55:AJ55,"M"),COUNTIF(Mai!F55:AJ55,"M"),COUNTIF(Juin!F55:AJ55,"M"),COUNTIF(Juillet!F55:AJ55,"M"),COUNTIF(Août!F55:AJ55,"M"),COUNTIF(Septembre!F55:AJ55,"M"),COUNTIF(Octobre!F55:AJ55,"M"),COUNTIF(Novembre!F55:AJ55,"M"),COUNTIF(Décembre!F55:AJ55,"M"))</f>
        <v>208</v>
      </c>
      <c r="P51" s="29">
        <f>SUM(COUNTIF(Janvier!G55:AK55,"AT"),COUNTIF(Février!G55:AJ55,"AT"),COUNTIF(Mars!G55:AK55,"AT"),COUNTIF(Avril!G55:AK55,"AT"),COUNTIF(Mai!G55:AK55,"AT"),COUNTIF(Juin!G55:AK55,"AT"),COUNTIF(Juillet!G55:AK55,"AT"),COUNTIF(Août!G55:AK55,"AT"),COUNTIF(Septembre!G55:AK55,"AT"),COUNTIF(Octobre!G55:AK55,"AT"),COUNTIF(Novembre!G55:AK55,"AT"),COUNTIF(Décembre!G55:AK55,"AT"))</f>
        <v>0</v>
      </c>
      <c r="Q51" s="30">
        <f t="shared" si="2"/>
        <v>34</v>
      </c>
      <c r="R51" s="30">
        <f t="shared" si="3"/>
        <v>26</v>
      </c>
    </row>
    <row r="52" spans="2:18" ht="30" customHeight="1" x14ac:dyDescent="0.2">
      <c r="B52" s="17" t="s">
        <v>112</v>
      </c>
      <c r="C52" s="25" t="s">
        <v>271</v>
      </c>
      <c r="D52" s="25">
        <v>0</v>
      </c>
      <c r="E52" s="26"/>
      <c r="F52" s="26"/>
      <c r="G52" s="27">
        <v>7</v>
      </c>
      <c r="H52" s="27">
        <v>3</v>
      </c>
      <c r="I52" s="28">
        <v>27</v>
      </c>
      <c r="J52" s="28">
        <v>23</v>
      </c>
      <c r="K52" s="29">
        <f>SUM(COUNTIF(Janvier!F56:AJ56,"C"),COUNTIF(Février!F56:AI56,"C"),COUNTIF(Mars!F56:AJ56,"C"),COUNTIF(Avril!F56:AJ56,"C"),COUNTIF(Mai!F56:AJ56,"C"),COUNTIF(Juin!F56:AJ56,"C"),COUNTIF(Juillet!F56:AJ56,"C"),COUNTIF(Août!F56:AJ56,"C"),COUNTIF(Septembre!F56:AJ56,"C"),COUNTIF(Octobre!F56:AJ56,"C"),COUNTIF(Novembre!F56:AJ56,"C"),COUNTIF(Décembre!F56:AJ56,"C"))</f>
        <v>28</v>
      </c>
      <c r="L52" s="29">
        <f>SUM(COUNTIF(Janvier!F56:AJ56,"RTT"),COUNTIF(Février!F56:AI56,"RTT"),COUNTIF(Mars!F56:AJ56,"RTT"),COUNTIF(Avril!F56:AJ56,"RTT"),COUNTIF(Mai!F56:AJ56,"RTT"),COUNTIF(Juin!F56:AJ56,"RTT"),COUNTIF(Juillet!F56:AJ56,"RTT"),COUNTIF(Août!F56:AJ56,"RTT"),COUNTIF(Septembre!F56:AJ56,"RTT"),COUNTIF(Octobre!F56:AJ56,"RTT"),COUNTIF(Novembre!F56:AJ56,"RTT"),COUNTIF(Décembre!F56:AJ56,"RTT"))</f>
        <v>3</v>
      </c>
      <c r="M52" s="29">
        <f>SUM(COUNTIF(Janvier!F56:AJ56,"dRTT"),COUNTIF(Février!F56:AI56,"dRTT"),COUNTIF(Mars!F56:AJ56,"dRTT"),COUNTIF(Avril!F56:AJ56,"dRTT"),COUNTIF(Mai!F56:AJ56,"dRTT"),COUNTIF(Juin!F56:AJ56,"dRTT"),COUNTIF(Juillet!F56:AJ56,"dRTT"),COUNTIF(Août!F56:AJ56,"dRTT"),COUNTIF(Septembre!F56:AJ56,"dRTT"),COUNTIF(Octobre!F56:AJ56,"dRTT"),COUNTIF(Novembre!F56:AJ56,"dRTT"),COUNTIF(Décembre!F56:AJ56,"dRTT"))</f>
        <v>0</v>
      </c>
      <c r="N52" s="29">
        <f>SUM(COUNTIF(Janvier!F56:AJ56,"R"),COUNTIF(Février!F56:AI56,"R"),COUNTIF(Mars!F56:AJ56,"R"),COUNTIF(Avril!F56:AJ56,"R"),COUNTIF(Mai!F56:AJ56,"R"),COUNTIF(Juin!F56:AJ56,"R"),COUNTIF(Juillet!F56:AJ56,"R"),COUNTIF(Août!F56:AJ56,"R"),COUNTIF(Septembre!F56:AJ56,"R"),COUNTIF(Octobre!F56:AJ56,"R"),COUNTIF(Novembre!F56:AJ56,"R"),COUNTIF(Décembre!F56:AJ56,"R"))</f>
        <v>0</v>
      </c>
      <c r="O52" s="29">
        <f>SUM(COUNTIF(Janvier!F56:AJ56,"M"),COUNTIF(Février!F56:AI56,"M"),COUNTIF(Mars!F56:AJ56,"M"),COUNTIF(Avril!F56:AJ56,"M"),COUNTIF(Mai!F56:AJ56,"M"),COUNTIF(Juin!F56:AJ56,"M"),COUNTIF(Juillet!F56:AJ56,"M"),COUNTIF(Août!F56:AJ56,"M"),COUNTIF(Septembre!F56:AJ56,"M"),COUNTIF(Octobre!F56:AJ56,"M"),COUNTIF(Novembre!F56:AJ56,"M"),COUNTIF(Décembre!F56:AJ56,"M"))</f>
        <v>3</v>
      </c>
      <c r="P52" s="29">
        <f>SUM(COUNTIF(Janvier!G56:AK56,"AT"),COUNTIF(Février!G56:AJ56,"AT"),COUNTIF(Mars!G56:AK56,"AT"),COUNTIF(Avril!G56:AK56,"AT"),COUNTIF(Mai!G56:AK56,"AT"),COUNTIF(Juin!G56:AK56,"AT"),COUNTIF(Juillet!G56:AK56,"AT"),COUNTIF(Août!G56:AK56,"AT"),COUNTIF(Septembre!G56:AK56,"AT"),COUNTIF(Octobre!G56:AK56,"AT"),COUNTIF(Novembre!G56:AK56,"AT"),COUNTIF(Décembre!G56:AK56,"AT"))</f>
        <v>0</v>
      </c>
      <c r="Q52" s="30">
        <f t="shared" si="2"/>
        <v>6</v>
      </c>
      <c r="R52" s="30">
        <f t="shared" si="3"/>
        <v>23</v>
      </c>
    </row>
  </sheetData>
  <mergeCells count="4">
    <mergeCell ref="G2:H2"/>
    <mergeCell ref="I2:J2"/>
    <mergeCell ref="Q2:R2"/>
    <mergeCell ref="K2:P2"/>
  </mergeCells>
  <dataValidations count="3">
    <dataValidation allowBlank="1" showInputMessage="1" showErrorMessage="1" prompt="Titre Noms des employés" sqref="C1:D1">
      <formula1>0</formula1>
      <formula2>0</formula2>
    </dataValidation>
    <dataValidation allowBlank="1" showInputMessage="1" showErrorMessage="1" prompt="Entrez les noms des employés dans le tableau Noms des employés dans cette feuille de calcul. Ces noms sont utilisés en tant qu’options dans la colonne B du tableau des absences de chaque mois." sqref="A1:B1">
      <formula1>0</formula1>
      <formula2>0</formula2>
    </dataValidation>
    <dataValidation allowBlank="1" showInputMessage="1" showErrorMessage="1" prompt="Entrez les noms des employés dans cette colonne" sqref="C3:D3">
      <formula1>0</formula1>
      <formula2>0</formula2>
    </dataValidation>
  </dataValidations>
  <printOptions horizontalCentered="1"/>
  <pageMargins left="0.25" right="0.25" top="0.75" bottom="0.75" header="0.51180555555555496" footer="0.3"/>
  <pageSetup paperSize="9" firstPageNumber="0" fitToHeight="0" orientation="landscape" horizontalDpi="300" verticalDpi="300"/>
  <headerFooter>
    <oddFooter>&amp;CPage &amp;P of &amp;N</oddFooter>
  </headerFooter>
  <tableParts count="1">
    <tablePart r:id="rId1"/>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1:U22"/>
  <sheetViews>
    <sheetView workbookViewId="0">
      <selection activeCell="A7" sqref="A7:XFD7"/>
    </sheetView>
  </sheetViews>
  <sheetFormatPr baseColWidth="10" defaultColWidth="10.83203125" defaultRowHeight="15" x14ac:dyDescent="0.2"/>
  <cols>
    <col min="1" max="1" width="21.1640625" style="55" bestFit="1" customWidth="1"/>
    <col min="2" max="16384" width="10.83203125" style="55"/>
  </cols>
  <sheetData>
    <row r="1" spans="1:21" x14ac:dyDescent="0.2">
      <c r="A1" s="54" t="s">
        <v>117</v>
      </c>
      <c r="B1" s="54">
        <v>2016</v>
      </c>
      <c r="C1" s="54">
        <v>2017</v>
      </c>
      <c r="D1" s="54">
        <v>2018</v>
      </c>
      <c r="E1" s="54">
        <v>2019</v>
      </c>
      <c r="F1" s="54">
        <v>2020</v>
      </c>
      <c r="G1" s="54">
        <v>2021</v>
      </c>
      <c r="H1" s="54">
        <v>2022</v>
      </c>
      <c r="I1" s="54">
        <v>2023</v>
      </c>
      <c r="J1" s="54">
        <v>2024</v>
      </c>
      <c r="K1" s="54">
        <v>2025</v>
      </c>
      <c r="L1" s="54">
        <v>2026</v>
      </c>
      <c r="M1" s="54">
        <v>2027</v>
      </c>
      <c r="N1" s="54">
        <v>2028</v>
      </c>
      <c r="O1" s="54">
        <v>2029</v>
      </c>
      <c r="P1" s="54">
        <v>2030</v>
      </c>
      <c r="Q1" s="54">
        <v>2031</v>
      </c>
      <c r="R1" s="54">
        <v>2032</v>
      </c>
      <c r="S1" s="54">
        <v>2033</v>
      </c>
      <c r="T1" s="54">
        <v>2034</v>
      </c>
      <c r="U1" s="54">
        <v>2035</v>
      </c>
    </row>
    <row r="2" spans="1:21" x14ac:dyDescent="0.2">
      <c r="A2" s="56" t="s">
        <v>118</v>
      </c>
      <c r="B2" s="57">
        <v>42370</v>
      </c>
      <c r="C2" s="57">
        <v>42736</v>
      </c>
      <c r="D2" s="57">
        <v>43101</v>
      </c>
      <c r="E2" s="57">
        <v>43466</v>
      </c>
      <c r="F2" s="57">
        <v>43831</v>
      </c>
      <c r="G2" s="57">
        <v>44197</v>
      </c>
      <c r="H2" s="57">
        <v>44562</v>
      </c>
      <c r="I2" s="57">
        <v>44927</v>
      </c>
      <c r="J2" s="57">
        <v>45292</v>
      </c>
      <c r="K2" s="57">
        <v>45658</v>
      </c>
      <c r="L2" s="57">
        <v>46023</v>
      </c>
      <c r="M2" s="57">
        <v>46388</v>
      </c>
      <c r="N2" s="57">
        <v>46753</v>
      </c>
      <c r="O2" s="57">
        <v>47119</v>
      </c>
      <c r="P2" s="57">
        <v>47484</v>
      </c>
      <c r="Q2" s="57">
        <v>47849</v>
      </c>
      <c r="R2" s="57">
        <v>48214</v>
      </c>
      <c r="S2" s="57">
        <v>48580</v>
      </c>
      <c r="T2" s="57">
        <v>48945</v>
      </c>
      <c r="U2" s="57">
        <v>49310</v>
      </c>
    </row>
    <row r="3" spans="1:21" x14ac:dyDescent="0.2">
      <c r="A3" s="56" t="s">
        <v>119</v>
      </c>
      <c r="B3" s="57">
        <v>42457</v>
      </c>
      <c r="C3" s="57">
        <v>42842</v>
      </c>
      <c r="D3" s="57">
        <v>43192</v>
      </c>
      <c r="E3" s="57">
        <v>43577</v>
      </c>
      <c r="F3" s="57">
        <v>43934</v>
      </c>
      <c r="G3" s="57">
        <v>44291</v>
      </c>
      <c r="H3" s="57">
        <v>44669</v>
      </c>
      <c r="I3" s="57">
        <v>45026</v>
      </c>
      <c r="J3" s="57">
        <v>45383</v>
      </c>
      <c r="K3" s="57">
        <v>45768</v>
      </c>
      <c r="L3" s="57">
        <v>46118</v>
      </c>
      <c r="M3" s="57">
        <v>46475</v>
      </c>
      <c r="N3" s="57">
        <v>46860</v>
      </c>
      <c r="O3" s="57">
        <v>47210</v>
      </c>
      <c r="P3" s="57">
        <v>47595</v>
      </c>
      <c r="Q3" s="57">
        <v>47952</v>
      </c>
      <c r="R3" s="57">
        <v>48302</v>
      </c>
      <c r="S3" s="57">
        <v>48687</v>
      </c>
      <c r="T3" s="57">
        <v>49044</v>
      </c>
      <c r="U3" s="57">
        <v>49394</v>
      </c>
    </row>
    <row r="4" spans="1:21" x14ac:dyDescent="0.2">
      <c r="A4" s="56" t="s">
        <v>120</v>
      </c>
      <c r="B4" s="57">
        <v>42491</v>
      </c>
      <c r="C4" s="57">
        <v>42856</v>
      </c>
      <c r="D4" s="57">
        <v>43221</v>
      </c>
      <c r="E4" s="57">
        <v>43586</v>
      </c>
      <c r="F4" s="57">
        <v>43952</v>
      </c>
      <c r="G4" s="57">
        <v>44317</v>
      </c>
      <c r="H4" s="57">
        <v>44682</v>
      </c>
      <c r="I4" s="57">
        <v>45047</v>
      </c>
      <c r="J4" s="57">
        <v>45413</v>
      </c>
      <c r="K4" s="57">
        <v>45778</v>
      </c>
      <c r="L4" s="57">
        <v>46143</v>
      </c>
      <c r="M4" s="57">
        <v>46508</v>
      </c>
      <c r="N4" s="57">
        <v>46874</v>
      </c>
      <c r="O4" s="57">
        <v>47239</v>
      </c>
      <c r="P4" s="57">
        <v>47604</v>
      </c>
      <c r="Q4" s="57">
        <v>47969</v>
      </c>
      <c r="R4" s="57">
        <v>48335</v>
      </c>
      <c r="S4" s="57">
        <v>48700</v>
      </c>
      <c r="T4" s="57">
        <v>49065</v>
      </c>
      <c r="U4" s="57">
        <v>49430</v>
      </c>
    </row>
    <row r="5" spans="1:21" x14ac:dyDescent="0.2">
      <c r="A5" s="58" t="s">
        <v>121</v>
      </c>
      <c r="B5" s="57">
        <v>42498</v>
      </c>
      <c r="C5" s="57">
        <v>42863</v>
      </c>
      <c r="D5" s="57">
        <v>43228</v>
      </c>
      <c r="E5" s="57">
        <v>43593</v>
      </c>
      <c r="F5" s="57">
        <v>43959</v>
      </c>
      <c r="G5" s="57">
        <v>44324</v>
      </c>
      <c r="H5" s="57">
        <v>44689</v>
      </c>
      <c r="I5" s="57">
        <v>45054</v>
      </c>
      <c r="J5" s="57">
        <v>45420</v>
      </c>
      <c r="K5" s="57">
        <v>45785</v>
      </c>
      <c r="L5" s="57">
        <v>46150</v>
      </c>
      <c r="M5" s="57">
        <v>46515</v>
      </c>
      <c r="N5" s="57">
        <v>46881</v>
      </c>
      <c r="O5" s="57">
        <v>47246</v>
      </c>
      <c r="P5" s="57">
        <v>47611</v>
      </c>
      <c r="Q5" s="57">
        <v>47976</v>
      </c>
      <c r="R5" s="57">
        <v>48342</v>
      </c>
      <c r="S5" s="57">
        <v>48707</v>
      </c>
      <c r="T5" s="57">
        <v>49072</v>
      </c>
      <c r="U5" s="57">
        <v>49437</v>
      </c>
    </row>
    <row r="6" spans="1:21" x14ac:dyDescent="0.2">
      <c r="A6" s="56" t="s">
        <v>122</v>
      </c>
      <c r="B6" s="57">
        <v>42495</v>
      </c>
      <c r="C6" s="57">
        <v>42880</v>
      </c>
      <c r="D6" s="57">
        <v>43230</v>
      </c>
      <c r="E6" s="57">
        <v>43615</v>
      </c>
      <c r="F6" s="57">
        <v>43972</v>
      </c>
      <c r="G6" s="57">
        <v>44329</v>
      </c>
      <c r="H6" s="57">
        <v>44707</v>
      </c>
      <c r="I6" s="57">
        <v>45064</v>
      </c>
      <c r="J6" s="57">
        <v>45421</v>
      </c>
      <c r="K6" s="57">
        <v>45806</v>
      </c>
      <c r="L6" s="57">
        <v>46156</v>
      </c>
      <c r="M6" s="57">
        <v>46513</v>
      </c>
      <c r="N6" s="57">
        <v>46898</v>
      </c>
      <c r="O6" s="57">
        <v>47248</v>
      </c>
      <c r="P6" s="57">
        <v>47633</v>
      </c>
      <c r="Q6" s="57">
        <v>47990</v>
      </c>
      <c r="R6" s="57">
        <v>48340</v>
      </c>
      <c r="S6" s="57">
        <v>48725</v>
      </c>
      <c r="T6" s="57">
        <v>49082</v>
      </c>
      <c r="U6" s="57">
        <v>49432</v>
      </c>
    </row>
    <row r="7" spans="1:21" x14ac:dyDescent="0.2">
      <c r="A7" s="56" t="s">
        <v>123</v>
      </c>
      <c r="B7" s="57">
        <v>42565</v>
      </c>
      <c r="C7" s="57">
        <v>42930</v>
      </c>
      <c r="D7" s="57">
        <v>43295</v>
      </c>
      <c r="E7" s="57">
        <v>43660</v>
      </c>
      <c r="F7" s="57">
        <v>44026</v>
      </c>
      <c r="G7" s="57">
        <v>44391</v>
      </c>
      <c r="H7" s="57">
        <v>44756</v>
      </c>
      <c r="I7" s="57">
        <v>45121</v>
      </c>
      <c r="J7" s="57">
        <v>45487</v>
      </c>
      <c r="K7" s="57">
        <v>45852</v>
      </c>
      <c r="L7" s="57">
        <v>46217</v>
      </c>
      <c r="M7" s="57">
        <v>46582</v>
      </c>
      <c r="N7" s="57">
        <v>46948</v>
      </c>
      <c r="O7" s="57">
        <v>47313</v>
      </c>
      <c r="P7" s="57">
        <v>47678</v>
      </c>
      <c r="Q7" s="57">
        <v>48043</v>
      </c>
      <c r="R7" s="57">
        <v>48409</v>
      </c>
      <c r="S7" s="57">
        <v>48774</v>
      </c>
      <c r="T7" s="57">
        <v>49139</v>
      </c>
      <c r="U7" s="57">
        <v>49504</v>
      </c>
    </row>
    <row r="8" spans="1:21" x14ac:dyDescent="0.2">
      <c r="A8" s="56" t="s">
        <v>124</v>
      </c>
      <c r="B8" s="57">
        <v>42597</v>
      </c>
      <c r="C8" s="57">
        <v>42962</v>
      </c>
      <c r="D8" s="57">
        <v>43327</v>
      </c>
      <c r="E8" s="57">
        <v>43692</v>
      </c>
      <c r="F8" s="57">
        <v>44058</v>
      </c>
      <c r="G8" s="57">
        <v>44423</v>
      </c>
      <c r="H8" s="57">
        <v>44788</v>
      </c>
      <c r="I8" s="57">
        <v>45153</v>
      </c>
      <c r="J8" s="57">
        <v>45519</v>
      </c>
      <c r="K8" s="57">
        <v>45884</v>
      </c>
      <c r="L8" s="57">
        <v>46249</v>
      </c>
      <c r="M8" s="57">
        <v>46614</v>
      </c>
      <c r="N8" s="57">
        <v>46980</v>
      </c>
      <c r="O8" s="57">
        <v>47345</v>
      </c>
      <c r="P8" s="57">
        <v>47710</v>
      </c>
      <c r="Q8" s="57">
        <v>48075</v>
      </c>
      <c r="R8" s="57">
        <v>48441</v>
      </c>
      <c r="S8" s="57">
        <v>48806</v>
      </c>
      <c r="T8" s="57">
        <v>49171</v>
      </c>
      <c r="U8" s="57">
        <v>49536</v>
      </c>
    </row>
    <row r="9" spans="1:21" x14ac:dyDescent="0.2">
      <c r="A9" s="56" t="s">
        <v>125</v>
      </c>
      <c r="B9" s="57">
        <v>42675</v>
      </c>
      <c r="C9" s="57">
        <v>43040</v>
      </c>
      <c r="D9" s="57">
        <v>43405</v>
      </c>
      <c r="E9" s="57">
        <v>43770</v>
      </c>
      <c r="F9" s="57">
        <v>44136</v>
      </c>
      <c r="G9" s="57">
        <v>44501</v>
      </c>
      <c r="H9" s="57">
        <v>44866</v>
      </c>
      <c r="I9" s="57">
        <v>45231</v>
      </c>
      <c r="J9" s="57">
        <v>45597</v>
      </c>
      <c r="K9" s="57">
        <v>45962</v>
      </c>
      <c r="L9" s="57">
        <v>46327</v>
      </c>
      <c r="M9" s="57">
        <v>46692</v>
      </c>
      <c r="N9" s="57">
        <v>47058</v>
      </c>
      <c r="O9" s="57">
        <v>47423</v>
      </c>
      <c r="P9" s="57">
        <v>47788</v>
      </c>
      <c r="Q9" s="57">
        <v>48153</v>
      </c>
      <c r="R9" s="57">
        <v>48519</v>
      </c>
      <c r="S9" s="57">
        <v>48884</v>
      </c>
      <c r="T9" s="57">
        <v>49249</v>
      </c>
      <c r="U9" s="57">
        <v>49614</v>
      </c>
    </row>
    <row r="10" spans="1:21" x14ac:dyDescent="0.2">
      <c r="A10" s="56" t="s">
        <v>126</v>
      </c>
      <c r="B10" s="57">
        <v>42685</v>
      </c>
      <c r="C10" s="57">
        <v>43050</v>
      </c>
      <c r="D10" s="57">
        <v>43415</v>
      </c>
      <c r="E10" s="57">
        <v>43780</v>
      </c>
      <c r="F10" s="57">
        <v>44146</v>
      </c>
      <c r="G10" s="57">
        <v>44511</v>
      </c>
      <c r="H10" s="57">
        <v>44876</v>
      </c>
      <c r="I10" s="57">
        <v>45241</v>
      </c>
      <c r="J10" s="57">
        <v>45607</v>
      </c>
      <c r="K10" s="57">
        <v>45972</v>
      </c>
      <c r="L10" s="57">
        <v>46337</v>
      </c>
      <c r="M10" s="57">
        <v>46702</v>
      </c>
      <c r="N10" s="57">
        <v>47068</v>
      </c>
      <c r="O10" s="57">
        <v>47433</v>
      </c>
      <c r="P10" s="57">
        <v>47798</v>
      </c>
      <c r="Q10" s="57">
        <v>48163</v>
      </c>
      <c r="R10" s="57">
        <v>48529</v>
      </c>
      <c r="S10" s="57">
        <v>48894</v>
      </c>
      <c r="T10" s="57">
        <v>49259</v>
      </c>
      <c r="U10" s="57">
        <v>49624</v>
      </c>
    </row>
    <row r="11" spans="1:21" x14ac:dyDescent="0.2">
      <c r="A11" s="56" t="s">
        <v>127</v>
      </c>
      <c r="B11" s="57">
        <v>42729</v>
      </c>
      <c r="C11" s="57">
        <v>43094</v>
      </c>
      <c r="D11" s="57">
        <v>43459</v>
      </c>
      <c r="E11" s="57">
        <v>43824</v>
      </c>
      <c r="F11" s="57">
        <v>44190</v>
      </c>
      <c r="G11" s="57">
        <v>44555</v>
      </c>
      <c r="H11" s="57">
        <v>44920</v>
      </c>
      <c r="I11" s="57">
        <v>45285</v>
      </c>
      <c r="J11" s="57">
        <v>45651</v>
      </c>
      <c r="K11" s="57">
        <v>46016</v>
      </c>
      <c r="L11" s="57">
        <v>46381</v>
      </c>
      <c r="M11" s="57">
        <v>46746</v>
      </c>
      <c r="N11" s="57">
        <v>47112</v>
      </c>
      <c r="O11" s="57">
        <v>47477</v>
      </c>
      <c r="P11" s="57">
        <v>47842</v>
      </c>
      <c r="Q11" s="57">
        <v>48207</v>
      </c>
      <c r="R11" s="57">
        <v>48573</v>
      </c>
      <c r="S11" s="57">
        <v>48938</v>
      </c>
      <c r="T11" s="57">
        <v>49303</v>
      </c>
      <c r="U11" s="57">
        <v>49668</v>
      </c>
    </row>
    <row r="18" spans="3:3" ht="19" x14ac:dyDescent="0.2">
      <c r="C18" s="63"/>
    </row>
    <row r="22" spans="3:3" ht="16" x14ac:dyDescent="0.2">
      <c r="C22" s="6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6" enableFormatConditionsCalculation="0"/>
  <dimension ref="A1:B12"/>
  <sheetViews>
    <sheetView workbookViewId="0">
      <selection activeCell="C12" sqref="C12"/>
    </sheetView>
  </sheetViews>
  <sheetFormatPr baseColWidth="10" defaultRowHeight="15" x14ac:dyDescent="0.2"/>
  <cols>
    <col min="1" max="1" width="41.83203125" bestFit="1" customWidth="1"/>
  </cols>
  <sheetData>
    <row r="1" spans="1:2" x14ac:dyDescent="0.2">
      <c r="A1" t="s">
        <v>114</v>
      </c>
      <c r="B1" t="s">
        <v>2</v>
      </c>
    </row>
    <row r="2" spans="1:2" x14ac:dyDescent="0.2">
      <c r="A2" t="s">
        <v>9</v>
      </c>
      <c r="B2" t="s">
        <v>8</v>
      </c>
    </row>
    <row r="3" spans="1:2" x14ac:dyDescent="0.2">
      <c r="A3" t="s">
        <v>289</v>
      </c>
      <c r="B3" t="s">
        <v>115</v>
      </c>
    </row>
    <row r="4" spans="1:2" x14ac:dyDescent="0.2">
      <c r="A4" t="s">
        <v>290</v>
      </c>
      <c r="B4" t="s">
        <v>115</v>
      </c>
    </row>
    <row r="5" spans="1:2" x14ac:dyDescent="0.2">
      <c r="A5" t="s">
        <v>291</v>
      </c>
      <c r="B5" t="s">
        <v>5</v>
      </c>
    </row>
    <row r="6" spans="1:2" x14ac:dyDescent="0.2">
      <c r="A6" t="s">
        <v>292</v>
      </c>
      <c r="B6" t="s">
        <v>5</v>
      </c>
    </row>
    <row r="7" spans="1:2" x14ac:dyDescent="0.2">
      <c r="A7" t="s">
        <v>4</v>
      </c>
      <c r="B7" t="s">
        <v>4</v>
      </c>
    </row>
    <row r="8" spans="1:2" x14ac:dyDescent="0.2">
      <c r="A8" t="s">
        <v>274</v>
      </c>
      <c r="B8" t="s">
        <v>279</v>
      </c>
    </row>
    <row r="9" spans="1:2" x14ac:dyDescent="0.2">
      <c r="A9" t="s">
        <v>275</v>
      </c>
      <c r="B9" t="s">
        <v>276</v>
      </c>
    </row>
    <row r="10" spans="1:2" x14ac:dyDescent="0.2">
      <c r="A10" t="s">
        <v>277</v>
      </c>
      <c r="B10" t="s">
        <v>280</v>
      </c>
    </row>
    <row r="11" spans="1:2" x14ac:dyDescent="0.2">
      <c r="A11" t="s">
        <v>278</v>
      </c>
      <c r="B11" t="s">
        <v>280</v>
      </c>
    </row>
    <row r="12" spans="1:2" x14ac:dyDescent="0.2">
      <c r="A12" t="s">
        <v>293</v>
      </c>
      <c r="B12" t="s">
        <v>293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17</TotalTime>
  <Application>Microsoft Macintosh Excel</Application>
  <DocSecurity>0</DocSecurity>
  <ScaleCrop>false</ScaleCrop>
  <HeadingPairs>
    <vt:vector size="2" baseType="variant">
      <vt:variant>
        <vt:lpstr>Feuilles de calcul</vt:lpstr>
      </vt:variant>
      <vt:variant>
        <vt:i4>16</vt:i4>
      </vt:variant>
    </vt:vector>
  </HeadingPairs>
  <TitlesOfParts>
    <vt:vector size="16" baseType="lpstr">
      <vt:lpstr>Global</vt: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JFériés</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MORO CATHERINE</dc:creator>
  <cp:lastModifiedBy>Utilisateur de Microsoft Office</cp:lastModifiedBy>
  <cp:revision>4</cp:revision>
  <dcterms:created xsi:type="dcterms:W3CDTF">2016-12-06T04:52:27Z</dcterms:created>
  <dcterms:modified xsi:type="dcterms:W3CDTF">2018-05-27T09:09:56Z</dcterms:modified>
  <dc:language>en-US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